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5715" windowHeight="8445" tabRatio="708" activeTab="3"/>
  </bookViews>
  <sheets>
    <sheet name="A2 - Deprec Rev Def" sheetId="13" r:id="rId1"/>
    <sheet name="A3 - Deprec Rev Requ" sheetId="14" r:id="rId2"/>
    <sheet name="B1 and B2 - Deprec RR and BI" sheetId="15" r:id="rId3"/>
    <sheet name="Pay Equity RR and BI" sheetId="16" r:id="rId4"/>
  </sheets>
  <externalReferences>
    <externalReference r:id="rId5"/>
    <externalReference r:id="rId6"/>
  </externalReferences>
  <definedNames>
    <definedName name="DRC">'[1]17. Regulatory Charges'!$D$29</definedName>
    <definedName name="MidPeak">'[1]17. Regulatory Charges'!$D$24</definedName>
    <definedName name="OffPeak">'[1]17. Regulatory Charges'!$D$23</definedName>
    <definedName name="OnPeak">'[1]17. Regulatory Charges'!$D$25</definedName>
    <definedName name="Units1">[2]lists!$O$2:$O$4</definedName>
  </definedNames>
  <calcPr calcId="145621"/>
</workbook>
</file>

<file path=xl/calcChain.xml><?xml version="1.0" encoding="utf-8"?>
<calcChain xmlns="http://schemas.openxmlformats.org/spreadsheetml/2006/main">
  <c r="D12" i="16" l="1"/>
  <c r="P281" i="16" l="1"/>
  <c r="Q281" i="16" s="1"/>
  <c r="O281" i="16"/>
  <c r="N281" i="16"/>
  <c r="M281" i="16"/>
  <c r="P280" i="16"/>
  <c r="P279" i="16"/>
  <c r="O279" i="16"/>
  <c r="M279" i="16"/>
  <c r="L279" i="16"/>
  <c r="N279" i="16" s="1"/>
  <c r="P278" i="16"/>
  <c r="O278" i="16"/>
  <c r="N278" i="16"/>
  <c r="P277" i="16"/>
  <c r="Q277" i="16" s="1"/>
  <c r="M277" i="16"/>
  <c r="L277" i="16"/>
  <c r="Q276" i="16"/>
  <c r="R276" i="16" s="1"/>
  <c r="S276" i="16" s="1"/>
  <c r="P276" i="16"/>
  <c r="N276" i="16"/>
  <c r="M276" i="16"/>
  <c r="N274" i="16"/>
  <c r="M274" i="16"/>
  <c r="P274" i="16" s="1"/>
  <c r="Q274" i="16" s="1"/>
  <c r="R274" i="16" s="1"/>
  <c r="S274" i="16" s="1"/>
  <c r="Q273" i="16"/>
  <c r="P273" i="16"/>
  <c r="N273" i="16"/>
  <c r="M273" i="16"/>
  <c r="N271" i="16"/>
  <c r="M271" i="16"/>
  <c r="P271" i="16" s="1"/>
  <c r="Q271" i="16" s="1"/>
  <c r="R271" i="16" s="1"/>
  <c r="S271" i="16" s="1"/>
  <c r="Q270" i="16"/>
  <c r="P270" i="16"/>
  <c r="N270" i="16"/>
  <c r="P269" i="16"/>
  <c r="Q269" i="16" s="1"/>
  <c r="R269" i="16" s="1"/>
  <c r="S269" i="16" s="1"/>
  <c r="M269" i="16"/>
  <c r="N269" i="16" s="1"/>
  <c r="M268" i="16"/>
  <c r="P267" i="16"/>
  <c r="Q267" i="16" s="1"/>
  <c r="R267" i="16" s="1"/>
  <c r="S267" i="16" s="1"/>
  <c r="M267" i="16"/>
  <c r="N267" i="16" s="1"/>
  <c r="M266" i="16"/>
  <c r="P265" i="16"/>
  <c r="Q265" i="16" s="1"/>
  <c r="R265" i="16" s="1"/>
  <c r="S265" i="16" s="1"/>
  <c r="O265" i="16"/>
  <c r="N265" i="16"/>
  <c r="L265" i="16"/>
  <c r="M265" i="16" s="1"/>
  <c r="M263" i="16"/>
  <c r="P262" i="16"/>
  <c r="N262" i="16"/>
  <c r="M262" i="16"/>
  <c r="N261" i="16"/>
  <c r="M261" i="16"/>
  <c r="P261" i="16" s="1"/>
  <c r="Q261" i="16" s="1"/>
  <c r="R261" i="16" s="1"/>
  <c r="S261" i="16" s="1"/>
  <c r="Q260" i="16"/>
  <c r="P260" i="16"/>
  <c r="N260" i="16"/>
  <c r="M260" i="16"/>
  <c r="Q250" i="16"/>
  <c r="R245" i="16"/>
  <c r="O241" i="16"/>
  <c r="M241" i="16"/>
  <c r="L241" i="16"/>
  <c r="O240" i="16"/>
  <c r="M240" i="16"/>
  <c r="L240" i="16"/>
  <c r="O239" i="16"/>
  <c r="M239" i="16"/>
  <c r="L239" i="16"/>
  <c r="L223" i="16" s="1"/>
  <c r="M223" i="16" s="1"/>
  <c r="P223" i="16" s="1"/>
  <c r="P238" i="16"/>
  <c r="O237" i="16"/>
  <c r="M237" i="16"/>
  <c r="P237" i="16" s="1"/>
  <c r="Q237" i="16" s="1"/>
  <c r="L237" i="16"/>
  <c r="P236" i="16"/>
  <c r="O236" i="16"/>
  <c r="N236" i="16"/>
  <c r="M235" i="16"/>
  <c r="L235" i="16"/>
  <c r="N234" i="16"/>
  <c r="M234" i="16"/>
  <c r="P234" i="16" s="1"/>
  <c r="Q234" i="16" s="1"/>
  <c r="S232" i="16"/>
  <c r="Q232" i="16"/>
  <c r="R232" i="16" s="1"/>
  <c r="P232" i="16"/>
  <c r="N232" i="16"/>
  <c r="M232" i="16"/>
  <c r="Q231" i="16"/>
  <c r="R231" i="16" s="1"/>
  <c r="S231" i="16" s="1"/>
  <c r="N231" i="16"/>
  <c r="M231" i="16"/>
  <c r="P231" i="16" s="1"/>
  <c r="Q229" i="16"/>
  <c r="R229" i="16" s="1"/>
  <c r="S229" i="16" s="1"/>
  <c r="P229" i="16"/>
  <c r="N229" i="16"/>
  <c r="M229" i="16"/>
  <c r="S228" i="16"/>
  <c r="Q228" i="16"/>
  <c r="R228" i="16" s="1"/>
  <c r="P228" i="16"/>
  <c r="N228" i="16"/>
  <c r="M227" i="16"/>
  <c r="P226" i="16"/>
  <c r="Q226" i="16" s="1"/>
  <c r="R226" i="16" s="1"/>
  <c r="S226" i="16" s="1"/>
  <c r="M226" i="16"/>
  <c r="N226" i="16" s="1"/>
  <c r="M225" i="16"/>
  <c r="P224" i="16"/>
  <c r="Q224" i="16" s="1"/>
  <c r="R224" i="16" s="1"/>
  <c r="S224" i="16" s="1"/>
  <c r="M224" i="16"/>
  <c r="N224" i="16" s="1"/>
  <c r="M221" i="16"/>
  <c r="P220" i="16"/>
  <c r="N220" i="16"/>
  <c r="M219" i="16"/>
  <c r="P218" i="16"/>
  <c r="Q218" i="16" s="1"/>
  <c r="N218" i="16"/>
  <c r="Q208" i="16"/>
  <c r="R203" i="16"/>
  <c r="O199" i="16"/>
  <c r="M199" i="16"/>
  <c r="L199" i="16"/>
  <c r="O198" i="16"/>
  <c r="M198" i="16"/>
  <c r="L198" i="16"/>
  <c r="O197" i="16"/>
  <c r="M197" i="16"/>
  <c r="L197" i="16"/>
  <c r="L181" i="16" s="1"/>
  <c r="P196" i="16"/>
  <c r="O195" i="16"/>
  <c r="M195" i="16"/>
  <c r="N195" i="16" s="1"/>
  <c r="L195" i="16"/>
  <c r="P194" i="16"/>
  <c r="O194" i="16"/>
  <c r="N194" i="16"/>
  <c r="M193" i="16"/>
  <c r="L193" i="16"/>
  <c r="Q192" i="16"/>
  <c r="N192" i="16"/>
  <c r="M192" i="16"/>
  <c r="P192" i="16" s="1"/>
  <c r="Q190" i="16"/>
  <c r="P190" i="16"/>
  <c r="N190" i="16"/>
  <c r="M190" i="16"/>
  <c r="N189" i="16"/>
  <c r="M189" i="16"/>
  <c r="P189" i="16" s="1"/>
  <c r="Q189" i="16" s="1"/>
  <c r="R189" i="16" s="1"/>
  <c r="S189" i="16" s="1"/>
  <c r="Q187" i="16"/>
  <c r="P187" i="16"/>
  <c r="N187" i="16"/>
  <c r="M187" i="16"/>
  <c r="Q186" i="16"/>
  <c r="R186" i="16" s="1"/>
  <c r="S186" i="16" s="1"/>
  <c r="P186" i="16"/>
  <c r="N186" i="16"/>
  <c r="P185" i="16"/>
  <c r="Q185" i="16" s="1"/>
  <c r="N185" i="16"/>
  <c r="R185" i="16" s="1"/>
  <c r="S185" i="16" s="1"/>
  <c r="M185" i="16"/>
  <c r="P184" i="16"/>
  <c r="Q184" i="16" s="1"/>
  <c r="R184" i="16" s="1"/>
  <c r="S184" i="16" s="1"/>
  <c r="M184" i="16"/>
  <c r="N184" i="16" s="1"/>
  <c r="M183" i="16"/>
  <c r="M182" i="16"/>
  <c r="M181" i="16"/>
  <c r="S179" i="16"/>
  <c r="N179" i="16"/>
  <c r="M179" i="16"/>
  <c r="P179" i="16" s="1"/>
  <c r="Q179" i="16" s="1"/>
  <c r="R179" i="16" s="1"/>
  <c r="P178" i="16"/>
  <c r="N178" i="16"/>
  <c r="N177" i="16"/>
  <c r="M177" i="16"/>
  <c r="P177" i="16" s="1"/>
  <c r="Q177" i="16" s="1"/>
  <c r="R177" i="16" s="1"/>
  <c r="S177" i="16" s="1"/>
  <c r="Q176" i="16"/>
  <c r="P176" i="16"/>
  <c r="N176" i="16"/>
  <c r="N180" i="16" s="1"/>
  <c r="Q166" i="16"/>
  <c r="O157" i="16"/>
  <c r="M157" i="16"/>
  <c r="P156" i="16"/>
  <c r="O155" i="16"/>
  <c r="M155" i="16"/>
  <c r="L155" i="16"/>
  <c r="P154" i="16"/>
  <c r="O154" i="16"/>
  <c r="Q154" i="16" s="1"/>
  <c r="R154" i="16" s="1"/>
  <c r="S154" i="16" s="1"/>
  <c r="N154" i="16"/>
  <c r="Q153" i="16"/>
  <c r="R153" i="16" s="1"/>
  <c r="S153" i="16" s="1"/>
  <c r="P153" i="16"/>
  <c r="M153" i="16"/>
  <c r="L153" i="16"/>
  <c r="N153" i="16" s="1"/>
  <c r="M152" i="16"/>
  <c r="P150" i="16"/>
  <c r="Q150" i="16" s="1"/>
  <c r="R150" i="16" s="1"/>
  <c r="S150" i="16" s="1"/>
  <c r="M150" i="16"/>
  <c r="N150" i="16" s="1"/>
  <c r="M149" i="16"/>
  <c r="P147" i="16"/>
  <c r="Q147" i="16" s="1"/>
  <c r="R147" i="16" s="1"/>
  <c r="S147" i="16" s="1"/>
  <c r="M147" i="16"/>
  <c r="N147" i="16" s="1"/>
  <c r="R146" i="16"/>
  <c r="S146" i="16" s="1"/>
  <c r="P146" i="16"/>
  <c r="Q146" i="16" s="1"/>
  <c r="N146" i="16"/>
  <c r="Q145" i="16"/>
  <c r="P145" i="16"/>
  <c r="N145" i="16"/>
  <c r="M145" i="16"/>
  <c r="N144" i="16"/>
  <c r="M144" i="16"/>
  <c r="P144" i="16" s="1"/>
  <c r="Q144" i="16" s="1"/>
  <c r="R144" i="16" s="1"/>
  <c r="S144" i="16" s="1"/>
  <c r="Q143" i="16"/>
  <c r="P143" i="16"/>
  <c r="N143" i="16"/>
  <c r="M143" i="16"/>
  <c r="Q142" i="16"/>
  <c r="R142" i="16" s="1"/>
  <c r="S142" i="16" s="1"/>
  <c r="N142" i="16"/>
  <c r="M142" i="16"/>
  <c r="P142" i="16" s="1"/>
  <c r="O141" i="16"/>
  <c r="M141" i="16"/>
  <c r="L141" i="16"/>
  <c r="Q139" i="16"/>
  <c r="P139" i="16"/>
  <c r="N139" i="16"/>
  <c r="M139" i="16"/>
  <c r="P138" i="16"/>
  <c r="N138" i="16"/>
  <c r="S137" i="16"/>
  <c r="Q137" i="16"/>
  <c r="R137" i="16" s="1"/>
  <c r="P137" i="16"/>
  <c r="N137" i="16"/>
  <c r="M137" i="16"/>
  <c r="Q136" i="16"/>
  <c r="R136" i="16" s="1"/>
  <c r="S136" i="16" s="1"/>
  <c r="P136" i="16"/>
  <c r="N136" i="16"/>
  <c r="Q126" i="16"/>
  <c r="O117" i="16"/>
  <c r="M117" i="16"/>
  <c r="P116" i="16"/>
  <c r="O115" i="16"/>
  <c r="M115" i="16"/>
  <c r="L115" i="16"/>
  <c r="P114" i="16"/>
  <c r="O114" i="16"/>
  <c r="Q114" i="16" s="1"/>
  <c r="R114" i="16" s="1"/>
  <c r="S114" i="16" s="1"/>
  <c r="N114" i="16"/>
  <c r="N113" i="16"/>
  <c r="M113" i="16"/>
  <c r="P113" i="16" s="1"/>
  <c r="Q113" i="16" s="1"/>
  <c r="R113" i="16" s="1"/>
  <c r="S113" i="16" s="1"/>
  <c r="L113" i="16"/>
  <c r="M112" i="16"/>
  <c r="N112" i="16" s="1"/>
  <c r="P111" i="16"/>
  <c r="Q110" i="16"/>
  <c r="P110" i="16"/>
  <c r="N110" i="16"/>
  <c r="M110" i="16"/>
  <c r="N109" i="16"/>
  <c r="M109" i="16"/>
  <c r="P109" i="16" s="1"/>
  <c r="Q109" i="16" s="1"/>
  <c r="R109" i="16" s="1"/>
  <c r="S109" i="16" s="1"/>
  <c r="P108" i="16"/>
  <c r="M107" i="16"/>
  <c r="P106" i="16"/>
  <c r="Q106" i="16" s="1"/>
  <c r="R106" i="16" s="1"/>
  <c r="S106" i="16" s="1"/>
  <c r="N106" i="16"/>
  <c r="S105" i="16"/>
  <c r="Q105" i="16"/>
  <c r="R105" i="16" s="1"/>
  <c r="P105" i="16"/>
  <c r="N105" i="16"/>
  <c r="M105" i="16"/>
  <c r="Q104" i="16"/>
  <c r="R104" i="16" s="1"/>
  <c r="S104" i="16" s="1"/>
  <c r="N104" i="16"/>
  <c r="M104" i="16"/>
  <c r="P104" i="16" s="1"/>
  <c r="Q103" i="16"/>
  <c r="R103" i="16" s="1"/>
  <c r="S103" i="16" s="1"/>
  <c r="P103" i="16"/>
  <c r="N103" i="16"/>
  <c r="M103" i="16"/>
  <c r="N102" i="16"/>
  <c r="M102" i="16"/>
  <c r="P102" i="16" s="1"/>
  <c r="Q102" i="16" s="1"/>
  <c r="O101" i="16"/>
  <c r="M101" i="16"/>
  <c r="L101" i="16"/>
  <c r="P100" i="16"/>
  <c r="N100" i="16"/>
  <c r="P99" i="16"/>
  <c r="Q99" i="16" s="1"/>
  <c r="R99" i="16" s="1"/>
  <c r="S99" i="16" s="1"/>
  <c r="M99" i="16"/>
  <c r="N99" i="16" s="1"/>
  <c r="P98" i="16"/>
  <c r="N98" i="16"/>
  <c r="P97" i="16"/>
  <c r="Q97" i="16" s="1"/>
  <c r="R97" i="16" s="1"/>
  <c r="S97" i="16" s="1"/>
  <c r="M97" i="16"/>
  <c r="N97" i="16" s="1"/>
  <c r="R96" i="16"/>
  <c r="S96" i="16" s="1"/>
  <c r="P96" i="16"/>
  <c r="Q96" i="16" s="1"/>
  <c r="N96" i="16"/>
  <c r="Q86" i="16"/>
  <c r="O77" i="16"/>
  <c r="M77" i="16"/>
  <c r="L77" i="16"/>
  <c r="O76" i="16"/>
  <c r="M76" i="16"/>
  <c r="L76" i="16"/>
  <c r="L59" i="16" s="1"/>
  <c r="N59" i="16" s="1"/>
  <c r="O75" i="16"/>
  <c r="M75" i="16"/>
  <c r="L75" i="16"/>
  <c r="P74" i="16"/>
  <c r="O73" i="16"/>
  <c r="M73" i="16"/>
  <c r="P73" i="16" s="1"/>
  <c r="Q73" i="16" s="1"/>
  <c r="L73" i="16"/>
  <c r="P72" i="16"/>
  <c r="O72" i="16"/>
  <c r="N72" i="16"/>
  <c r="N71" i="16"/>
  <c r="R71" i="16" s="1"/>
  <c r="S71" i="16" s="1"/>
  <c r="M71" i="16"/>
  <c r="P71" i="16" s="1"/>
  <c r="Q71" i="16" s="1"/>
  <c r="L71" i="16"/>
  <c r="Q70" i="16"/>
  <c r="R70" i="16" s="1"/>
  <c r="S70" i="16" s="1"/>
  <c r="N70" i="16"/>
  <c r="M70" i="16"/>
  <c r="P70" i="16" s="1"/>
  <c r="P69" i="16"/>
  <c r="I69" i="16"/>
  <c r="R68" i="16"/>
  <c r="S68" i="16" s="1"/>
  <c r="Q68" i="16"/>
  <c r="P68" i="16"/>
  <c r="N68" i="16"/>
  <c r="S67" i="16"/>
  <c r="P67" i="16"/>
  <c r="Q67" i="16" s="1"/>
  <c r="R67" i="16" s="1"/>
  <c r="N67" i="16"/>
  <c r="P66" i="16"/>
  <c r="I66" i="16"/>
  <c r="Q65" i="16"/>
  <c r="R65" i="16" s="1"/>
  <c r="S65" i="16" s="1"/>
  <c r="P65" i="16"/>
  <c r="N65" i="16"/>
  <c r="R64" i="16"/>
  <c r="S64" i="16" s="1"/>
  <c r="P64" i="16"/>
  <c r="Q64" i="16" s="1"/>
  <c r="N64" i="16"/>
  <c r="Q63" i="16"/>
  <c r="R63" i="16" s="1"/>
  <c r="S63" i="16" s="1"/>
  <c r="P63" i="16"/>
  <c r="N63" i="16"/>
  <c r="Q62" i="16"/>
  <c r="R62" i="16" s="1"/>
  <c r="S62" i="16" s="1"/>
  <c r="P62" i="16"/>
  <c r="M62" i="16"/>
  <c r="N62" i="16" s="1"/>
  <c r="R61" i="16"/>
  <c r="S61" i="16" s="1"/>
  <c r="P61" i="16"/>
  <c r="Q61" i="16" s="1"/>
  <c r="N61" i="16"/>
  <c r="Q60" i="16"/>
  <c r="R60" i="16" s="1"/>
  <c r="S60" i="16" s="1"/>
  <c r="P60" i="16"/>
  <c r="N60" i="16"/>
  <c r="P59" i="16"/>
  <c r="P58" i="16"/>
  <c r="I58" i="16"/>
  <c r="Q57" i="16"/>
  <c r="P57" i="16"/>
  <c r="N57" i="16"/>
  <c r="P56" i="16"/>
  <c r="N56" i="16"/>
  <c r="R55" i="16"/>
  <c r="S55" i="16" s="1"/>
  <c r="Q55" i="16"/>
  <c r="P55" i="16"/>
  <c r="N55" i="16"/>
  <c r="Q54" i="16"/>
  <c r="P54" i="16"/>
  <c r="N54" i="16"/>
  <c r="R54" i="16" s="1"/>
  <c r="S54" i="16" s="1"/>
  <c r="Q44" i="16"/>
  <c r="O36" i="16"/>
  <c r="M36" i="16"/>
  <c r="N36" i="16" s="1"/>
  <c r="L36" i="16"/>
  <c r="O35" i="16"/>
  <c r="M35" i="16"/>
  <c r="P35" i="16" s="1"/>
  <c r="Q35" i="16" s="1"/>
  <c r="L35" i="16"/>
  <c r="O34" i="16"/>
  <c r="M34" i="16"/>
  <c r="P34" i="16" s="1"/>
  <c r="Q34" i="16" s="1"/>
  <c r="L34" i="16"/>
  <c r="P33" i="16"/>
  <c r="P32" i="16"/>
  <c r="P31" i="16"/>
  <c r="O31" i="16"/>
  <c r="Q31" i="16" s="1"/>
  <c r="R31" i="16" s="1"/>
  <c r="S31" i="16" s="1"/>
  <c r="N31" i="16"/>
  <c r="M30" i="16"/>
  <c r="P30" i="16" s="1"/>
  <c r="Q30" i="16" s="1"/>
  <c r="L30" i="16"/>
  <c r="Q29" i="16"/>
  <c r="N29" i="16"/>
  <c r="M29" i="16"/>
  <c r="P29" i="16" s="1"/>
  <c r="P28" i="16"/>
  <c r="R27" i="16"/>
  <c r="S27" i="16" s="1"/>
  <c r="Q27" i="16"/>
  <c r="P27" i="16"/>
  <c r="N27" i="16"/>
  <c r="Q26" i="16"/>
  <c r="P26" i="16"/>
  <c r="N26" i="16"/>
  <c r="R26" i="16" s="1"/>
  <c r="S26" i="16" s="1"/>
  <c r="P25" i="16"/>
  <c r="Q24" i="16"/>
  <c r="P24" i="16"/>
  <c r="N24" i="16"/>
  <c r="R23" i="16"/>
  <c r="S23" i="16" s="1"/>
  <c r="Q23" i="16"/>
  <c r="P23" i="16"/>
  <c r="N23" i="16"/>
  <c r="Q22" i="16"/>
  <c r="P22" i="16"/>
  <c r="N22" i="16"/>
  <c r="R22" i="16" s="1"/>
  <c r="S22" i="16" s="1"/>
  <c r="P21" i="16"/>
  <c r="Q21" i="16" s="1"/>
  <c r="N21" i="16"/>
  <c r="M21" i="16"/>
  <c r="P20" i="16"/>
  <c r="Q20" i="16" s="1"/>
  <c r="R20" i="16" s="1"/>
  <c r="S20" i="16" s="1"/>
  <c r="N20" i="16"/>
  <c r="R19" i="16"/>
  <c r="S19" i="16" s="1"/>
  <c r="Q19" i="16"/>
  <c r="P19" i="16"/>
  <c r="N19" i="16"/>
  <c r="P18" i="16"/>
  <c r="P17" i="16"/>
  <c r="P16" i="16"/>
  <c r="Q16" i="16" s="1"/>
  <c r="N16" i="16"/>
  <c r="M16" i="16"/>
  <c r="P15" i="16"/>
  <c r="N15" i="16"/>
  <c r="M14" i="16"/>
  <c r="P14" i="16" s="1"/>
  <c r="Q14" i="16" s="1"/>
  <c r="E14" i="16"/>
  <c r="B14" i="16"/>
  <c r="C13" i="16" s="1"/>
  <c r="D13" i="16" s="1"/>
  <c r="F13" i="16" s="1"/>
  <c r="O262" i="16" s="1"/>
  <c r="P13" i="16"/>
  <c r="Q13" i="16" s="1"/>
  <c r="N13" i="16"/>
  <c r="C11" i="16"/>
  <c r="D11" i="16" s="1"/>
  <c r="F11" i="16" s="1"/>
  <c r="O178" i="16" s="1"/>
  <c r="Q178" i="16" s="1"/>
  <c r="R178" i="16" s="1"/>
  <c r="S178" i="16" s="1"/>
  <c r="C10" i="16"/>
  <c r="D10" i="16" s="1"/>
  <c r="F10" i="16" s="1"/>
  <c r="O138" i="16" s="1"/>
  <c r="Q138" i="16" s="1"/>
  <c r="R138" i="16" s="1"/>
  <c r="S138" i="16" s="1"/>
  <c r="C7" i="16"/>
  <c r="Q3" i="16"/>
  <c r="O281" i="15"/>
  <c r="M281" i="15"/>
  <c r="P280" i="15"/>
  <c r="O279" i="15"/>
  <c r="M279" i="15"/>
  <c r="L279" i="15"/>
  <c r="P278" i="15"/>
  <c r="O278" i="15"/>
  <c r="Q278" i="15" s="1"/>
  <c r="R278" i="15" s="1"/>
  <c r="S278" i="15" s="1"/>
  <c r="N278" i="15"/>
  <c r="M277" i="15"/>
  <c r="P277" i="15" s="1"/>
  <c r="Q277" i="15" s="1"/>
  <c r="L277" i="15"/>
  <c r="N277" i="15" s="1"/>
  <c r="M276" i="15"/>
  <c r="P274" i="15"/>
  <c r="Q274" i="15" s="1"/>
  <c r="R274" i="15" s="1"/>
  <c r="S274" i="15" s="1"/>
  <c r="N274" i="15"/>
  <c r="M274" i="15"/>
  <c r="M273" i="15"/>
  <c r="P271" i="15"/>
  <c r="Q271" i="15" s="1"/>
  <c r="R271" i="15" s="1"/>
  <c r="S271" i="15" s="1"/>
  <c r="N271" i="15"/>
  <c r="M271" i="15"/>
  <c r="R270" i="15"/>
  <c r="S270" i="15" s="1"/>
  <c r="Q270" i="15"/>
  <c r="P270" i="15"/>
  <c r="N270" i="15"/>
  <c r="N269" i="15"/>
  <c r="M269" i="15"/>
  <c r="P269" i="15" s="1"/>
  <c r="Q269" i="15" s="1"/>
  <c r="Q268" i="15"/>
  <c r="R268" i="15" s="1"/>
  <c r="S268" i="15" s="1"/>
  <c r="P268" i="15"/>
  <c r="N268" i="15"/>
  <c r="M268" i="15"/>
  <c r="N267" i="15"/>
  <c r="M267" i="15"/>
  <c r="P267" i="15" s="1"/>
  <c r="Q267" i="15" s="1"/>
  <c r="Q266" i="15"/>
  <c r="R266" i="15" s="1"/>
  <c r="S266" i="15" s="1"/>
  <c r="P266" i="15"/>
  <c r="N266" i="15"/>
  <c r="M266" i="15"/>
  <c r="O265" i="15"/>
  <c r="N265" i="15"/>
  <c r="M265" i="15"/>
  <c r="P265" i="15" s="1"/>
  <c r="Q265" i="15" s="1"/>
  <c r="R265" i="15" s="1"/>
  <c r="S265" i="15" s="1"/>
  <c r="L265" i="15"/>
  <c r="N263" i="15"/>
  <c r="M263" i="15"/>
  <c r="P263" i="15" s="1"/>
  <c r="Q263" i="15" s="1"/>
  <c r="Q262" i="15"/>
  <c r="R262" i="15" s="1"/>
  <c r="S262" i="15" s="1"/>
  <c r="P262" i="15"/>
  <c r="N262" i="15"/>
  <c r="M262" i="15"/>
  <c r="N261" i="15"/>
  <c r="M261" i="15"/>
  <c r="P261" i="15" s="1"/>
  <c r="Q261" i="15" s="1"/>
  <c r="Q260" i="15"/>
  <c r="P260" i="15"/>
  <c r="N260" i="15"/>
  <c r="N264" i="15" s="1"/>
  <c r="M260" i="15"/>
  <c r="Q250" i="15"/>
  <c r="R245" i="15"/>
  <c r="O241" i="15"/>
  <c r="M241" i="15"/>
  <c r="L241" i="15"/>
  <c r="O240" i="15"/>
  <c r="M240" i="15"/>
  <c r="L240" i="15"/>
  <c r="O239" i="15"/>
  <c r="M239" i="15"/>
  <c r="L239" i="15"/>
  <c r="P238" i="15"/>
  <c r="O237" i="15"/>
  <c r="M237" i="15"/>
  <c r="P237" i="15" s="1"/>
  <c r="L237" i="15"/>
  <c r="P236" i="15"/>
  <c r="Q236" i="15" s="1"/>
  <c r="O236" i="15"/>
  <c r="N236" i="15"/>
  <c r="P235" i="15"/>
  <c r="Q235" i="15" s="1"/>
  <c r="M235" i="15"/>
  <c r="N235" i="15" s="1"/>
  <c r="L235" i="15"/>
  <c r="N234" i="15"/>
  <c r="M234" i="15"/>
  <c r="P234" i="15" s="1"/>
  <c r="Q234" i="15" s="1"/>
  <c r="Q232" i="15"/>
  <c r="R232" i="15" s="1"/>
  <c r="S232" i="15" s="1"/>
  <c r="P232" i="15"/>
  <c r="N232" i="15"/>
  <c r="M232" i="15"/>
  <c r="N231" i="15"/>
  <c r="M231" i="15"/>
  <c r="P231" i="15" s="1"/>
  <c r="Q231" i="15" s="1"/>
  <c r="Q229" i="15"/>
  <c r="R229" i="15" s="1"/>
  <c r="S229" i="15" s="1"/>
  <c r="P229" i="15"/>
  <c r="N229" i="15"/>
  <c r="M229" i="15"/>
  <c r="Q228" i="15"/>
  <c r="R228" i="15" s="1"/>
  <c r="S228" i="15" s="1"/>
  <c r="P228" i="15"/>
  <c r="N228" i="15"/>
  <c r="P227" i="15"/>
  <c r="Q227" i="15" s="1"/>
  <c r="M227" i="15"/>
  <c r="N227" i="15" s="1"/>
  <c r="M226" i="15"/>
  <c r="P225" i="15"/>
  <c r="Q225" i="15" s="1"/>
  <c r="R225" i="15" s="1"/>
  <c r="S225" i="15" s="1"/>
  <c r="N225" i="15"/>
  <c r="M225" i="15"/>
  <c r="M224" i="15"/>
  <c r="N222" i="15"/>
  <c r="P221" i="15"/>
  <c r="Q221" i="15" s="1"/>
  <c r="R221" i="15" s="1"/>
  <c r="S221" i="15" s="1"/>
  <c r="N221" i="15"/>
  <c r="M221" i="15"/>
  <c r="R220" i="15"/>
  <c r="S220" i="15" s="1"/>
  <c r="Q220" i="15"/>
  <c r="P220" i="15"/>
  <c r="N220" i="15"/>
  <c r="N219" i="15"/>
  <c r="M219" i="15"/>
  <c r="P219" i="15" s="1"/>
  <c r="Q219" i="15" s="1"/>
  <c r="Q218" i="15"/>
  <c r="P218" i="15"/>
  <c r="N218" i="15"/>
  <c r="Q208" i="15"/>
  <c r="R203" i="15"/>
  <c r="O199" i="15"/>
  <c r="M199" i="15"/>
  <c r="P199" i="15" s="1"/>
  <c r="Q199" i="15" s="1"/>
  <c r="L199" i="15"/>
  <c r="O198" i="15"/>
  <c r="M198" i="15"/>
  <c r="P198" i="15" s="1"/>
  <c r="L198" i="15"/>
  <c r="O197" i="15"/>
  <c r="M197" i="15"/>
  <c r="P197" i="15" s="1"/>
  <c r="Q197" i="15" s="1"/>
  <c r="L197" i="15"/>
  <c r="P196" i="15"/>
  <c r="O195" i="15"/>
  <c r="M195" i="15"/>
  <c r="L195" i="15"/>
  <c r="P194" i="15"/>
  <c r="O194" i="15"/>
  <c r="Q194" i="15" s="1"/>
  <c r="R194" i="15" s="1"/>
  <c r="S194" i="15" s="1"/>
  <c r="N194" i="15"/>
  <c r="M193" i="15"/>
  <c r="P193" i="15" s="1"/>
  <c r="Q193" i="15" s="1"/>
  <c r="L193" i="15"/>
  <c r="N193" i="15" s="1"/>
  <c r="M192" i="15"/>
  <c r="P190" i="15"/>
  <c r="Q190" i="15" s="1"/>
  <c r="R190" i="15" s="1"/>
  <c r="S190" i="15" s="1"/>
  <c r="N190" i="15"/>
  <c r="M190" i="15"/>
  <c r="M189" i="15"/>
  <c r="P187" i="15"/>
  <c r="Q187" i="15" s="1"/>
  <c r="R187" i="15" s="1"/>
  <c r="S187" i="15" s="1"/>
  <c r="N187" i="15"/>
  <c r="M187" i="15"/>
  <c r="Q186" i="15"/>
  <c r="R186" i="15" s="1"/>
  <c r="S186" i="15" s="1"/>
  <c r="P186" i="15"/>
  <c r="N186" i="15"/>
  <c r="N185" i="15"/>
  <c r="M185" i="15"/>
  <c r="P185" i="15" s="1"/>
  <c r="Q185" i="15" s="1"/>
  <c r="R185" i="15" s="1"/>
  <c r="S185" i="15" s="1"/>
  <c r="P184" i="15"/>
  <c r="Q184" i="15" s="1"/>
  <c r="R184" i="15" s="1"/>
  <c r="S184" i="15" s="1"/>
  <c r="N184" i="15"/>
  <c r="M184" i="15"/>
  <c r="M183" i="15"/>
  <c r="P183" i="15" s="1"/>
  <c r="Q183" i="15" s="1"/>
  <c r="P182" i="15"/>
  <c r="Q182" i="15" s="1"/>
  <c r="R182" i="15" s="1"/>
  <c r="S182" i="15" s="1"/>
  <c r="N182" i="15"/>
  <c r="M182" i="15"/>
  <c r="M181" i="15"/>
  <c r="P181" i="15" s="1"/>
  <c r="P179" i="15"/>
  <c r="Q179" i="15" s="1"/>
  <c r="R179" i="15" s="1"/>
  <c r="S179" i="15" s="1"/>
  <c r="M179" i="15"/>
  <c r="N179" i="15" s="1"/>
  <c r="P178" i="15"/>
  <c r="Q178" i="15" s="1"/>
  <c r="R178" i="15" s="1"/>
  <c r="S178" i="15" s="1"/>
  <c r="N178" i="15"/>
  <c r="P177" i="15"/>
  <c r="Q177" i="15" s="1"/>
  <c r="R177" i="15" s="1"/>
  <c r="S177" i="15" s="1"/>
  <c r="N177" i="15"/>
  <c r="M177" i="15"/>
  <c r="R176" i="15"/>
  <c r="S176" i="15" s="1"/>
  <c r="Q176" i="15"/>
  <c r="Q180" i="15" s="1"/>
  <c r="P176" i="15"/>
  <c r="N176" i="15"/>
  <c r="Q166" i="15"/>
  <c r="P157" i="15"/>
  <c r="Q157" i="15" s="1"/>
  <c r="R157" i="15" s="1"/>
  <c r="S157" i="15" s="1"/>
  <c r="O157" i="15"/>
  <c r="M157" i="15"/>
  <c r="N157" i="15" s="1"/>
  <c r="P156" i="15"/>
  <c r="O155" i="15"/>
  <c r="M155" i="15"/>
  <c r="L155" i="15"/>
  <c r="P154" i="15"/>
  <c r="O154" i="15"/>
  <c r="N154" i="15"/>
  <c r="Q153" i="15"/>
  <c r="M153" i="15"/>
  <c r="P153" i="15" s="1"/>
  <c r="L153" i="15"/>
  <c r="M152" i="15"/>
  <c r="M150" i="15"/>
  <c r="M149" i="15"/>
  <c r="M147" i="15"/>
  <c r="P146" i="15"/>
  <c r="Q146" i="15" s="1"/>
  <c r="R146" i="15" s="1"/>
  <c r="S146" i="15" s="1"/>
  <c r="N146" i="15"/>
  <c r="N145" i="15"/>
  <c r="M145" i="15"/>
  <c r="P145" i="15" s="1"/>
  <c r="Q145" i="15" s="1"/>
  <c r="P144" i="15"/>
  <c r="Q144" i="15" s="1"/>
  <c r="R144" i="15" s="1"/>
  <c r="S144" i="15" s="1"/>
  <c r="N144" i="15"/>
  <c r="M144" i="15"/>
  <c r="Q143" i="15"/>
  <c r="M143" i="15"/>
  <c r="P143" i="15" s="1"/>
  <c r="S142" i="15"/>
  <c r="Q142" i="15"/>
  <c r="R142" i="15" s="1"/>
  <c r="P142" i="15"/>
  <c r="N142" i="15"/>
  <c r="M142" i="15"/>
  <c r="O141" i="15"/>
  <c r="Q141" i="15" s="1"/>
  <c r="R141" i="15" s="1"/>
  <c r="S141" i="15" s="1"/>
  <c r="N141" i="15"/>
  <c r="M141" i="15"/>
  <c r="P141" i="15" s="1"/>
  <c r="L141" i="15"/>
  <c r="Q139" i="15"/>
  <c r="M139" i="15"/>
  <c r="P139" i="15" s="1"/>
  <c r="S138" i="15"/>
  <c r="Q138" i="15"/>
  <c r="R138" i="15" s="1"/>
  <c r="P138" i="15"/>
  <c r="N138" i="15"/>
  <c r="M137" i="15"/>
  <c r="N137" i="15" s="1"/>
  <c r="S136" i="15"/>
  <c r="R136" i="15"/>
  <c r="P136" i="15"/>
  <c r="Q136" i="15" s="1"/>
  <c r="N136" i="15"/>
  <c r="Q126" i="15"/>
  <c r="P117" i="15"/>
  <c r="Q117" i="15" s="1"/>
  <c r="O117" i="15"/>
  <c r="M117" i="15"/>
  <c r="N117" i="15" s="1"/>
  <c r="P116" i="15"/>
  <c r="O115" i="15"/>
  <c r="M115" i="15"/>
  <c r="P115" i="15" s="1"/>
  <c r="L115" i="15"/>
  <c r="N115" i="15" s="1"/>
  <c r="P114" i="15"/>
  <c r="O114" i="15"/>
  <c r="Q114" i="15" s="1"/>
  <c r="N114" i="15"/>
  <c r="M113" i="15"/>
  <c r="P113" i="15" s="1"/>
  <c r="Q113" i="15" s="1"/>
  <c r="L113" i="15"/>
  <c r="N113" i="15" s="1"/>
  <c r="Q112" i="15"/>
  <c r="M112" i="15"/>
  <c r="P112" i="15" s="1"/>
  <c r="P111" i="15"/>
  <c r="M110" i="15"/>
  <c r="N110" i="15" s="1"/>
  <c r="M109" i="15"/>
  <c r="P108" i="15"/>
  <c r="M107" i="15"/>
  <c r="P106" i="15"/>
  <c r="Q106" i="15" s="1"/>
  <c r="R106" i="15" s="1"/>
  <c r="S106" i="15" s="1"/>
  <c r="N106" i="15"/>
  <c r="M105" i="15"/>
  <c r="N104" i="15"/>
  <c r="M104" i="15"/>
  <c r="P104" i="15" s="1"/>
  <c r="Q104" i="15" s="1"/>
  <c r="R104" i="15" s="1"/>
  <c r="S104" i="15" s="1"/>
  <c r="P103" i="15"/>
  <c r="Q103" i="15" s="1"/>
  <c r="R103" i="15" s="1"/>
  <c r="S103" i="15" s="1"/>
  <c r="M103" i="15"/>
  <c r="N103" i="15" s="1"/>
  <c r="P102" i="15"/>
  <c r="Q102" i="15" s="1"/>
  <c r="R102" i="15" s="1"/>
  <c r="S102" i="15" s="1"/>
  <c r="N102" i="15"/>
  <c r="M102" i="15"/>
  <c r="O101" i="15"/>
  <c r="M101" i="15"/>
  <c r="L101" i="15"/>
  <c r="P100" i="15"/>
  <c r="N99" i="15"/>
  <c r="M99" i="15"/>
  <c r="P99" i="15" s="1"/>
  <c r="Q99" i="15" s="1"/>
  <c r="R99" i="15" s="1"/>
  <c r="S99" i="15" s="1"/>
  <c r="P98" i="15"/>
  <c r="Q98" i="15" s="1"/>
  <c r="R98" i="15" s="1"/>
  <c r="S98" i="15" s="1"/>
  <c r="N98" i="15"/>
  <c r="Q97" i="15"/>
  <c r="P97" i="15"/>
  <c r="M97" i="15"/>
  <c r="N97" i="15" s="1"/>
  <c r="P96" i="15"/>
  <c r="Q96" i="15" s="1"/>
  <c r="N96" i="15"/>
  <c r="N100" i="15" s="1"/>
  <c r="Q86" i="15"/>
  <c r="O77" i="15"/>
  <c r="M77" i="15"/>
  <c r="L77" i="15"/>
  <c r="O76" i="15"/>
  <c r="M76" i="15"/>
  <c r="L76" i="15"/>
  <c r="L59" i="15" s="1"/>
  <c r="N59" i="15" s="1"/>
  <c r="O75" i="15"/>
  <c r="M75" i="15"/>
  <c r="L75" i="15"/>
  <c r="P74" i="15"/>
  <c r="O73" i="15"/>
  <c r="M73" i="15"/>
  <c r="L73" i="15"/>
  <c r="P72" i="15"/>
  <c r="O72" i="15"/>
  <c r="Q72" i="15" s="1"/>
  <c r="R72" i="15" s="1"/>
  <c r="S72" i="15" s="1"/>
  <c r="N72" i="15"/>
  <c r="M71" i="15"/>
  <c r="P71" i="15" s="1"/>
  <c r="Q71" i="15" s="1"/>
  <c r="L71" i="15"/>
  <c r="N71" i="15" s="1"/>
  <c r="M70" i="15"/>
  <c r="P69" i="15"/>
  <c r="I69" i="15"/>
  <c r="R68" i="15"/>
  <c r="S68" i="15" s="1"/>
  <c r="Q68" i="15"/>
  <c r="P68" i="15"/>
  <c r="N68" i="15"/>
  <c r="P67" i="15"/>
  <c r="Q67" i="15" s="1"/>
  <c r="R67" i="15" s="1"/>
  <c r="S67" i="15" s="1"/>
  <c r="N67" i="15"/>
  <c r="P66" i="15"/>
  <c r="I66" i="15"/>
  <c r="R65" i="15"/>
  <c r="S65" i="15" s="1"/>
  <c r="Q65" i="15"/>
  <c r="P65" i="15"/>
  <c r="N65" i="15"/>
  <c r="P64" i="15"/>
  <c r="Q64" i="15" s="1"/>
  <c r="N64" i="15"/>
  <c r="P63" i="15"/>
  <c r="Q63" i="15" s="1"/>
  <c r="R63" i="15" s="1"/>
  <c r="S63" i="15" s="1"/>
  <c r="N63" i="15"/>
  <c r="Q62" i="15"/>
  <c r="R62" i="15" s="1"/>
  <c r="S62" i="15" s="1"/>
  <c r="P62" i="15"/>
  <c r="M62" i="15"/>
  <c r="N62" i="15" s="1"/>
  <c r="P61" i="15"/>
  <c r="Q61" i="15" s="1"/>
  <c r="N61" i="15"/>
  <c r="P60" i="15"/>
  <c r="Q60" i="15" s="1"/>
  <c r="R60" i="15" s="1"/>
  <c r="S60" i="15" s="1"/>
  <c r="N60" i="15"/>
  <c r="P59" i="15"/>
  <c r="P58" i="15"/>
  <c r="I58" i="15"/>
  <c r="R57" i="15"/>
  <c r="S57" i="15" s="1"/>
  <c r="Q57" i="15"/>
  <c r="P57" i="15"/>
  <c r="N57" i="15"/>
  <c r="P56" i="15"/>
  <c r="Q56" i="15" s="1"/>
  <c r="N56" i="15"/>
  <c r="P55" i="15"/>
  <c r="Q55" i="15" s="1"/>
  <c r="R55" i="15" s="1"/>
  <c r="S55" i="15" s="1"/>
  <c r="N55" i="15"/>
  <c r="Q54" i="15"/>
  <c r="P54" i="15"/>
  <c r="N54" i="15"/>
  <c r="Q44" i="15"/>
  <c r="O36" i="15"/>
  <c r="M36" i="15"/>
  <c r="P36" i="15" s="1"/>
  <c r="L36" i="15"/>
  <c r="O35" i="15"/>
  <c r="M35" i="15"/>
  <c r="P35" i="15" s="1"/>
  <c r="L35" i="15"/>
  <c r="O34" i="15"/>
  <c r="O18" i="15" s="1"/>
  <c r="Q18" i="15" s="1"/>
  <c r="M34" i="15"/>
  <c r="P34" i="15" s="1"/>
  <c r="L34" i="15"/>
  <c r="P33" i="15"/>
  <c r="P32" i="15"/>
  <c r="P31" i="15"/>
  <c r="O31" i="15"/>
  <c r="N31" i="15"/>
  <c r="M30" i="15"/>
  <c r="L30" i="15"/>
  <c r="Q29" i="15"/>
  <c r="P29" i="15"/>
  <c r="M29" i="15"/>
  <c r="N29" i="15" s="1"/>
  <c r="P28" i="15"/>
  <c r="P27" i="15"/>
  <c r="Q27" i="15" s="1"/>
  <c r="R27" i="15" s="1"/>
  <c r="S27" i="15" s="1"/>
  <c r="N27" i="15"/>
  <c r="Q26" i="15"/>
  <c r="R26" i="15" s="1"/>
  <c r="S26" i="15" s="1"/>
  <c r="P26" i="15"/>
  <c r="N26" i="15"/>
  <c r="P25" i="15"/>
  <c r="P24" i="15"/>
  <c r="Q24" i="15" s="1"/>
  <c r="R24" i="15" s="1"/>
  <c r="S24" i="15" s="1"/>
  <c r="N24" i="15"/>
  <c r="P23" i="15"/>
  <c r="Q23" i="15" s="1"/>
  <c r="R23" i="15" s="1"/>
  <c r="S23" i="15" s="1"/>
  <c r="N23" i="15"/>
  <c r="Q22" i="15"/>
  <c r="R22" i="15" s="1"/>
  <c r="S22" i="15" s="1"/>
  <c r="P22" i="15"/>
  <c r="N22" i="15"/>
  <c r="M21" i="15"/>
  <c r="P20" i="15"/>
  <c r="Q20" i="15" s="1"/>
  <c r="R20" i="15" s="1"/>
  <c r="S20" i="15" s="1"/>
  <c r="N20" i="15"/>
  <c r="Q19" i="15"/>
  <c r="R19" i="15" s="1"/>
  <c r="S19" i="15" s="1"/>
  <c r="P19" i="15"/>
  <c r="N19" i="15"/>
  <c r="P18" i="15"/>
  <c r="P17" i="15"/>
  <c r="P16" i="15"/>
  <c r="Q16" i="15" s="1"/>
  <c r="R16" i="15" s="1"/>
  <c r="S16" i="15" s="1"/>
  <c r="N16" i="15"/>
  <c r="M16" i="15"/>
  <c r="R15" i="15"/>
  <c r="S15" i="15" s="1"/>
  <c r="Q15" i="15"/>
  <c r="P15" i="15"/>
  <c r="N15" i="15"/>
  <c r="N14" i="15"/>
  <c r="N17" i="15" s="1"/>
  <c r="M14" i="15"/>
  <c r="P14" i="15" s="1"/>
  <c r="Q14" i="15" s="1"/>
  <c r="R14" i="15" s="1"/>
  <c r="S14" i="15" s="1"/>
  <c r="Q13" i="15"/>
  <c r="P13" i="15"/>
  <c r="N13" i="15"/>
  <c r="F11" i="15"/>
  <c r="F9" i="15" s="1"/>
  <c r="G9" i="15" s="1"/>
  <c r="E11" i="15"/>
  <c r="D11" i="15"/>
  <c r="C11" i="15"/>
  <c r="F10" i="15"/>
  <c r="G10" i="15" s="1"/>
  <c r="F8" i="15"/>
  <c r="G8" i="15" s="1"/>
  <c r="F6" i="15"/>
  <c r="G6" i="15" s="1"/>
  <c r="F4" i="15"/>
  <c r="G4" i="15" s="1"/>
  <c r="Q3" i="15"/>
  <c r="P195" i="16" l="1"/>
  <c r="Q195" i="16" s="1"/>
  <c r="R195" i="16" s="1"/>
  <c r="S195" i="16" s="1"/>
  <c r="O181" i="16"/>
  <c r="N35" i="15"/>
  <c r="O18" i="16"/>
  <c r="Q18" i="16" s="1"/>
  <c r="N237" i="16"/>
  <c r="R237" i="16" s="1"/>
  <c r="S237" i="16" s="1"/>
  <c r="R113" i="15"/>
  <c r="S113" i="15" s="1"/>
  <c r="P36" i="16"/>
  <c r="Q31" i="15"/>
  <c r="R31" i="15" s="1"/>
  <c r="S31" i="15" s="1"/>
  <c r="Q198" i="15"/>
  <c r="N237" i="15"/>
  <c r="N34" i="16"/>
  <c r="R34" i="16" s="1"/>
  <c r="S34" i="16" s="1"/>
  <c r="N35" i="16"/>
  <c r="R35" i="16" s="1"/>
  <c r="S35" i="16" s="1"/>
  <c r="O59" i="15"/>
  <c r="Q59" i="15" s="1"/>
  <c r="Q154" i="15"/>
  <c r="R154" i="15" s="1"/>
  <c r="S154" i="15" s="1"/>
  <c r="R235" i="15"/>
  <c r="S235" i="15" s="1"/>
  <c r="L223" i="15"/>
  <c r="M223" i="15" s="1"/>
  <c r="P223" i="15" s="1"/>
  <c r="R277" i="15"/>
  <c r="S277" i="15" s="1"/>
  <c r="N223" i="16"/>
  <c r="N277" i="16"/>
  <c r="Q278" i="16"/>
  <c r="R278" i="16" s="1"/>
  <c r="S278" i="16" s="1"/>
  <c r="R114" i="15"/>
  <c r="S114" i="15" s="1"/>
  <c r="R236" i="15"/>
  <c r="S236" i="15" s="1"/>
  <c r="N75" i="16"/>
  <c r="Q194" i="16"/>
  <c r="R194" i="16" s="1"/>
  <c r="S194" i="16" s="1"/>
  <c r="R277" i="16"/>
  <c r="S277" i="16" s="1"/>
  <c r="Q279" i="16"/>
  <c r="N34" i="15"/>
  <c r="N36" i="15"/>
  <c r="Q115" i="15"/>
  <c r="R115" i="15" s="1"/>
  <c r="S115" i="15" s="1"/>
  <c r="O181" i="15"/>
  <c r="O223" i="15"/>
  <c r="Q72" i="16"/>
  <c r="R72" i="16" s="1"/>
  <c r="S72" i="16" s="1"/>
  <c r="Q236" i="16"/>
  <c r="R236" i="16" s="1"/>
  <c r="S236" i="16" s="1"/>
  <c r="N223" i="15"/>
  <c r="R13" i="16"/>
  <c r="S13" i="16" s="1"/>
  <c r="P101" i="16"/>
  <c r="Q101" i="16" s="1"/>
  <c r="R101" i="16" s="1"/>
  <c r="S101" i="16" s="1"/>
  <c r="N101" i="16"/>
  <c r="N155" i="16"/>
  <c r="P155" i="16"/>
  <c r="Q155" i="16" s="1"/>
  <c r="N76" i="15"/>
  <c r="R16" i="16"/>
  <c r="S16" i="16" s="1"/>
  <c r="O59" i="16"/>
  <c r="Q59" i="16" s="1"/>
  <c r="R59" i="16" s="1"/>
  <c r="S59" i="16" s="1"/>
  <c r="P198" i="16"/>
  <c r="Q198" i="16" s="1"/>
  <c r="N198" i="16"/>
  <c r="P240" i="16"/>
  <c r="Q240" i="16" s="1"/>
  <c r="N240" i="16"/>
  <c r="Q262" i="16"/>
  <c r="R262" i="16" s="1"/>
  <c r="S262" i="16" s="1"/>
  <c r="L18" i="15"/>
  <c r="N18" i="15" s="1"/>
  <c r="R18" i="15" s="1"/>
  <c r="S18" i="15" s="1"/>
  <c r="Q34" i="15"/>
  <c r="R34" i="15" s="1"/>
  <c r="S34" i="15" s="1"/>
  <c r="Q35" i="15"/>
  <c r="R59" i="15"/>
  <c r="S59" i="15" s="1"/>
  <c r="Q237" i="15"/>
  <c r="R237" i="15" s="1"/>
  <c r="S237" i="15" s="1"/>
  <c r="D7" i="16"/>
  <c r="C8" i="16"/>
  <c r="D8" i="16" s="1"/>
  <c r="F8" i="16" s="1"/>
  <c r="O56" i="16" s="1"/>
  <c r="Q56" i="16" s="1"/>
  <c r="C12" i="16"/>
  <c r="F12" i="16" s="1"/>
  <c r="O220" i="16" s="1"/>
  <c r="Q220" i="16" s="1"/>
  <c r="R220" i="16" s="1"/>
  <c r="S220" i="16" s="1"/>
  <c r="N14" i="16"/>
  <c r="N17" i="16" s="1"/>
  <c r="L18" i="16"/>
  <c r="N18" i="16" s="1"/>
  <c r="R18" i="16" s="1"/>
  <c r="S18" i="16" s="1"/>
  <c r="R24" i="16"/>
  <c r="S24" i="16" s="1"/>
  <c r="N30" i="16"/>
  <c r="N58" i="16"/>
  <c r="N73" i="16"/>
  <c r="R73" i="16" s="1"/>
  <c r="S73" i="16" s="1"/>
  <c r="P75" i="16"/>
  <c r="Q75" i="16" s="1"/>
  <c r="R110" i="16"/>
  <c r="S110" i="16" s="1"/>
  <c r="P112" i="16"/>
  <c r="Q112" i="16" s="1"/>
  <c r="R112" i="16" s="1"/>
  <c r="S112" i="16" s="1"/>
  <c r="Q180" i="16"/>
  <c r="R218" i="16"/>
  <c r="S218" i="16" s="1"/>
  <c r="R281" i="16"/>
  <c r="S281" i="16" s="1"/>
  <c r="N181" i="16"/>
  <c r="N188" i="16" s="1"/>
  <c r="P181" i="16"/>
  <c r="Q181" i="16" s="1"/>
  <c r="N183" i="16"/>
  <c r="P183" i="16"/>
  <c r="Q183" i="16" s="1"/>
  <c r="N266" i="16"/>
  <c r="P266" i="16"/>
  <c r="Q266" i="16" s="1"/>
  <c r="N75" i="15"/>
  <c r="N77" i="15"/>
  <c r="R21" i="16"/>
  <c r="S21" i="16" s="1"/>
  <c r="N76" i="16"/>
  <c r="N108" i="16"/>
  <c r="P115" i="16"/>
  <c r="Q115" i="16" s="1"/>
  <c r="N115" i="16"/>
  <c r="N149" i="16"/>
  <c r="P149" i="16"/>
  <c r="Q149" i="16" s="1"/>
  <c r="R149" i="16" s="1"/>
  <c r="S149" i="16" s="1"/>
  <c r="N152" i="16"/>
  <c r="P152" i="16"/>
  <c r="Q152" i="16" s="1"/>
  <c r="R152" i="16" s="1"/>
  <c r="S152" i="16" s="1"/>
  <c r="Q36" i="15"/>
  <c r="R36" i="15" s="1"/>
  <c r="S36" i="15" s="1"/>
  <c r="P75" i="15"/>
  <c r="Q75" i="15" s="1"/>
  <c r="R75" i="15" s="1"/>
  <c r="S75" i="15" s="1"/>
  <c r="P76" i="15"/>
  <c r="Q76" i="15" s="1"/>
  <c r="R76" i="15" s="1"/>
  <c r="S76" i="15" s="1"/>
  <c r="P77" i="15"/>
  <c r="Q77" i="15" s="1"/>
  <c r="N198" i="15"/>
  <c r="N199" i="15"/>
  <c r="C9" i="16"/>
  <c r="D9" i="16" s="1"/>
  <c r="F9" i="16" s="1"/>
  <c r="O98" i="16" s="1"/>
  <c r="Q98" i="16" s="1"/>
  <c r="R98" i="16" s="1"/>
  <c r="S98" i="16" s="1"/>
  <c r="R29" i="16"/>
  <c r="S29" i="16" s="1"/>
  <c r="R57" i="16"/>
  <c r="S57" i="16" s="1"/>
  <c r="P76" i="16"/>
  <c r="Q76" i="16" s="1"/>
  <c r="P77" i="16"/>
  <c r="Q77" i="16" s="1"/>
  <c r="N77" i="16"/>
  <c r="R102" i="16"/>
  <c r="S102" i="16" s="1"/>
  <c r="N107" i="16"/>
  <c r="P107" i="16"/>
  <c r="Q107" i="16" s="1"/>
  <c r="R107" i="16" s="1"/>
  <c r="S107" i="16" s="1"/>
  <c r="N140" i="16"/>
  <c r="Q140" i="16"/>
  <c r="N157" i="16"/>
  <c r="P157" i="16"/>
  <c r="Q157" i="16" s="1"/>
  <c r="O223" i="16"/>
  <c r="Q223" i="16" s="1"/>
  <c r="N268" i="16"/>
  <c r="P268" i="16"/>
  <c r="Q268" i="16" s="1"/>
  <c r="Q36" i="16"/>
  <c r="R36" i="16" s="1"/>
  <c r="S36" i="16" s="1"/>
  <c r="P117" i="16"/>
  <c r="Q117" i="16" s="1"/>
  <c r="N117" i="16"/>
  <c r="R139" i="16"/>
  <c r="S139" i="16" s="1"/>
  <c r="R143" i="16"/>
  <c r="S143" i="16" s="1"/>
  <c r="R176" i="16"/>
  <c r="S176" i="16" s="1"/>
  <c r="R187" i="16"/>
  <c r="S187" i="16" s="1"/>
  <c r="N193" i="16"/>
  <c r="P193" i="16"/>
  <c r="Q193" i="16" s="1"/>
  <c r="R193" i="16" s="1"/>
  <c r="S193" i="16" s="1"/>
  <c r="N219" i="16"/>
  <c r="N222" i="16" s="1"/>
  <c r="P219" i="16"/>
  <c r="Q219" i="16" s="1"/>
  <c r="R219" i="16" s="1"/>
  <c r="S219" i="16" s="1"/>
  <c r="N221" i="16"/>
  <c r="P221" i="16"/>
  <c r="Q221" i="16" s="1"/>
  <c r="R221" i="16" s="1"/>
  <c r="S221" i="16" s="1"/>
  <c r="N263" i="16"/>
  <c r="N264" i="16" s="1"/>
  <c r="P263" i="16"/>
  <c r="Q263" i="16" s="1"/>
  <c r="R263" i="16" s="1"/>
  <c r="S263" i="16" s="1"/>
  <c r="P141" i="16"/>
  <c r="Q141" i="16" s="1"/>
  <c r="R141" i="16" s="1"/>
  <c r="S141" i="16" s="1"/>
  <c r="N141" i="16"/>
  <c r="R145" i="16"/>
  <c r="S145" i="16" s="1"/>
  <c r="N182" i="16"/>
  <c r="P182" i="16"/>
  <c r="Q182" i="16" s="1"/>
  <c r="R182" i="16" s="1"/>
  <c r="S182" i="16" s="1"/>
  <c r="N225" i="16"/>
  <c r="P225" i="16"/>
  <c r="Q225" i="16" s="1"/>
  <c r="R225" i="16" s="1"/>
  <c r="S225" i="16" s="1"/>
  <c r="N227" i="16"/>
  <c r="P227" i="16"/>
  <c r="Q227" i="16" s="1"/>
  <c r="R227" i="16" s="1"/>
  <c r="S227" i="16" s="1"/>
  <c r="R234" i="16"/>
  <c r="S234" i="16" s="1"/>
  <c r="N235" i="16"/>
  <c r="P235" i="16"/>
  <c r="Q235" i="16" s="1"/>
  <c r="R260" i="16"/>
  <c r="S260" i="16" s="1"/>
  <c r="R270" i="16"/>
  <c r="S270" i="16" s="1"/>
  <c r="R279" i="16"/>
  <c r="S279" i="16" s="1"/>
  <c r="R190" i="16"/>
  <c r="S190" i="16" s="1"/>
  <c r="P197" i="16"/>
  <c r="Q197" i="16" s="1"/>
  <c r="N197" i="16"/>
  <c r="P241" i="16"/>
  <c r="Q241" i="16" s="1"/>
  <c r="N241" i="16"/>
  <c r="R273" i="16"/>
  <c r="S273" i="16" s="1"/>
  <c r="R192" i="16"/>
  <c r="S192" i="16" s="1"/>
  <c r="P199" i="16"/>
  <c r="Q199" i="16" s="1"/>
  <c r="N199" i="16"/>
  <c r="P239" i="16"/>
  <c r="Q239" i="16" s="1"/>
  <c r="N239" i="16"/>
  <c r="N149" i="15"/>
  <c r="P149" i="15"/>
  <c r="Q149" i="15" s="1"/>
  <c r="R149" i="15" s="1"/>
  <c r="S149" i="15" s="1"/>
  <c r="N155" i="15"/>
  <c r="P155" i="15"/>
  <c r="Q155" i="15" s="1"/>
  <c r="Q58" i="15"/>
  <c r="R54" i="15"/>
  <c r="S54" i="15" s="1"/>
  <c r="R56" i="15"/>
  <c r="S56" i="15" s="1"/>
  <c r="R96" i="15"/>
  <c r="S96" i="15" s="1"/>
  <c r="Q100" i="15"/>
  <c r="R97" i="15"/>
  <c r="S97" i="15" s="1"/>
  <c r="P107" i="15"/>
  <c r="Q107" i="15" s="1"/>
  <c r="N107" i="15"/>
  <c r="R117" i="15"/>
  <c r="S117" i="15" s="1"/>
  <c r="P150" i="15"/>
  <c r="Q150" i="15" s="1"/>
  <c r="R150" i="15" s="1"/>
  <c r="S150" i="15" s="1"/>
  <c r="N150" i="15"/>
  <c r="P30" i="15"/>
  <c r="Q30" i="15" s="1"/>
  <c r="N30" i="15"/>
  <c r="P70" i="15"/>
  <c r="Q70" i="15" s="1"/>
  <c r="N70" i="15"/>
  <c r="P101" i="15"/>
  <c r="Q101" i="15" s="1"/>
  <c r="R101" i="15" s="1"/>
  <c r="S101" i="15" s="1"/>
  <c r="N101" i="15"/>
  <c r="R29" i="15"/>
  <c r="S29" i="15" s="1"/>
  <c r="N58" i="15"/>
  <c r="N105" i="15"/>
  <c r="N108" i="15" s="1"/>
  <c r="P105" i="15"/>
  <c r="Q105" i="15" s="1"/>
  <c r="R145" i="15"/>
  <c r="S145" i="15" s="1"/>
  <c r="P147" i="15"/>
  <c r="Q147" i="15" s="1"/>
  <c r="N147" i="15"/>
  <c r="P21" i="15"/>
  <c r="Q21" i="15" s="1"/>
  <c r="N21" i="15"/>
  <c r="N25" i="15" s="1"/>
  <c r="P109" i="15"/>
  <c r="Q109" i="15" s="1"/>
  <c r="N109" i="15"/>
  <c r="Q17" i="15"/>
  <c r="R13" i="15"/>
  <c r="S13" i="15" s="1"/>
  <c r="R61" i="15"/>
  <c r="S61" i="15" s="1"/>
  <c r="R64" i="15"/>
  <c r="S64" i="15" s="1"/>
  <c r="R71" i="15"/>
  <c r="S71" i="15" s="1"/>
  <c r="P73" i="15"/>
  <c r="Q73" i="15" s="1"/>
  <c r="N73" i="15"/>
  <c r="N152" i="15"/>
  <c r="P152" i="15"/>
  <c r="Q152" i="15" s="1"/>
  <c r="P192" i="15"/>
  <c r="Q192" i="15" s="1"/>
  <c r="N192" i="15"/>
  <c r="P224" i="15"/>
  <c r="Q224" i="15" s="1"/>
  <c r="R224" i="15" s="1"/>
  <c r="S224" i="15" s="1"/>
  <c r="N224" i="15"/>
  <c r="N140" i="15"/>
  <c r="N180" i="15"/>
  <c r="N272" i="15"/>
  <c r="F5" i="15"/>
  <c r="G5" i="15" s="1"/>
  <c r="F7" i="15"/>
  <c r="G7" i="15" s="1"/>
  <c r="P110" i="15"/>
  <c r="Q110" i="15" s="1"/>
  <c r="R110" i="15" s="1"/>
  <c r="S110" i="15" s="1"/>
  <c r="N112" i="15"/>
  <c r="R112" i="15" s="1"/>
  <c r="S112" i="15" s="1"/>
  <c r="P137" i="15"/>
  <c r="Q137" i="15" s="1"/>
  <c r="R137" i="15" s="1"/>
  <c r="S137" i="15" s="1"/>
  <c r="N139" i="15"/>
  <c r="R139" i="15" s="1"/>
  <c r="S139" i="15" s="1"/>
  <c r="N143" i="15"/>
  <c r="R143" i="15" s="1"/>
  <c r="S143" i="15" s="1"/>
  <c r="N153" i="15"/>
  <c r="R153" i="15" s="1"/>
  <c r="S153" i="15" s="1"/>
  <c r="N183" i="15"/>
  <c r="R183" i="15" s="1"/>
  <c r="S183" i="15" s="1"/>
  <c r="P189" i="15"/>
  <c r="Q189" i="15" s="1"/>
  <c r="N189" i="15"/>
  <c r="R219" i="15"/>
  <c r="S219" i="15" s="1"/>
  <c r="R227" i="15"/>
  <c r="S227" i="15" s="1"/>
  <c r="R193" i="15"/>
  <c r="S193" i="15" s="1"/>
  <c r="N195" i="15"/>
  <c r="P195" i="15"/>
  <c r="Q195" i="15" s="1"/>
  <c r="N197" i="15"/>
  <c r="R197" i="15" s="1"/>
  <c r="S197" i="15" s="1"/>
  <c r="L181" i="15"/>
  <c r="N181" i="15" s="1"/>
  <c r="Q181" i="15"/>
  <c r="R198" i="15"/>
  <c r="S198" i="15" s="1"/>
  <c r="R199" i="15"/>
  <c r="S199" i="15" s="1"/>
  <c r="Q222" i="15"/>
  <c r="R218" i="15"/>
  <c r="S218" i="15" s="1"/>
  <c r="P226" i="15"/>
  <c r="Q226" i="15" s="1"/>
  <c r="N226" i="15"/>
  <c r="P273" i="15"/>
  <c r="Q273" i="15" s="1"/>
  <c r="N273" i="15"/>
  <c r="R231" i="15"/>
  <c r="S231" i="15" s="1"/>
  <c r="R234" i="15"/>
  <c r="S234" i="15" s="1"/>
  <c r="Q264" i="15"/>
  <c r="R260" i="15"/>
  <c r="S260" i="15" s="1"/>
  <c r="R263" i="15"/>
  <c r="S263" i="15" s="1"/>
  <c r="R269" i="15"/>
  <c r="S269" i="15" s="1"/>
  <c r="N279" i="15"/>
  <c r="P279" i="15"/>
  <c r="Q279" i="15" s="1"/>
  <c r="N281" i="15"/>
  <c r="P281" i="15"/>
  <c r="Q281" i="15" s="1"/>
  <c r="N239" i="15"/>
  <c r="P239" i="15"/>
  <c r="Q239" i="15" s="1"/>
  <c r="N240" i="15"/>
  <c r="P240" i="15"/>
  <c r="Q240" i="15" s="1"/>
  <c r="N241" i="15"/>
  <c r="P241" i="15"/>
  <c r="Q241" i="15" s="1"/>
  <c r="R261" i="15"/>
  <c r="S261" i="15" s="1"/>
  <c r="R267" i="15"/>
  <c r="S267" i="15" s="1"/>
  <c r="P276" i="15"/>
  <c r="Q276" i="15" s="1"/>
  <c r="R276" i="15" s="1"/>
  <c r="S276" i="15" s="1"/>
  <c r="N276" i="15"/>
  <c r="R30" i="15" l="1"/>
  <c r="S30" i="15" s="1"/>
  <c r="R199" i="16"/>
  <c r="S199" i="16" s="1"/>
  <c r="R241" i="16"/>
  <c r="S241" i="16" s="1"/>
  <c r="R76" i="16"/>
  <c r="S76" i="16" s="1"/>
  <c r="R75" i="16"/>
  <c r="S75" i="16" s="1"/>
  <c r="R35" i="15"/>
  <c r="S35" i="15" s="1"/>
  <c r="Q223" i="15"/>
  <c r="R223" i="15" s="1"/>
  <c r="S223" i="15" s="1"/>
  <c r="N230" i="15"/>
  <c r="N233" i="15" s="1"/>
  <c r="N243" i="15" s="1"/>
  <c r="R239" i="16"/>
  <c r="S239" i="16" s="1"/>
  <c r="R198" i="16"/>
  <c r="S198" i="16" s="1"/>
  <c r="R223" i="16"/>
  <c r="S223" i="16" s="1"/>
  <c r="R197" i="16"/>
  <c r="S197" i="16" s="1"/>
  <c r="R235" i="16"/>
  <c r="S235" i="16" s="1"/>
  <c r="R77" i="16"/>
  <c r="S77" i="16" s="1"/>
  <c r="R77" i="15"/>
  <c r="S77" i="15" s="1"/>
  <c r="N191" i="16"/>
  <c r="N25" i="16"/>
  <c r="N272" i="16"/>
  <c r="Q222" i="16"/>
  <c r="R117" i="16"/>
  <c r="S117" i="16" s="1"/>
  <c r="Q148" i="16"/>
  <c r="R140" i="16"/>
  <c r="S140" i="16" s="1"/>
  <c r="R30" i="16"/>
  <c r="S30" i="16" s="1"/>
  <c r="R181" i="15"/>
  <c r="S181" i="15" s="1"/>
  <c r="N148" i="16"/>
  <c r="R115" i="16"/>
  <c r="S115" i="16" s="1"/>
  <c r="R183" i="16"/>
  <c r="S183" i="16" s="1"/>
  <c r="R14" i="16"/>
  <c r="S14" i="16" s="1"/>
  <c r="Q100" i="16"/>
  <c r="R157" i="16"/>
  <c r="S157" i="16" s="1"/>
  <c r="Q58" i="16"/>
  <c r="R56" i="16"/>
  <c r="S56" i="16" s="1"/>
  <c r="N111" i="16"/>
  <c r="N119" i="16" s="1"/>
  <c r="C14" i="16"/>
  <c r="R155" i="15"/>
  <c r="S155" i="15" s="1"/>
  <c r="Q264" i="16"/>
  <c r="N230" i="16"/>
  <c r="R268" i="16"/>
  <c r="S268" i="16" s="1"/>
  <c r="R266" i="16"/>
  <c r="S266" i="16" s="1"/>
  <c r="R181" i="16"/>
  <c r="S181" i="16" s="1"/>
  <c r="R180" i="16"/>
  <c r="S180" i="16" s="1"/>
  <c r="Q188" i="16"/>
  <c r="N66" i="16"/>
  <c r="D14" i="16"/>
  <c r="F7" i="16"/>
  <c r="O15" i="16" s="1"/>
  <c r="Q15" i="16" s="1"/>
  <c r="R240" i="16"/>
  <c r="S240" i="16" s="1"/>
  <c r="R155" i="16"/>
  <c r="S155" i="16" s="1"/>
  <c r="N111" i="15"/>
  <c r="N28" i="15"/>
  <c r="N38" i="15" s="1"/>
  <c r="R192" i="15"/>
  <c r="S192" i="15" s="1"/>
  <c r="N66" i="15"/>
  <c r="R241" i="15"/>
  <c r="S241" i="15" s="1"/>
  <c r="R239" i="15"/>
  <c r="S239" i="15" s="1"/>
  <c r="R279" i="15"/>
  <c r="S279" i="15" s="1"/>
  <c r="R226" i="15"/>
  <c r="S226" i="15" s="1"/>
  <c r="R189" i="15"/>
  <c r="S189" i="15" s="1"/>
  <c r="N188" i="15"/>
  <c r="R152" i="15"/>
  <c r="S152" i="15" s="1"/>
  <c r="R73" i="15"/>
  <c r="S73" i="15" s="1"/>
  <c r="R109" i="15"/>
  <c r="S109" i="15" s="1"/>
  <c r="R21" i="15"/>
  <c r="S21" i="15" s="1"/>
  <c r="Q140" i="15"/>
  <c r="R107" i="15"/>
  <c r="S107" i="15" s="1"/>
  <c r="Q272" i="15"/>
  <c r="R264" i="15"/>
  <c r="S264" i="15" s="1"/>
  <c r="N148" i="15"/>
  <c r="Q25" i="15"/>
  <c r="R17" i="15"/>
  <c r="S17" i="15" s="1"/>
  <c r="R70" i="15"/>
  <c r="S70" i="15" s="1"/>
  <c r="R240" i="15"/>
  <c r="S240" i="15" s="1"/>
  <c r="R281" i="15"/>
  <c r="S281" i="15" s="1"/>
  <c r="R273" i="15"/>
  <c r="S273" i="15" s="1"/>
  <c r="R222" i="15"/>
  <c r="S222" i="15" s="1"/>
  <c r="Q230" i="15"/>
  <c r="R195" i="15"/>
  <c r="S195" i="15" s="1"/>
  <c r="N275" i="15"/>
  <c r="N119" i="15"/>
  <c r="Q188" i="15"/>
  <c r="R147" i="15"/>
  <c r="S147" i="15" s="1"/>
  <c r="R105" i="15"/>
  <c r="S105" i="15" s="1"/>
  <c r="Q108" i="15"/>
  <c r="R100" i="15"/>
  <c r="S100" i="15" s="1"/>
  <c r="R58" i="15"/>
  <c r="S58" i="15" s="1"/>
  <c r="Q66" i="15"/>
  <c r="R180" i="15"/>
  <c r="S180" i="15" s="1"/>
  <c r="N120" i="16" l="1"/>
  <c r="N122" i="16" s="1"/>
  <c r="R15" i="16"/>
  <c r="S15" i="16" s="1"/>
  <c r="Q17" i="16"/>
  <c r="R100" i="16"/>
  <c r="S100" i="16" s="1"/>
  <c r="Q108" i="16"/>
  <c r="Q151" i="16"/>
  <c r="R148" i="16"/>
  <c r="S148" i="16" s="1"/>
  <c r="H10" i="16" s="1"/>
  <c r="N28" i="16"/>
  <c r="N69" i="16"/>
  <c r="R58" i="16"/>
  <c r="S58" i="16" s="1"/>
  <c r="Q66" i="16"/>
  <c r="N275" i="16"/>
  <c r="R188" i="16"/>
  <c r="S188" i="16" s="1"/>
  <c r="H11" i="16" s="1"/>
  <c r="Q191" i="16"/>
  <c r="N233" i="16"/>
  <c r="N151" i="16"/>
  <c r="Q272" i="16"/>
  <c r="R264" i="16"/>
  <c r="S264" i="16" s="1"/>
  <c r="R222" i="16"/>
  <c r="S222" i="16" s="1"/>
  <c r="Q230" i="16"/>
  <c r="N201" i="16"/>
  <c r="N244" i="15"/>
  <c r="N246" i="15"/>
  <c r="N191" i="15"/>
  <c r="N69" i="15"/>
  <c r="N40" i="15"/>
  <c r="N39" i="15"/>
  <c r="N41" i="15" s="1"/>
  <c r="R188" i="15"/>
  <c r="S188" i="15" s="1"/>
  <c r="Q191" i="15"/>
  <c r="N151" i="15"/>
  <c r="Q111" i="15"/>
  <c r="R108" i="15"/>
  <c r="S108" i="15" s="1"/>
  <c r="N120" i="15"/>
  <c r="N122" i="15"/>
  <c r="Q28" i="15"/>
  <c r="R25" i="15"/>
  <c r="S25" i="15" s="1"/>
  <c r="Q148" i="15"/>
  <c r="R140" i="15"/>
  <c r="S140" i="15" s="1"/>
  <c r="R66" i="15"/>
  <c r="S66" i="15" s="1"/>
  <c r="Q69" i="15"/>
  <c r="R230" i="15"/>
  <c r="S230" i="15" s="1"/>
  <c r="Q233" i="15"/>
  <c r="R272" i="15"/>
  <c r="S272" i="15" s="1"/>
  <c r="Q275" i="15"/>
  <c r="N283" i="15"/>
  <c r="R272" i="16" l="1"/>
  <c r="S272" i="16" s="1"/>
  <c r="H13" i="16" s="1"/>
  <c r="Q275" i="16"/>
  <c r="N243" i="16"/>
  <c r="N283" i="16"/>
  <c r="N79" i="16"/>
  <c r="R151" i="16"/>
  <c r="S151" i="16" s="1"/>
  <c r="Q159" i="16"/>
  <c r="N159" i="16"/>
  <c r="R191" i="16"/>
  <c r="S191" i="16" s="1"/>
  <c r="Q201" i="16"/>
  <c r="R66" i="16"/>
  <c r="S66" i="16" s="1"/>
  <c r="H8" i="16" s="1"/>
  <c r="Q69" i="16"/>
  <c r="Q111" i="16"/>
  <c r="R108" i="16"/>
  <c r="S108" i="16" s="1"/>
  <c r="H9" i="16" s="1"/>
  <c r="N202" i="16"/>
  <c r="N204" i="16"/>
  <c r="N38" i="16"/>
  <c r="R230" i="16"/>
  <c r="S230" i="16" s="1"/>
  <c r="H12" i="16" s="1"/>
  <c r="Q233" i="16"/>
  <c r="Q25" i="16"/>
  <c r="R17" i="16"/>
  <c r="S17" i="16" s="1"/>
  <c r="N159" i="15"/>
  <c r="R233" i="15"/>
  <c r="S233" i="15" s="1"/>
  <c r="Q243" i="15"/>
  <c r="R28" i="15"/>
  <c r="S28" i="15" s="1"/>
  <c r="Q38" i="15"/>
  <c r="N79" i="15"/>
  <c r="N284" i="15"/>
  <c r="N286" i="15" s="1"/>
  <c r="R111" i="15"/>
  <c r="S111" i="15" s="1"/>
  <c r="Q119" i="15"/>
  <c r="R191" i="15"/>
  <c r="Q201" i="15"/>
  <c r="R275" i="15"/>
  <c r="S275" i="15" s="1"/>
  <c r="Q283" i="15"/>
  <c r="R69" i="15"/>
  <c r="S69" i="15" s="1"/>
  <c r="Q79" i="15"/>
  <c r="Q151" i="15"/>
  <c r="R148" i="15"/>
  <c r="S148" i="15" s="1"/>
  <c r="S191" i="15"/>
  <c r="N201" i="15"/>
  <c r="R111" i="16" l="1"/>
  <c r="S111" i="16" s="1"/>
  <c r="Q119" i="16"/>
  <c r="R69" i="16"/>
  <c r="S69" i="16" s="1"/>
  <c r="Q79" i="16"/>
  <c r="N160" i="16"/>
  <c r="N162" i="16" s="1"/>
  <c r="N81" i="16"/>
  <c r="N80" i="16"/>
  <c r="N82" i="16"/>
  <c r="N244" i="16"/>
  <c r="N246" i="16"/>
  <c r="Q28" i="16"/>
  <c r="R25" i="16"/>
  <c r="S25" i="16" s="1"/>
  <c r="H7" i="16" s="1"/>
  <c r="N40" i="16"/>
  <c r="N39" i="16"/>
  <c r="R233" i="16"/>
  <c r="S233" i="16" s="1"/>
  <c r="Q243" i="16"/>
  <c r="R201" i="16"/>
  <c r="S201" i="16" s="1"/>
  <c r="Q202" i="16"/>
  <c r="R202" i="16" s="1"/>
  <c r="S202" i="16" s="1"/>
  <c r="R159" i="16"/>
  <c r="S159" i="16" s="1"/>
  <c r="Q160" i="16"/>
  <c r="Q162" i="16" s="1"/>
  <c r="N284" i="16"/>
  <c r="N286" i="16" s="1"/>
  <c r="R275" i="16"/>
  <c r="S275" i="16" s="1"/>
  <c r="Q283" i="16"/>
  <c r="R79" i="15"/>
  <c r="S79" i="15" s="1"/>
  <c r="Q81" i="15"/>
  <c r="Q80" i="15"/>
  <c r="Q82" i="15" s="1"/>
  <c r="Q120" i="15"/>
  <c r="R120" i="15" s="1"/>
  <c r="S120" i="15" s="1"/>
  <c r="R119" i="15"/>
  <c r="S119" i="15" s="1"/>
  <c r="R243" i="15"/>
  <c r="S243" i="15" s="1"/>
  <c r="Q244" i="15"/>
  <c r="R244" i="15" s="1"/>
  <c r="S244" i="15" s="1"/>
  <c r="R201" i="15"/>
  <c r="S201" i="15" s="1"/>
  <c r="Q202" i="15"/>
  <c r="Q40" i="15"/>
  <c r="R40" i="15" s="1"/>
  <c r="Q39" i="15"/>
  <c r="R39" i="15" s="1"/>
  <c r="S39" i="15" s="1"/>
  <c r="R38" i="15"/>
  <c r="S38" i="15" s="1"/>
  <c r="N160" i="15"/>
  <c r="N162" i="15" s="1"/>
  <c r="R283" i="15"/>
  <c r="S283" i="15" s="1"/>
  <c r="Q284" i="15"/>
  <c r="R284" i="15" s="1"/>
  <c r="S284" i="15" s="1"/>
  <c r="N202" i="15"/>
  <c r="N204" i="15" s="1"/>
  <c r="R151" i="15"/>
  <c r="S151" i="15" s="1"/>
  <c r="Q159" i="15"/>
  <c r="N81" i="15"/>
  <c r="N80" i="15"/>
  <c r="N82" i="15" s="1"/>
  <c r="Q246" i="15" l="1"/>
  <c r="R246" i="15" s="1"/>
  <c r="S246" i="15" s="1"/>
  <c r="R202" i="15"/>
  <c r="R243" i="16"/>
  <c r="S243" i="16" s="1"/>
  <c r="Q244" i="16"/>
  <c r="R244" i="16" s="1"/>
  <c r="S244" i="16" s="1"/>
  <c r="Q284" i="16"/>
  <c r="R284" i="16" s="1"/>
  <c r="S284" i="16" s="1"/>
  <c r="R283" i="16"/>
  <c r="S283" i="16" s="1"/>
  <c r="R119" i="16"/>
  <c r="S119" i="16" s="1"/>
  <c r="Q120" i="16"/>
  <c r="R120" i="16" s="1"/>
  <c r="S120" i="16" s="1"/>
  <c r="Q204" i="15"/>
  <c r="R204" i="15" s="1"/>
  <c r="R162" i="16"/>
  <c r="S162" i="16" s="1"/>
  <c r="G10" i="16" s="1"/>
  <c r="R28" i="16"/>
  <c r="S28" i="16" s="1"/>
  <c r="Q38" i="16"/>
  <c r="Q122" i="15"/>
  <c r="R122" i="15" s="1"/>
  <c r="S122" i="15" s="1"/>
  <c r="R160" i="16"/>
  <c r="S160" i="16" s="1"/>
  <c r="Q204" i="16"/>
  <c r="R204" i="16" s="1"/>
  <c r="S204" i="16" s="1"/>
  <c r="G11" i="16" s="1"/>
  <c r="N41" i="16"/>
  <c r="R79" i="16"/>
  <c r="S79" i="16" s="1"/>
  <c r="Q80" i="16"/>
  <c r="R80" i="16" s="1"/>
  <c r="S80" i="16" s="1"/>
  <c r="Q81" i="16"/>
  <c r="R81" i="16" s="1"/>
  <c r="R82" i="15"/>
  <c r="S82" i="15" s="1"/>
  <c r="S202" i="15"/>
  <c r="Q286" i="15"/>
  <c r="R286" i="15" s="1"/>
  <c r="S286" i="15" s="1"/>
  <c r="R80" i="15"/>
  <c r="S80" i="15" s="1"/>
  <c r="R81" i="15"/>
  <c r="R159" i="15"/>
  <c r="S159" i="15" s="1"/>
  <c r="Q160" i="15"/>
  <c r="R160" i="15" s="1"/>
  <c r="S160" i="15" s="1"/>
  <c r="S204" i="15"/>
  <c r="Q41" i="15"/>
  <c r="R41" i="15" s="1"/>
  <c r="S41" i="15" s="1"/>
  <c r="Q246" i="16" l="1"/>
  <c r="R246" i="16" s="1"/>
  <c r="S246" i="16" s="1"/>
  <c r="G12" i="16" s="1"/>
  <c r="Q286" i="16"/>
  <c r="R286" i="16" s="1"/>
  <c r="S286" i="16" s="1"/>
  <c r="G13" i="16" s="1"/>
  <c r="Q40" i="16"/>
  <c r="R40" i="16" s="1"/>
  <c r="Q39" i="16"/>
  <c r="R39" i="16" s="1"/>
  <c r="S39" i="16" s="1"/>
  <c r="R38" i="16"/>
  <c r="S38" i="16" s="1"/>
  <c r="Q162" i="15"/>
  <c r="R162" i="15" s="1"/>
  <c r="S162" i="15" s="1"/>
  <c r="Q82" i="16"/>
  <c r="R82" i="16" s="1"/>
  <c r="S82" i="16" s="1"/>
  <c r="G8" i="16" s="1"/>
  <c r="Q122" i="16"/>
  <c r="R122" i="16" s="1"/>
  <c r="S122" i="16" s="1"/>
  <c r="G9" i="16" s="1"/>
  <c r="Q41" i="16" l="1"/>
  <c r="R41" i="16" s="1"/>
  <c r="S41" i="16" s="1"/>
  <c r="G7" i="16" s="1"/>
  <c r="D14" i="14" l="1"/>
</calcChain>
</file>

<file path=xl/sharedStrings.xml><?xml version="1.0" encoding="utf-8"?>
<sst xmlns="http://schemas.openxmlformats.org/spreadsheetml/2006/main" count="848" uniqueCount="161">
  <si>
    <r>
      <t>Table A2 – Revenue Deficiency</t>
    </r>
    <r>
      <rPr>
        <sz val="12"/>
        <color theme="1"/>
        <rFont val="Garamond"/>
        <family val="1"/>
      </rPr>
      <t xml:space="preserve"> </t>
    </r>
  </si>
  <si>
    <t>2016  Depreciation Expense - Correctly Calculated</t>
  </si>
  <si>
    <t>2016 Approved Cost of Service</t>
  </si>
  <si>
    <t>Change</t>
  </si>
  <si>
    <t>Description</t>
  </si>
  <si>
    <t>2016 Test - Required Revenue</t>
  </si>
  <si>
    <t>Revenue Deficiency</t>
  </si>
  <si>
    <t>Revenue</t>
  </si>
  <si>
    <t xml:space="preserve">    Revenue Deficiency</t>
  </si>
  <si>
    <t xml:space="preserve">    Distribution Revenue </t>
  </si>
  <si>
    <t xml:space="preserve">    Other Operating Revenue (Net) </t>
  </si>
  <si>
    <t xml:space="preserve">Total Revenue </t>
  </si>
  <si>
    <t>Costs and Expenses</t>
  </si>
  <si>
    <t xml:space="preserve">    Administrative &amp; General, Billing &amp; Collecting</t>
  </si>
  <si>
    <t xml:space="preserve">    Operation &amp; Maintenance  </t>
  </si>
  <si>
    <t xml:space="preserve">    Donations - LEAP</t>
  </si>
  <si>
    <t xml:space="preserve">    Depreciation &amp; Amortization  </t>
  </si>
  <si>
    <t xml:space="preserve">    Property Taxes</t>
  </si>
  <si>
    <t xml:space="preserve">    Deemed Interest</t>
  </si>
  <si>
    <t xml:space="preserve">Total Costs and Expenses  </t>
  </si>
  <si>
    <t xml:space="preserve">Utility Income Before Income Taxes  </t>
  </si>
  <si>
    <t>Income Taxes:</t>
  </si>
  <si>
    <t xml:space="preserve">    Corporate Income Taxes</t>
  </si>
  <si>
    <t>Total Income Taxes</t>
  </si>
  <si>
    <t xml:space="preserve">Utility Net Income  </t>
  </si>
  <si>
    <t>Income Tax Expense Calculation:</t>
  </si>
  <si>
    <t xml:space="preserve">    Accounting Income</t>
  </si>
  <si>
    <t xml:space="preserve">    Tax Adjustments to Accounting Income</t>
  </si>
  <si>
    <t>Taxable Income</t>
  </si>
  <si>
    <t>Income tax expense before credits</t>
  </si>
  <si>
    <t>Credits</t>
  </si>
  <si>
    <t>Income Tax Expense</t>
  </si>
  <si>
    <t>Tax Rate Refecting Tax Credits</t>
  </si>
  <si>
    <t>Actual Return on Rate Base:</t>
  </si>
  <si>
    <t xml:space="preserve">    Rate Base</t>
  </si>
  <si>
    <t xml:space="preserve">    Interest Expense</t>
  </si>
  <si>
    <t xml:space="preserve">    Net Income</t>
  </si>
  <si>
    <t>Total Actual Return on Rate Base</t>
  </si>
  <si>
    <t>Actual Return on Rate Base</t>
  </si>
  <si>
    <t>Required Return on Rate Base:</t>
  </si>
  <si>
    <t>Return Rates:</t>
  </si>
  <si>
    <t xml:space="preserve">    Return on Debt (Weighted)</t>
  </si>
  <si>
    <t xml:space="preserve">    Return on Equity</t>
  </si>
  <si>
    <t xml:space="preserve">    Deemed Interest Expense</t>
  </si>
  <si>
    <t xml:space="preserve">    Return On Equity</t>
  </si>
  <si>
    <t>Total Return</t>
  </si>
  <si>
    <t>Expected Return on Rate Base</t>
  </si>
  <si>
    <t xml:space="preserve">Revenue Deficiency After Tax </t>
  </si>
  <si>
    <t xml:space="preserve">Revenue Deficiency Before Tax </t>
  </si>
  <si>
    <t>Tax Exhibit</t>
  </si>
  <si>
    <t>Deemed Utility Income</t>
  </si>
  <si>
    <t>Taxable Income prior to adjusting revenue to PILs</t>
  </si>
  <si>
    <t>Tax Rate</t>
  </si>
  <si>
    <t>Total PILs before gross up before tax credits</t>
  </si>
  <si>
    <t>Tax Credits</t>
  </si>
  <si>
    <t>Total PILs before gross up after tax credits</t>
  </si>
  <si>
    <t>Grossed up PILs</t>
  </si>
  <si>
    <r>
      <t>Table A3 -  Revenue Requirement</t>
    </r>
    <r>
      <rPr>
        <sz val="12"/>
        <color theme="1"/>
        <rFont val="Garamond"/>
        <family val="1"/>
      </rPr>
      <t xml:space="preserve"> </t>
    </r>
  </si>
  <si>
    <t>Service Revenue Requirement</t>
  </si>
  <si>
    <t>Revenue Requirement with Correctly Calculated Depreciation Expense</t>
  </si>
  <si>
    <t>2016 Approved Cost of Service Revenue Requirement</t>
  </si>
  <si>
    <t>Change in Revenue Requirement</t>
  </si>
  <si>
    <t>OM&amp;A Expenses</t>
  </si>
  <si>
    <t>-</t>
  </si>
  <si>
    <t>Amortization Expenses</t>
  </si>
  <si>
    <t>Total Distribution Expenses</t>
  </si>
  <si>
    <t>Regulated Return On Capital</t>
  </si>
  <si>
    <t>PILs</t>
  </si>
  <si>
    <t>Rate Class</t>
  </si>
  <si>
    <t>Unit</t>
  </si>
  <si>
    <t>Total Metered kWh</t>
  </si>
  <si>
    <t>Residential - Time of Use</t>
  </si>
  <si>
    <t>$/kWh</t>
  </si>
  <si>
    <t>General Service Less Than 50 kW</t>
  </si>
  <si>
    <t>General Service 50 to 999 kW</t>
  </si>
  <si>
    <t>$/kW</t>
  </si>
  <si>
    <t>General Service 1,000 to 4,999 kW - Interval Meters</t>
  </si>
  <si>
    <t>Unmetered Scattered Load</t>
  </si>
  <si>
    <t>Sentinel Lighting</t>
  </si>
  <si>
    <t>Street Lighting</t>
  </si>
  <si>
    <t>Sub-Totals</t>
  </si>
  <si>
    <t>1 year disposition</t>
  </si>
  <si>
    <t>Total Metered kW</t>
  </si>
  <si>
    <t>Allocation of Requested Amounts (%)</t>
  </si>
  <si>
    <t>Allocation of Requested Amounts ($)</t>
  </si>
  <si>
    <t>Proposed Rate Rider</t>
  </si>
  <si>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</si>
  <si>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</si>
  <si>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</si>
  <si>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</si>
  <si>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</si>
  <si>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</si>
  <si>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</si>
  <si>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</si>
  <si>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</si>
  <si>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</si>
  <si>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</si>
  <si>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</si>
  <si>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</si>
  <si>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</si>
  <si>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</si>
  <si>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</si>
  <si>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</si>
  <si>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</si>
  <si>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</si>
  <si>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</si>
  <si>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</si>
  <si>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Billing determinants determined using 2016 RRR data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</si>
  <si>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</si>
  <si>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</si>
  <si>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</si>
  <si>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</si>
  <si>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</si>
  <si>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</si>
  <si>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</si>
  <si>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</si>
  <si>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</si>
  <si>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</si>
  <si>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</si>
  <si>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</si>
  <si>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</si>
  <si>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</si>
  <si>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</si>
  <si>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</si>
  <si>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</si>
  <si>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</si>
  <si>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</si>
  <si>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</si>
  <si>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</si>
  <si>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</si>
  <si>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</si>
  <si>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</si>
  <si>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8% Rebate</t>
  </si>
  <si>
    <t>Total Bill on TOU</t>
  </si>
  <si>
    <t>GENERAL SERVICE LESS THAN 50 kW SERVICE CLASSIFICATION</t>
  </si>
  <si>
    <t>GENERAL SERVICE 50 TO 999 kW SERVICE CLASSIFICATION</t>
  </si>
  <si>
    <t>Non-RPP (Other)</t>
  </si>
  <si>
    <t>Total Deferral/Variance Account Rate Riders Including GA(kW) Rate Riders</t>
  </si>
  <si>
    <t>Average IESO Wholesale Market Price</t>
  </si>
  <si>
    <t>Total Bill on Average IESO Wholesale Market Price</t>
  </si>
  <si>
    <t>GENERAL SERVICE 1,000 TO 4,999 kW SERVICE CLASSIFICATION</t>
  </si>
  <si>
    <t>UNMETERED SCATTERED LOAD SERVICE CLASSIFICATION</t>
  </si>
  <si>
    <t>SENTINEL LIGHTING SERVICE CLASSIFICATION</t>
  </si>
  <si>
    <t>STREET LIGHTING SERVICE CLASSIFICATION</t>
  </si>
  <si>
    <t>Connections</t>
  </si>
  <si>
    <t>Table B1 – Depreciation Specific Rate Riders</t>
  </si>
  <si>
    <t>Table B2</t>
  </si>
  <si>
    <t>Customer Class</t>
  </si>
  <si>
    <t xml:space="preserve">2016 Cost of Service Approved Revenue Requirement </t>
  </si>
  <si>
    <t>2016 Cost of Service Approved Revenue Requirement %</t>
  </si>
  <si>
    <t>Allocation of Pay Equity Recovery Amount</t>
  </si>
  <si>
    <t>Number of Customers / Connections @ December 31, 2017</t>
  </si>
  <si>
    <t>Proposed Fixed Rate Rider over 3 Years</t>
  </si>
  <si>
    <t>Total Bill Impact with Pay Equity Adjustment</t>
  </si>
  <si>
    <t>Distribution Impact with Pay Equity Adjustment</t>
  </si>
  <si>
    <t>Residential</t>
  </si>
  <si>
    <t>General Service less than 50 kW</t>
  </si>
  <si>
    <t>General Service 1,000 to 4,999 kW</t>
  </si>
  <si>
    <t>Un-metered Scattered Load</t>
  </si>
  <si>
    <t>TOTAL</t>
  </si>
  <si>
    <t>Revised Proposed Pay Equity Z-Factor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</si>
</sst>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6" formatCode="0.0%"/>
    <numFmt numFmtId="167" formatCode="_-&quot;$&quot;* #,##0_-;\-&quot;$&quot;* #,##0_-;_-&quot;$&quot;* &quot;-&quot;??_-;_-@_-"/>
    <numFmt numFmtId="171" formatCode="#,##0;\(#,##0\)"/>
    <numFmt numFmtId="172" formatCode="_(* #,##0.00_);_(* \(#,##0.00\);_(* &quot;-&quot;??_);_(@_)"/>
    <numFmt numFmtId="173" formatCode="_(* #,##0_);_(* \(#,##0\);_(* &quot;-&quot;??_);_(@_)"/>
    <numFmt numFmtId="174" formatCode="_(* #,##0.0000_);_(* \(#,##0.0000\);_(* &quot;-&quot;??_);_(@_)"/>
    <numFmt numFmtId="175" formatCode="_-&quot;$&quot;* #,##0.0000_-;\-&quot;$&quot;* #,##0.0000_-;_-&quot;$&quot;* &quot;-&quot;??_-;_-@_-"/>
    <numFmt numFmtId="176" formatCode="_-* #,##0_-;\-* #,##0_-;_-* &quot;-&quot;??_-;_-@_-"/>
    <numFmt numFmtId="177" formatCode="0.0000"/>
    <numFmt numFmtId="178" formatCode="_(&quot;$&quot;* #,##0.00_);_(&quot;$&quot;* \(#,##0.00\);_(&quot;$&quot;* &quot;-&quot;??_);_(@_)"/>
    <numFmt numFmtId="179" formatCode="&quot;$&quot;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2"/>
      <color rgb="FFFF0000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172" fontId="1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320">
    <xf numFmtId="0" fontId="0" fillId="0" borderId="0" xfId="0"/>
    <xf numFmtId="0" fontId="9" fillId="0" borderId="0" xfId="0" applyFont="1"/>
    <xf numFmtId="0" fontId="11" fillId="0" borderId="0" xfId="0" applyFont="1"/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vertical="center"/>
    </xf>
    <xf numFmtId="0" fontId="12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2" fillId="5" borderId="20" xfId="0" applyFont="1" applyFill="1" applyBorder="1"/>
    <xf numFmtId="0" fontId="14" fillId="0" borderId="1" xfId="0" applyFont="1" applyBorder="1"/>
    <xf numFmtId="0" fontId="11" fillId="0" borderId="21" xfId="0" applyFont="1" applyBorder="1"/>
    <xf numFmtId="0" fontId="14" fillId="0" borderId="9" xfId="0" applyFont="1" applyBorder="1"/>
    <xf numFmtId="0" fontId="14" fillId="0" borderId="20" xfId="0" applyFont="1" applyBorder="1"/>
    <xf numFmtId="38" fontId="14" fillId="0" borderId="1" xfId="5" applyNumberFormat="1" applyFont="1" applyFill="1" applyBorder="1" applyAlignment="1">
      <alignment horizontal="center"/>
    </xf>
    <xf numFmtId="38" fontId="14" fillId="0" borderId="9" xfId="5" applyNumberFormat="1" applyFont="1" applyFill="1" applyBorder="1" applyAlignment="1">
      <alignment horizontal="center"/>
    </xf>
    <xf numFmtId="38" fontId="11" fillId="0" borderId="21" xfId="0" applyNumberFormat="1" applyFont="1" applyBorder="1"/>
    <xf numFmtId="0" fontId="12" fillId="0" borderId="20" xfId="0" applyFont="1" applyFill="1" applyBorder="1"/>
    <xf numFmtId="38" fontId="12" fillId="0" borderId="22" xfId="5" applyNumberFormat="1" applyFont="1" applyFill="1" applyBorder="1" applyAlignment="1">
      <alignment horizontal="center"/>
    </xf>
    <xf numFmtId="38" fontId="12" fillId="0" borderId="23" xfId="5" applyNumberFormat="1" applyFont="1" applyFill="1" applyBorder="1" applyAlignment="1">
      <alignment horizontal="center"/>
    </xf>
    <xf numFmtId="38" fontId="12" fillId="0" borderId="24" xfId="5" applyNumberFormat="1" applyFont="1" applyFill="1" applyBorder="1" applyAlignment="1">
      <alignment horizontal="center"/>
    </xf>
    <xf numFmtId="38" fontId="14" fillId="0" borderId="1" xfId="5" applyNumberFormat="1" applyFont="1" applyFill="1" applyBorder="1"/>
    <xf numFmtId="38" fontId="14" fillId="0" borderId="9" xfId="5" applyNumberFormat="1" applyFont="1" applyFill="1" applyBorder="1"/>
    <xf numFmtId="171" fontId="14" fillId="0" borderId="25" xfId="5" applyNumberFormat="1" applyFont="1" applyFill="1" applyBorder="1" applyAlignment="1">
      <alignment horizontal="center"/>
    </xf>
    <xf numFmtId="0" fontId="12" fillId="0" borderId="20" xfId="0" applyFont="1" applyBorder="1"/>
    <xf numFmtId="171" fontId="14" fillId="0" borderId="24" xfId="5" applyNumberFormat="1" applyFont="1" applyFill="1" applyBorder="1" applyAlignment="1">
      <alignment horizontal="center"/>
    </xf>
    <xf numFmtId="171" fontId="14" fillId="0" borderId="1" xfId="5" applyNumberFormat="1" applyFont="1" applyFill="1" applyBorder="1" applyAlignment="1">
      <alignment horizontal="center"/>
    </xf>
    <xf numFmtId="171" fontId="14" fillId="0" borderId="9" xfId="5" applyNumberFormat="1" applyFont="1" applyFill="1" applyBorder="1" applyAlignment="1">
      <alignment horizontal="center"/>
    </xf>
    <xf numFmtId="171" fontId="14" fillId="0" borderId="22" xfId="5" applyNumberFormat="1" applyFont="1" applyFill="1" applyBorder="1" applyAlignment="1">
      <alignment horizontal="center"/>
    </xf>
    <xf numFmtId="171" fontId="14" fillId="0" borderId="23" xfId="5" applyNumberFormat="1" applyFont="1" applyFill="1" applyBorder="1" applyAlignment="1">
      <alignment horizontal="center"/>
    </xf>
    <xf numFmtId="38" fontId="12" fillId="0" borderId="26" xfId="5" applyNumberFormat="1" applyFont="1" applyFill="1" applyBorder="1" applyAlignment="1">
      <alignment horizontal="center"/>
    </xf>
    <xf numFmtId="38" fontId="12" fillId="0" borderId="7" xfId="5" applyNumberFormat="1" applyFont="1" applyFill="1" applyBorder="1" applyAlignment="1">
      <alignment horizontal="center"/>
    </xf>
    <xf numFmtId="171" fontId="14" fillId="0" borderId="27" xfId="5" applyNumberFormat="1" applyFont="1" applyFill="1" applyBorder="1" applyAlignment="1">
      <alignment horizontal="center"/>
    </xf>
    <xf numFmtId="10" fontId="14" fillId="0" borderId="1" xfId="3" applyNumberFormat="1" applyFont="1" applyFill="1" applyBorder="1" applyAlignment="1">
      <alignment horizontal="center"/>
    </xf>
    <xf numFmtId="10" fontId="14" fillId="0" borderId="9" xfId="3" applyNumberFormat="1" applyFont="1" applyFill="1" applyBorder="1" applyAlignment="1">
      <alignment horizontal="center"/>
    </xf>
    <xf numFmtId="37" fontId="14" fillId="0" borderId="1" xfId="5" applyNumberFormat="1" applyFont="1" applyFill="1" applyBorder="1"/>
    <xf numFmtId="37" fontId="14" fillId="0" borderId="9" xfId="5" applyNumberFormat="1" applyFont="1" applyFill="1" applyBorder="1"/>
    <xf numFmtId="37" fontId="14" fillId="0" borderId="1" xfId="5" applyNumberFormat="1" applyFont="1" applyFill="1" applyBorder="1" applyAlignment="1">
      <alignment horizontal="center"/>
    </xf>
    <xf numFmtId="37" fontId="14" fillId="0" borderId="9" xfId="5" applyNumberFormat="1" applyFont="1" applyFill="1" applyBorder="1" applyAlignment="1">
      <alignment horizontal="center"/>
    </xf>
    <xf numFmtId="37" fontId="12" fillId="0" borderId="28" xfId="5" applyNumberFormat="1" applyFont="1" applyFill="1" applyBorder="1" applyAlignment="1">
      <alignment horizontal="center"/>
    </xf>
    <xf numFmtId="37" fontId="12" fillId="0" borderId="29" xfId="5" applyNumberFormat="1" applyFont="1" applyFill="1" applyBorder="1" applyAlignment="1">
      <alignment horizontal="center"/>
    </xf>
    <xf numFmtId="37" fontId="12" fillId="0" borderId="26" xfId="5" applyNumberFormat="1" applyFont="1" applyFill="1" applyBorder="1" applyAlignment="1">
      <alignment horizontal="center"/>
    </xf>
    <xf numFmtId="37" fontId="12" fillId="0" borderId="27" xfId="5" applyNumberFormat="1" applyFont="1" applyFill="1" applyBorder="1" applyAlignment="1">
      <alignment horizontal="center"/>
    </xf>
    <xf numFmtId="0" fontId="12" fillId="5" borderId="20" xfId="0" applyFont="1" applyFill="1" applyBorder="1" applyAlignment="1">
      <alignment vertical="center" wrapText="1"/>
    </xf>
    <xf numFmtId="37" fontId="12" fillId="0" borderId="22" xfId="5" applyNumberFormat="1" applyFont="1" applyFill="1" applyBorder="1" applyAlignment="1">
      <alignment horizontal="center"/>
    </xf>
    <xf numFmtId="37" fontId="12" fillId="0" borderId="24" xfId="5" applyNumberFormat="1" applyFont="1" applyFill="1" applyBorder="1" applyAlignment="1">
      <alignment horizontal="center"/>
    </xf>
    <xf numFmtId="0" fontId="12" fillId="5" borderId="16" xfId="0" applyFont="1" applyFill="1" applyBorder="1" applyAlignment="1">
      <alignment vertical="center" wrapText="1"/>
    </xf>
    <xf numFmtId="37" fontId="12" fillId="0" borderId="17" xfId="5" applyNumberFormat="1" applyFont="1" applyFill="1" applyBorder="1" applyAlignment="1">
      <alignment horizontal="center"/>
    </xf>
    <xf numFmtId="0" fontId="11" fillId="0" borderId="18" xfId="0" applyFont="1" applyBorder="1"/>
    <xf numFmtId="37" fontId="12" fillId="0" borderId="19" xfId="5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vertical="center" wrapText="1"/>
    </xf>
    <xf numFmtId="37" fontId="12" fillId="0" borderId="31" xfId="5" applyNumberFormat="1" applyFont="1" applyFill="1" applyBorder="1" applyAlignment="1">
      <alignment horizontal="center"/>
    </xf>
    <xf numFmtId="0" fontId="11" fillId="0" borderId="31" xfId="0" applyFont="1" applyBorder="1"/>
    <xf numFmtId="37" fontId="12" fillId="0" borderId="32" xfId="5" applyNumberFormat="1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 wrapText="1"/>
    </xf>
    <xf numFmtId="0" fontId="13" fillId="4" borderId="34" xfId="0" applyFont="1" applyFill="1" applyBorder="1" applyAlignment="1">
      <alignment horizontal="center" wrapText="1"/>
    </xf>
    <xf numFmtId="0" fontId="11" fillId="4" borderId="31" xfId="0" applyFont="1" applyFill="1" applyBorder="1"/>
    <xf numFmtId="0" fontId="13" fillId="4" borderId="35" xfId="0" applyFont="1" applyFill="1" applyBorder="1" applyAlignment="1">
      <alignment horizontal="center" wrapText="1"/>
    </xf>
    <xf numFmtId="0" fontId="11" fillId="0" borderId="20" xfId="0" applyFont="1" applyBorder="1"/>
    <xf numFmtId="0" fontId="11" fillId="0" borderId="1" xfId="0" applyFont="1" applyBorder="1"/>
    <xf numFmtId="0" fontId="11" fillId="0" borderId="0" xfId="0" applyFont="1" applyBorder="1"/>
    <xf numFmtId="0" fontId="11" fillId="0" borderId="36" xfId="0" applyFont="1" applyBorder="1"/>
    <xf numFmtId="37" fontId="14" fillId="0" borderId="36" xfId="5" applyNumberFormat="1" applyFont="1" applyFill="1" applyBorder="1" applyAlignment="1">
      <alignment horizontal="center"/>
    </xf>
    <xf numFmtId="171" fontId="14" fillId="0" borderId="36" xfId="5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37" fontId="12" fillId="0" borderId="23" xfId="5" applyNumberFormat="1" applyFont="1" applyFill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10" fontId="11" fillId="0" borderId="36" xfId="0" applyNumberFormat="1" applyFont="1" applyBorder="1" applyAlignment="1">
      <alignment horizontal="center"/>
    </xf>
    <xf numFmtId="37" fontId="12" fillId="0" borderId="6" xfId="5" applyNumberFormat="1" applyFont="1" applyFill="1" applyBorder="1" applyAlignment="1">
      <alignment horizontal="center"/>
    </xf>
    <xf numFmtId="37" fontId="12" fillId="0" borderId="37" xfId="5" applyNumberFormat="1" applyFont="1" applyFill="1" applyBorder="1" applyAlignment="1">
      <alignment horizontal="center"/>
    </xf>
    <xf numFmtId="171" fontId="12" fillId="0" borderId="1" xfId="5" applyNumberFormat="1" applyFont="1" applyFill="1" applyBorder="1" applyAlignment="1">
      <alignment horizontal="center"/>
    </xf>
    <xf numFmtId="171" fontId="12" fillId="0" borderId="36" xfId="5" applyNumberFormat="1" applyFont="1" applyFill="1" applyBorder="1" applyAlignment="1">
      <alignment horizontal="center"/>
    </xf>
    <xf numFmtId="171" fontId="12" fillId="0" borderId="7" xfId="5" applyNumberFormat="1" applyFont="1" applyFill="1" applyBorder="1" applyAlignment="1">
      <alignment horizontal="center"/>
    </xf>
    <xf numFmtId="171" fontId="12" fillId="0" borderId="27" xfId="5" applyNumberFormat="1" applyFont="1" applyFill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1" fillId="0" borderId="8" xfId="0" applyFont="1" applyBorder="1"/>
    <xf numFmtId="0" fontId="11" fillId="0" borderId="38" xfId="0" applyFont="1" applyBorder="1"/>
    <xf numFmtId="0" fontId="10" fillId="0" borderId="0" xfId="0" applyFont="1"/>
    <xf numFmtId="0" fontId="15" fillId="4" borderId="33" xfId="0" applyFont="1" applyFill="1" applyBorder="1" applyAlignment="1">
      <alignment vertical="center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0" borderId="20" xfId="9" applyFont="1" applyFill="1" applyBorder="1"/>
    <xf numFmtId="173" fontId="16" fillId="0" borderId="1" xfId="10" applyNumberFormat="1" applyFont="1" applyFill="1" applyBorder="1" applyAlignment="1">
      <alignment horizontal="right"/>
    </xf>
    <xf numFmtId="173" fontId="16" fillId="0" borderId="9" xfId="10" applyNumberFormat="1" applyFont="1" applyFill="1" applyBorder="1" applyAlignment="1">
      <alignment horizontal="right"/>
    </xf>
    <xf numFmtId="0" fontId="16" fillId="0" borderId="39" xfId="9" applyFont="1" applyFill="1" applyBorder="1"/>
    <xf numFmtId="173" fontId="16" fillId="0" borderId="5" xfId="10" applyNumberFormat="1" applyFont="1" applyFill="1" applyBorder="1" applyAlignment="1">
      <alignment horizontal="right"/>
    </xf>
    <xf numFmtId="173" fontId="16" fillId="0" borderId="40" xfId="10" applyNumberFormat="1" applyFont="1" applyFill="1" applyBorder="1" applyAlignment="1">
      <alignment horizontal="right"/>
    </xf>
    <xf numFmtId="0" fontId="16" fillId="0" borderId="20" xfId="9" applyFont="1" applyFill="1" applyBorder="1" applyAlignment="1">
      <alignment horizontal="left" indent="1"/>
    </xf>
    <xf numFmtId="0" fontId="16" fillId="0" borderId="16" xfId="9" applyFont="1" applyFill="1" applyBorder="1"/>
    <xf numFmtId="173" fontId="16" fillId="0" borderId="17" xfId="10" applyNumberFormat="1" applyFont="1" applyFill="1" applyBorder="1" applyAlignment="1">
      <alignment horizontal="right"/>
    </xf>
    <xf numFmtId="173" fontId="16" fillId="0" borderId="19" xfId="10" applyNumberFormat="1" applyFont="1" applyFill="1" applyBorder="1" applyAlignment="1">
      <alignment horizontal="right"/>
    </xf>
    <xf numFmtId="0" fontId="15" fillId="0" borderId="16" xfId="9" applyFont="1" applyFill="1" applyBorder="1" applyAlignment="1">
      <alignment horizontal="left" indent="1"/>
    </xf>
    <xf numFmtId="173" fontId="15" fillId="0" borderId="17" xfId="10" applyNumberFormat="1" applyFont="1" applyFill="1" applyBorder="1" applyAlignment="1">
      <alignment horizontal="right"/>
    </xf>
    <xf numFmtId="173" fontId="15" fillId="0" borderId="19" xfId="10" applyNumberFormat="1" applyFont="1" applyFill="1" applyBorder="1" applyAlignment="1">
      <alignment horizontal="right"/>
    </xf>
    <xf numFmtId="173" fontId="10" fillId="0" borderId="0" xfId="0" applyNumberFormat="1" applyFont="1"/>
    <xf numFmtId="10" fontId="9" fillId="0" borderId="0" xfId="3" applyNumberFormat="1" applyFont="1"/>
    <xf numFmtId="0" fontId="11" fillId="0" borderId="20" xfId="0" applyFont="1" applyBorder="1" applyProtection="1"/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Protection="1"/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3" fillId="0" borderId="47" xfId="0" applyFont="1" applyBorder="1"/>
    <xf numFmtId="0" fontId="13" fillId="0" borderId="8" xfId="0" applyFont="1" applyBorder="1"/>
    <xf numFmtId="0" fontId="13" fillId="6" borderId="0" xfId="0" applyFont="1" applyFill="1" applyBorder="1" applyProtection="1"/>
    <xf numFmtId="0" fontId="12" fillId="7" borderId="41" xfId="8" applyFont="1" applyFill="1" applyBorder="1" applyAlignment="1" applyProtection="1">
      <alignment horizontal="center" wrapText="1"/>
    </xf>
    <xf numFmtId="0" fontId="12" fillId="7" borderId="13" xfId="8" applyFont="1" applyFill="1" applyBorder="1" applyAlignment="1" applyProtection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13" fillId="7" borderId="42" xfId="0" applyFont="1" applyFill="1" applyBorder="1" applyAlignment="1">
      <alignment horizontal="center" wrapText="1"/>
    </xf>
    <xf numFmtId="0" fontId="3" fillId="0" borderId="0" xfId="11" applyProtection="1">
      <protection locked="0"/>
    </xf>
    <xf numFmtId="0" fontId="4" fillId="0" borderId="48" xfId="11" applyFont="1" applyBorder="1" applyAlignment="1" applyProtection="1">
      <alignment horizontal="right" vertical="center"/>
      <protection locked="0"/>
    </xf>
    <xf numFmtId="0" fontId="3" fillId="0" borderId="49" xfId="11" applyBorder="1" applyProtection="1">
      <protection locked="0"/>
    </xf>
    <xf numFmtId="0" fontId="3" fillId="0" borderId="10" xfId="11" applyBorder="1" applyProtection="1">
      <protection locked="0"/>
    </xf>
    <xf numFmtId="173" fontId="14" fillId="0" borderId="1" xfId="11" applyNumberFormat="1" applyFont="1" applyFill="1" applyBorder="1" applyProtection="1"/>
    <xf numFmtId="166" fontId="14" fillId="0" borderId="1" xfId="3" applyNumberFormat="1" applyFont="1" applyFill="1" applyBorder="1" applyProtection="1"/>
    <xf numFmtId="167" fontId="14" fillId="0" borderId="1" xfId="2" applyNumberFormat="1" applyFont="1" applyFill="1" applyBorder="1" applyProtection="1"/>
    <xf numFmtId="175" fontId="14" fillId="0" borderId="9" xfId="2" applyNumberFormat="1" applyFont="1" applyFill="1" applyBorder="1" applyProtection="1"/>
    <xf numFmtId="0" fontId="4" fillId="0" borderId="46" xfId="11" applyFont="1" applyBorder="1" applyAlignment="1" applyProtection="1">
      <alignment horizontal="right" vertical="center"/>
      <protection locked="0"/>
    </xf>
    <xf numFmtId="0" fontId="6" fillId="8" borderId="0" xfId="11" applyFont="1" applyFill="1" applyBorder="1" applyAlignment="1" applyProtection="1">
      <alignment vertical="top"/>
      <protection locked="0"/>
    </xf>
    <xf numFmtId="0" fontId="3" fillId="0" borderId="0" xfId="11" applyBorder="1" applyProtection="1">
      <protection locked="0"/>
    </xf>
    <xf numFmtId="0" fontId="3" fillId="0" borderId="9" xfId="11" applyBorder="1" applyProtection="1">
      <protection locked="0"/>
    </xf>
    <xf numFmtId="176" fontId="4" fillId="8" borderId="22" xfId="12" applyNumberFormat="1" applyFont="1" applyFill="1" applyBorder="1" applyAlignment="1" applyProtection="1">
      <alignment horizontal="center" vertical="center"/>
      <protection locked="0"/>
    </xf>
    <xf numFmtId="0" fontId="4" fillId="0" borderId="0" xfId="11" applyFont="1" applyBorder="1" applyProtection="1">
      <protection locked="0"/>
    </xf>
    <xf numFmtId="0" fontId="3" fillId="0" borderId="0" xfId="11" applyFont="1" applyBorder="1" applyProtection="1">
      <protection locked="0"/>
    </xf>
    <xf numFmtId="0" fontId="5" fillId="8" borderId="0" xfId="11" applyFont="1" applyFill="1" applyBorder="1" applyAlignment="1" applyProtection="1">
      <alignment vertical="center"/>
      <protection locked="0"/>
    </xf>
    <xf numFmtId="0" fontId="5" fillId="8" borderId="9" xfId="11" applyFont="1" applyFill="1" applyBorder="1" applyAlignment="1" applyProtection="1">
      <alignment vertical="center"/>
      <protection locked="0"/>
    </xf>
    <xf numFmtId="0" fontId="4" fillId="0" borderId="0" xfId="11" applyFont="1" applyBorder="1" applyAlignment="1" applyProtection="1">
      <alignment horizontal="left"/>
      <protection locked="0"/>
    </xf>
    <xf numFmtId="0" fontId="4" fillId="0" borderId="0" xfId="11" applyFont="1" applyBorder="1" applyAlignment="1" applyProtection="1">
      <alignment horizontal="center"/>
      <protection locked="0"/>
    </xf>
    <xf numFmtId="0" fontId="5" fillId="0" borderId="0" xfId="11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wrapText="1"/>
    </xf>
    <xf numFmtId="177" fontId="4" fillId="8" borderId="22" xfId="7" applyNumberFormat="1" applyFont="1" applyFill="1" applyBorder="1" applyProtection="1">
      <protection locked="0"/>
    </xf>
    <xf numFmtId="0" fontId="3" fillId="0" borderId="46" xfId="11" applyFont="1" applyBorder="1" applyProtection="1">
      <protection locked="0"/>
    </xf>
    <xf numFmtId="173" fontId="14" fillId="0" borderId="5" xfId="11" applyNumberFormat="1" applyFont="1" applyFill="1" applyBorder="1" applyProtection="1"/>
    <xf numFmtId="166" fontId="14" fillId="0" borderId="5" xfId="3" applyNumberFormat="1" applyFont="1" applyFill="1" applyBorder="1" applyProtection="1"/>
    <xf numFmtId="167" fontId="14" fillId="0" borderId="5" xfId="2" applyNumberFormat="1" applyFont="1" applyFill="1" applyBorder="1" applyProtection="1"/>
    <xf numFmtId="175" fontId="14" fillId="0" borderId="40" xfId="2" applyNumberFormat="1" applyFont="1" applyFill="1" applyBorder="1" applyProtection="1"/>
    <xf numFmtId="0" fontId="4" fillId="0" borderId="0" xfId="11" applyFont="1" applyBorder="1" applyAlignment="1" applyProtection="1">
      <protection locked="0"/>
    </xf>
    <xf numFmtId="173" fontId="13" fillId="0" borderId="8" xfId="0" applyNumberFormat="1" applyFont="1" applyBorder="1"/>
    <xf numFmtId="9" fontId="13" fillId="0" borderId="8" xfId="3" applyFont="1" applyBorder="1"/>
    <xf numFmtId="167" fontId="13" fillId="0" borderId="8" xfId="2" applyNumberFormat="1" applyFont="1" applyBorder="1"/>
    <xf numFmtId="174" fontId="14" fillId="0" borderId="19" xfId="11" applyNumberFormat="1" applyFont="1" applyFill="1" applyBorder="1" applyProtection="1"/>
    <xf numFmtId="0" fontId="4" fillId="0" borderId="54" xfId="11" applyFont="1" applyBorder="1" applyAlignment="1" applyProtection="1">
      <alignment horizontal="center"/>
      <protection locked="0"/>
    </xf>
    <xf numFmtId="0" fontId="4" fillId="0" borderId="1" xfId="11" applyFont="1" applyBorder="1" applyAlignment="1" applyProtection="1">
      <alignment horizontal="center"/>
      <protection locked="0"/>
    </xf>
    <xf numFmtId="0" fontId="4" fillId="0" borderId="6" xfId="11" applyFont="1" applyBorder="1" applyAlignment="1" applyProtection="1">
      <alignment horizontal="center"/>
      <protection locked="0"/>
    </xf>
    <xf numFmtId="0" fontId="4" fillId="0" borderId="50" xfId="11" quotePrefix="1" applyFont="1" applyBorder="1" applyAlignment="1" applyProtection="1">
      <alignment horizontal="center"/>
      <protection locked="0"/>
    </xf>
    <xf numFmtId="0" fontId="4" fillId="0" borderId="5" xfId="11" quotePrefix="1" applyFont="1" applyBorder="1" applyAlignment="1" applyProtection="1">
      <alignment horizontal="center"/>
      <protection locked="0"/>
    </xf>
    <xf numFmtId="172" fontId="13" fillId="6" borderId="0" xfId="13" applyFont="1" applyFill="1"/>
    <xf numFmtId="0" fontId="17" fillId="8" borderId="0" xfId="11" applyFont="1" applyFill="1" applyProtection="1">
      <protection locked="0"/>
    </xf>
    <xf numFmtId="0" fontId="3" fillId="0" borderId="46" xfId="11" applyBorder="1" applyAlignment="1" applyProtection="1">
      <alignment vertical="top"/>
    </xf>
    <xf numFmtId="0" fontId="3" fillId="8" borderId="0" xfId="11" applyFill="1" applyBorder="1" applyAlignment="1" applyProtection="1">
      <alignment vertical="top"/>
      <protection locked="0"/>
    </xf>
    <xf numFmtId="178" fontId="4" fillId="8" borderId="21" xfId="14" applyNumberFormat="1" applyFont="1" applyFill="1" applyBorder="1" applyAlignment="1" applyProtection="1">
      <alignment horizontal="left" vertical="center"/>
      <protection locked="0"/>
    </xf>
    <xf numFmtId="0" fontId="3" fillId="0" borderId="21" xfId="11" applyFont="1" applyFill="1" applyBorder="1" applyAlignment="1" applyProtection="1">
      <alignment vertical="center"/>
      <protection locked="0"/>
    </xf>
    <xf numFmtId="178" fontId="18" fillId="0" borderId="1" xfId="14" applyFont="1" applyBorder="1" applyAlignment="1" applyProtection="1">
      <alignment vertical="center"/>
      <protection locked="0"/>
    </xf>
    <xf numFmtId="178" fontId="19" fillId="8" borderId="21" xfId="14" applyNumberFormat="1" applyFont="1" applyFill="1" applyBorder="1" applyAlignment="1" applyProtection="1">
      <alignment horizontal="left" vertical="center"/>
      <protection locked="0"/>
    </xf>
    <xf numFmtId="0" fontId="3" fillId="0" borderId="1" xfId="11" applyFont="1" applyFill="1" applyBorder="1" applyAlignment="1" applyProtection="1">
      <alignment vertical="center"/>
      <protection locked="0"/>
    </xf>
    <xf numFmtId="178" fontId="3" fillId="0" borderId="21" xfId="11" applyNumberFormat="1" applyFont="1" applyBorder="1" applyAlignment="1" applyProtection="1">
      <alignment vertical="center"/>
      <protection locked="0"/>
    </xf>
    <xf numFmtId="10" fontId="18" fillId="0" borderId="9" xfId="7" applyNumberFormat="1" applyFont="1" applyBorder="1" applyAlignment="1" applyProtection="1">
      <alignment vertical="center"/>
      <protection locked="0"/>
    </xf>
    <xf numFmtId="175" fontId="4" fillId="8" borderId="21" xfId="14" applyNumberFormat="1" applyFont="1" applyFill="1" applyBorder="1" applyAlignment="1" applyProtection="1">
      <alignment horizontal="left" vertical="center"/>
      <protection locked="0"/>
    </xf>
    <xf numFmtId="176" fontId="3" fillId="0" borderId="21" xfId="11" applyNumberFormat="1" applyFont="1" applyFill="1" applyBorder="1" applyAlignment="1" applyProtection="1">
      <alignment vertical="center"/>
      <protection locked="0"/>
    </xf>
    <xf numFmtId="175" fontId="19" fillId="8" borderId="21" xfId="14" applyNumberFormat="1" applyFont="1" applyFill="1" applyBorder="1" applyAlignment="1" applyProtection="1">
      <alignment horizontal="left" vertical="center"/>
      <protection locked="0"/>
    </xf>
    <xf numFmtId="0" fontId="3" fillId="0" borderId="46" xfId="11" applyFill="1" applyBorder="1" applyAlignment="1" applyProtection="1">
      <alignment vertical="top"/>
    </xf>
    <xf numFmtId="43" fontId="0" fillId="0" borderId="0" xfId="0" applyNumberFormat="1"/>
    <xf numFmtId="0" fontId="4" fillId="9" borderId="55" xfId="11" applyFont="1" applyFill="1" applyBorder="1" applyAlignment="1" applyProtection="1">
      <alignment vertical="top"/>
      <protection locked="0"/>
    </xf>
    <xf numFmtId="0" fontId="3" fillId="9" borderId="52" xfId="11" applyFill="1" applyBorder="1" applyAlignment="1" applyProtection="1">
      <alignment vertical="top"/>
      <protection locked="0"/>
    </xf>
    <xf numFmtId="175" fontId="4" fillId="9" borderId="22" xfId="14" applyNumberFormat="1" applyFont="1" applyFill="1" applyBorder="1" applyAlignment="1" applyProtection="1">
      <alignment horizontal="left" vertical="center"/>
      <protection locked="0"/>
    </xf>
    <xf numFmtId="0" fontId="4" fillId="9" borderId="22" xfId="11" applyFont="1" applyFill="1" applyBorder="1" applyAlignment="1" applyProtection="1">
      <alignment vertical="center"/>
      <protection locked="0"/>
    </xf>
    <xf numFmtId="178" fontId="20" fillId="9" borderId="23" xfId="14" applyFont="1" applyFill="1" applyBorder="1" applyAlignment="1" applyProtection="1">
      <alignment vertical="center"/>
      <protection locked="0"/>
    </xf>
    <xf numFmtId="175" fontId="19" fillId="9" borderId="22" xfId="14" applyNumberFormat="1" applyFont="1" applyFill="1" applyBorder="1" applyAlignment="1" applyProtection="1">
      <alignment horizontal="left" vertical="center"/>
      <protection locked="0"/>
    </xf>
    <xf numFmtId="0" fontId="4" fillId="9" borderId="23" xfId="11" applyFont="1" applyFill="1" applyBorder="1" applyAlignment="1" applyProtection="1">
      <alignment vertical="center"/>
      <protection locked="0"/>
    </xf>
    <xf numFmtId="178" fontId="4" fillId="9" borderId="22" xfId="11" applyNumberFormat="1" applyFont="1" applyFill="1" applyBorder="1" applyAlignment="1" applyProtection="1">
      <alignment vertical="center"/>
      <protection locked="0"/>
    </xf>
    <xf numFmtId="10" fontId="4" fillId="9" borderId="53" xfId="7" applyNumberFormat="1" applyFont="1" applyFill="1" applyBorder="1" applyAlignment="1" applyProtection="1">
      <alignment vertical="center"/>
      <protection locked="0"/>
    </xf>
    <xf numFmtId="0" fontId="3" fillId="0" borderId="46" xfId="11" applyFont="1" applyFill="1" applyBorder="1" applyAlignment="1" applyProtection="1">
      <alignment vertical="top" wrapText="1"/>
    </xf>
    <xf numFmtId="176" fontId="3" fillId="10" borderId="21" xfId="12" applyNumberFormat="1" applyFont="1" applyFill="1" applyBorder="1" applyAlignment="1" applyProtection="1">
      <alignment vertical="center"/>
      <protection locked="0"/>
    </xf>
    <xf numFmtId="176" fontId="3" fillId="0" borderId="21" xfId="12" applyNumberFormat="1" applyFont="1" applyFill="1" applyBorder="1" applyAlignment="1" applyProtection="1">
      <alignment vertical="center"/>
      <protection locked="0"/>
    </xf>
    <xf numFmtId="0" fontId="3" fillId="0" borderId="46" xfId="11" applyFont="1" applyBorder="1" applyAlignment="1" applyProtection="1">
      <alignment vertical="top"/>
    </xf>
    <xf numFmtId="0" fontId="3" fillId="0" borderId="46" xfId="11" applyFont="1" applyBorder="1" applyAlignment="1" applyProtection="1">
      <alignment vertical="top" wrapText="1"/>
    </xf>
    <xf numFmtId="44" fontId="4" fillId="8" borderId="21" xfId="14" applyNumberFormat="1" applyFont="1" applyFill="1" applyBorder="1" applyAlignment="1" applyProtection="1">
      <alignment horizontal="left" vertical="center"/>
      <protection locked="0"/>
    </xf>
    <xf numFmtId="44" fontId="19" fillId="8" borderId="21" xfId="14" applyNumberFormat="1" applyFont="1" applyFill="1" applyBorder="1" applyAlignment="1" applyProtection="1">
      <alignment horizontal="left" vertical="center"/>
      <protection locked="0"/>
    </xf>
    <xf numFmtId="0" fontId="4" fillId="9" borderId="55" xfId="11" applyFont="1" applyFill="1" applyBorder="1" applyAlignment="1" applyProtection="1">
      <alignment vertical="top" wrapText="1"/>
      <protection locked="0"/>
    </xf>
    <xf numFmtId="0" fontId="3" fillId="9" borderId="52" xfId="11" applyFill="1" applyBorder="1" applyProtection="1">
      <protection locked="0"/>
    </xf>
    <xf numFmtId="0" fontId="4" fillId="9" borderId="22" xfId="11" applyFont="1" applyFill="1" applyBorder="1" applyAlignment="1" applyProtection="1">
      <alignment horizontal="left" vertical="center"/>
      <protection locked="0"/>
    </xf>
    <xf numFmtId="0" fontId="3" fillId="9" borderId="22" xfId="11" applyFont="1" applyFill="1" applyBorder="1" applyAlignment="1" applyProtection="1">
      <alignment vertical="center"/>
      <protection locked="0"/>
    </xf>
    <xf numFmtId="178" fontId="4" fillId="9" borderId="23" xfId="11" applyNumberFormat="1" applyFont="1" applyFill="1" applyBorder="1" applyAlignment="1" applyProtection="1">
      <alignment vertical="center"/>
      <protection locked="0"/>
    </xf>
    <xf numFmtId="0" fontId="19" fillId="9" borderId="22" xfId="11" applyFont="1" applyFill="1" applyBorder="1" applyAlignment="1" applyProtection="1">
      <alignment horizontal="left" vertical="center"/>
      <protection locked="0"/>
    </xf>
    <xf numFmtId="0" fontId="3" fillId="9" borderId="23" xfId="11" applyFont="1" applyFill="1" applyBorder="1" applyAlignment="1" applyProtection="1">
      <alignment vertical="center"/>
      <protection locked="0"/>
    </xf>
    <xf numFmtId="0" fontId="3" fillId="0" borderId="46" xfId="11" applyBorder="1" applyAlignment="1" applyProtection="1">
      <alignment vertical="center"/>
    </xf>
    <xf numFmtId="0" fontId="3" fillId="0" borderId="56" xfId="11" applyBorder="1" applyAlignment="1" applyProtection="1">
      <alignment vertical="center" wrapText="1"/>
    </xf>
    <xf numFmtId="0" fontId="3" fillId="0" borderId="46" xfId="11" applyBorder="1" applyAlignment="1" applyProtection="1">
      <alignment vertical="top" wrapText="1"/>
      <protection locked="0"/>
    </xf>
    <xf numFmtId="178" fontId="3" fillId="0" borderId="1" xfId="14" applyFont="1" applyBorder="1" applyAlignment="1" applyProtection="1">
      <alignment vertical="center"/>
      <protection locked="0"/>
    </xf>
    <xf numFmtId="166" fontId="0" fillId="0" borderId="0" xfId="3" applyNumberFormat="1" applyFont="1"/>
    <xf numFmtId="0" fontId="3" fillId="0" borderId="46" xfId="11" applyBorder="1" applyAlignment="1" applyProtection="1">
      <alignment vertical="top"/>
      <protection locked="0"/>
    </xf>
    <xf numFmtId="175" fontId="4" fillId="11" borderId="21" xfId="14" applyNumberFormat="1" applyFont="1" applyFill="1" applyBorder="1" applyAlignment="1" applyProtection="1">
      <alignment horizontal="left" vertical="center"/>
      <protection locked="0"/>
    </xf>
    <xf numFmtId="176" fontId="3" fillId="11" borderId="21" xfId="12" applyNumberFormat="1" applyFont="1" applyFill="1" applyBorder="1" applyAlignment="1" applyProtection="1">
      <alignment vertical="center"/>
      <protection locked="0"/>
    </xf>
    <xf numFmtId="178" fontId="3" fillId="11" borderId="1" xfId="14" applyFont="1" applyFill="1" applyBorder="1" applyAlignment="1" applyProtection="1">
      <alignment vertical="center"/>
      <protection locked="0"/>
    </xf>
    <xf numFmtId="175" fontId="21" fillId="11" borderId="21" xfId="14" applyNumberFormat="1" applyFont="1" applyFill="1" applyBorder="1" applyAlignment="1" applyProtection="1">
      <alignment horizontal="left" vertical="center"/>
      <protection locked="0"/>
    </xf>
    <xf numFmtId="178" fontId="3" fillId="11" borderId="21" xfId="11" applyNumberFormat="1" applyFont="1" applyFill="1" applyBorder="1" applyAlignment="1" applyProtection="1">
      <alignment vertical="center"/>
      <protection locked="0"/>
    </xf>
    <xf numFmtId="10" fontId="18" fillId="11" borderId="9" xfId="7" applyNumberFormat="1" applyFont="1" applyFill="1" applyBorder="1" applyAlignment="1" applyProtection="1">
      <alignment vertical="center"/>
      <protection locked="0"/>
    </xf>
    <xf numFmtId="0" fontId="3" fillId="0" borderId="46" xfId="11" applyFont="1" applyBorder="1" applyAlignment="1" applyProtection="1">
      <alignment vertical="top"/>
      <protection locked="0"/>
    </xf>
    <xf numFmtId="175" fontId="4" fillId="0" borderId="21" xfId="14" applyNumberFormat="1" applyFont="1" applyFill="1" applyBorder="1" applyAlignment="1" applyProtection="1">
      <alignment horizontal="left" vertical="center"/>
      <protection locked="0"/>
    </xf>
    <xf numFmtId="176" fontId="3" fillId="8" borderId="21" xfId="12" applyNumberFormat="1" applyFont="1" applyFill="1" applyBorder="1" applyAlignment="1" applyProtection="1">
      <alignment vertical="center"/>
      <protection locked="0"/>
    </xf>
    <xf numFmtId="175" fontId="19" fillId="0" borderId="21" xfId="14" applyNumberFormat="1" applyFont="1" applyFill="1" applyBorder="1" applyAlignment="1" applyProtection="1">
      <alignment horizontal="left" vertical="center"/>
      <protection locked="0"/>
    </xf>
    <xf numFmtId="0" fontId="3" fillId="12" borderId="30" xfId="11" applyFont="1" applyFill="1" applyBorder="1" applyProtection="1">
      <protection locked="0"/>
    </xf>
    <xf numFmtId="0" fontId="3" fillId="12" borderId="31" xfId="11" applyFill="1" applyBorder="1" applyAlignment="1" applyProtection="1">
      <alignment vertical="top"/>
      <protection locked="0"/>
    </xf>
    <xf numFmtId="175" fontId="3" fillId="12" borderId="34" xfId="14" applyNumberFormat="1" applyFont="1" applyFill="1" applyBorder="1" applyAlignment="1" applyProtection="1">
      <alignment vertical="top"/>
      <protection locked="0"/>
    </xf>
    <xf numFmtId="0" fontId="3" fillId="12" borderId="57" xfId="11" applyFont="1" applyFill="1" applyBorder="1" applyAlignment="1" applyProtection="1">
      <alignment vertical="center"/>
      <protection locked="0"/>
    </xf>
    <xf numFmtId="178" fontId="3" fillId="12" borderId="31" xfId="14" applyFont="1" applyFill="1" applyBorder="1" applyAlignment="1" applyProtection="1">
      <alignment vertical="center"/>
      <protection locked="0"/>
    </xf>
    <xf numFmtId="0" fontId="3" fillId="12" borderId="34" xfId="11" applyFont="1" applyFill="1" applyBorder="1" applyAlignment="1" applyProtection="1">
      <alignment vertical="center"/>
      <protection locked="0"/>
    </xf>
    <xf numFmtId="178" fontId="3" fillId="12" borderId="34" xfId="11" applyNumberFormat="1" applyFont="1" applyFill="1" applyBorder="1" applyAlignment="1" applyProtection="1">
      <alignment vertical="center"/>
      <protection locked="0"/>
    </xf>
    <xf numFmtId="10" fontId="3" fillId="12" borderId="32" xfId="7" applyNumberFormat="1" applyFont="1" applyFill="1" applyBorder="1" applyAlignment="1" applyProtection="1">
      <alignment vertical="center"/>
      <protection locked="0"/>
    </xf>
    <xf numFmtId="0" fontId="4" fillId="0" borderId="46" xfId="11" applyFont="1" applyFill="1" applyBorder="1" applyAlignment="1" applyProtection="1">
      <alignment vertical="top"/>
      <protection locked="0"/>
    </xf>
    <xf numFmtId="0" fontId="3" fillId="0" borderId="0" xfId="11" applyBorder="1" applyAlignment="1" applyProtection="1">
      <alignment vertical="top"/>
      <protection locked="0"/>
    </xf>
    <xf numFmtId="9" fontId="3" fillId="0" borderId="21" xfId="11" applyNumberFormat="1" applyFont="1" applyFill="1" applyBorder="1" applyAlignment="1" applyProtection="1">
      <alignment vertical="top"/>
      <protection locked="0"/>
    </xf>
    <xf numFmtId="9" fontId="3" fillId="0" borderId="0" xfId="11" applyNumberFormat="1" applyFont="1" applyFill="1" applyBorder="1" applyAlignment="1" applyProtection="1">
      <alignment vertical="center"/>
      <protection locked="0"/>
    </xf>
    <xf numFmtId="178" fontId="4" fillId="0" borderId="3" xfId="11" applyNumberFormat="1" applyFont="1" applyFill="1" applyBorder="1" applyAlignment="1" applyProtection="1">
      <alignment vertical="center"/>
      <protection locked="0"/>
    </xf>
    <xf numFmtId="9" fontId="4" fillId="0" borderId="21" xfId="11" applyNumberFormat="1" applyFont="1" applyFill="1" applyBorder="1" applyAlignment="1" applyProtection="1">
      <alignment vertical="center"/>
      <protection locked="0"/>
    </xf>
    <xf numFmtId="178" fontId="4" fillId="0" borderId="21" xfId="11" applyNumberFormat="1" applyFont="1" applyFill="1" applyBorder="1" applyAlignment="1" applyProtection="1">
      <alignment vertical="center"/>
      <protection locked="0"/>
    </xf>
    <xf numFmtId="10" fontId="4" fillId="0" borderId="9" xfId="7" applyNumberFormat="1" applyFont="1" applyFill="1" applyBorder="1" applyAlignment="1" applyProtection="1">
      <alignment vertical="center"/>
      <protection locked="0"/>
    </xf>
    <xf numFmtId="0" fontId="3" fillId="0" borderId="46" xfId="11" applyFont="1" applyFill="1" applyBorder="1" applyAlignment="1" applyProtection="1">
      <alignment horizontal="left" vertical="top" indent="1"/>
      <protection locked="0"/>
    </xf>
    <xf numFmtId="0" fontId="3" fillId="0" borderId="0" xfId="11" applyFont="1" applyFill="1" applyBorder="1" applyAlignment="1" applyProtection="1">
      <alignment vertical="center"/>
      <protection locked="0"/>
    </xf>
    <xf numFmtId="178" fontId="3" fillId="0" borderId="3" xfId="11" applyNumberFormat="1" applyFont="1" applyFill="1" applyBorder="1" applyAlignment="1" applyProtection="1">
      <alignment vertical="center"/>
      <protection locked="0"/>
    </xf>
    <xf numFmtId="9" fontId="3" fillId="0" borderId="21" xfId="11" applyNumberFormat="1" applyFont="1" applyFill="1" applyBorder="1" applyAlignment="1" applyProtection="1">
      <alignment vertical="center"/>
      <protection locked="0"/>
    </xf>
    <xf numFmtId="178" fontId="3" fillId="0" borderId="21" xfId="11" applyNumberFormat="1" applyFont="1" applyFill="1" applyBorder="1" applyAlignment="1" applyProtection="1">
      <alignment vertical="center"/>
      <protection locked="0"/>
    </xf>
    <xf numFmtId="10" fontId="3" fillId="0" borderId="9" xfId="7" applyNumberFormat="1" applyFont="1" applyFill="1" applyBorder="1" applyAlignment="1" applyProtection="1">
      <alignment vertical="center"/>
      <protection locked="0"/>
    </xf>
    <xf numFmtId="0" fontId="3" fillId="13" borderId="18" xfId="11" applyFont="1" applyFill="1" applyBorder="1" applyAlignment="1" applyProtection="1">
      <alignment vertical="top"/>
      <protection locked="0"/>
    </xf>
    <xf numFmtId="0" fontId="3" fillId="13" borderId="8" xfId="11" applyFont="1" applyFill="1" applyBorder="1" applyAlignment="1" applyProtection="1">
      <alignment vertical="center"/>
      <protection locked="0"/>
    </xf>
    <xf numFmtId="178" fontId="4" fillId="13" borderId="58" xfId="11" applyNumberFormat="1" applyFont="1" applyFill="1" applyBorder="1" applyAlignment="1" applyProtection="1">
      <alignment vertical="center"/>
      <protection locked="0"/>
    </xf>
    <xf numFmtId="0" fontId="4" fillId="13" borderId="18" xfId="11" applyFont="1" applyFill="1" applyBorder="1" applyAlignment="1" applyProtection="1">
      <alignment vertical="center"/>
      <protection locked="0"/>
    </xf>
    <xf numFmtId="178" fontId="4" fillId="13" borderId="18" xfId="11" applyNumberFormat="1" applyFont="1" applyFill="1" applyBorder="1" applyAlignment="1" applyProtection="1">
      <alignment vertical="center"/>
      <protection locked="0"/>
    </xf>
    <xf numFmtId="10" fontId="4" fillId="13" borderId="19" xfId="7" applyNumberFormat="1" applyFont="1" applyFill="1" applyBorder="1" applyAlignment="1" applyProtection="1">
      <alignment vertical="center"/>
      <protection locked="0"/>
    </xf>
    <xf numFmtId="0" fontId="17" fillId="0" borderId="0" xfId="11" applyFont="1" applyProtection="1">
      <protection locked="0"/>
    </xf>
    <xf numFmtId="175" fontId="21" fillId="8" borderId="21" xfId="14" applyNumberFormat="1" applyFont="1" applyFill="1" applyBorder="1" applyAlignment="1" applyProtection="1">
      <alignment horizontal="left" vertical="center"/>
      <protection locked="0"/>
    </xf>
    <xf numFmtId="0" fontId="3" fillId="13" borderId="50" xfId="11" applyFont="1" applyFill="1" applyBorder="1" applyAlignment="1" applyProtection="1">
      <alignment vertical="top"/>
      <protection locked="0"/>
    </xf>
    <xf numFmtId="0" fontId="3" fillId="13" borderId="2" xfId="11" applyFont="1" applyFill="1" applyBorder="1" applyAlignment="1" applyProtection="1">
      <alignment vertical="center"/>
      <protection locked="0"/>
    </xf>
    <xf numFmtId="178" fontId="4" fillId="13" borderId="3" xfId="11" applyNumberFormat="1" applyFont="1" applyFill="1" applyBorder="1" applyAlignment="1" applyProtection="1">
      <alignment vertical="center"/>
      <protection locked="0"/>
    </xf>
    <xf numFmtId="0" fontId="4" fillId="13" borderId="50" xfId="11" applyFont="1" applyFill="1" applyBorder="1" applyAlignment="1" applyProtection="1">
      <alignment vertical="center"/>
      <protection locked="0"/>
    </xf>
    <xf numFmtId="178" fontId="4" fillId="13" borderId="4" xfId="11" applyNumberFormat="1" applyFont="1" applyFill="1" applyBorder="1" applyAlignment="1" applyProtection="1">
      <alignment vertical="center"/>
      <protection locked="0"/>
    </xf>
    <xf numFmtId="178" fontId="4" fillId="13" borderId="50" xfId="11" applyNumberFormat="1" applyFont="1" applyFill="1" applyBorder="1" applyAlignment="1" applyProtection="1">
      <alignment vertical="center"/>
      <protection locked="0"/>
    </xf>
    <xf numFmtId="10" fontId="4" fillId="13" borderId="40" xfId="7" applyNumberFormat="1" applyFont="1" applyFill="1" applyBorder="1" applyAlignment="1" applyProtection="1">
      <alignment vertical="center"/>
      <protection locked="0"/>
    </xf>
    <xf numFmtId="0" fontId="3" fillId="0" borderId="46" xfId="11" applyBorder="1" applyProtection="1">
      <protection locked="0"/>
    </xf>
    <xf numFmtId="175" fontId="4" fillId="2" borderId="21" xfId="14" applyNumberFormat="1" applyFont="1" applyFill="1" applyBorder="1" applyAlignment="1" applyProtection="1">
      <alignment horizontal="left" vertical="center"/>
      <protection locked="0"/>
    </xf>
    <xf numFmtId="175" fontId="19" fillId="2" borderId="21" xfId="14" applyNumberFormat="1" applyFont="1" applyFill="1" applyBorder="1" applyAlignment="1" applyProtection="1">
      <alignment horizontal="left" vertical="center"/>
      <protection locked="0"/>
    </xf>
    <xf numFmtId="0" fontId="3" fillId="13" borderId="21" xfId="11" applyFont="1" applyFill="1" applyBorder="1" applyAlignment="1" applyProtection="1">
      <alignment vertical="top"/>
      <protection locked="0"/>
    </xf>
    <xf numFmtId="0" fontId="3" fillId="13" borderId="0" xfId="11" applyFont="1" applyFill="1" applyBorder="1" applyAlignment="1" applyProtection="1">
      <alignment vertical="center"/>
      <protection locked="0"/>
    </xf>
    <xf numFmtId="0" fontId="4" fillId="13" borderId="21" xfId="11" applyFont="1" applyFill="1" applyBorder="1" applyAlignment="1" applyProtection="1">
      <alignment vertical="center"/>
      <protection locked="0"/>
    </xf>
    <xf numFmtId="178" fontId="4" fillId="13" borderId="21" xfId="11" applyNumberFormat="1" applyFont="1" applyFill="1" applyBorder="1" applyAlignment="1" applyProtection="1">
      <alignment vertical="center"/>
      <protection locked="0"/>
    </xf>
    <xf numFmtId="10" fontId="4" fillId="13" borderId="9" xfId="7" applyNumberFormat="1" applyFont="1" applyFill="1" applyBorder="1" applyAlignment="1" applyProtection="1">
      <alignment vertical="center"/>
      <protection locked="0"/>
    </xf>
    <xf numFmtId="175" fontId="3" fillId="12" borderId="57" xfId="14" applyNumberFormat="1" applyFill="1" applyBorder="1" applyAlignment="1" applyProtection="1">
      <alignment vertical="top"/>
      <protection locked="0"/>
    </xf>
    <xf numFmtId="0" fontId="3" fillId="12" borderId="31" xfId="11" applyFill="1" applyBorder="1" applyAlignment="1" applyProtection="1">
      <alignment vertical="center"/>
      <protection locked="0"/>
    </xf>
    <xf numFmtId="178" fontId="3" fillId="12" borderId="59" xfId="14" applyFill="1" applyBorder="1" applyAlignment="1" applyProtection="1">
      <alignment vertical="center"/>
      <protection locked="0"/>
    </xf>
    <xf numFmtId="0" fontId="3" fillId="12" borderId="57" xfId="11" applyFill="1" applyBorder="1" applyAlignment="1" applyProtection="1">
      <alignment vertical="center"/>
      <protection locked="0"/>
    </xf>
    <xf numFmtId="178" fontId="3" fillId="12" borderId="57" xfId="11" applyNumberFormat="1" applyFill="1" applyBorder="1" applyAlignment="1" applyProtection="1">
      <alignment vertical="center"/>
      <protection locked="0"/>
    </xf>
    <xf numFmtId="10" fontId="3" fillId="12" borderId="32" xfId="7" applyNumberFormat="1" applyFill="1" applyBorder="1" applyAlignment="1" applyProtection="1">
      <alignment vertical="center"/>
      <protection locked="0"/>
    </xf>
    <xf numFmtId="0" fontId="3" fillId="0" borderId="47" xfId="11" applyBorder="1" applyProtection="1">
      <protection locked="0"/>
    </xf>
    <xf numFmtId="0" fontId="3" fillId="0" borderId="8" xfId="11" applyBorder="1" applyProtection="1">
      <protection locked="0"/>
    </xf>
    <xf numFmtId="0" fontId="3" fillId="0" borderId="19" xfId="11" applyBorder="1" applyProtection="1">
      <protection locked="0"/>
    </xf>
    <xf numFmtId="0" fontId="3" fillId="0" borderId="48" xfId="11" applyBorder="1" applyProtection="1">
      <protection locked="0"/>
    </xf>
    <xf numFmtId="0" fontId="13" fillId="0" borderId="0" xfId="0" applyFont="1" applyFill="1" applyAlignment="1">
      <alignment horizontal="left" vertical="center"/>
    </xf>
    <xf numFmtId="0" fontId="4" fillId="13" borderId="46" xfId="11" applyFont="1" applyFill="1" applyBorder="1" applyAlignment="1" applyProtection="1">
      <alignment horizontal="left" vertical="top" wrapText="1"/>
      <protection locked="0"/>
    </xf>
    <xf numFmtId="0" fontId="4" fillId="13" borderId="0" xfId="11" applyFont="1" applyFill="1" applyBorder="1" applyAlignment="1" applyProtection="1">
      <alignment horizontal="left" vertical="top" wrapText="1"/>
      <protection locked="0"/>
    </xf>
    <xf numFmtId="0" fontId="4" fillId="0" borderId="51" xfId="11" applyFont="1" applyBorder="1" applyAlignment="1" applyProtection="1">
      <alignment horizontal="center"/>
      <protection locked="0"/>
    </xf>
    <xf numFmtId="0" fontId="4" fillId="0" borderId="52" xfId="11" applyFont="1" applyBorder="1" applyAlignment="1" applyProtection="1">
      <alignment horizontal="center"/>
      <protection locked="0"/>
    </xf>
    <xf numFmtId="0" fontId="4" fillId="0" borderId="23" xfId="11" applyFont="1" applyBorder="1" applyAlignment="1" applyProtection="1">
      <alignment horizontal="center"/>
      <protection locked="0"/>
    </xf>
    <xf numFmtId="0" fontId="4" fillId="0" borderId="53" xfId="11" applyFont="1" applyBorder="1" applyAlignment="1" applyProtection="1">
      <alignment horizontal="center"/>
      <protection locked="0"/>
    </xf>
    <xf numFmtId="0" fontId="4" fillId="8" borderId="0" xfId="11" applyFont="1" applyFill="1" applyBorder="1" applyAlignment="1" applyProtection="1">
      <alignment horizontal="center" wrapText="1"/>
      <protection locked="0"/>
    </xf>
    <xf numFmtId="0" fontId="3" fillId="8" borderId="0" xfId="11" applyFill="1" applyBorder="1" applyAlignment="1" applyProtection="1">
      <alignment horizontal="center" wrapText="1"/>
      <protection locked="0"/>
    </xf>
    <xf numFmtId="0" fontId="4" fillId="0" borderId="21" xfId="11" applyFont="1" applyFill="1" applyBorder="1" applyAlignment="1" applyProtection="1">
      <alignment horizontal="center" wrapText="1"/>
      <protection locked="0"/>
    </xf>
    <xf numFmtId="0" fontId="3" fillId="0" borderId="50" xfId="11" applyBorder="1" applyAlignment="1" applyProtection="1">
      <alignment wrapText="1"/>
      <protection locked="0"/>
    </xf>
    <xf numFmtId="0" fontId="4" fillId="0" borderId="9" xfId="11" applyFont="1" applyFill="1" applyBorder="1" applyAlignment="1" applyProtection="1">
      <alignment horizontal="center" wrapText="1"/>
      <protection locked="0"/>
    </xf>
    <xf numFmtId="0" fontId="3" fillId="0" borderId="40" xfId="11" applyBorder="1" applyAlignment="1" applyProtection="1">
      <alignment wrapText="1"/>
      <protection locked="0"/>
    </xf>
    <xf numFmtId="0" fontId="8" fillId="8" borderId="22" xfId="11" applyFont="1" applyFill="1" applyBorder="1" applyAlignment="1" applyProtection="1">
      <alignment horizontal="left" vertical="top"/>
      <protection locked="0"/>
    </xf>
    <xf numFmtId="0" fontId="4" fillId="8" borderId="50" xfId="11" applyFont="1" applyFill="1" applyBorder="1" applyAlignment="1" applyProtection="1">
      <alignment horizontal="left" vertical="top"/>
      <protection locked="0"/>
    </xf>
    <xf numFmtId="0" fontId="4" fillId="13" borderId="47" xfId="11" applyFont="1" applyFill="1" applyBorder="1" applyAlignment="1" applyProtection="1">
      <alignment horizontal="left" vertical="top" wrapText="1"/>
      <protection locked="0"/>
    </xf>
    <xf numFmtId="0" fontId="4" fillId="13" borderId="8" xfId="11" applyFont="1" applyFill="1" applyBorder="1" applyAlignment="1" applyProtection="1">
      <alignment horizontal="left" vertical="top" wrapText="1"/>
      <protection locked="0"/>
    </xf>
    <xf numFmtId="0" fontId="8" fillId="8" borderId="12" xfId="11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175" fontId="16" fillId="0" borderId="0" xfId="2" applyNumberFormat="1" applyFont="1" applyFill="1" applyBorder="1" applyProtection="1"/>
    <xf numFmtId="0" fontId="15" fillId="14" borderId="60" xfId="0" applyFont="1" applyFill="1" applyBorder="1" applyAlignment="1">
      <alignment horizontal="center" wrapText="1"/>
    </xf>
    <xf numFmtId="3" fontId="15" fillId="14" borderId="34" xfId="0" applyNumberFormat="1" applyFont="1" applyFill="1" applyBorder="1" applyAlignment="1">
      <alignment horizontal="center" wrapText="1"/>
    </xf>
    <xf numFmtId="0" fontId="15" fillId="14" borderId="57" xfId="0" applyFont="1" applyFill="1" applyBorder="1" applyAlignment="1">
      <alignment horizontal="center" wrapText="1"/>
    </xf>
    <xf numFmtId="0" fontId="15" fillId="14" borderId="35" xfId="0" applyFont="1" applyFill="1" applyBorder="1" applyAlignment="1">
      <alignment horizontal="center" wrapText="1"/>
    </xf>
    <xf numFmtId="0" fontId="15" fillId="3" borderId="60" xfId="0" applyFont="1" applyFill="1" applyBorder="1" applyAlignment="1">
      <alignment horizontal="center" wrapText="1"/>
    </xf>
    <xf numFmtId="0" fontId="15" fillId="3" borderId="35" xfId="0" applyFont="1" applyFill="1" applyBorder="1" applyAlignment="1">
      <alignment horizontal="center" wrapText="1"/>
    </xf>
    <xf numFmtId="37" fontId="15" fillId="0" borderId="61" xfId="0" applyNumberFormat="1" applyFont="1" applyFill="1" applyBorder="1"/>
    <xf numFmtId="167" fontId="16" fillId="0" borderId="5" xfId="2" applyNumberFormat="1" applyFont="1" applyFill="1" applyBorder="1"/>
    <xf numFmtId="10" fontId="16" fillId="0" borderId="50" xfId="3" applyNumberFormat="1" applyFont="1" applyFill="1" applyBorder="1" applyAlignment="1">
      <alignment horizontal="center"/>
    </xf>
    <xf numFmtId="167" fontId="16" fillId="0" borderId="50" xfId="2" applyNumberFormat="1" applyFont="1" applyFill="1" applyBorder="1"/>
    <xf numFmtId="176" fontId="16" fillId="0" borderId="50" xfId="1" applyNumberFormat="1" applyFont="1" applyFill="1" applyBorder="1"/>
    <xf numFmtId="44" fontId="16" fillId="0" borderId="25" xfId="2" applyNumberFormat="1" applyFont="1" applyFill="1" applyBorder="1"/>
    <xf numFmtId="10" fontId="16" fillId="0" borderId="61" xfId="2" applyNumberFormat="1" applyFont="1" applyFill="1" applyBorder="1"/>
    <xf numFmtId="10" fontId="16" fillId="0" borderId="25" xfId="2" applyNumberFormat="1" applyFont="1" applyFill="1" applyBorder="1"/>
    <xf numFmtId="37" fontId="15" fillId="0" borderId="62" xfId="0" applyNumberFormat="1" applyFont="1" applyFill="1" applyBorder="1"/>
    <xf numFmtId="167" fontId="16" fillId="0" borderId="23" xfId="2" applyNumberFormat="1" applyFont="1" applyFill="1" applyBorder="1"/>
    <xf numFmtId="10" fontId="16" fillId="0" borderId="22" xfId="3" applyNumberFormat="1" applyFont="1" applyFill="1" applyBorder="1" applyAlignment="1">
      <alignment horizontal="center"/>
    </xf>
    <xf numFmtId="167" fontId="16" fillId="0" borderId="22" xfId="2" applyNumberFormat="1" applyFont="1" applyFill="1" applyBorder="1"/>
    <xf numFmtId="176" fontId="16" fillId="0" borderId="22" xfId="1" applyNumberFormat="1" applyFont="1" applyFill="1" applyBorder="1"/>
    <xf numFmtId="44" fontId="16" fillId="0" borderId="24" xfId="2" applyNumberFormat="1" applyFont="1" applyFill="1" applyBorder="1"/>
    <xf numFmtId="10" fontId="16" fillId="0" borderId="62" xfId="2" applyNumberFormat="1" applyFont="1" applyFill="1" applyBorder="1"/>
    <xf numFmtId="10" fontId="16" fillId="0" borderId="24" xfId="2" applyNumberFormat="1" applyFont="1" applyFill="1" applyBorder="1"/>
    <xf numFmtId="37" fontId="15" fillId="0" borderId="63" xfId="0" applyNumberFormat="1" applyFont="1" applyFill="1" applyBorder="1"/>
    <xf numFmtId="167" fontId="16" fillId="0" borderId="64" xfId="2" applyNumberFormat="1" applyFont="1" applyFill="1" applyBorder="1"/>
    <xf numFmtId="10" fontId="16" fillId="0" borderId="28" xfId="3" applyNumberFormat="1" applyFont="1" applyFill="1" applyBorder="1" applyAlignment="1">
      <alignment horizontal="center"/>
    </xf>
    <xf numFmtId="167" fontId="16" fillId="0" borderId="28" xfId="2" applyNumberFormat="1" applyFont="1" applyFill="1" applyBorder="1"/>
    <xf numFmtId="176" fontId="16" fillId="0" borderId="28" xfId="1" applyNumberFormat="1" applyFont="1" applyFill="1" applyBorder="1"/>
    <xf numFmtId="44" fontId="16" fillId="0" borderId="29" xfId="2" applyNumberFormat="1" applyFont="1" applyFill="1" applyBorder="1"/>
    <xf numFmtId="10" fontId="16" fillId="0" borderId="63" xfId="2" applyNumberFormat="1" applyFont="1" applyFill="1" applyBorder="1"/>
    <xf numFmtId="10" fontId="16" fillId="0" borderId="29" xfId="2" applyNumberFormat="1" applyFont="1" applyFill="1" applyBorder="1"/>
    <xf numFmtId="0" fontId="15" fillId="7" borderId="65" xfId="0" applyFont="1" applyFill="1" applyBorder="1" applyAlignment="1">
      <alignment horizontal="left" indent="1"/>
    </xf>
    <xf numFmtId="3" fontId="15" fillId="7" borderId="17" xfId="2" applyNumberFormat="1" applyFont="1" applyFill="1" applyBorder="1" applyAlignment="1">
      <alignment horizontal="center"/>
    </xf>
    <xf numFmtId="9" fontId="15" fillId="7" borderId="17" xfId="2" applyNumberFormat="1" applyFont="1" applyFill="1" applyBorder="1" applyAlignment="1">
      <alignment horizontal="center"/>
    </xf>
    <xf numFmtId="167" fontId="15" fillId="7" borderId="17" xfId="2" applyNumberFormat="1" applyFont="1" applyFill="1" applyBorder="1" applyAlignment="1">
      <alignment horizontal="center"/>
    </xf>
    <xf numFmtId="176" fontId="15" fillId="7" borderId="17" xfId="1" applyNumberFormat="1" applyFont="1" applyFill="1" applyBorder="1" applyAlignment="1">
      <alignment horizontal="center"/>
    </xf>
    <xf numFmtId="179" fontId="15" fillId="7" borderId="19" xfId="0" applyNumberFormat="1" applyFont="1" applyFill="1" applyBorder="1" applyAlignment="1">
      <alignment horizontal="center"/>
    </xf>
    <xf numFmtId="179" fontId="15" fillId="3" borderId="19" xfId="0" applyNumberFormat="1" applyFont="1" applyFill="1" applyBorder="1" applyAlignment="1">
      <alignment horizontal="center"/>
    </xf>
    <xf numFmtId="176" fontId="10" fillId="0" borderId="0" xfId="1" applyNumberFormat="1" applyFont="1"/>
    <xf numFmtId="44" fontId="10" fillId="0" borderId="0" xfId="0" applyNumberFormat="1" applyFont="1"/>
    <xf numFmtId="0" fontId="22" fillId="0" borderId="0" xfId="0" applyFont="1"/>
  </cellXfs>
  <cellStyles count="15">
    <cellStyle name="Comma" xfId="1" builtinId="3"/>
    <cellStyle name="Comma 2" xfId="5"/>
    <cellStyle name="Comma 2 2" xfId="13"/>
    <cellStyle name="Comma 3" xfId="10"/>
    <cellStyle name="Comma 4" xfId="12"/>
    <cellStyle name="Currency" xfId="2" builtinId="4"/>
    <cellStyle name="Currency 2" xfId="6"/>
    <cellStyle name="Currency 2 2" xfId="14"/>
    <cellStyle name="Normal" xfId="0" builtinId="0"/>
    <cellStyle name="Normal 2" xfId="4"/>
    <cellStyle name="Normal 2 2" xfId="11"/>
    <cellStyle name="Normal_6. Cost Allocation for Def-Var" xfId="8"/>
    <cellStyle name="Normal_Service Revenue Requirement" xfId="9"/>
    <cellStyle name="Percent" xfId="3" builtinId="5"/>
    <cellStyle name="Percent 2" xfId="7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orting%20Documents/Models%20and%20Impacts/Halton_2018%20IRM%20Rate%20Generator%20-%20original%20with%20chang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2013%20IRM\4.%20%20Drafts\draft%20models\Rate%20Generator\2013%20IRM%20Rate%20Generator_V2_20120926%20GA%20DVA%20on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2.9999999999999997E-4</v>
          </cell>
        </row>
        <row r="17">
          <cell r="D17">
            <v>0.25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  <row r="29">
          <cell r="D29">
            <v>7.0000000000000001E-3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O2" t="str">
            <v>$/kWh</v>
          </cell>
        </row>
        <row r="3">
          <cell r="O3" t="str">
            <v>$/kW</v>
          </cell>
        </row>
        <row r="4">
          <cell r="O4" t="str">
            <v>$/kVA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E76"/>
  <sheetViews>
    <sheetView workbookViewId="0">
      <selection activeCell="F14" sqref="F14"/>
    </sheetView>
  </sheetViews>
  <sheetFormatPr defaultRowHeight="15" x14ac:dyDescent="0.25"/>
  <cols>
    <col min="1" max="1" width="51.140625" style="2" customWidth="1"/>
    <col min="2" max="2" width="19.140625" style="2" customWidth="1"/>
    <col min="3" max="3" width="17.140625" style="2" customWidth="1"/>
    <col min="4" max="4" width="2.42578125" style="2" customWidth="1"/>
    <col min="5" max="5" width="17.5703125" style="2" customWidth="1"/>
    <col min="6" max="16384" width="9.140625" style="2"/>
  </cols>
  <sheetData>
    <row r="3" spans="1:5" ht="15.75" x14ac:dyDescent="0.25">
      <c r="A3" s="1" t="s">
        <v>0</v>
      </c>
    </row>
    <row r="4" spans="1:5" ht="15.75" x14ac:dyDescent="0.25">
      <c r="A4" s="1"/>
    </row>
    <row r="5" spans="1:5" ht="15.75" thickBot="1" x14ac:dyDescent="0.3"/>
    <row r="6" spans="1:5" ht="60" x14ac:dyDescent="0.25">
      <c r="A6" s="3"/>
      <c r="B6" s="4" t="s">
        <v>1</v>
      </c>
      <c r="C6" s="5" t="s">
        <v>2</v>
      </c>
      <c r="D6" s="6"/>
      <c r="E6" s="7" t="s">
        <v>3</v>
      </c>
    </row>
    <row r="7" spans="1:5" ht="45.75" thickBot="1" x14ac:dyDescent="0.3">
      <c r="A7" s="8" t="s">
        <v>4</v>
      </c>
      <c r="B7" s="9" t="s">
        <v>5</v>
      </c>
      <c r="C7" s="9" t="s">
        <v>5</v>
      </c>
      <c r="D7" s="10"/>
      <c r="E7" s="11" t="s">
        <v>6</v>
      </c>
    </row>
    <row r="8" spans="1:5" x14ac:dyDescent="0.25">
      <c r="A8" s="12" t="s">
        <v>7</v>
      </c>
      <c r="B8" s="13"/>
      <c r="C8" s="13"/>
      <c r="D8" s="14"/>
      <c r="E8" s="15"/>
    </row>
    <row r="9" spans="1:5" x14ac:dyDescent="0.25">
      <c r="A9" s="16" t="s">
        <v>8</v>
      </c>
      <c r="B9" s="17">
        <v>1122150.324551397</v>
      </c>
      <c r="C9" s="17">
        <v>791890.33630217053</v>
      </c>
      <c r="D9" s="14"/>
      <c r="E9" s="18">
        <v>330259</v>
      </c>
    </row>
    <row r="10" spans="1:5" x14ac:dyDescent="0.25">
      <c r="A10" s="16" t="s">
        <v>9</v>
      </c>
      <c r="B10" s="17">
        <v>9162100.9147578701</v>
      </c>
      <c r="C10" s="17">
        <v>9162100.9147578701</v>
      </c>
      <c r="D10" s="14"/>
      <c r="E10" s="18">
        <v>0</v>
      </c>
    </row>
    <row r="11" spans="1:5" x14ac:dyDescent="0.25">
      <c r="A11" s="16" t="s">
        <v>10</v>
      </c>
      <c r="B11" s="17">
        <v>959144.20363636361</v>
      </c>
      <c r="C11" s="17">
        <v>959144.20363636361</v>
      </c>
      <c r="D11" s="19"/>
      <c r="E11" s="18">
        <v>0</v>
      </c>
    </row>
    <row r="12" spans="1:5" x14ac:dyDescent="0.25">
      <c r="A12" s="20" t="s">
        <v>11</v>
      </c>
      <c r="B12" s="21">
        <v>11243395.442945629</v>
      </c>
      <c r="C12" s="22">
        <v>10913135.454696404</v>
      </c>
      <c r="D12" s="14"/>
      <c r="E12" s="23">
        <v>330259</v>
      </c>
    </row>
    <row r="13" spans="1:5" x14ac:dyDescent="0.25">
      <c r="A13" s="16"/>
      <c r="B13" s="24"/>
      <c r="C13" s="24"/>
      <c r="D13" s="14"/>
      <c r="E13" s="25"/>
    </row>
    <row r="14" spans="1:5" x14ac:dyDescent="0.25">
      <c r="A14" s="12" t="s">
        <v>12</v>
      </c>
      <c r="B14" s="24"/>
      <c r="C14" s="24"/>
      <c r="D14" s="14"/>
      <c r="E14" s="25"/>
    </row>
    <row r="15" spans="1:5" x14ac:dyDescent="0.25">
      <c r="A15" s="16" t="s">
        <v>13</v>
      </c>
      <c r="B15" s="17">
        <v>4265793.4990218831</v>
      </c>
      <c r="C15" s="17">
        <v>4265793.4990218831</v>
      </c>
      <c r="D15" s="14"/>
      <c r="E15" s="18">
        <v>0</v>
      </c>
    </row>
    <row r="16" spans="1:5" x14ac:dyDescent="0.25">
      <c r="A16" s="16" t="s">
        <v>14</v>
      </c>
      <c r="B16" s="17">
        <v>1729771.6816167138</v>
      </c>
      <c r="C16" s="17">
        <v>1729771.6816167138</v>
      </c>
      <c r="D16" s="14"/>
      <c r="E16" s="18">
        <v>0</v>
      </c>
    </row>
    <row r="17" spans="1:5" x14ac:dyDescent="0.25">
      <c r="A17" s="16" t="s">
        <v>15</v>
      </c>
      <c r="B17" s="17">
        <v>12027.045</v>
      </c>
      <c r="C17" s="17">
        <v>12027.045</v>
      </c>
      <c r="D17" s="14"/>
      <c r="E17" s="18">
        <v>0</v>
      </c>
    </row>
    <row r="18" spans="1:5" x14ac:dyDescent="0.25">
      <c r="A18" s="16" t="s">
        <v>16</v>
      </c>
      <c r="B18" s="17">
        <v>1847446.2173049564</v>
      </c>
      <c r="C18" s="17">
        <v>1508053.5269207491</v>
      </c>
      <c r="D18" s="14"/>
      <c r="E18" s="18">
        <v>339392.69038420729</v>
      </c>
    </row>
    <row r="19" spans="1:5" x14ac:dyDescent="0.25">
      <c r="A19" s="16" t="s">
        <v>17</v>
      </c>
      <c r="B19" s="17">
        <v>104440</v>
      </c>
      <c r="C19" s="17">
        <v>104440</v>
      </c>
      <c r="D19" s="14"/>
      <c r="E19" s="18">
        <v>0</v>
      </c>
    </row>
    <row r="20" spans="1:5" x14ac:dyDescent="0.25">
      <c r="A20" s="16" t="s">
        <v>18</v>
      </c>
      <c r="B20" s="17">
        <v>1032285.752947984</v>
      </c>
      <c r="C20" s="17">
        <v>1035156.5801643396</v>
      </c>
      <c r="D20" s="14"/>
      <c r="E20" s="26">
        <v>-2870.8272163555957</v>
      </c>
    </row>
    <row r="21" spans="1:5" x14ac:dyDescent="0.25">
      <c r="A21" s="27" t="s">
        <v>19</v>
      </c>
      <c r="B21" s="21">
        <v>8991764.1958915368</v>
      </c>
      <c r="C21" s="22">
        <v>8655242.3327236846</v>
      </c>
      <c r="D21" s="14"/>
      <c r="E21" s="23">
        <v>336521.86316785216</v>
      </c>
    </row>
    <row r="22" spans="1:5" x14ac:dyDescent="0.25">
      <c r="A22" s="16"/>
      <c r="B22" s="24"/>
      <c r="C22" s="24"/>
      <c r="D22" s="14"/>
      <c r="E22" s="25"/>
    </row>
    <row r="23" spans="1:5" x14ac:dyDescent="0.25">
      <c r="A23" s="27" t="s">
        <v>20</v>
      </c>
      <c r="B23" s="21">
        <v>2251631.2470540926</v>
      </c>
      <c r="C23" s="22">
        <v>2257893.1219727192</v>
      </c>
      <c r="D23" s="14"/>
      <c r="E23" s="28">
        <v>-6261.8749186266214</v>
      </c>
    </row>
    <row r="24" spans="1:5" x14ac:dyDescent="0.25">
      <c r="A24" s="16"/>
      <c r="B24" s="24"/>
      <c r="C24" s="24"/>
      <c r="D24" s="14"/>
      <c r="E24" s="25"/>
    </row>
    <row r="25" spans="1:5" x14ac:dyDescent="0.25">
      <c r="A25" s="12" t="s">
        <v>21</v>
      </c>
      <c r="B25" s="24"/>
      <c r="C25" s="24"/>
      <c r="D25" s="14"/>
      <c r="E25" s="25"/>
    </row>
    <row r="26" spans="1:5" x14ac:dyDescent="0.25">
      <c r="A26" s="16" t="s">
        <v>22</v>
      </c>
      <c r="B26" s="29">
        <v>0</v>
      </c>
      <c r="C26" s="29">
        <v>0</v>
      </c>
      <c r="D26" s="14"/>
      <c r="E26" s="30">
        <v>0</v>
      </c>
    </row>
    <row r="27" spans="1:5" x14ac:dyDescent="0.25">
      <c r="A27" s="27" t="s">
        <v>23</v>
      </c>
      <c r="B27" s="31">
        <v>0</v>
      </c>
      <c r="C27" s="32">
        <v>0</v>
      </c>
      <c r="D27" s="14"/>
      <c r="E27" s="28">
        <v>0</v>
      </c>
    </row>
    <row r="28" spans="1:5" x14ac:dyDescent="0.25">
      <c r="A28" s="27"/>
      <c r="B28" s="24"/>
      <c r="C28" s="24"/>
      <c r="D28" s="14"/>
      <c r="E28" s="25"/>
    </row>
    <row r="29" spans="1:5" ht="15.75" thickBot="1" x14ac:dyDescent="0.3">
      <c r="A29" s="27" t="s">
        <v>24</v>
      </c>
      <c r="B29" s="33">
        <v>2251631.2470540926</v>
      </c>
      <c r="C29" s="34">
        <v>2257893.1219727192</v>
      </c>
      <c r="D29" s="14"/>
      <c r="E29" s="35">
        <v>-6261.8749186266214</v>
      </c>
    </row>
    <row r="30" spans="1:5" ht="15.75" thickTop="1" x14ac:dyDescent="0.25">
      <c r="A30" s="16"/>
      <c r="B30" s="24"/>
      <c r="C30" s="24"/>
      <c r="D30" s="14"/>
      <c r="E30" s="25"/>
    </row>
    <row r="31" spans="1:5" x14ac:dyDescent="0.25">
      <c r="A31" s="16"/>
      <c r="B31" s="24"/>
      <c r="C31" s="24"/>
      <c r="D31" s="14"/>
      <c r="E31" s="25"/>
    </row>
    <row r="32" spans="1:5" x14ac:dyDescent="0.25">
      <c r="A32" s="12" t="s">
        <v>25</v>
      </c>
      <c r="B32" s="24"/>
      <c r="C32" s="24"/>
      <c r="D32" s="14"/>
      <c r="E32" s="25"/>
    </row>
    <row r="33" spans="1:5" x14ac:dyDescent="0.25">
      <c r="A33" s="16" t="s">
        <v>26</v>
      </c>
      <c r="B33" s="29">
        <v>2251631.2470540926</v>
      </c>
      <c r="C33" s="29">
        <v>2257893.1219727192</v>
      </c>
      <c r="D33" s="14"/>
      <c r="E33" s="30">
        <v>-6261.8749186266214</v>
      </c>
    </row>
    <row r="34" spans="1:5" x14ac:dyDescent="0.25">
      <c r="A34" s="16" t="s">
        <v>27</v>
      </c>
      <c r="B34" s="29">
        <v>-4060067.6165873101</v>
      </c>
      <c r="C34" s="29">
        <v>-4400588.0578048509</v>
      </c>
      <c r="D34" s="14"/>
      <c r="E34" s="30">
        <v>340520.44121754076</v>
      </c>
    </row>
    <row r="35" spans="1:5" x14ac:dyDescent="0.25">
      <c r="A35" s="27" t="s">
        <v>28</v>
      </c>
      <c r="B35" s="31">
        <v>-1808436.3695332175</v>
      </c>
      <c r="C35" s="32">
        <v>-2142694.9358321317</v>
      </c>
      <c r="D35" s="14"/>
      <c r="E35" s="28">
        <v>334258.56629891414</v>
      </c>
    </row>
    <row r="36" spans="1:5" x14ac:dyDescent="0.25">
      <c r="A36" s="27" t="s">
        <v>29</v>
      </c>
      <c r="B36" s="31">
        <v>0</v>
      </c>
      <c r="C36" s="32">
        <v>0</v>
      </c>
      <c r="D36" s="14"/>
      <c r="E36" s="28">
        <v>0</v>
      </c>
    </row>
    <row r="37" spans="1:5" x14ac:dyDescent="0.25">
      <c r="A37" s="27" t="s">
        <v>30</v>
      </c>
      <c r="B37" s="31">
        <v>0</v>
      </c>
      <c r="C37" s="32">
        <v>0</v>
      </c>
      <c r="D37" s="14"/>
      <c r="E37" s="28">
        <v>0</v>
      </c>
    </row>
    <row r="38" spans="1:5" x14ac:dyDescent="0.25">
      <c r="A38" s="27" t="s">
        <v>31</v>
      </c>
      <c r="B38" s="29">
        <v>0</v>
      </c>
      <c r="C38" s="29">
        <v>0</v>
      </c>
      <c r="D38" s="14"/>
      <c r="E38" s="30">
        <v>0</v>
      </c>
    </row>
    <row r="39" spans="1:5" x14ac:dyDescent="0.25">
      <c r="A39" s="27" t="s">
        <v>32</v>
      </c>
      <c r="B39" s="36">
        <v>0</v>
      </c>
      <c r="C39" s="36">
        <v>0</v>
      </c>
      <c r="D39" s="14"/>
      <c r="E39" s="37">
        <v>0</v>
      </c>
    </row>
    <row r="40" spans="1:5" x14ac:dyDescent="0.25">
      <c r="A40" s="16"/>
      <c r="B40" s="36"/>
      <c r="C40" s="36"/>
      <c r="D40" s="14"/>
      <c r="E40" s="37">
        <v>0</v>
      </c>
    </row>
    <row r="41" spans="1:5" x14ac:dyDescent="0.25">
      <c r="A41" s="12" t="s">
        <v>33</v>
      </c>
      <c r="B41" s="38"/>
      <c r="C41" s="38"/>
      <c r="D41" s="14"/>
      <c r="E41" s="39"/>
    </row>
    <row r="42" spans="1:5" x14ac:dyDescent="0.25">
      <c r="A42" s="16" t="s">
        <v>34</v>
      </c>
      <c r="B42" s="40">
        <v>61252210.202777296</v>
      </c>
      <c r="C42" s="40">
        <v>61422555.00469856</v>
      </c>
      <c r="D42" s="14"/>
      <c r="E42" s="41">
        <v>-170344.80192126334</v>
      </c>
    </row>
    <row r="43" spans="1:5" x14ac:dyDescent="0.25">
      <c r="A43" s="16"/>
      <c r="B43" s="40"/>
      <c r="C43" s="40"/>
      <c r="D43" s="14"/>
      <c r="E43" s="41">
        <v>0</v>
      </c>
    </row>
    <row r="44" spans="1:5" x14ac:dyDescent="0.25">
      <c r="A44" s="16" t="s">
        <v>35</v>
      </c>
      <c r="B44" s="40">
        <v>1032285.752947984</v>
      </c>
      <c r="C44" s="40">
        <v>1035156.5801643396</v>
      </c>
      <c r="D44" s="14"/>
      <c r="E44" s="41">
        <v>-2870.8272163555957</v>
      </c>
    </row>
    <row r="45" spans="1:5" x14ac:dyDescent="0.25">
      <c r="A45" s="16" t="s">
        <v>36</v>
      </c>
      <c r="B45" s="40">
        <v>2251631.2470540926</v>
      </c>
      <c r="C45" s="40">
        <v>2257893.1219727192</v>
      </c>
      <c r="D45" s="14"/>
      <c r="E45" s="41">
        <v>-6261.8749186266214</v>
      </c>
    </row>
    <row r="46" spans="1:5" ht="15.75" thickBot="1" x14ac:dyDescent="0.3">
      <c r="A46" s="27" t="s">
        <v>37</v>
      </c>
      <c r="B46" s="42">
        <v>3283917.0000020768</v>
      </c>
      <c r="C46" s="42">
        <v>3293049.7021370586</v>
      </c>
      <c r="D46" s="14"/>
      <c r="E46" s="43">
        <v>-9132.7021349817514</v>
      </c>
    </row>
    <row r="47" spans="1:5" x14ac:dyDescent="0.25">
      <c r="A47" s="16"/>
      <c r="B47" s="38"/>
      <c r="C47" s="38"/>
      <c r="D47" s="14"/>
      <c r="E47" s="39"/>
    </row>
    <row r="48" spans="1:5" x14ac:dyDescent="0.25">
      <c r="A48" s="12" t="s">
        <v>38</v>
      </c>
      <c r="B48" s="36">
        <v>5.3613036805211928E-2</v>
      </c>
      <c r="C48" s="36">
        <v>5.3613036805211935E-2</v>
      </c>
      <c r="D48" s="14"/>
      <c r="E48" s="37">
        <v>0</v>
      </c>
    </row>
    <row r="49" spans="1:5" x14ac:dyDescent="0.25">
      <c r="A49" s="16"/>
      <c r="B49" s="38"/>
      <c r="C49" s="38"/>
      <c r="D49" s="14"/>
      <c r="E49" s="39"/>
    </row>
    <row r="50" spans="1:5" x14ac:dyDescent="0.25">
      <c r="A50" s="12" t="s">
        <v>39</v>
      </c>
      <c r="B50" s="38"/>
      <c r="C50" s="38"/>
      <c r="D50" s="14"/>
      <c r="E50" s="39"/>
    </row>
    <row r="51" spans="1:5" x14ac:dyDescent="0.25">
      <c r="A51" s="16" t="s">
        <v>34</v>
      </c>
      <c r="B51" s="40">
        <v>61252210.202777296</v>
      </c>
      <c r="C51" s="40">
        <v>61422555.00469856</v>
      </c>
      <c r="D51" s="14"/>
      <c r="E51" s="41">
        <v>-170344.80192126334</v>
      </c>
    </row>
    <row r="52" spans="1:5" x14ac:dyDescent="0.25">
      <c r="A52" s="16"/>
      <c r="B52" s="38"/>
      <c r="C52" s="38"/>
      <c r="D52" s="14"/>
      <c r="E52" s="39"/>
    </row>
    <row r="53" spans="1:5" x14ac:dyDescent="0.25">
      <c r="A53" s="12" t="s">
        <v>40</v>
      </c>
      <c r="B53" s="38"/>
      <c r="C53" s="38"/>
      <c r="D53" s="14"/>
      <c r="E53" s="39"/>
    </row>
    <row r="54" spans="1:5" x14ac:dyDescent="0.25">
      <c r="A54" s="16" t="s">
        <v>41</v>
      </c>
      <c r="B54" s="36">
        <v>2.8088394675353224E-2</v>
      </c>
      <c r="C54" s="36">
        <v>2.8088394675353224E-2</v>
      </c>
      <c r="D54" s="14"/>
      <c r="E54" s="37">
        <v>0</v>
      </c>
    </row>
    <row r="55" spans="1:5" x14ac:dyDescent="0.25">
      <c r="A55" s="16" t="s">
        <v>42</v>
      </c>
      <c r="B55" s="36">
        <v>9.1899999999999996E-2</v>
      </c>
      <c r="C55" s="36">
        <v>9.1899999999999996E-2</v>
      </c>
      <c r="D55" s="14"/>
      <c r="E55" s="37">
        <v>0</v>
      </c>
    </row>
    <row r="56" spans="1:5" x14ac:dyDescent="0.25">
      <c r="A56" s="16"/>
      <c r="B56" s="38"/>
      <c r="C56" s="38"/>
      <c r="D56" s="14"/>
      <c r="E56" s="39"/>
    </row>
    <row r="57" spans="1:5" x14ac:dyDescent="0.25">
      <c r="A57" s="16" t="s">
        <v>43</v>
      </c>
      <c r="B57" s="40">
        <v>1032285.752947984</v>
      </c>
      <c r="C57" s="40">
        <v>1035156.5801643396</v>
      </c>
      <c r="D57" s="14"/>
      <c r="E57" s="41">
        <v>-2870.8272163555957</v>
      </c>
    </row>
    <row r="58" spans="1:5" x14ac:dyDescent="0.25">
      <c r="A58" s="16" t="s">
        <v>44</v>
      </c>
      <c r="B58" s="40">
        <v>2251631.2470540935</v>
      </c>
      <c r="C58" s="40">
        <v>2257893.1219727187</v>
      </c>
      <c r="D58" s="14"/>
      <c r="E58" s="41">
        <v>-6261.8749186252244</v>
      </c>
    </row>
    <row r="59" spans="1:5" ht="15.75" thickBot="1" x14ac:dyDescent="0.3">
      <c r="A59" s="27" t="s">
        <v>45</v>
      </c>
      <c r="B59" s="44">
        <v>3283917.0000020778</v>
      </c>
      <c r="C59" s="44">
        <v>3293049.7021370586</v>
      </c>
      <c r="D59" s="14"/>
      <c r="E59" s="45">
        <v>-9132.7021349808201</v>
      </c>
    </row>
    <row r="60" spans="1:5" ht="15.75" thickTop="1" x14ac:dyDescent="0.25">
      <c r="A60" s="16"/>
      <c r="B60" s="38"/>
      <c r="C60" s="38"/>
      <c r="D60" s="14"/>
      <c r="E60" s="39"/>
    </row>
    <row r="61" spans="1:5" x14ac:dyDescent="0.25">
      <c r="A61" s="12" t="s">
        <v>46</v>
      </c>
      <c r="B61" s="36">
        <v>5.3613036805211942E-2</v>
      </c>
      <c r="C61" s="36">
        <v>5.3613036805211935E-2</v>
      </c>
      <c r="D61" s="14"/>
      <c r="E61" s="37">
        <v>0</v>
      </c>
    </row>
    <row r="62" spans="1:5" x14ac:dyDescent="0.25">
      <c r="A62" s="16"/>
      <c r="B62" s="38"/>
      <c r="C62" s="38"/>
      <c r="D62" s="14"/>
      <c r="E62" s="39"/>
    </row>
    <row r="63" spans="1:5" x14ac:dyDescent="0.25">
      <c r="A63" s="46" t="s">
        <v>47</v>
      </c>
      <c r="B63" s="47">
        <v>8.5004517595379104E-10</v>
      </c>
      <c r="C63" s="47">
        <v>0</v>
      </c>
      <c r="D63" s="14"/>
      <c r="E63" s="48">
        <v>8.5004517595379104E-10</v>
      </c>
    </row>
    <row r="64" spans="1:5" ht="15.75" thickBot="1" x14ac:dyDescent="0.3">
      <c r="A64" s="49" t="s">
        <v>48</v>
      </c>
      <c r="B64" s="50">
        <v>8.5004517595379104E-10</v>
      </c>
      <c r="C64" s="50">
        <v>0</v>
      </c>
      <c r="D64" s="51"/>
      <c r="E64" s="52">
        <v>8.5004517595379104E-10</v>
      </c>
    </row>
    <row r="65" spans="1:5" ht="15.75" thickBot="1" x14ac:dyDescent="0.3">
      <c r="A65" s="53"/>
      <c r="B65" s="54"/>
      <c r="C65" s="54"/>
      <c r="D65" s="55"/>
      <c r="E65" s="56"/>
    </row>
    <row r="66" spans="1:5" ht="15.75" thickBot="1" x14ac:dyDescent="0.3">
      <c r="A66" s="57" t="s">
        <v>49</v>
      </c>
      <c r="B66" s="58">
        <v>2016</v>
      </c>
      <c r="C66" s="58">
        <v>2016</v>
      </c>
      <c r="D66" s="59"/>
      <c r="E66" s="60" t="s">
        <v>3</v>
      </c>
    </row>
    <row r="67" spans="1:5" x14ac:dyDescent="0.25">
      <c r="A67" s="61"/>
      <c r="B67" s="62"/>
      <c r="C67" s="62"/>
      <c r="D67" s="63"/>
      <c r="E67" s="64"/>
    </row>
    <row r="68" spans="1:5" x14ac:dyDescent="0.25">
      <c r="A68" s="61" t="s">
        <v>50</v>
      </c>
      <c r="B68" s="40">
        <v>2251631.2470540926</v>
      </c>
      <c r="C68" s="40">
        <v>2257893.1219727192</v>
      </c>
      <c r="D68" s="63"/>
      <c r="E68" s="65">
        <v>-6261.8749186266214</v>
      </c>
    </row>
    <row r="69" spans="1:5" x14ac:dyDescent="0.25">
      <c r="A69" s="61" t="s">
        <v>27</v>
      </c>
      <c r="B69" s="29">
        <v>-4060067.6165873101</v>
      </c>
      <c r="C69" s="29">
        <v>-4400588.0578048509</v>
      </c>
      <c r="D69" s="63"/>
      <c r="E69" s="66">
        <v>340520.44121754076</v>
      </c>
    </row>
    <row r="70" spans="1:5" x14ac:dyDescent="0.25">
      <c r="A70" s="67" t="s">
        <v>51</v>
      </c>
      <c r="B70" s="68">
        <v>-1808436.3695332175</v>
      </c>
      <c r="C70" s="68">
        <v>-2142694.9358321317</v>
      </c>
      <c r="D70" s="63"/>
      <c r="E70" s="48">
        <v>334258.56629891414</v>
      </c>
    </row>
    <row r="71" spans="1:5" x14ac:dyDescent="0.25">
      <c r="A71" s="61" t="s">
        <v>52</v>
      </c>
      <c r="B71" s="69">
        <v>0</v>
      </c>
      <c r="C71" s="69">
        <v>0</v>
      </c>
      <c r="D71" s="63"/>
      <c r="E71" s="70">
        <v>0</v>
      </c>
    </row>
    <row r="72" spans="1:5" x14ac:dyDescent="0.25">
      <c r="A72" s="61" t="s">
        <v>53</v>
      </c>
      <c r="B72" s="68">
        <v>0</v>
      </c>
      <c r="C72" s="68">
        <v>0</v>
      </c>
      <c r="D72" s="63"/>
      <c r="E72" s="48">
        <v>0</v>
      </c>
    </row>
    <row r="73" spans="1:5" x14ac:dyDescent="0.25">
      <c r="A73" s="61" t="s">
        <v>54</v>
      </c>
      <c r="B73" s="71">
        <v>0</v>
      </c>
      <c r="C73" s="71">
        <v>0</v>
      </c>
      <c r="D73" s="63"/>
      <c r="E73" s="72">
        <v>0</v>
      </c>
    </row>
    <row r="74" spans="1:5" x14ac:dyDescent="0.25">
      <c r="A74" s="61" t="s">
        <v>55</v>
      </c>
      <c r="B74" s="73">
        <v>0</v>
      </c>
      <c r="C74" s="73">
        <v>0</v>
      </c>
      <c r="D74" s="63"/>
      <c r="E74" s="74">
        <v>0</v>
      </c>
    </row>
    <row r="75" spans="1:5" ht="15.75" thickBot="1" x14ac:dyDescent="0.3">
      <c r="A75" s="67" t="s">
        <v>56</v>
      </c>
      <c r="B75" s="75">
        <v>0</v>
      </c>
      <c r="C75" s="75">
        <v>0</v>
      </c>
      <c r="D75" s="63"/>
      <c r="E75" s="76">
        <v>0</v>
      </c>
    </row>
    <row r="76" spans="1:5" ht="16.5" thickTop="1" thickBot="1" x14ac:dyDescent="0.3">
      <c r="A76" s="77"/>
      <c r="B76" s="78"/>
      <c r="C76" s="78"/>
      <c r="D76" s="79"/>
      <c r="E76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D14"/>
  <sheetViews>
    <sheetView workbookViewId="0">
      <selection activeCell="C20" sqref="C20"/>
    </sheetView>
  </sheetViews>
  <sheetFormatPr defaultRowHeight="15.75" x14ac:dyDescent="0.25"/>
  <cols>
    <col min="1" max="1" width="35" style="81" customWidth="1"/>
    <col min="2" max="2" width="17.28515625" style="81" customWidth="1"/>
    <col min="3" max="3" width="17.42578125" style="81" customWidth="1"/>
    <col min="4" max="4" width="16.140625" style="81" customWidth="1"/>
    <col min="5" max="16384" width="9.140625" style="81"/>
  </cols>
  <sheetData>
    <row r="3" spans="1:4" x14ac:dyDescent="0.25">
      <c r="A3" s="1" t="s">
        <v>57</v>
      </c>
    </row>
    <row r="5" spans="1:4" ht="16.5" thickBot="1" x14ac:dyDescent="0.3"/>
    <row r="6" spans="1:4" ht="95.25" thickBot="1" x14ac:dyDescent="0.3">
      <c r="A6" s="82" t="s">
        <v>58</v>
      </c>
      <c r="B6" s="83" t="s">
        <v>59</v>
      </c>
      <c r="C6" s="83" t="s">
        <v>60</v>
      </c>
      <c r="D6" s="84" t="s">
        <v>61</v>
      </c>
    </row>
    <row r="7" spans="1:4" x14ac:dyDescent="0.25">
      <c r="A7" s="85" t="s">
        <v>62</v>
      </c>
      <c r="B7" s="86">
        <v>6112032.2256385963</v>
      </c>
      <c r="C7" s="86">
        <v>6112032</v>
      </c>
      <c r="D7" s="87" t="s">
        <v>63</v>
      </c>
    </row>
    <row r="8" spans="1:4" x14ac:dyDescent="0.25">
      <c r="A8" s="88" t="s">
        <v>64</v>
      </c>
      <c r="B8" s="89">
        <v>1847446.2173049564</v>
      </c>
      <c r="C8" s="89">
        <v>1508054</v>
      </c>
      <c r="D8" s="90">
        <v>339392.2173049564</v>
      </c>
    </row>
    <row r="9" spans="1:4" x14ac:dyDescent="0.25">
      <c r="A9" s="91" t="s">
        <v>65</v>
      </c>
      <c r="B9" s="86">
        <v>7959478.4429435525</v>
      </c>
      <c r="C9" s="86">
        <v>7620086</v>
      </c>
      <c r="D9" s="87">
        <v>339392.44294355251</v>
      </c>
    </row>
    <row r="10" spans="1:4" x14ac:dyDescent="0.25">
      <c r="A10" s="85" t="s">
        <v>66</v>
      </c>
      <c r="B10" s="86">
        <v>3283917.0000020778</v>
      </c>
      <c r="C10" s="86">
        <v>3293050</v>
      </c>
      <c r="D10" s="87">
        <v>-9132.9999979222193</v>
      </c>
    </row>
    <row r="11" spans="1:4" ht="16.5" thickBot="1" x14ac:dyDescent="0.3">
      <c r="A11" s="92" t="s">
        <v>67</v>
      </c>
      <c r="B11" s="93">
        <v>0</v>
      </c>
      <c r="C11" s="93">
        <v>0</v>
      </c>
      <c r="D11" s="94">
        <v>0</v>
      </c>
    </row>
    <row r="12" spans="1:4" ht="16.5" thickBot="1" x14ac:dyDescent="0.3">
      <c r="A12" s="95" t="s">
        <v>58</v>
      </c>
      <c r="B12" s="96">
        <v>11243395.442945629</v>
      </c>
      <c r="C12" s="96">
        <v>10913136</v>
      </c>
      <c r="D12" s="97">
        <v>330259.44294563029</v>
      </c>
    </row>
    <row r="14" spans="1:4" x14ac:dyDescent="0.25">
      <c r="B14" s="98"/>
      <c r="D14" s="99">
        <f>D12/C12</f>
        <v>3.0262560912429782E-2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U289"/>
  <sheetViews>
    <sheetView showGridLines="0" zoomScale="90" zoomScaleNormal="90" workbookViewId="0">
      <selection activeCell="G30" sqref="G30"/>
    </sheetView>
  </sheetViews>
  <sheetFormatPr defaultRowHeight="15" x14ac:dyDescent="0.25"/>
  <cols>
    <col min="1" max="1" width="29.42578125" customWidth="1"/>
    <col min="2" max="2" width="7" bestFit="1" customWidth="1"/>
    <col min="3" max="4" width="14.5703125" customWidth="1"/>
    <col min="5" max="5" width="13.140625" bestFit="1" customWidth="1"/>
    <col min="6" max="6" width="12.7109375" bestFit="1" customWidth="1"/>
    <col min="7" max="7" width="10.5703125" bestFit="1" customWidth="1"/>
    <col min="10" max="10" width="48.5703125" bestFit="1" customWidth="1"/>
    <col min="11" max="11" width="12.7109375" customWidth="1"/>
    <col min="12" max="13" width="14.7109375" bestFit="1" customWidth="1"/>
    <col min="14" max="14" width="15.85546875" bestFit="1" customWidth="1"/>
    <col min="15" max="15" width="14.140625" bestFit="1" customWidth="1"/>
    <col min="16" max="16" width="14.7109375" bestFit="1" customWidth="1"/>
    <col min="17" max="17" width="15.85546875" bestFit="1" customWidth="1"/>
    <col min="18" max="18" width="13" bestFit="1" customWidth="1"/>
    <col min="19" max="19" width="13.7109375" bestFit="1" customWidth="1"/>
  </cols>
  <sheetData>
    <row r="1" spans="1:21" ht="15.75" x14ac:dyDescent="0.25">
      <c r="A1" s="259" t="s">
        <v>145</v>
      </c>
      <c r="B1" s="2"/>
      <c r="C1" s="2"/>
      <c r="D1" s="2"/>
      <c r="E1" s="2"/>
      <c r="F1" s="2"/>
      <c r="G1" s="2"/>
      <c r="J1" s="1" t="s">
        <v>146</v>
      </c>
    </row>
    <row r="2" spans="1:21" ht="15.75" thickBot="1" x14ac:dyDescent="0.3">
      <c r="A2" s="2"/>
      <c r="B2" s="2"/>
      <c r="C2" s="2"/>
      <c r="D2" s="2"/>
      <c r="E2" s="2"/>
      <c r="F2" s="2"/>
      <c r="G2" s="2"/>
    </row>
    <row r="3" spans="1:21" ht="45" x14ac:dyDescent="0.25">
      <c r="A3" s="108" t="s">
        <v>68</v>
      </c>
      <c r="B3" s="109" t="s">
        <v>69</v>
      </c>
      <c r="C3" s="110" t="s">
        <v>70</v>
      </c>
      <c r="D3" s="110" t="s">
        <v>82</v>
      </c>
      <c r="E3" s="110" t="s">
        <v>83</v>
      </c>
      <c r="F3" s="110" t="s">
        <v>84</v>
      </c>
      <c r="G3" s="111" t="s">
        <v>85</v>
      </c>
      <c r="I3" s="112"/>
      <c r="J3" s="113" t="s">
        <v>86</v>
      </c>
      <c r="K3" s="276" t="s">
        <v>87</v>
      </c>
      <c r="L3" s="276"/>
      <c r="M3" s="276"/>
      <c r="N3" s="276"/>
      <c r="O3" s="276"/>
      <c r="P3" s="276"/>
      <c r="Q3" s="114" t="e">
        <f>IF(#REF!="DEMAND - INTERVAL","RTSR - INTERVAL METERED","")</f>
        <v>#REF!</v>
      </c>
      <c r="R3" s="114"/>
      <c r="S3" s="115"/>
      <c r="T3" s="112"/>
      <c r="U3" s="112"/>
    </row>
    <row r="4" spans="1:21" ht="15.75" thickBot="1" x14ac:dyDescent="0.3">
      <c r="A4" s="100" t="s">
        <v>71</v>
      </c>
      <c r="B4" s="101" t="s">
        <v>72</v>
      </c>
      <c r="C4" s="116">
        <v>204439774</v>
      </c>
      <c r="D4" s="116">
        <v>0</v>
      </c>
      <c r="E4" s="117">
        <v>0.40623960561029598</v>
      </c>
      <c r="F4" s="118">
        <f>E4*$F$11</f>
        <v>268328.97805810708</v>
      </c>
      <c r="G4" s="119">
        <f>F4/C4</f>
        <v>1.3125086807135049E-3</v>
      </c>
      <c r="I4" s="112"/>
      <c r="J4" s="120" t="s">
        <v>88</v>
      </c>
      <c r="K4" s="273" t="s">
        <v>89</v>
      </c>
      <c r="L4" s="273"/>
      <c r="M4" s="273"/>
      <c r="N4" s="121"/>
      <c r="O4" s="121"/>
      <c r="P4" s="122"/>
      <c r="Q4" s="122"/>
      <c r="R4" s="122"/>
      <c r="S4" s="123"/>
      <c r="T4" s="112"/>
      <c r="U4" s="112"/>
    </row>
    <row r="5" spans="1:21" ht="16.5" thickBot="1" x14ac:dyDescent="0.3">
      <c r="A5" s="100" t="s">
        <v>73</v>
      </c>
      <c r="B5" s="102" t="s">
        <v>72</v>
      </c>
      <c r="C5" s="116">
        <v>51296823</v>
      </c>
      <c r="D5" s="116">
        <v>0</v>
      </c>
      <c r="E5" s="117">
        <v>0.1019312472169978</v>
      </c>
      <c r="F5" s="118">
        <f t="shared" ref="F5:F10" si="0">E5*$F$11</f>
        <v>67327.525480524171</v>
      </c>
      <c r="G5" s="119">
        <f>F5/C5</f>
        <v>1.3125086807135049E-3</v>
      </c>
      <c r="I5" s="112"/>
      <c r="J5" s="120" t="s">
        <v>90</v>
      </c>
      <c r="K5" s="124">
        <v>750</v>
      </c>
      <c r="L5" s="125" t="s">
        <v>91</v>
      </c>
      <c r="M5" s="126"/>
      <c r="N5" s="122"/>
      <c r="O5" s="122"/>
      <c r="P5" s="127"/>
      <c r="Q5" s="127"/>
      <c r="R5" s="127"/>
      <c r="S5" s="128"/>
      <c r="T5" s="112"/>
      <c r="U5" s="112"/>
    </row>
    <row r="6" spans="1:21" ht="16.5" thickBot="1" x14ac:dyDescent="0.3">
      <c r="A6" s="100" t="s">
        <v>74</v>
      </c>
      <c r="B6" s="102" t="s">
        <v>75</v>
      </c>
      <c r="C6" s="116">
        <v>137289389</v>
      </c>
      <c r="D6" s="116">
        <v>390924</v>
      </c>
      <c r="E6" s="117">
        <v>0.27280595233801475</v>
      </c>
      <c r="F6" s="118">
        <f t="shared" si="0"/>
        <v>180193.51483235316</v>
      </c>
      <c r="G6" s="119">
        <f>F6/D6</f>
        <v>0.46094257408691502</v>
      </c>
      <c r="I6" s="112"/>
      <c r="J6" s="120" t="s">
        <v>92</v>
      </c>
      <c r="K6" s="124">
        <v>0</v>
      </c>
      <c r="L6" s="129" t="s">
        <v>93</v>
      </c>
      <c r="M6" s="130"/>
      <c r="N6" s="131"/>
      <c r="O6" s="131"/>
      <c r="P6" s="131"/>
      <c r="Q6" s="122"/>
      <c r="R6" s="122"/>
      <c r="S6" s="123"/>
      <c r="T6" s="112"/>
      <c r="U6" s="112"/>
    </row>
    <row r="7" spans="1:21" ht="30.75" thickBot="1" x14ac:dyDescent="0.3">
      <c r="A7" s="132" t="s">
        <v>76</v>
      </c>
      <c r="B7" s="102" t="s">
        <v>75</v>
      </c>
      <c r="C7" s="116">
        <v>107193041</v>
      </c>
      <c r="D7" s="116">
        <v>273610</v>
      </c>
      <c r="E7" s="117">
        <v>0.21300189218565799</v>
      </c>
      <c r="F7" s="118">
        <f t="shared" si="0"/>
        <v>140691.79682457863</v>
      </c>
      <c r="G7" s="119">
        <f>F7/D7</f>
        <v>0.51420560953393013</v>
      </c>
      <c r="I7" s="112"/>
      <c r="J7" s="120" t="s">
        <v>94</v>
      </c>
      <c r="K7" s="133">
        <v>1.056</v>
      </c>
      <c r="L7" s="122"/>
      <c r="M7" s="122"/>
      <c r="N7" s="122"/>
      <c r="O7" s="122"/>
      <c r="P7" s="122"/>
      <c r="Q7" s="122"/>
      <c r="R7" s="122"/>
      <c r="S7" s="123"/>
      <c r="T7" s="112"/>
      <c r="U7" s="112"/>
    </row>
    <row r="8" spans="1:21" ht="15.75" thickBot="1" x14ac:dyDescent="0.3">
      <c r="A8" s="100" t="s">
        <v>77</v>
      </c>
      <c r="B8" s="102" t="s">
        <v>72</v>
      </c>
      <c r="C8" s="116">
        <v>924057</v>
      </c>
      <c r="D8" s="116">
        <v>0</v>
      </c>
      <c r="E8" s="117">
        <v>1.8361815995816609E-3</v>
      </c>
      <c r="F8" s="118">
        <f t="shared" si="0"/>
        <v>1212.832833974079</v>
      </c>
      <c r="G8" s="119">
        <f>F8/C8</f>
        <v>1.3125086807135047E-3</v>
      </c>
      <c r="I8" s="112"/>
      <c r="J8" s="120" t="s">
        <v>95</v>
      </c>
      <c r="K8" s="133">
        <v>1.056</v>
      </c>
      <c r="L8" s="122"/>
      <c r="M8" s="122"/>
      <c r="N8" s="122"/>
      <c r="O8" s="122"/>
      <c r="P8" s="122"/>
      <c r="Q8" s="122"/>
      <c r="R8" s="122"/>
      <c r="S8" s="123"/>
      <c r="T8" s="112"/>
      <c r="U8" s="112"/>
    </row>
    <row r="9" spans="1:21" ht="15.75" thickBot="1" x14ac:dyDescent="0.3">
      <c r="A9" s="100" t="s">
        <v>78</v>
      </c>
      <c r="B9" s="102" t="s">
        <v>75</v>
      </c>
      <c r="C9" s="116">
        <v>273180</v>
      </c>
      <c r="D9" s="116">
        <v>739</v>
      </c>
      <c r="E9" s="117">
        <v>5.4283241117562895E-4</v>
      </c>
      <c r="F9" s="118">
        <f t="shared" si="0"/>
        <v>358.55112139731528</v>
      </c>
      <c r="G9" s="119">
        <f>F9/D9</f>
        <v>0.48518419674873514</v>
      </c>
      <c r="I9" s="112"/>
      <c r="J9" s="134"/>
      <c r="K9" s="122"/>
      <c r="L9" s="122"/>
      <c r="M9" s="122"/>
      <c r="N9" s="122"/>
      <c r="O9" s="122"/>
      <c r="P9" s="122"/>
      <c r="Q9" s="122"/>
      <c r="R9" s="122"/>
      <c r="S9" s="123"/>
      <c r="T9" s="112"/>
      <c r="U9" s="112"/>
    </row>
    <row r="10" spans="1:21" x14ac:dyDescent="0.25">
      <c r="A10" s="103" t="s">
        <v>79</v>
      </c>
      <c r="B10" s="104" t="s">
        <v>75</v>
      </c>
      <c r="C10" s="135">
        <v>1832979</v>
      </c>
      <c r="D10" s="135">
        <v>5129</v>
      </c>
      <c r="E10" s="136">
        <v>3.6422886382762032E-3</v>
      </c>
      <c r="F10" s="137">
        <f t="shared" si="0"/>
        <v>2405.8008490655593</v>
      </c>
      <c r="G10" s="138">
        <f>F10/D10</f>
        <v>0.46905846150625058</v>
      </c>
      <c r="I10" s="112"/>
      <c r="J10" s="134"/>
      <c r="K10" s="139"/>
      <c r="L10" s="262" t="s">
        <v>96</v>
      </c>
      <c r="M10" s="263"/>
      <c r="N10" s="264"/>
      <c r="O10" s="262" t="s">
        <v>97</v>
      </c>
      <c r="P10" s="263"/>
      <c r="Q10" s="264"/>
      <c r="R10" s="262" t="s">
        <v>98</v>
      </c>
      <c r="S10" s="265"/>
      <c r="T10" s="112"/>
      <c r="U10" s="112"/>
    </row>
    <row r="11" spans="1:21" ht="15.75" thickBot="1" x14ac:dyDescent="0.3">
      <c r="A11" s="105" t="s">
        <v>80</v>
      </c>
      <c r="B11" s="106"/>
      <c r="C11" s="140">
        <f>SUM(C4:C10)</f>
        <v>503249243</v>
      </c>
      <c r="D11" s="140">
        <f>SUM(D4:D10)</f>
        <v>670402</v>
      </c>
      <c r="E11" s="141">
        <f>SUM(E4:E10)</f>
        <v>1</v>
      </c>
      <c r="F11" s="142">
        <f>C13</f>
        <v>660519</v>
      </c>
      <c r="G11" s="143"/>
      <c r="I11" s="112"/>
      <c r="J11" s="134"/>
      <c r="K11" s="266"/>
      <c r="L11" s="144" t="s">
        <v>99</v>
      </c>
      <c r="M11" s="144" t="s">
        <v>100</v>
      </c>
      <c r="N11" s="145" t="s">
        <v>101</v>
      </c>
      <c r="O11" s="144" t="s">
        <v>99</v>
      </c>
      <c r="P11" s="146" t="s">
        <v>100</v>
      </c>
      <c r="Q11" s="145" t="s">
        <v>101</v>
      </c>
      <c r="R11" s="268" t="s">
        <v>102</v>
      </c>
      <c r="S11" s="270" t="s">
        <v>103</v>
      </c>
      <c r="T11" s="112"/>
      <c r="U11" s="112"/>
    </row>
    <row r="12" spans="1:21" x14ac:dyDescent="0.25">
      <c r="A12" s="63"/>
      <c r="B12" s="63"/>
      <c r="C12" s="63"/>
      <c r="D12" s="63"/>
      <c r="E12" s="63"/>
      <c r="F12" s="63"/>
      <c r="G12" s="63"/>
      <c r="I12" s="112"/>
      <c r="J12" s="134"/>
      <c r="K12" s="267"/>
      <c r="L12" s="147" t="s">
        <v>104</v>
      </c>
      <c r="M12" s="147"/>
      <c r="N12" s="148" t="s">
        <v>104</v>
      </c>
      <c r="O12" s="147" t="s">
        <v>104</v>
      </c>
      <c r="P12" s="148"/>
      <c r="Q12" s="148" t="s">
        <v>104</v>
      </c>
      <c r="R12" s="269"/>
      <c r="S12" s="271"/>
      <c r="T12" s="112"/>
      <c r="U12" s="112"/>
    </row>
    <row r="13" spans="1:21" x14ac:dyDescent="0.25">
      <c r="A13" s="107" t="s">
        <v>81</v>
      </c>
      <c r="B13" s="2"/>
      <c r="C13" s="149">
        <v>660519</v>
      </c>
      <c r="D13" s="149"/>
      <c r="E13" s="149"/>
      <c r="F13" s="2"/>
      <c r="G13" s="2"/>
      <c r="I13" s="150"/>
      <c r="J13" s="151" t="s">
        <v>105</v>
      </c>
      <c r="K13" s="152"/>
      <c r="L13" s="153">
        <v>20.28</v>
      </c>
      <c r="M13" s="154">
        <v>1</v>
      </c>
      <c r="N13" s="155">
        <f>M13*L13</f>
        <v>20.28</v>
      </c>
      <c r="O13" s="156">
        <v>23.64</v>
      </c>
      <c r="P13" s="157">
        <f>M13</f>
        <v>1</v>
      </c>
      <c r="Q13" s="155">
        <f>P13*O13</f>
        <v>23.64</v>
      </c>
      <c r="R13" s="158">
        <f t="shared" ref="R13:R31" si="1">Q13-N13</f>
        <v>3.3599999999999994</v>
      </c>
      <c r="S13" s="159">
        <f>IF(ISERROR(R13/N13), "", R13/N13)</f>
        <v>0.16568047337278102</v>
      </c>
      <c r="T13" s="112"/>
      <c r="U13" s="112"/>
    </row>
    <row r="14" spans="1:21" x14ac:dyDescent="0.25">
      <c r="I14" s="150"/>
      <c r="J14" s="151" t="s">
        <v>106</v>
      </c>
      <c r="K14" s="152"/>
      <c r="L14" s="160">
        <v>6.7999999999999996E-3</v>
      </c>
      <c r="M14" s="161">
        <f>K5</f>
        <v>750</v>
      </c>
      <c r="N14" s="155">
        <f t="shared" ref="N14:N22" si="2">M14*L14</f>
        <v>5.0999999999999996</v>
      </c>
      <c r="O14" s="162">
        <v>3.5000000000000001E-3</v>
      </c>
      <c r="P14" s="157">
        <f t="shared" ref="P14:P36" si="3">M14</f>
        <v>750</v>
      </c>
      <c r="Q14" s="155">
        <f>P14*O14</f>
        <v>2.625</v>
      </c>
      <c r="R14" s="158">
        <f t="shared" si="1"/>
        <v>-2.4749999999999996</v>
      </c>
      <c r="S14" s="159">
        <f t="shared" ref="S14:S22" si="4">IF(ISERROR(R14/N14), "", R14/N14)</f>
        <v>-0.48529411764705876</v>
      </c>
      <c r="T14" s="112"/>
      <c r="U14" s="112"/>
    </row>
    <row r="15" spans="1:21" ht="15.75" x14ac:dyDescent="0.25">
      <c r="C15" s="81" t="s">
        <v>107</v>
      </c>
      <c r="I15" s="150"/>
      <c r="J15" s="163" t="s">
        <v>108</v>
      </c>
      <c r="K15" s="152"/>
      <c r="L15" s="153">
        <v>0</v>
      </c>
      <c r="M15" s="154">
        <v>1</v>
      </c>
      <c r="N15" s="155">
        <f t="shared" si="2"/>
        <v>0</v>
      </c>
      <c r="O15" s="156">
        <v>0</v>
      </c>
      <c r="P15" s="157">
        <f t="shared" si="3"/>
        <v>1</v>
      </c>
      <c r="Q15" s="155">
        <f t="shared" ref="Q15:Q22" si="5">P15*O15</f>
        <v>0</v>
      </c>
      <c r="R15" s="158">
        <f t="shared" si="1"/>
        <v>0</v>
      </c>
      <c r="S15" s="159" t="str">
        <f t="shared" si="4"/>
        <v/>
      </c>
      <c r="T15" s="112"/>
      <c r="U15" s="112"/>
    </row>
    <row r="16" spans="1:21" x14ac:dyDescent="0.25">
      <c r="I16" s="150"/>
      <c r="J16" s="151" t="s">
        <v>109</v>
      </c>
      <c r="K16" s="152"/>
      <c r="L16" s="160">
        <v>0</v>
      </c>
      <c r="M16" s="161">
        <f>K5</f>
        <v>750</v>
      </c>
      <c r="N16" s="155">
        <f t="shared" si="2"/>
        <v>0</v>
      </c>
      <c r="O16" s="162">
        <v>0</v>
      </c>
      <c r="P16" s="157">
        <f t="shared" si="3"/>
        <v>750</v>
      </c>
      <c r="Q16" s="155">
        <f t="shared" si="5"/>
        <v>0</v>
      </c>
      <c r="R16" s="158">
        <f t="shared" si="1"/>
        <v>0</v>
      </c>
      <c r="S16" s="159" t="str">
        <f t="shared" si="4"/>
        <v/>
      </c>
      <c r="T16" s="112"/>
      <c r="U16" s="112"/>
    </row>
    <row r="17" spans="3:21" x14ac:dyDescent="0.25">
      <c r="C17" s="164"/>
      <c r="I17" s="150"/>
      <c r="J17" s="165" t="s">
        <v>110</v>
      </c>
      <c r="K17" s="166"/>
      <c r="L17" s="167"/>
      <c r="M17" s="168"/>
      <c r="N17" s="169">
        <f>SUM(N13:N16)</f>
        <v>25.380000000000003</v>
      </c>
      <c r="O17" s="170"/>
      <c r="P17" s="171">
        <f t="shared" si="3"/>
        <v>0</v>
      </c>
      <c r="Q17" s="169">
        <f>SUM(Q13:Q16)</f>
        <v>26.265000000000001</v>
      </c>
      <c r="R17" s="172">
        <f t="shared" si="1"/>
        <v>0.88499999999999801</v>
      </c>
      <c r="S17" s="173">
        <f>IF((N17)=0,"",(R17/N17))</f>
        <v>3.486997635933798E-2</v>
      </c>
      <c r="T17" s="112"/>
      <c r="U17" s="112"/>
    </row>
    <row r="18" spans="3:21" x14ac:dyDescent="0.25">
      <c r="C18" s="164"/>
      <c r="I18" s="150"/>
      <c r="J18" s="174" t="s">
        <v>111</v>
      </c>
      <c r="K18" s="152"/>
      <c r="L18" s="160">
        <f>IF((K5*12&gt;=150000), 0, IF(K4="RPP",(L34*0.65+L35*0.17+L36*0.18),IF(K4="Non-RPP (Retailer)",#REF!,#REF!)))</f>
        <v>8.2160000000000011E-2</v>
      </c>
      <c r="M18" s="175">
        <v>42</v>
      </c>
      <c r="N18" s="155">
        <f>M18*L18</f>
        <v>3.4507200000000005</v>
      </c>
      <c r="O18" s="162">
        <f>IF((K5*12&gt;=150000), 0, IF(K4="RPP",(O34*0.65+O35*0.17+O36*0.18),IF(K4="Non-RPP (Retailer)",#REF!,#REF!)))</f>
        <v>8.2160000000000011E-2</v>
      </c>
      <c r="P18" s="175">
        <f t="shared" si="3"/>
        <v>42</v>
      </c>
      <c r="Q18" s="155">
        <f>P18*O18</f>
        <v>3.4507200000000005</v>
      </c>
      <c r="R18" s="158">
        <f>Q18-N18</f>
        <v>0</v>
      </c>
      <c r="S18" s="159">
        <f>IF(ISERROR(R18/N18), "", R18/N18)</f>
        <v>0</v>
      </c>
      <c r="T18" s="112"/>
      <c r="U18" s="112"/>
    </row>
    <row r="19" spans="3:21" x14ac:dyDescent="0.25">
      <c r="I19" s="150"/>
      <c r="J19" s="174" t="s">
        <v>112</v>
      </c>
      <c r="K19" s="152"/>
      <c r="L19" s="160">
        <v>-5.9999999999999995E-4</v>
      </c>
      <c r="M19" s="176">
        <v>750</v>
      </c>
      <c r="N19" s="155">
        <f t="shared" si="2"/>
        <v>-0.44999999999999996</v>
      </c>
      <c r="O19" s="162">
        <v>-1.4E-3</v>
      </c>
      <c r="P19" s="176">
        <f t="shared" si="3"/>
        <v>750</v>
      </c>
      <c r="Q19" s="155">
        <f t="shared" si="5"/>
        <v>-1.05</v>
      </c>
      <c r="R19" s="158">
        <f t="shared" si="1"/>
        <v>-0.60000000000000009</v>
      </c>
      <c r="S19" s="159">
        <f t="shared" si="4"/>
        <v>1.3333333333333337</v>
      </c>
      <c r="T19" s="112"/>
      <c r="U19" s="112"/>
    </row>
    <row r="20" spans="3:21" x14ac:dyDescent="0.25">
      <c r="I20" s="150"/>
      <c r="J20" s="174" t="s">
        <v>113</v>
      </c>
      <c r="K20" s="152"/>
      <c r="L20" s="160">
        <v>0</v>
      </c>
      <c r="M20" s="176">
        <v>750</v>
      </c>
      <c r="N20" s="155">
        <f>M20*L20</f>
        <v>0</v>
      </c>
      <c r="O20" s="162">
        <v>-1E-4</v>
      </c>
      <c r="P20" s="176">
        <f t="shared" si="3"/>
        <v>750</v>
      </c>
      <c r="Q20" s="155">
        <f>P20*O20</f>
        <v>-7.4999999999999997E-2</v>
      </c>
      <c r="R20" s="158">
        <f t="shared" si="1"/>
        <v>-7.4999999999999997E-2</v>
      </c>
      <c r="S20" s="159" t="str">
        <f t="shared" si="4"/>
        <v/>
      </c>
      <c r="T20" s="112"/>
      <c r="U20" s="112"/>
    </row>
    <row r="21" spans="3:21" x14ac:dyDescent="0.25">
      <c r="I21" s="150"/>
      <c r="J21" s="174" t="s">
        <v>114</v>
      </c>
      <c r="K21" s="152"/>
      <c r="L21" s="160">
        <v>0</v>
      </c>
      <c r="M21" s="176">
        <f>K5</f>
        <v>750</v>
      </c>
      <c r="N21" s="155">
        <f>M21*L21</f>
        <v>0</v>
      </c>
      <c r="O21" s="162">
        <v>0</v>
      </c>
      <c r="P21" s="176">
        <f t="shared" si="3"/>
        <v>750</v>
      </c>
      <c r="Q21" s="155">
        <f t="shared" si="5"/>
        <v>0</v>
      </c>
      <c r="R21" s="158">
        <f t="shared" si="1"/>
        <v>0</v>
      </c>
      <c r="S21" s="159" t="str">
        <f t="shared" si="4"/>
        <v/>
      </c>
      <c r="T21" s="112"/>
      <c r="U21" s="112"/>
    </row>
    <row r="22" spans="3:21" x14ac:dyDescent="0.25">
      <c r="I22" s="150"/>
      <c r="J22" s="177" t="s">
        <v>115</v>
      </c>
      <c r="K22" s="152"/>
      <c r="L22" s="160">
        <v>2.5999999999999999E-3</v>
      </c>
      <c r="M22" s="176">
        <v>750</v>
      </c>
      <c r="N22" s="155">
        <f t="shared" si="2"/>
        <v>1.95</v>
      </c>
      <c r="O22" s="162">
        <v>2.5999999999999999E-3</v>
      </c>
      <c r="P22" s="176">
        <f t="shared" si="3"/>
        <v>750</v>
      </c>
      <c r="Q22" s="155">
        <f t="shared" si="5"/>
        <v>1.95</v>
      </c>
      <c r="R22" s="158">
        <f t="shared" si="1"/>
        <v>0</v>
      </c>
      <c r="S22" s="159">
        <f t="shared" si="4"/>
        <v>0</v>
      </c>
      <c r="T22" s="112"/>
      <c r="U22" s="112"/>
    </row>
    <row r="23" spans="3:21" ht="38.25" x14ac:dyDescent="0.25">
      <c r="I23" s="150"/>
      <c r="J23" s="178" t="s">
        <v>116</v>
      </c>
      <c r="K23" s="152"/>
      <c r="L23" s="179">
        <v>1.1599999999999999</v>
      </c>
      <c r="M23" s="154">
        <v>1</v>
      </c>
      <c r="N23" s="155">
        <f>M23*L23</f>
        <v>1.1599999999999999</v>
      </c>
      <c r="O23" s="180">
        <v>0.79</v>
      </c>
      <c r="P23" s="154">
        <f t="shared" si="3"/>
        <v>1</v>
      </c>
      <c r="Q23" s="155">
        <f>P23*O23</f>
        <v>0.79</v>
      </c>
      <c r="R23" s="158">
        <f t="shared" si="1"/>
        <v>-0.36999999999999988</v>
      </c>
      <c r="S23" s="159">
        <f>IF(ISERROR(R23/N23), "", R23/N23)</f>
        <v>-0.31896551724137923</v>
      </c>
      <c r="T23" s="112"/>
      <c r="U23" s="112"/>
    </row>
    <row r="24" spans="3:21" x14ac:dyDescent="0.25">
      <c r="I24" s="150"/>
      <c r="J24" s="177" t="s">
        <v>117</v>
      </c>
      <c r="K24" s="152"/>
      <c r="L24" s="160"/>
      <c r="M24" s="176">
        <v>750</v>
      </c>
      <c r="N24" s="155">
        <f>M24*L24</f>
        <v>0</v>
      </c>
      <c r="O24" s="162">
        <v>1.2999999999999999E-3</v>
      </c>
      <c r="P24" s="176">
        <f t="shared" si="3"/>
        <v>750</v>
      </c>
      <c r="Q24" s="155">
        <f>P24*O24</f>
        <v>0.97499999999999998</v>
      </c>
      <c r="R24" s="158">
        <f t="shared" si="1"/>
        <v>0.97499999999999998</v>
      </c>
      <c r="S24" s="159" t="str">
        <f>IF(ISERROR(R24/N24), "", R24/N24)</f>
        <v/>
      </c>
      <c r="T24" s="112"/>
      <c r="U24" s="112"/>
    </row>
    <row r="25" spans="3:21" x14ac:dyDescent="0.25">
      <c r="I25" s="150"/>
      <c r="J25" s="181" t="s">
        <v>118</v>
      </c>
      <c r="K25" s="182"/>
      <c r="L25" s="183"/>
      <c r="M25" s="184"/>
      <c r="N25" s="185">
        <f>SUM(N17:N24)</f>
        <v>31.490720000000003</v>
      </c>
      <c r="O25" s="186"/>
      <c r="P25" s="187">
        <f t="shared" si="3"/>
        <v>0</v>
      </c>
      <c r="Q25" s="185">
        <f>SUM(Q17:Q24)</f>
        <v>32.305720000000001</v>
      </c>
      <c r="R25" s="172">
        <f t="shared" si="1"/>
        <v>0.81499999999999773</v>
      </c>
      <c r="S25" s="173">
        <f>IF((N25)=0,"",(R25/N25))</f>
        <v>2.5880640391835998E-2</v>
      </c>
      <c r="T25" s="112"/>
      <c r="U25" s="112"/>
    </row>
    <row r="26" spans="3:21" x14ac:dyDescent="0.25">
      <c r="I26" s="150"/>
      <c r="J26" s="188" t="s">
        <v>119</v>
      </c>
      <c r="K26" s="152"/>
      <c r="L26" s="160">
        <v>6.7000000000000002E-3</v>
      </c>
      <c r="M26" s="175">
        <v>792</v>
      </c>
      <c r="N26" s="155">
        <f>M26*L26</f>
        <v>5.3064</v>
      </c>
      <c r="O26" s="162">
        <v>6.7999999999999996E-3</v>
      </c>
      <c r="P26" s="175">
        <f t="shared" si="3"/>
        <v>792</v>
      </c>
      <c r="Q26" s="155">
        <f>P26*O26</f>
        <v>5.3855999999999993</v>
      </c>
      <c r="R26" s="158">
        <f t="shared" si="1"/>
        <v>7.9199999999999271E-2</v>
      </c>
      <c r="S26" s="159">
        <f>IF(ISERROR(R26/N26), "", R26/N26)</f>
        <v>1.4925373134328221E-2</v>
      </c>
      <c r="T26" s="112"/>
      <c r="U26" s="112"/>
    </row>
    <row r="27" spans="3:21" ht="25.5" x14ac:dyDescent="0.25">
      <c r="I27" s="150"/>
      <c r="J27" s="189" t="s">
        <v>120</v>
      </c>
      <c r="K27" s="152"/>
      <c r="L27" s="160">
        <v>5.4000000000000003E-3</v>
      </c>
      <c r="M27" s="175">
        <v>792</v>
      </c>
      <c r="N27" s="155">
        <f>M27*L27</f>
        <v>4.2768000000000006</v>
      </c>
      <c r="O27" s="162">
        <v>5.4000000000000003E-3</v>
      </c>
      <c r="P27" s="175">
        <f t="shared" si="3"/>
        <v>792</v>
      </c>
      <c r="Q27" s="155">
        <f>P27*O27</f>
        <v>4.2768000000000006</v>
      </c>
      <c r="R27" s="158">
        <f t="shared" si="1"/>
        <v>0</v>
      </c>
      <c r="S27" s="159">
        <f>IF(ISERROR(R27/N27), "", R27/N27)</f>
        <v>0</v>
      </c>
      <c r="T27" s="112"/>
      <c r="U27" s="112"/>
    </row>
    <row r="28" spans="3:21" x14ac:dyDescent="0.25">
      <c r="I28" s="150"/>
      <c r="J28" s="181" t="s">
        <v>121</v>
      </c>
      <c r="K28" s="166"/>
      <c r="L28" s="183"/>
      <c r="M28" s="184"/>
      <c r="N28" s="185">
        <f>SUM(N25:N27)</f>
        <v>41.073920000000008</v>
      </c>
      <c r="O28" s="186"/>
      <c r="P28" s="171">
        <f t="shared" si="3"/>
        <v>0</v>
      </c>
      <c r="Q28" s="185">
        <f>SUM(Q25:Q27)</f>
        <v>41.968119999999999</v>
      </c>
      <c r="R28" s="172">
        <f t="shared" si="1"/>
        <v>0.89419999999999078</v>
      </c>
      <c r="S28" s="173">
        <f>IF((N28)=0,"",(R28/N28))</f>
        <v>2.1770505469163658E-2</v>
      </c>
      <c r="T28" s="112"/>
      <c r="U28" s="112"/>
    </row>
    <row r="29" spans="3:21" x14ac:dyDescent="0.25">
      <c r="I29" s="150"/>
      <c r="J29" s="190" t="s">
        <v>122</v>
      </c>
      <c r="K29" s="152"/>
      <c r="L29" s="160">
        <v>3.6000000000000003E-3</v>
      </c>
      <c r="M29" s="175">
        <f>K5*K7</f>
        <v>792</v>
      </c>
      <c r="N29" s="191">
        <f t="shared" ref="N29:N36" si="6">M29*L29</f>
        <v>2.8512000000000004</v>
      </c>
      <c r="O29" s="162">
        <v>3.6000000000000003E-3</v>
      </c>
      <c r="P29" s="175">
        <f t="shared" si="3"/>
        <v>792</v>
      </c>
      <c r="Q29" s="191">
        <f t="shared" ref="Q29:Q36" si="7">P29*O29</f>
        <v>2.8512000000000004</v>
      </c>
      <c r="R29" s="158">
        <f t="shared" si="1"/>
        <v>0</v>
      </c>
      <c r="S29" s="159">
        <f t="shared" ref="S29:S36" si="8">IF(ISERROR(R29/N29), "", R29/N29)</f>
        <v>0</v>
      </c>
      <c r="T29" s="112"/>
      <c r="U29" s="112"/>
    </row>
    <row r="30" spans="3:21" x14ac:dyDescent="0.25">
      <c r="I30" s="150"/>
      <c r="J30" s="190" t="s">
        <v>123</v>
      </c>
      <c r="K30" s="152"/>
      <c r="L30" s="160">
        <f>'[1]17. Regulatory Charges'!$D$16</f>
        <v>2.9999999999999997E-4</v>
      </c>
      <c r="M30" s="175">
        <f>K5*K7</f>
        <v>792</v>
      </c>
      <c r="N30" s="191">
        <f t="shared" si="6"/>
        <v>0.23759999999999998</v>
      </c>
      <c r="O30" s="162">
        <v>2.9999999999999997E-4</v>
      </c>
      <c r="P30" s="175">
        <f t="shared" si="3"/>
        <v>792</v>
      </c>
      <c r="Q30" s="191">
        <f t="shared" si="7"/>
        <v>0.23759999999999998</v>
      </c>
      <c r="R30" s="158">
        <f t="shared" si="1"/>
        <v>0</v>
      </c>
      <c r="S30" s="159">
        <f t="shared" si="8"/>
        <v>0</v>
      </c>
      <c r="T30" s="112"/>
      <c r="U30" s="112"/>
    </row>
    <row r="31" spans="3:21" x14ac:dyDescent="0.25">
      <c r="E31" s="192"/>
      <c r="I31" s="150"/>
      <c r="J31" s="193" t="s">
        <v>124</v>
      </c>
      <c r="K31" s="152"/>
      <c r="L31" s="179">
        <v>0.25</v>
      </c>
      <c r="M31" s="154">
        <v>1</v>
      </c>
      <c r="N31" s="191">
        <f t="shared" si="6"/>
        <v>0.25</v>
      </c>
      <c r="O31" s="180">
        <f>'[1]17. Regulatory Charges'!$D$17</f>
        <v>0.25</v>
      </c>
      <c r="P31" s="157">
        <f t="shared" si="3"/>
        <v>1</v>
      </c>
      <c r="Q31" s="191">
        <f t="shared" si="7"/>
        <v>0.25</v>
      </c>
      <c r="R31" s="158">
        <f t="shared" si="1"/>
        <v>0</v>
      </c>
      <c r="S31" s="159">
        <f t="shared" si="8"/>
        <v>0</v>
      </c>
      <c r="T31" s="112"/>
      <c r="U31" s="112"/>
    </row>
    <row r="32" spans="3:21" x14ac:dyDescent="0.25">
      <c r="E32" s="192"/>
      <c r="I32" s="150"/>
      <c r="J32" s="193" t="s">
        <v>125</v>
      </c>
      <c r="K32" s="152"/>
      <c r="L32" s="194"/>
      <c r="M32" s="195"/>
      <c r="N32" s="196"/>
      <c r="O32" s="197"/>
      <c r="P32" s="195">
        <f t="shared" si="3"/>
        <v>0</v>
      </c>
      <c r="Q32" s="196"/>
      <c r="R32" s="198"/>
      <c r="S32" s="199"/>
      <c r="T32" s="112"/>
      <c r="U32" s="112"/>
    </row>
    <row r="33" spans="5:21" ht="25.5" x14ac:dyDescent="0.25">
      <c r="E33" s="192"/>
      <c r="I33" s="150"/>
      <c r="J33" s="190" t="s">
        <v>126</v>
      </c>
      <c r="K33" s="152"/>
      <c r="L33" s="160"/>
      <c r="M33" s="175"/>
      <c r="N33" s="191"/>
      <c r="O33" s="162"/>
      <c r="P33" s="175">
        <f t="shared" si="3"/>
        <v>0</v>
      </c>
      <c r="Q33" s="191"/>
      <c r="R33" s="158"/>
      <c r="S33" s="159"/>
      <c r="T33" s="112"/>
      <c r="U33" s="112"/>
    </row>
    <row r="34" spans="5:21" x14ac:dyDescent="0.25">
      <c r="E34" s="192"/>
      <c r="I34" s="150"/>
      <c r="J34" s="200" t="s">
        <v>127</v>
      </c>
      <c r="K34" s="152"/>
      <c r="L34" s="201">
        <f>OffPeak</f>
        <v>6.5000000000000002E-2</v>
      </c>
      <c r="M34" s="202">
        <f>IF(AND(K5*12&gt;=150000),0.65*K5*K7,0.65*K5)</f>
        <v>487.5</v>
      </c>
      <c r="N34" s="191">
        <f t="shared" si="6"/>
        <v>31.6875</v>
      </c>
      <c r="O34" s="203">
        <f>OffPeak</f>
        <v>6.5000000000000002E-2</v>
      </c>
      <c r="P34" s="202">
        <f t="shared" si="3"/>
        <v>487.5</v>
      </c>
      <c r="Q34" s="191">
        <f t="shared" si="7"/>
        <v>31.6875</v>
      </c>
      <c r="R34" s="158">
        <f>Q34-N34</f>
        <v>0</v>
      </c>
      <c r="S34" s="159">
        <f t="shared" si="8"/>
        <v>0</v>
      </c>
      <c r="T34" s="112"/>
      <c r="U34" s="112"/>
    </row>
    <row r="35" spans="5:21" x14ac:dyDescent="0.25">
      <c r="E35" s="192"/>
      <c r="I35" s="150"/>
      <c r="J35" s="200" t="s">
        <v>128</v>
      </c>
      <c r="K35" s="152"/>
      <c r="L35" s="201">
        <f>MidPeak</f>
        <v>9.5000000000000001E-2</v>
      </c>
      <c r="M35" s="202">
        <f>IF(AND(K5*12&gt;=150000),0.17*K5*K7,0.17*K5)</f>
        <v>127.50000000000001</v>
      </c>
      <c r="N35" s="191">
        <f t="shared" si="6"/>
        <v>12.112500000000001</v>
      </c>
      <c r="O35" s="203">
        <f>MidPeak</f>
        <v>9.5000000000000001E-2</v>
      </c>
      <c r="P35" s="202">
        <f t="shared" si="3"/>
        <v>127.50000000000001</v>
      </c>
      <c r="Q35" s="191">
        <f t="shared" si="7"/>
        <v>12.112500000000001</v>
      </c>
      <c r="R35" s="158">
        <f>Q35-N35</f>
        <v>0</v>
      </c>
      <c r="S35" s="159">
        <f t="shared" si="8"/>
        <v>0</v>
      </c>
      <c r="T35" s="112"/>
      <c r="U35" s="112"/>
    </row>
    <row r="36" spans="5:21" ht="15.75" thickBot="1" x14ac:dyDescent="0.3">
      <c r="E36" s="192"/>
      <c r="I36" s="150"/>
      <c r="J36" s="134" t="s">
        <v>129</v>
      </c>
      <c r="K36" s="152"/>
      <c r="L36" s="201">
        <f>OnPeak</f>
        <v>0.13200000000000001</v>
      </c>
      <c r="M36" s="202">
        <f>IF(AND(K5*12&gt;=150000),0.18*K5*K7,0.18*K5)</f>
        <v>135</v>
      </c>
      <c r="N36" s="191">
        <f t="shared" si="6"/>
        <v>17.82</v>
      </c>
      <c r="O36" s="203">
        <f>OnPeak</f>
        <v>0.13200000000000001</v>
      </c>
      <c r="P36" s="202">
        <f t="shared" si="3"/>
        <v>135</v>
      </c>
      <c r="Q36" s="191">
        <f t="shared" si="7"/>
        <v>17.82</v>
      </c>
      <c r="R36" s="158">
        <f>Q36-N36</f>
        <v>0</v>
      </c>
      <c r="S36" s="159">
        <f t="shared" si="8"/>
        <v>0</v>
      </c>
      <c r="T36" s="112"/>
      <c r="U36" s="112"/>
    </row>
    <row r="37" spans="5:21" ht="15.75" thickBot="1" x14ac:dyDescent="0.3">
      <c r="E37" s="192"/>
      <c r="I37" s="150"/>
      <c r="J37" s="204"/>
      <c r="K37" s="205"/>
      <c r="L37" s="206"/>
      <c r="M37" s="207"/>
      <c r="N37" s="208"/>
      <c r="O37" s="206"/>
      <c r="P37" s="209"/>
      <c r="Q37" s="208"/>
      <c r="R37" s="210"/>
      <c r="S37" s="211"/>
      <c r="T37" s="112"/>
      <c r="U37" s="112"/>
    </row>
    <row r="38" spans="5:21" x14ac:dyDescent="0.25">
      <c r="E38" s="192"/>
      <c r="I38" s="150"/>
      <c r="J38" s="212" t="s">
        <v>130</v>
      </c>
      <c r="K38" s="213"/>
      <c r="L38" s="214"/>
      <c r="M38" s="215"/>
      <c r="N38" s="216">
        <f>SUM(N29:N36,N28)</f>
        <v>106.03272000000001</v>
      </c>
      <c r="O38" s="217"/>
      <c r="P38" s="217"/>
      <c r="Q38" s="216">
        <f>SUM(Q29:Q36,Q28)</f>
        <v>106.92692</v>
      </c>
      <c r="R38" s="218">
        <f>Q38-N38</f>
        <v>0.89419999999998367</v>
      </c>
      <c r="S38" s="219">
        <f>IF((N38)=0,"",(R38/N38))</f>
        <v>8.433245888627431E-3</v>
      </c>
      <c r="T38" s="112"/>
      <c r="U38" s="112"/>
    </row>
    <row r="39" spans="5:21" x14ac:dyDescent="0.25">
      <c r="E39" s="192"/>
      <c r="I39" s="150"/>
      <c r="J39" s="220" t="s">
        <v>131</v>
      </c>
      <c r="K39" s="213"/>
      <c r="L39" s="214">
        <v>0.13</v>
      </c>
      <c r="M39" s="221"/>
      <c r="N39" s="222">
        <f>N38*L39</f>
        <v>13.784253600000001</v>
      </c>
      <c r="O39" s="223">
        <v>0.13</v>
      </c>
      <c r="P39" s="154"/>
      <c r="Q39" s="222">
        <f>Q38*O39</f>
        <v>13.9004996</v>
      </c>
      <c r="R39" s="224">
        <f>Q39-N39</f>
        <v>0.11624599999999852</v>
      </c>
      <c r="S39" s="225">
        <f>IF((N39)=0,"",(R39/N39))</f>
        <v>8.4332458886274778E-3</v>
      </c>
      <c r="T39" s="112"/>
      <c r="U39" s="112"/>
    </row>
    <row r="40" spans="5:21" x14ac:dyDescent="0.25">
      <c r="I40" s="150"/>
      <c r="J40" s="220" t="s">
        <v>132</v>
      </c>
      <c r="K40" s="213"/>
      <c r="L40" s="214">
        <v>0.08</v>
      </c>
      <c r="M40" s="221"/>
      <c r="N40" s="222">
        <f>N38*-L40</f>
        <v>-8.4826176000000011</v>
      </c>
      <c r="O40" s="214">
        <v>0.08</v>
      </c>
      <c r="P40" s="154"/>
      <c r="Q40" s="222">
        <f>Q38*-O40</f>
        <v>-8.5541535999999994</v>
      </c>
      <c r="R40" s="224">
        <f>Q40-N40</f>
        <v>-7.1535999999998268E-2</v>
      </c>
      <c r="S40" s="225"/>
      <c r="T40" s="112"/>
      <c r="U40" s="112"/>
    </row>
    <row r="41" spans="5:21" ht="15.75" thickBot="1" x14ac:dyDescent="0.3">
      <c r="I41" s="150"/>
      <c r="J41" s="274" t="s">
        <v>133</v>
      </c>
      <c r="K41" s="275"/>
      <c r="L41" s="226"/>
      <c r="M41" s="227"/>
      <c r="N41" s="228">
        <f>N38+N39+N40</f>
        <v>111.33435600000001</v>
      </c>
      <c r="O41" s="229"/>
      <c r="P41" s="229"/>
      <c r="Q41" s="228">
        <f>Q38+Q39+Q40</f>
        <v>112.27326600000001</v>
      </c>
      <c r="R41" s="230">
        <f>Q41-N41</f>
        <v>0.93890999999999281</v>
      </c>
      <c r="S41" s="231">
        <f>IF((N41)=0,"",(R41/N41))</f>
        <v>8.4332458886275195E-3</v>
      </c>
      <c r="T41" s="112"/>
      <c r="U41" s="112"/>
    </row>
    <row r="42" spans="5:21" x14ac:dyDescent="0.25">
      <c r="I42" s="23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</row>
    <row r="43" spans="5:21" ht="15.75" thickBot="1" x14ac:dyDescent="0.3">
      <c r="I43" s="23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</row>
    <row r="44" spans="5:21" x14ac:dyDescent="0.25">
      <c r="I44" s="112"/>
      <c r="J44" s="113" t="s">
        <v>86</v>
      </c>
      <c r="K44" s="276" t="s">
        <v>134</v>
      </c>
      <c r="L44" s="276"/>
      <c r="M44" s="276"/>
      <c r="N44" s="276"/>
      <c r="O44" s="276"/>
      <c r="P44" s="276"/>
      <c r="Q44" s="114" t="e">
        <f>IF(#REF!="DEMAND - INTERVAL","RTSR - INTERVAL METERED","")</f>
        <v>#REF!</v>
      </c>
      <c r="R44" s="114"/>
      <c r="S44" s="115"/>
      <c r="T44" s="112"/>
      <c r="U44" s="112"/>
    </row>
    <row r="45" spans="5:21" x14ac:dyDescent="0.25">
      <c r="I45" s="112"/>
      <c r="J45" s="120" t="s">
        <v>88</v>
      </c>
      <c r="K45" s="273" t="s">
        <v>89</v>
      </c>
      <c r="L45" s="273"/>
      <c r="M45" s="273"/>
      <c r="N45" s="121"/>
      <c r="O45" s="121"/>
      <c r="P45" s="122"/>
      <c r="Q45" s="122"/>
      <c r="R45" s="122"/>
      <c r="S45" s="123"/>
      <c r="T45" s="112"/>
      <c r="U45" s="112"/>
    </row>
    <row r="46" spans="5:21" ht="15.75" x14ac:dyDescent="0.25">
      <c r="I46" s="112"/>
      <c r="J46" s="120" t="s">
        <v>90</v>
      </c>
      <c r="K46" s="124">
        <v>2000</v>
      </c>
      <c r="L46" s="125" t="s">
        <v>91</v>
      </c>
      <c r="M46" s="126"/>
      <c r="N46" s="122"/>
      <c r="O46" s="122"/>
      <c r="P46" s="127"/>
      <c r="Q46" s="127"/>
      <c r="R46" s="127"/>
      <c r="S46" s="128"/>
      <c r="T46" s="112"/>
      <c r="U46" s="112"/>
    </row>
    <row r="47" spans="5:21" ht="15.75" x14ac:dyDescent="0.25">
      <c r="I47" s="112"/>
      <c r="J47" s="120" t="s">
        <v>92</v>
      </c>
      <c r="K47" s="124">
        <v>0</v>
      </c>
      <c r="L47" s="129" t="s">
        <v>93</v>
      </c>
      <c r="M47" s="130"/>
      <c r="N47" s="131"/>
      <c r="O47" s="131"/>
      <c r="P47" s="131"/>
      <c r="Q47" s="122"/>
      <c r="R47" s="122"/>
      <c r="S47" s="123"/>
      <c r="T47" s="112"/>
      <c r="U47" s="112"/>
    </row>
    <row r="48" spans="5:21" x14ac:dyDescent="0.25">
      <c r="I48" s="112"/>
      <c r="J48" s="120" t="s">
        <v>94</v>
      </c>
      <c r="K48" s="133">
        <v>1.056</v>
      </c>
      <c r="L48" s="122"/>
      <c r="M48" s="122"/>
      <c r="N48" s="122"/>
      <c r="O48" s="122"/>
      <c r="P48" s="122"/>
      <c r="Q48" s="122"/>
      <c r="R48" s="122"/>
      <c r="S48" s="123"/>
      <c r="T48" s="112"/>
      <c r="U48" s="112"/>
    </row>
    <row r="49" spans="9:21" x14ac:dyDescent="0.25">
      <c r="I49" s="112"/>
      <c r="J49" s="120" t="s">
        <v>95</v>
      </c>
      <c r="K49" s="133">
        <v>1.056</v>
      </c>
      <c r="L49" s="122"/>
      <c r="M49" s="122"/>
      <c r="N49" s="122"/>
      <c r="O49" s="122"/>
      <c r="P49" s="122"/>
      <c r="Q49" s="122"/>
      <c r="R49" s="122"/>
      <c r="S49" s="123"/>
      <c r="T49" s="112"/>
      <c r="U49" s="112"/>
    </row>
    <row r="50" spans="9:21" x14ac:dyDescent="0.25">
      <c r="I50" s="112"/>
      <c r="J50" s="134"/>
      <c r="K50" s="122"/>
      <c r="L50" s="122"/>
      <c r="M50" s="122"/>
      <c r="N50" s="122"/>
      <c r="O50" s="122"/>
      <c r="P50" s="122"/>
      <c r="Q50" s="122"/>
      <c r="R50" s="122"/>
      <c r="S50" s="123"/>
      <c r="T50" s="112"/>
      <c r="U50" s="112"/>
    </row>
    <row r="51" spans="9:21" x14ac:dyDescent="0.25">
      <c r="I51" s="112"/>
      <c r="J51" s="134"/>
      <c r="K51" s="139"/>
      <c r="L51" s="262" t="s">
        <v>96</v>
      </c>
      <c r="M51" s="263"/>
      <c r="N51" s="264"/>
      <c r="O51" s="262" t="s">
        <v>97</v>
      </c>
      <c r="P51" s="263"/>
      <c r="Q51" s="264"/>
      <c r="R51" s="262" t="s">
        <v>98</v>
      </c>
      <c r="S51" s="265"/>
      <c r="T51" s="112"/>
      <c r="U51" s="112"/>
    </row>
    <row r="52" spans="9:21" x14ac:dyDescent="0.25">
      <c r="I52" s="112"/>
      <c r="J52" s="134"/>
      <c r="K52" s="266"/>
      <c r="L52" s="144" t="s">
        <v>99</v>
      </c>
      <c r="M52" s="144" t="s">
        <v>100</v>
      </c>
      <c r="N52" s="145" t="s">
        <v>101</v>
      </c>
      <c r="O52" s="144" t="s">
        <v>99</v>
      </c>
      <c r="P52" s="146" t="s">
        <v>100</v>
      </c>
      <c r="Q52" s="145" t="s">
        <v>101</v>
      </c>
      <c r="R52" s="268" t="s">
        <v>102</v>
      </c>
      <c r="S52" s="270" t="s">
        <v>103</v>
      </c>
      <c r="T52" s="112"/>
      <c r="U52" s="112"/>
    </row>
    <row r="53" spans="9:21" x14ac:dyDescent="0.25">
      <c r="I53" s="112"/>
      <c r="J53" s="134"/>
      <c r="K53" s="267"/>
      <c r="L53" s="147" t="s">
        <v>104</v>
      </c>
      <c r="M53" s="147"/>
      <c r="N53" s="148" t="s">
        <v>104</v>
      </c>
      <c r="O53" s="147" t="s">
        <v>104</v>
      </c>
      <c r="P53" s="148"/>
      <c r="Q53" s="148" t="s">
        <v>104</v>
      </c>
      <c r="R53" s="269"/>
      <c r="S53" s="271"/>
      <c r="T53" s="112"/>
      <c r="U53" s="112"/>
    </row>
    <row r="54" spans="9:21" x14ac:dyDescent="0.25">
      <c r="I54" s="150"/>
      <c r="J54" s="151" t="s">
        <v>105</v>
      </c>
      <c r="K54" s="152"/>
      <c r="L54" s="153">
        <v>28.03</v>
      </c>
      <c r="M54" s="154">
        <v>1</v>
      </c>
      <c r="N54" s="155">
        <f>M54*L54</f>
        <v>28.03</v>
      </c>
      <c r="O54" s="156">
        <v>28.56</v>
      </c>
      <c r="P54" s="157">
        <f>M54</f>
        <v>1</v>
      </c>
      <c r="Q54" s="155">
        <f>P54*O54</f>
        <v>28.56</v>
      </c>
      <c r="R54" s="158">
        <f t="shared" ref="R54:R73" si="9">Q54-N54</f>
        <v>0.52999999999999758</v>
      </c>
      <c r="S54" s="159">
        <f>IF(ISERROR(R54/N54), "", R54/N54)</f>
        <v>1.8908312522297452E-2</v>
      </c>
      <c r="T54" s="112"/>
      <c r="U54" s="112"/>
    </row>
    <row r="55" spans="9:21" x14ac:dyDescent="0.25">
      <c r="I55" s="150"/>
      <c r="J55" s="151" t="s">
        <v>106</v>
      </c>
      <c r="K55" s="152"/>
      <c r="L55" s="160">
        <v>1.01E-2</v>
      </c>
      <c r="M55" s="154">
        <v>2000</v>
      </c>
      <c r="N55" s="155">
        <f t="shared" ref="N55:N63" si="10">M55*L55</f>
        <v>20.2</v>
      </c>
      <c r="O55" s="162">
        <v>1.03E-2</v>
      </c>
      <c r="P55" s="157">
        <f t="shared" ref="P55:P77" si="11">M55</f>
        <v>2000</v>
      </c>
      <c r="Q55" s="155">
        <f>P55*O55</f>
        <v>20.6</v>
      </c>
      <c r="R55" s="158">
        <f t="shared" si="9"/>
        <v>0.40000000000000213</v>
      </c>
      <c r="S55" s="159">
        <f t="shared" ref="S55:S63" si="12">IF(ISERROR(R55/N55), "", R55/N55)</f>
        <v>1.980198019801991E-2</v>
      </c>
      <c r="T55" s="112"/>
      <c r="U55" s="112"/>
    </row>
    <row r="56" spans="9:21" x14ac:dyDescent="0.25">
      <c r="I56" s="150"/>
      <c r="J56" s="163" t="s">
        <v>108</v>
      </c>
      <c r="K56" s="152"/>
      <c r="L56" s="153">
        <v>0</v>
      </c>
      <c r="M56" s="154">
        <v>1</v>
      </c>
      <c r="N56" s="155">
        <f t="shared" si="10"/>
        <v>0</v>
      </c>
      <c r="O56" s="156">
        <v>0</v>
      </c>
      <c r="P56" s="157">
        <f t="shared" si="11"/>
        <v>1</v>
      </c>
      <c r="Q56" s="155">
        <f t="shared" ref="Q56:Q63" si="13">P56*O56</f>
        <v>0</v>
      </c>
      <c r="R56" s="158">
        <f t="shared" si="9"/>
        <v>0</v>
      </c>
      <c r="S56" s="159" t="str">
        <f t="shared" si="12"/>
        <v/>
      </c>
      <c r="T56" s="112"/>
      <c r="U56" s="112"/>
    </row>
    <row r="57" spans="9:21" x14ac:dyDescent="0.25">
      <c r="I57" s="150"/>
      <c r="J57" s="151" t="s">
        <v>109</v>
      </c>
      <c r="K57" s="152"/>
      <c r="L57" s="160">
        <v>0</v>
      </c>
      <c r="M57" s="154">
        <v>2000</v>
      </c>
      <c r="N57" s="155">
        <f t="shared" si="10"/>
        <v>0</v>
      </c>
      <c r="O57" s="162">
        <v>0</v>
      </c>
      <c r="P57" s="157">
        <f t="shared" si="11"/>
        <v>2000</v>
      </c>
      <c r="Q57" s="155">
        <f t="shared" si="13"/>
        <v>0</v>
      </c>
      <c r="R57" s="158">
        <f t="shared" si="9"/>
        <v>0</v>
      </c>
      <c r="S57" s="159" t="str">
        <f t="shared" si="12"/>
        <v/>
      </c>
      <c r="T57" s="112"/>
      <c r="U57" s="112"/>
    </row>
    <row r="58" spans="9:21" x14ac:dyDescent="0.25">
      <c r="I58" s="150" t="e">
        <f>#REF!</f>
        <v>#REF!</v>
      </c>
      <c r="J58" s="165" t="s">
        <v>110</v>
      </c>
      <c r="K58" s="166"/>
      <c r="L58" s="167"/>
      <c r="M58" s="168"/>
      <c r="N58" s="169">
        <f>SUM(N54:N57)</f>
        <v>48.230000000000004</v>
      </c>
      <c r="O58" s="170"/>
      <c r="P58" s="171">
        <f t="shared" si="11"/>
        <v>0</v>
      </c>
      <c r="Q58" s="169">
        <f>SUM(Q54:Q57)</f>
        <v>49.16</v>
      </c>
      <c r="R58" s="172">
        <f t="shared" si="9"/>
        <v>0.92999999999999261</v>
      </c>
      <c r="S58" s="173">
        <f>IF((N58)=0,"",(R58/N58))</f>
        <v>1.9282604188264409E-2</v>
      </c>
      <c r="T58" s="112"/>
      <c r="U58" s="112"/>
    </row>
    <row r="59" spans="9:21" x14ac:dyDescent="0.25">
      <c r="I59" s="150"/>
      <c r="J59" s="174" t="s">
        <v>111</v>
      </c>
      <c r="K59" s="152"/>
      <c r="L59" s="160">
        <f>IF((K46*12&gt;=150000), 0, IF(K45="RPP",(L75*0.65+L76*0.17+L77*0.18),IF(K45="Non-RPP (Retailer)",#REF!,#REF!)))</f>
        <v>8.2160000000000011E-2</v>
      </c>
      <c r="M59" s="175">
        <v>112</v>
      </c>
      <c r="N59" s="155">
        <f>M59*L59</f>
        <v>9.2019200000000012</v>
      </c>
      <c r="O59" s="162">
        <f>IF((K46*12&gt;=150000), 0, IF(K45="RPP",(O75*0.65+O76*0.17+O77*0.18),IF(K45="Non-RPP (Retailer)",#REF!,#REF!)))</f>
        <v>8.2160000000000011E-2</v>
      </c>
      <c r="P59" s="175">
        <f t="shared" si="11"/>
        <v>112</v>
      </c>
      <c r="Q59" s="155">
        <f>P59*O59</f>
        <v>9.2019200000000012</v>
      </c>
      <c r="R59" s="158">
        <f>Q59-N59</f>
        <v>0</v>
      </c>
      <c r="S59" s="159">
        <f>IF(ISERROR(R59/N59), "", R59/N59)</f>
        <v>0</v>
      </c>
      <c r="T59" s="112"/>
      <c r="U59" s="112"/>
    </row>
    <row r="60" spans="9:21" x14ac:dyDescent="0.25">
      <c r="I60" s="150"/>
      <c r="J60" s="174" t="s">
        <v>112</v>
      </c>
      <c r="K60" s="152"/>
      <c r="L60" s="160">
        <v>-1E-4</v>
      </c>
      <c r="M60" s="176">
        <v>2000</v>
      </c>
      <c r="N60" s="155">
        <f t="shared" si="10"/>
        <v>-0.2</v>
      </c>
      <c r="O60" s="162">
        <v>-1.4E-3</v>
      </c>
      <c r="P60" s="176">
        <f t="shared" si="11"/>
        <v>2000</v>
      </c>
      <c r="Q60" s="155">
        <f t="shared" si="13"/>
        <v>-2.8</v>
      </c>
      <c r="R60" s="158">
        <f t="shared" si="9"/>
        <v>-2.5999999999999996</v>
      </c>
      <c r="S60" s="159">
        <f t="shared" si="12"/>
        <v>12.999999999999998</v>
      </c>
      <c r="T60" s="112"/>
      <c r="U60" s="112"/>
    </row>
    <row r="61" spans="9:21" x14ac:dyDescent="0.25">
      <c r="I61" s="150"/>
      <c r="J61" s="174" t="s">
        <v>113</v>
      </c>
      <c r="K61" s="152"/>
      <c r="L61" s="160">
        <v>0</v>
      </c>
      <c r="M61" s="176">
        <v>2000</v>
      </c>
      <c r="N61" s="155">
        <f>M61*L61</f>
        <v>0</v>
      </c>
      <c r="O61" s="162">
        <v>-1E-4</v>
      </c>
      <c r="P61" s="176">
        <f t="shared" si="11"/>
        <v>2000</v>
      </c>
      <c r="Q61" s="155">
        <f>P61*O61</f>
        <v>-0.2</v>
      </c>
      <c r="R61" s="158">
        <f t="shared" si="9"/>
        <v>-0.2</v>
      </c>
      <c r="S61" s="159" t="str">
        <f t="shared" si="12"/>
        <v/>
      </c>
      <c r="T61" s="112"/>
      <c r="U61" s="112"/>
    </row>
    <row r="62" spans="9:21" x14ac:dyDescent="0.25">
      <c r="I62" s="150"/>
      <c r="J62" s="174" t="s">
        <v>114</v>
      </c>
      <c r="K62" s="152"/>
      <c r="L62" s="160">
        <v>0</v>
      </c>
      <c r="M62" s="176">
        <f>K46</f>
        <v>2000</v>
      </c>
      <c r="N62" s="155">
        <f>M62*L62</f>
        <v>0</v>
      </c>
      <c r="O62" s="162">
        <v>0</v>
      </c>
      <c r="P62" s="176">
        <f t="shared" si="11"/>
        <v>2000</v>
      </c>
      <c r="Q62" s="155">
        <f t="shared" si="13"/>
        <v>0</v>
      </c>
      <c r="R62" s="158">
        <f t="shared" si="9"/>
        <v>0</v>
      </c>
      <c r="S62" s="159" t="str">
        <f t="shared" si="12"/>
        <v/>
      </c>
      <c r="T62" s="112"/>
      <c r="U62" s="112"/>
    </row>
    <row r="63" spans="9:21" x14ac:dyDescent="0.25">
      <c r="I63" s="150"/>
      <c r="J63" s="177" t="s">
        <v>115</v>
      </c>
      <c r="K63" s="152"/>
      <c r="L63" s="160">
        <v>2.3999999999999998E-3</v>
      </c>
      <c r="M63" s="176">
        <v>2000</v>
      </c>
      <c r="N63" s="155">
        <f t="shared" si="10"/>
        <v>4.8</v>
      </c>
      <c r="O63" s="162">
        <v>2.3999999999999998E-3</v>
      </c>
      <c r="P63" s="176">
        <f t="shared" si="11"/>
        <v>2000</v>
      </c>
      <c r="Q63" s="155">
        <f t="shared" si="13"/>
        <v>4.8</v>
      </c>
      <c r="R63" s="158">
        <f t="shared" si="9"/>
        <v>0</v>
      </c>
      <c r="S63" s="159">
        <f t="shared" si="12"/>
        <v>0</v>
      </c>
      <c r="T63" s="112"/>
      <c r="U63" s="112"/>
    </row>
    <row r="64" spans="9:21" ht="38.25" x14ac:dyDescent="0.25">
      <c r="I64" s="150"/>
      <c r="J64" s="178" t="s">
        <v>116</v>
      </c>
      <c r="K64" s="152"/>
      <c r="L64" s="179">
        <v>0.79</v>
      </c>
      <c r="M64" s="154">
        <v>1</v>
      </c>
      <c r="N64" s="155">
        <f>M64*L64</f>
        <v>0.79</v>
      </c>
      <c r="O64" s="180">
        <v>0.79</v>
      </c>
      <c r="P64" s="154">
        <f t="shared" si="11"/>
        <v>1</v>
      </c>
      <c r="Q64" s="155">
        <f>P64*O64</f>
        <v>0.79</v>
      </c>
      <c r="R64" s="158">
        <f t="shared" si="9"/>
        <v>0</v>
      </c>
      <c r="S64" s="159">
        <f>IF(ISERROR(R64/N64), "", R64/N64)</f>
        <v>0</v>
      </c>
      <c r="T64" s="112"/>
      <c r="U64" s="112"/>
    </row>
    <row r="65" spans="9:21" x14ac:dyDescent="0.25">
      <c r="I65" s="150"/>
      <c r="J65" s="177" t="s">
        <v>117</v>
      </c>
      <c r="K65" s="152"/>
      <c r="L65" s="160"/>
      <c r="M65" s="176">
        <v>2000</v>
      </c>
      <c r="N65" s="155">
        <f>M65*L65</f>
        <v>0</v>
      </c>
      <c r="O65" s="162">
        <v>1.2999999999999999E-3</v>
      </c>
      <c r="P65" s="176">
        <f t="shared" si="11"/>
        <v>2000</v>
      </c>
      <c r="Q65" s="155">
        <f>P65*O65</f>
        <v>2.6</v>
      </c>
      <c r="R65" s="158">
        <f t="shared" si="9"/>
        <v>2.6</v>
      </c>
      <c r="S65" s="159" t="str">
        <f>IF(ISERROR(R65/N65), "", R65/N65)</f>
        <v/>
      </c>
      <c r="T65" s="112"/>
      <c r="U65" s="112"/>
    </row>
    <row r="66" spans="9:21" x14ac:dyDescent="0.25">
      <c r="I66" s="150" t="e">
        <f>#REF!</f>
        <v>#REF!</v>
      </c>
      <c r="J66" s="181" t="s">
        <v>118</v>
      </c>
      <c r="K66" s="182"/>
      <c r="L66" s="183"/>
      <c r="M66" s="184"/>
      <c r="N66" s="185">
        <f>SUM(N58:N65)</f>
        <v>62.821919999999999</v>
      </c>
      <c r="O66" s="186"/>
      <c r="P66" s="187">
        <f t="shared" si="11"/>
        <v>0</v>
      </c>
      <c r="Q66" s="185">
        <f>SUM(Q58:Q65)</f>
        <v>63.551919999999996</v>
      </c>
      <c r="R66" s="172">
        <f t="shared" si="9"/>
        <v>0.72999999999999687</v>
      </c>
      <c r="S66" s="173">
        <f>IF((N66)=0,"",(R66/N66))</f>
        <v>1.1620147871952926E-2</v>
      </c>
      <c r="T66" s="112"/>
      <c r="U66" s="112"/>
    </row>
    <row r="67" spans="9:21" x14ac:dyDescent="0.25">
      <c r="I67" s="150"/>
      <c r="J67" s="188" t="s">
        <v>119</v>
      </c>
      <c r="K67" s="152"/>
      <c r="L67" s="160">
        <v>5.8999999999999999E-3</v>
      </c>
      <c r="M67" s="175">
        <v>2112</v>
      </c>
      <c r="N67" s="155">
        <f>M67*L67</f>
        <v>12.460799999999999</v>
      </c>
      <c r="O67" s="162">
        <v>6.0000000000000001E-3</v>
      </c>
      <c r="P67" s="175">
        <f t="shared" si="11"/>
        <v>2112</v>
      </c>
      <c r="Q67" s="155">
        <f>P67*O67</f>
        <v>12.672000000000001</v>
      </c>
      <c r="R67" s="158">
        <f t="shared" si="9"/>
        <v>0.21120000000000161</v>
      </c>
      <c r="S67" s="159">
        <f>IF(ISERROR(R67/N67), "", R67/N67)</f>
        <v>1.6949152542373013E-2</v>
      </c>
      <c r="T67" s="112"/>
      <c r="U67" s="112"/>
    </row>
    <row r="68" spans="9:21" ht="25.5" x14ac:dyDescent="0.25">
      <c r="I68" s="150"/>
      <c r="J68" s="189" t="s">
        <v>120</v>
      </c>
      <c r="K68" s="152"/>
      <c r="L68" s="160">
        <v>5.1000000000000004E-3</v>
      </c>
      <c r="M68" s="175">
        <v>2112</v>
      </c>
      <c r="N68" s="155">
        <f>M68*L68</f>
        <v>10.7712</v>
      </c>
      <c r="O68" s="162">
        <v>5.1000000000000004E-3</v>
      </c>
      <c r="P68" s="175">
        <f t="shared" si="11"/>
        <v>2112</v>
      </c>
      <c r="Q68" s="155">
        <f>P68*O68</f>
        <v>10.7712</v>
      </c>
      <c r="R68" s="158">
        <f t="shared" si="9"/>
        <v>0</v>
      </c>
      <c r="S68" s="159">
        <f>IF(ISERROR(R68/N68), "", R68/N68)</f>
        <v>0</v>
      </c>
      <c r="T68" s="112"/>
      <c r="U68" s="112"/>
    </row>
    <row r="69" spans="9:21" x14ac:dyDescent="0.25">
      <c r="I69" s="150" t="e">
        <f>#REF!</f>
        <v>#REF!</v>
      </c>
      <c r="J69" s="181" t="s">
        <v>121</v>
      </c>
      <c r="K69" s="166"/>
      <c r="L69" s="183"/>
      <c r="M69" s="184"/>
      <c r="N69" s="185">
        <f>SUM(N66:N68)</f>
        <v>86.053920000000005</v>
      </c>
      <c r="O69" s="186"/>
      <c r="P69" s="171">
        <f t="shared" si="11"/>
        <v>0</v>
      </c>
      <c r="Q69" s="185">
        <f>SUM(Q66:Q68)</f>
        <v>86.995119999999986</v>
      </c>
      <c r="R69" s="172">
        <f t="shared" si="9"/>
        <v>0.94119999999998072</v>
      </c>
      <c r="S69" s="173">
        <f>IF((N69)=0,"",(R69/N69))</f>
        <v>1.0937328595838292E-2</v>
      </c>
      <c r="T69" s="112"/>
      <c r="U69" s="112"/>
    </row>
    <row r="70" spans="9:21" x14ac:dyDescent="0.25">
      <c r="I70" s="150"/>
      <c r="J70" s="190" t="s">
        <v>122</v>
      </c>
      <c r="K70" s="152"/>
      <c r="L70" s="160">
        <v>3.6000000000000003E-3</v>
      </c>
      <c r="M70" s="175">
        <f>K46*K48</f>
        <v>2112</v>
      </c>
      <c r="N70" s="191">
        <f t="shared" ref="N70:N77" si="14">M70*L70</f>
        <v>7.6032000000000011</v>
      </c>
      <c r="O70" s="162">
        <v>3.6000000000000003E-3</v>
      </c>
      <c r="P70" s="175">
        <f t="shared" si="11"/>
        <v>2112</v>
      </c>
      <c r="Q70" s="191">
        <f t="shared" ref="Q70:Q77" si="15">P70*O70</f>
        <v>7.6032000000000011</v>
      </c>
      <c r="R70" s="158">
        <f t="shared" si="9"/>
        <v>0</v>
      </c>
      <c r="S70" s="159">
        <f t="shared" ref="S70:S77" si="16">IF(ISERROR(R70/N70), "", R70/N70)</f>
        <v>0</v>
      </c>
      <c r="T70" s="112"/>
      <c r="U70" s="112"/>
    </row>
    <row r="71" spans="9:21" x14ac:dyDescent="0.25">
      <c r="I71" s="150"/>
      <c r="J71" s="190" t="s">
        <v>123</v>
      </c>
      <c r="K71" s="152"/>
      <c r="L71" s="160">
        <f>'[1]17. Regulatory Charges'!$D$16</f>
        <v>2.9999999999999997E-4</v>
      </c>
      <c r="M71" s="175">
        <f>K46*K48</f>
        <v>2112</v>
      </c>
      <c r="N71" s="191">
        <f t="shared" si="14"/>
        <v>0.63359999999999994</v>
      </c>
      <c r="O71" s="162">
        <v>2.9999999999999997E-4</v>
      </c>
      <c r="P71" s="175">
        <f t="shared" si="11"/>
        <v>2112</v>
      </c>
      <c r="Q71" s="191">
        <f t="shared" si="15"/>
        <v>0.63359999999999994</v>
      </c>
      <c r="R71" s="158">
        <f t="shared" si="9"/>
        <v>0</v>
      </c>
      <c r="S71" s="159">
        <f t="shared" si="16"/>
        <v>0</v>
      </c>
      <c r="T71" s="112"/>
      <c r="U71" s="112"/>
    </row>
    <row r="72" spans="9:21" x14ac:dyDescent="0.25">
      <c r="I72" s="150"/>
      <c r="J72" s="193" t="s">
        <v>124</v>
      </c>
      <c r="K72" s="152"/>
      <c r="L72" s="179">
        <v>0.25</v>
      </c>
      <c r="M72" s="154">
        <v>1</v>
      </c>
      <c r="N72" s="191">
        <f t="shared" si="14"/>
        <v>0.25</v>
      </c>
      <c r="O72" s="180">
        <f>'[1]17. Regulatory Charges'!$D$17</f>
        <v>0.25</v>
      </c>
      <c r="P72" s="157">
        <f t="shared" si="11"/>
        <v>1</v>
      </c>
      <c r="Q72" s="191">
        <f t="shared" si="15"/>
        <v>0.25</v>
      </c>
      <c r="R72" s="158">
        <f t="shared" si="9"/>
        <v>0</v>
      </c>
      <c r="S72" s="159">
        <f t="shared" si="16"/>
        <v>0</v>
      </c>
      <c r="T72" s="112"/>
      <c r="U72" s="112"/>
    </row>
    <row r="73" spans="9:21" x14ac:dyDescent="0.25">
      <c r="I73" s="150"/>
      <c r="J73" s="193" t="s">
        <v>125</v>
      </c>
      <c r="K73" s="152"/>
      <c r="L73" s="160">
        <f>IF('[1]1. Information Sheet'!L81 = DATE(2016, 5, 1), (IF(ISERROR(FIND("RESIDENTIAL", UPPER(K44))), DRC, 0)), DRC)</f>
        <v>7.0000000000000001E-3</v>
      </c>
      <c r="M73" s="176">
        <f>K46</f>
        <v>2000</v>
      </c>
      <c r="N73" s="191">
        <f t="shared" si="14"/>
        <v>14</v>
      </c>
      <c r="O73" s="233">
        <f>IF(ISERROR(FIND("RESIDENTIAL", UPPER(K44))),DRC, 0)</f>
        <v>7.0000000000000001E-3</v>
      </c>
      <c r="P73" s="176">
        <f t="shared" si="11"/>
        <v>2000</v>
      </c>
      <c r="Q73" s="191">
        <f t="shared" si="15"/>
        <v>14</v>
      </c>
      <c r="R73" s="158">
        <f t="shared" si="9"/>
        <v>0</v>
      </c>
      <c r="S73" s="159">
        <f t="shared" si="16"/>
        <v>0</v>
      </c>
      <c r="T73" s="112"/>
      <c r="U73" s="112"/>
    </row>
    <row r="74" spans="9:21" ht="25.5" x14ac:dyDescent="0.25">
      <c r="I74" s="150"/>
      <c r="J74" s="190" t="s">
        <v>126</v>
      </c>
      <c r="K74" s="152"/>
      <c r="L74" s="160"/>
      <c r="M74" s="175"/>
      <c r="N74" s="191"/>
      <c r="O74" s="162"/>
      <c r="P74" s="175">
        <f t="shared" si="11"/>
        <v>0</v>
      </c>
      <c r="Q74" s="191"/>
      <c r="R74" s="158"/>
      <c r="S74" s="159"/>
      <c r="T74" s="112"/>
      <c r="U74" s="112"/>
    </row>
    <row r="75" spans="9:21" x14ac:dyDescent="0.25">
      <c r="I75" s="150"/>
      <c r="J75" s="200" t="s">
        <v>127</v>
      </c>
      <c r="K75" s="152"/>
      <c r="L75" s="201">
        <f>OffPeak</f>
        <v>6.5000000000000002E-2</v>
      </c>
      <c r="M75" s="202">
        <f>IF(AND(K46*12&gt;=150000),0.65*K46*K48,0.65*K46)</f>
        <v>1300</v>
      </c>
      <c r="N75" s="191">
        <f t="shared" si="14"/>
        <v>84.5</v>
      </c>
      <c r="O75" s="203">
        <f>OffPeak</f>
        <v>6.5000000000000002E-2</v>
      </c>
      <c r="P75" s="202">
        <f t="shared" si="11"/>
        <v>1300</v>
      </c>
      <c r="Q75" s="191">
        <f t="shared" si="15"/>
        <v>84.5</v>
      </c>
      <c r="R75" s="158">
        <f>Q75-N75</f>
        <v>0</v>
      </c>
      <c r="S75" s="159">
        <f t="shared" si="16"/>
        <v>0</v>
      </c>
      <c r="T75" s="112"/>
      <c r="U75" s="112"/>
    </row>
    <row r="76" spans="9:21" x14ac:dyDescent="0.25">
      <c r="I76" s="150"/>
      <c r="J76" s="200" t="s">
        <v>128</v>
      </c>
      <c r="K76" s="152"/>
      <c r="L76" s="201">
        <f>MidPeak</f>
        <v>9.5000000000000001E-2</v>
      </c>
      <c r="M76" s="202">
        <f>IF(AND(K46*12&gt;=150000),0.17*K46*K48,0.17*K46)</f>
        <v>340</v>
      </c>
      <c r="N76" s="191">
        <f t="shared" si="14"/>
        <v>32.299999999999997</v>
      </c>
      <c r="O76" s="203">
        <f>MidPeak</f>
        <v>9.5000000000000001E-2</v>
      </c>
      <c r="P76" s="202">
        <f t="shared" si="11"/>
        <v>340</v>
      </c>
      <c r="Q76" s="191">
        <f t="shared" si="15"/>
        <v>32.299999999999997</v>
      </c>
      <c r="R76" s="158">
        <f>Q76-N76</f>
        <v>0</v>
      </c>
      <c r="S76" s="159">
        <f t="shared" si="16"/>
        <v>0</v>
      </c>
      <c r="T76" s="112"/>
      <c r="U76" s="112"/>
    </row>
    <row r="77" spans="9:21" ht="15.75" thickBot="1" x14ac:dyDescent="0.3">
      <c r="I77" s="150"/>
      <c r="J77" s="134" t="s">
        <v>129</v>
      </c>
      <c r="K77" s="152"/>
      <c r="L77" s="201">
        <f>OnPeak</f>
        <v>0.13200000000000001</v>
      </c>
      <c r="M77" s="202">
        <f>IF(AND(K46*12&gt;=150000),0.18*K46*K48,0.18*K46)</f>
        <v>360</v>
      </c>
      <c r="N77" s="191">
        <f t="shared" si="14"/>
        <v>47.52</v>
      </c>
      <c r="O77" s="203">
        <f>OnPeak</f>
        <v>0.13200000000000001</v>
      </c>
      <c r="P77" s="202">
        <f t="shared" si="11"/>
        <v>360</v>
      </c>
      <c r="Q77" s="191">
        <f t="shared" si="15"/>
        <v>47.52</v>
      </c>
      <c r="R77" s="158">
        <f>Q77-N77</f>
        <v>0</v>
      </c>
      <c r="S77" s="159">
        <f t="shared" si="16"/>
        <v>0</v>
      </c>
      <c r="T77" s="112"/>
      <c r="U77" s="112"/>
    </row>
    <row r="78" spans="9:21" ht="15.75" thickBot="1" x14ac:dyDescent="0.3">
      <c r="I78" s="150"/>
      <c r="J78" s="204"/>
      <c r="K78" s="205"/>
      <c r="L78" s="206"/>
      <c r="M78" s="207"/>
      <c r="N78" s="208"/>
      <c r="O78" s="206"/>
      <c r="P78" s="209"/>
      <c r="Q78" s="208"/>
      <c r="R78" s="210"/>
      <c r="S78" s="211"/>
      <c r="T78" s="112"/>
      <c r="U78" s="112"/>
    </row>
    <row r="79" spans="9:21" x14ac:dyDescent="0.25">
      <c r="I79" s="150"/>
      <c r="J79" s="212" t="s">
        <v>130</v>
      </c>
      <c r="K79" s="213"/>
      <c r="L79" s="214"/>
      <c r="M79" s="215"/>
      <c r="N79" s="216">
        <f>SUM(N70:N77,N69)</f>
        <v>272.86072000000001</v>
      </c>
      <c r="O79" s="217"/>
      <c r="P79" s="217"/>
      <c r="Q79" s="216">
        <f>SUM(Q70:Q77,Q69)</f>
        <v>273.80192</v>
      </c>
      <c r="R79" s="218">
        <f>Q79-N79</f>
        <v>0.94119999999998072</v>
      </c>
      <c r="S79" s="219">
        <f>IF((N79)=0,"",(R79/N79))</f>
        <v>3.4493788625932697E-3</v>
      </c>
      <c r="T79" s="112"/>
      <c r="U79" s="112"/>
    </row>
    <row r="80" spans="9:21" x14ac:dyDescent="0.25">
      <c r="I80" s="150"/>
      <c r="J80" s="220" t="s">
        <v>131</v>
      </c>
      <c r="K80" s="213"/>
      <c r="L80" s="214">
        <v>0.13</v>
      </c>
      <c r="M80" s="221"/>
      <c r="N80" s="222">
        <f>N79*L80</f>
        <v>35.471893600000001</v>
      </c>
      <c r="O80" s="223">
        <v>0.13</v>
      </c>
      <c r="P80" s="154"/>
      <c r="Q80" s="222">
        <f>Q79*O80</f>
        <v>35.594249599999998</v>
      </c>
      <c r="R80" s="224">
        <f>Q80-N80</f>
        <v>0.12235599999999636</v>
      </c>
      <c r="S80" s="225">
        <f>IF((N80)=0,"",(R80/N80))</f>
        <v>3.4493788625932376E-3</v>
      </c>
      <c r="T80" s="112"/>
      <c r="U80" s="112"/>
    </row>
    <row r="81" spans="9:21" x14ac:dyDescent="0.25">
      <c r="I81" s="150"/>
      <c r="J81" s="220" t="s">
        <v>132</v>
      </c>
      <c r="K81" s="213"/>
      <c r="L81" s="214">
        <v>0.08</v>
      </c>
      <c r="M81" s="221"/>
      <c r="N81" s="222">
        <f>N79*-L81</f>
        <v>-21.828857600000003</v>
      </c>
      <c r="O81" s="214">
        <v>0.08</v>
      </c>
      <c r="P81" s="154"/>
      <c r="Q81" s="222">
        <f>Q79*-O81</f>
        <v>-21.904153600000001</v>
      </c>
      <c r="R81" s="224">
        <f>Q81-N81</f>
        <v>-7.5295999999998031E-2</v>
      </c>
      <c r="S81" s="225"/>
      <c r="T81" s="112"/>
      <c r="U81" s="112"/>
    </row>
    <row r="82" spans="9:21" ht="15.75" thickBot="1" x14ac:dyDescent="0.3">
      <c r="I82" s="150"/>
      <c r="J82" s="260" t="s">
        <v>133</v>
      </c>
      <c r="K82" s="261"/>
      <c r="L82" s="234"/>
      <c r="M82" s="235"/>
      <c r="N82" s="236">
        <f>N79+N80+N81</f>
        <v>286.50375600000001</v>
      </c>
      <c r="O82" s="237"/>
      <c r="P82" s="237"/>
      <c r="Q82" s="238">
        <f>Q79+Q80+Q81</f>
        <v>287.49201600000004</v>
      </c>
      <c r="R82" s="239">
        <f>Q82-N82</f>
        <v>0.98826000000002523</v>
      </c>
      <c r="S82" s="240">
        <f>IF((N82)=0,"",(R82/N82))</f>
        <v>3.4493788625934284E-3</v>
      </c>
      <c r="T82" s="112"/>
      <c r="U82" s="112"/>
    </row>
    <row r="83" spans="9:21" ht="15.75" thickBot="1" x14ac:dyDescent="0.3">
      <c r="I83" s="150"/>
      <c r="J83" s="204"/>
      <c r="K83" s="205"/>
      <c r="L83" s="206"/>
      <c r="M83" s="207"/>
      <c r="N83" s="208"/>
      <c r="O83" s="206"/>
      <c r="P83" s="209"/>
      <c r="Q83" s="208"/>
      <c r="R83" s="210"/>
      <c r="S83" s="211"/>
      <c r="T83" s="112"/>
      <c r="U83" s="112"/>
    </row>
    <row r="84" spans="9:21" x14ac:dyDescent="0.25">
      <c r="I84" s="232"/>
      <c r="J84" s="241"/>
      <c r="K84" s="122"/>
      <c r="L84" s="122"/>
      <c r="M84" s="122"/>
      <c r="N84" s="122"/>
      <c r="O84" s="122"/>
      <c r="P84" s="122"/>
      <c r="Q84" s="122"/>
      <c r="R84" s="122"/>
      <c r="S84" s="123"/>
      <c r="T84" s="112"/>
      <c r="U84" s="112"/>
    </row>
    <row r="85" spans="9:21" x14ac:dyDescent="0.25">
      <c r="I85" s="232"/>
      <c r="J85" s="241"/>
      <c r="K85" s="122"/>
      <c r="L85" s="122"/>
      <c r="M85" s="122"/>
      <c r="N85" s="122"/>
      <c r="O85" s="122"/>
      <c r="P85" s="122"/>
      <c r="Q85" s="122"/>
      <c r="R85" s="122"/>
      <c r="S85" s="123"/>
      <c r="T85" s="112"/>
      <c r="U85" s="112"/>
    </row>
    <row r="86" spans="9:21" x14ac:dyDescent="0.25">
      <c r="I86" s="112"/>
      <c r="J86" s="120" t="s">
        <v>86</v>
      </c>
      <c r="K86" s="272" t="s">
        <v>135</v>
      </c>
      <c r="L86" s="272"/>
      <c r="M86" s="272"/>
      <c r="N86" s="272"/>
      <c r="O86" s="272"/>
      <c r="P86" s="272"/>
      <c r="Q86" s="122" t="e">
        <f>IF(#REF!="DEMAND - INTERVAL","RTSR - INTERVAL METERED","")</f>
        <v>#REF!</v>
      </c>
      <c r="R86" s="122"/>
      <c r="S86" s="123"/>
      <c r="T86" s="112"/>
      <c r="U86" s="112"/>
    </row>
    <row r="87" spans="9:21" x14ac:dyDescent="0.25">
      <c r="I87" s="112"/>
      <c r="J87" s="120" t="s">
        <v>88</v>
      </c>
      <c r="K87" s="273" t="s">
        <v>136</v>
      </c>
      <c r="L87" s="273"/>
      <c r="M87" s="273"/>
      <c r="N87" s="121"/>
      <c r="O87" s="121"/>
      <c r="P87" s="122"/>
      <c r="Q87" s="122"/>
      <c r="R87" s="122"/>
      <c r="S87" s="123"/>
      <c r="T87" s="112"/>
      <c r="U87" s="112"/>
    </row>
    <row r="88" spans="9:21" ht="15.75" x14ac:dyDescent="0.25">
      <c r="I88" s="112"/>
      <c r="J88" s="120" t="s">
        <v>90</v>
      </c>
      <c r="K88" s="124">
        <v>328500</v>
      </c>
      <c r="L88" s="125" t="s">
        <v>91</v>
      </c>
      <c r="M88" s="126"/>
      <c r="N88" s="122"/>
      <c r="O88" s="122"/>
      <c r="P88" s="127"/>
      <c r="Q88" s="127"/>
      <c r="R88" s="127"/>
      <c r="S88" s="128"/>
      <c r="T88" s="112"/>
      <c r="U88" s="112"/>
    </row>
    <row r="89" spans="9:21" ht="15.75" x14ac:dyDescent="0.25">
      <c r="I89" s="112"/>
      <c r="J89" s="120" t="s">
        <v>92</v>
      </c>
      <c r="K89" s="124">
        <v>500</v>
      </c>
      <c r="L89" s="129" t="s">
        <v>93</v>
      </c>
      <c r="M89" s="130"/>
      <c r="N89" s="131"/>
      <c r="O89" s="131"/>
      <c r="P89" s="131"/>
      <c r="Q89" s="122"/>
      <c r="R89" s="122"/>
      <c r="S89" s="123"/>
      <c r="T89" s="112"/>
      <c r="U89" s="112"/>
    </row>
    <row r="90" spans="9:21" x14ac:dyDescent="0.25">
      <c r="I90" s="112"/>
      <c r="J90" s="120" t="s">
        <v>94</v>
      </c>
      <c r="K90" s="133">
        <v>1.056</v>
      </c>
      <c r="L90" s="122"/>
      <c r="M90" s="122"/>
      <c r="N90" s="122"/>
      <c r="O90" s="122"/>
      <c r="P90" s="122"/>
      <c r="Q90" s="122"/>
      <c r="R90" s="122"/>
      <c r="S90" s="123"/>
      <c r="T90" s="112"/>
      <c r="U90" s="112"/>
    </row>
    <row r="91" spans="9:21" x14ac:dyDescent="0.25">
      <c r="I91" s="112"/>
      <c r="J91" s="120" t="s">
        <v>95</v>
      </c>
      <c r="K91" s="133">
        <v>1.056</v>
      </c>
      <c r="L91" s="122"/>
      <c r="M91" s="122"/>
      <c r="N91" s="122"/>
      <c r="O91" s="122"/>
      <c r="P91" s="122"/>
      <c r="Q91" s="122"/>
      <c r="R91" s="122"/>
      <c r="S91" s="123"/>
      <c r="T91" s="112"/>
      <c r="U91" s="112"/>
    </row>
    <row r="92" spans="9:21" x14ac:dyDescent="0.25">
      <c r="I92" s="112"/>
      <c r="J92" s="134"/>
      <c r="K92" s="122"/>
      <c r="L92" s="122"/>
      <c r="M92" s="122"/>
      <c r="N92" s="122"/>
      <c r="O92" s="122"/>
      <c r="P92" s="122"/>
      <c r="Q92" s="122"/>
      <c r="R92" s="122"/>
      <c r="S92" s="123"/>
      <c r="T92" s="112"/>
      <c r="U92" s="112"/>
    </row>
    <row r="93" spans="9:21" x14ac:dyDescent="0.25">
      <c r="I93" s="112"/>
      <c r="J93" s="134"/>
      <c r="K93" s="139"/>
      <c r="L93" s="262" t="s">
        <v>96</v>
      </c>
      <c r="M93" s="263"/>
      <c r="N93" s="264"/>
      <c r="O93" s="262" t="s">
        <v>97</v>
      </c>
      <c r="P93" s="263"/>
      <c r="Q93" s="264"/>
      <c r="R93" s="262" t="s">
        <v>98</v>
      </c>
      <c r="S93" s="265"/>
      <c r="T93" s="112"/>
      <c r="U93" s="112"/>
    </row>
    <row r="94" spans="9:21" x14ac:dyDescent="0.25">
      <c r="I94" s="112"/>
      <c r="J94" s="134"/>
      <c r="K94" s="266"/>
      <c r="L94" s="144" t="s">
        <v>99</v>
      </c>
      <c r="M94" s="144" t="s">
        <v>100</v>
      </c>
      <c r="N94" s="145" t="s">
        <v>101</v>
      </c>
      <c r="O94" s="144" t="s">
        <v>99</v>
      </c>
      <c r="P94" s="146" t="s">
        <v>100</v>
      </c>
      <c r="Q94" s="145" t="s">
        <v>101</v>
      </c>
      <c r="R94" s="268" t="s">
        <v>102</v>
      </c>
      <c r="S94" s="270" t="s">
        <v>103</v>
      </c>
      <c r="T94" s="112"/>
      <c r="U94" s="112"/>
    </row>
    <row r="95" spans="9:21" x14ac:dyDescent="0.25">
      <c r="I95" s="112"/>
      <c r="J95" s="134"/>
      <c r="K95" s="267"/>
      <c r="L95" s="147" t="s">
        <v>104</v>
      </c>
      <c r="M95" s="147"/>
      <c r="N95" s="148" t="s">
        <v>104</v>
      </c>
      <c r="O95" s="147" t="s">
        <v>104</v>
      </c>
      <c r="P95" s="148"/>
      <c r="Q95" s="148" t="s">
        <v>104</v>
      </c>
      <c r="R95" s="269"/>
      <c r="S95" s="271"/>
      <c r="T95" s="112"/>
      <c r="U95" s="112"/>
    </row>
    <row r="96" spans="9:21" x14ac:dyDescent="0.25">
      <c r="I96" s="150"/>
      <c r="J96" s="151" t="s">
        <v>105</v>
      </c>
      <c r="K96" s="152"/>
      <c r="L96" s="153">
        <v>85.8</v>
      </c>
      <c r="M96" s="154">
        <v>1</v>
      </c>
      <c r="N96" s="155">
        <f>M96*L96</f>
        <v>85.8</v>
      </c>
      <c r="O96" s="156">
        <v>87.43</v>
      </c>
      <c r="P96" s="157">
        <f>M96</f>
        <v>1</v>
      </c>
      <c r="Q96" s="155">
        <f>P96*O96</f>
        <v>87.43</v>
      </c>
      <c r="R96" s="158">
        <f t="shared" ref="R96:R115" si="17">Q96-N96</f>
        <v>1.6300000000000097</v>
      </c>
      <c r="S96" s="159">
        <f>IF(ISERROR(R96/N96), "", R96/N96)</f>
        <v>1.8997668997669109E-2</v>
      </c>
      <c r="T96" s="112"/>
      <c r="U96" s="112"/>
    </row>
    <row r="97" spans="9:21" x14ac:dyDescent="0.25">
      <c r="I97" s="150"/>
      <c r="J97" s="151" t="s">
        <v>106</v>
      </c>
      <c r="K97" s="152"/>
      <c r="L97" s="160">
        <v>3.8123</v>
      </c>
      <c r="M97" s="161">
        <f>$K$89</f>
        <v>500</v>
      </c>
      <c r="N97" s="155">
        <f t="shared" ref="N97:N105" si="18">M97*L97</f>
        <v>1906.15</v>
      </c>
      <c r="O97" s="162">
        <v>3.8847</v>
      </c>
      <c r="P97" s="157">
        <f t="shared" ref="P97:P117" si="19">M97</f>
        <v>500</v>
      </c>
      <c r="Q97" s="155">
        <f>P97*O97</f>
        <v>1942.35</v>
      </c>
      <c r="R97" s="158">
        <f t="shared" si="17"/>
        <v>36.199999999999818</v>
      </c>
      <c r="S97" s="159">
        <f t="shared" ref="S97:S105" si="20">IF(ISERROR(R97/N97), "", R97/N97)</f>
        <v>1.8991160192009977E-2</v>
      </c>
      <c r="T97" s="112"/>
      <c r="U97" s="112"/>
    </row>
    <row r="98" spans="9:21" x14ac:dyDescent="0.25">
      <c r="I98" s="150"/>
      <c r="J98" s="163" t="s">
        <v>108</v>
      </c>
      <c r="K98" s="152"/>
      <c r="L98" s="153">
        <v>0</v>
      </c>
      <c r="M98" s="154">
        <v>1</v>
      </c>
      <c r="N98" s="155">
        <f t="shared" si="18"/>
        <v>0</v>
      </c>
      <c r="O98" s="156">
        <v>0</v>
      </c>
      <c r="P98" s="157">
        <f t="shared" si="19"/>
        <v>1</v>
      </c>
      <c r="Q98" s="155">
        <f t="shared" ref="Q98:Q105" si="21">P98*O98</f>
        <v>0</v>
      </c>
      <c r="R98" s="158">
        <f t="shared" si="17"/>
        <v>0</v>
      </c>
      <c r="S98" s="159" t="str">
        <f t="shared" si="20"/>
        <v/>
      </c>
      <c r="T98" s="112"/>
      <c r="U98" s="112"/>
    </row>
    <row r="99" spans="9:21" x14ac:dyDescent="0.25">
      <c r="I99" s="150"/>
      <c r="J99" s="151" t="s">
        <v>109</v>
      </c>
      <c r="K99" s="152"/>
      <c r="L99" s="160">
        <v>0</v>
      </c>
      <c r="M99" s="154">
        <f>$K$89</f>
        <v>500</v>
      </c>
      <c r="N99" s="155">
        <f t="shared" si="18"/>
        <v>0</v>
      </c>
      <c r="O99" s="162">
        <v>0</v>
      </c>
      <c r="P99" s="157">
        <f t="shared" si="19"/>
        <v>500</v>
      </c>
      <c r="Q99" s="155">
        <f t="shared" si="21"/>
        <v>0</v>
      </c>
      <c r="R99" s="158">
        <f t="shared" si="17"/>
        <v>0</v>
      </c>
      <c r="S99" s="159" t="str">
        <f t="shared" si="20"/>
        <v/>
      </c>
      <c r="T99" s="112"/>
      <c r="U99" s="112"/>
    </row>
    <row r="100" spans="9:21" x14ac:dyDescent="0.25">
      <c r="I100" s="150"/>
      <c r="J100" s="165" t="s">
        <v>110</v>
      </c>
      <c r="K100" s="166"/>
      <c r="L100" s="167"/>
      <c r="M100" s="168"/>
      <c r="N100" s="169">
        <f>SUM(N96:N99)</f>
        <v>1991.95</v>
      </c>
      <c r="O100" s="170"/>
      <c r="P100" s="171">
        <f t="shared" si="19"/>
        <v>0</v>
      </c>
      <c r="Q100" s="169">
        <f>SUM(Q96:Q99)</f>
        <v>2029.78</v>
      </c>
      <c r="R100" s="172">
        <f t="shared" si="17"/>
        <v>37.829999999999927</v>
      </c>
      <c r="S100" s="173">
        <f>IF((N100)=0,"",(R100/N100))</f>
        <v>1.8991440548206496E-2</v>
      </c>
      <c r="T100" s="112"/>
      <c r="U100" s="112"/>
    </row>
    <row r="101" spans="9:21" x14ac:dyDescent="0.25">
      <c r="I101" s="150"/>
      <c r="J101" s="174" t="s">
        <v>111</v>
      </c>
      <c r="K101" s="152"/>
      <c r="L101" s="160">
        <f>IF((K88*12&gt;=150000), 0, IF(K87="RPP",(#REF!*0.65+#REF!*0.17+#REF!*0.18),IF(K87="Non-RPP (Retailer)",#REF!,L117)))</f>
        <v>0</v>
      </c>
      <c r="M101" s="175">
        <f>IF(L101=0, 0, $E88*K90-K88)</f>
        <v>0</v>
      </c>
      <c r="N101" s="155">
        <f>M101*L101</f>
        <v>0</v>
      </c>
      <c r="O101" s="162">
        <f>IF((K88*12&gt;=150000), 0, IF(K87="RPP",(#REF!*0.65+#REF!*0.17+#REF!*0.18),IF(K87="Non-RPP (Retailer)",#REF!,O117)))</f>
        <v>0</v>
      </c>
      <c r="P101" s="175">
        <f t="shared" si="19"/>
        <v>0</v>
      </c>
      <c r="Q101" s="155">
        <f>P101*O101</f>
        <v>0</v>
      </c>
      <c r="R101" s="158">
        <f>Q101-N101</f>
        <v>0</v>
      </c>
      <c r="S101" s="159" t="str">
        <f>IF(ISERROR(R101/N101), "", R101/N101)</f>
        <v/>
      </c>
      <c r="T101" s="112"/>
      <c r="U101" s="112"/>
    </row>
    <row r="102" spans="9:21" ht="25.5" x14ac:dyDescent="0.25">
      <c r="I102" s="150"/>
      <c r="J102" s="174" t="s">
        <v>137</v>
      </c>
      <c r="K102" s="152"/>
      <c r="L102" s="160">
        <v>0.69</v>
      </c>
      <c r="M102" s="176">
        <f t="shared" ref="M102:M110" si="22">$K$89</f>
        <v>500</v>
      </c>
      <c r="N102" s="155">
        <f t="shared" si="18"/>
        <v>345</v>
      </c>
      <c r="O102" s="162">
        <v>-0.70650000000000002</v>
      </c>
      <c r="P102" s="176">
        <f t="shared" si="19"/>
        <v>500</v>
      </c>
      <c r="Q102" s="155">
        <f t="shared" si="21"/>
        <v>-353.25</v>
      </c>
      <c r="R102" s="158">
        <f t="shared" si="17"/>
        <v>-698.25</v>
      </c>
      <c r="S102" s="159">
        <f t="shared" si="20"/>
        <v>-2.0239130434782608</v>
      </c>
      <c r="T102" s="112"/>
      <c r="U102" s="112"/>
    </row>
    <row r="103" spans="9:21" x14ac:dyDescent="0.25">
      <c r="I103" s="150"/>
      <c r="J103" s="174" t="s">
        <v>113</v>
      </c>
      <c r="K103" s="152"/>
      <c r="L103" s="160">
        <v>0</v>
      </c>
      <c r="M103" s="176">
        <f t="shared" si="22"/>
        <v>500</v>
      </c>
      <c r="N103" s="155">
        <f>M103*L103</f>
        <v>0</v>
      </c>
      <c r="O103" s="162">
        <v>-2.76E-2</v>
      </c>
      <c r="P103" s="176">
        <f t="shared" si="19"/>
        <v>500</v>
      </c>
      <c r="Q103" s="155">
        <f>P103*O103</f>
        <v>-13.799999999999999</v>
      </c>
      <c r="R103" s="158">
        <f t="shared" si="17"/>
        <v>-13.799999999999999</v>
      </c>
      <c r="S103" s="159" t="str">
        <f t="shared" si="20"/>
        <v/>
      </c>
      <c r="T103" s="112"/>
      <c r="U103" s="112"/>
    </row>
    <row r="104" spans="9:21" x14ac:dyDescent="0.25">
      <c r="I104" s="150"/>
      <c r="J104" s="174" t="s">
        <v>114</v>
      </c>
      <c r="K104" s="152"/>
      <c r="L104" s="160">
        <v>0</v>
      </c>
      <c r="M104" s="176">
        <f>$K$88</f>
        <v>328500</v>
      </c>
      <c r="N104" s="155">
        <f>M104*L104</f>
        <v>0</v>
      </c>
      <c r="O104" s="162">
        <v>-1E-3</v>
      </c>
      <c r="P104" s="176">
        <f t="shared" si="19"/>
        <v>328500</v>
      </c>
      <c r="Q104" s="155">
        <f t="shared" si="21"/>
        <v>-328.5</v>
      </c>
      <c r="R104" s="158">
        <f t="shared" si="17"/>
        <v>-328.5</v>
      </c>
      <c r="S104" s="159" t="str">
        <f t="shared" si="20"/>
        <v/>
      </c>
      <c r="T104" s="112"/>
      <c r="U104" s="112"/>
    </row>
    <row r="105" spans="9:21" x14ac:dyDescent="0.25">
      <c r="I105" s="150"/>
      <c r="J105" s="177" t="s">
        <v>115</v>
      </c>
      <c r="K105" s="152"/>
      <c r="L105" s="160">
        <v>1.0483</v>
      </c>
      <c r="M105" s="176">
        <f t="shared" si="22"/>
        <v>500</v>
      </c>
      <c r="N105" s="155">
        <f t="shared" si="18"/>
        <v>524.15</v>
      </c>
      <c r="O105" s="162">
        <v>1.0483</v>
      </c>
      <c r="P105" s="176">
        <f t="shared" si="19"/>
        <v>500</v>
      </c>
      <c r="Q105" s="155">
        <f t="shared" si="21"/>
        <v>524.15</v>
      </c>
      <c r="R105" s="158">
        <f t="shared" si="17"/>
        <v>0</v>
      </c>
      <c r="S105" s="159">
        <f t="shared" si="20"/>
        <v>0</v>
      </c>
      <c r="T105" s="112"/>
      <c r="U105" s="112"/>
    </row>
    <row r="106" spans="9:21" ht="38.25" x14ac:dyDescent="0.25">
      <c r="I106" s="150"/>
      <c r="J106" s="178" t="s">
        <v>116</v>
      </c>
      <c r="K106" s="152"/>
      <c r="L106" s="179">
        <v>0</v>
      </c>
      <c r="M106" s="154">
        <v>1</v>
      </c>
      <c r="N106" s="155">
        <f>M106*L106</f>
        <v>0</v>
      </c>
      <c r="O106" s="180">
        <v>0</v>
      </c>
      <c r="P106" s="154">
        <f t="shared" si="19"/>
        <v>1</v>
      </c>
      <c r="Q106" s="155">
        <f>P106*O106</f>
        <v>0</v>
      </c>
      <c r="R106" s="158">
        <f t="shared" si="17"/>
        <v>0</v>
      </c>
      <c r="S106" s="159" t="str">
        <f>IF(ISERROR(R106/N106), "", R106/N106)</f>
        <v/>
      </c>
      <c r="T106" s="112"/>
      <c r="U106" s="112"/>
    </row>
    <row r="107" spans="9:21" x14ac:dyDescent="0.25">
      <c r="I107" s="150"/>
      <c r="J107" s="177" t="s">
        <v>117</v>
      </c>
      <c r="K107" s="152"/>
      <c r="L107" s="160"/>
      <c r="M107" s="176">
        <f t="shared" si="22"/>
        <v>500</v>
      </c>
      <c r="N107" s="155">
        <f>M107*L107</f>
        <v>0</v>
      </c>
      <c r="O107" s="162">
        <v>0.46089999999999998</v>
      </c>
      <c r="P107" s="176">
        <f t="shared" si="19"/>
        <v>500</v>
      </c>
      <c r="Q107" s="155">
        <f>P107*O107</f>
        <v>230.45</v>
      </c>
      <c r="R107" s="158">
        <f t="shared" si="17"/>
        <v>230.45</v>
      </c>
      <c r="S107" s="159" t="str">
        <f>IF(ISERROR(R107/N107), "", R107/N107)</f>
        <v/>
      </c>
      <c r="T107" s="112"/>
      <c r="U107" s="112"/>
    </row>
    <row r="108" spans="9:21" x14ac:dyDescent="0.25">
      <c r="I108" s="150"/>
      <c r="J108" s="181" t="s">
        <v>118</v>
      </c>
      <c r="K108" s="182"/>
      <c r="L108" s="183"/>
      <c r="M108" s="184"/>
      <c r="N108" s="185">
        <f>SUM(N100:N107)</f>
        <v>2861.1</v>
      </c>
      <c r="O108" s="186"/>
      <c r="P108" s="187">
        <f t="shared" si="19"/>
        <v>0</v>
      </c>
      <c r="Q108" s="185">
        <f>SUM(Q100:Q107)</f>
        <v>2088.83</v>
      </c>
      <c r="R108" s="172">
        <f t="shared" si="17"/>
        <v>-772.27</v>
      </c>
      <c r="S108" s="173">
        <f>IF((N108)=0,"",(R108/N108))</f>
        <v>-0.26992065988605779</v>
      </c>
      <c r="T108" s="112"/>
      <c r="U108" s="112"/>
    </row>
    <row r="109" spans="9:21" x14ac:dyDescent="0.25">
      <c r="I109" s="150"/>
      <c r="J109" s="188" t="s">
        <v>119</v>
      </c>
      <c r="K109" s="152"/>
      <c r="L109" s="160">
        <v>2.5931000000000002</v>
      </c>
      <c r="M109" s="175">
        <f t="shared" si="22"/>
        <v>500</v>
      </c>
      <c r="N109" s="155">
        <f>M109*L109</f>
        <v>1296.5500000000002</v>
      </c>
      <c r="O109" s="162">
        <v>2.6278000000000001</v>
      </c>
      <c r="P109" s="175">
        <f t="shared" si="19"/>
        <v>500</v>
      </c>
      <c r="Q109" s="155">
        <f>P109*O109</f>
        <v>1313.9</v>
      </c>
      <c r="R109" s="158">
        <f t="shared" si="17"/>
        <v>17.349999999999909</v>
      </c>
      <c r="S109" s="159">
        <f>IF(ISERROR(R109/N109), "", R109/N109)</f>
        <v>1.3381666730939729E-2</v>
      </c>
      <c r="T109" s="112"/>
      <c r="U109" s="112"/>
    </row>
    <row r="110" spans="9:21" ht="25.5" x14ac:dyDescent="0.25">
      <c r="I110" s="150"/>
      <c r="J110" s="189" t="s">
        <v>120</v>
      </c>
      <c r="K110" s="152"/>
      <c r="L110" s="160">
        <v>2.1494</v>
      </c>
      <c r="M110" s="175">
        <f t="shared" si="22"/>
        <v>500</v>
      </c>
      <c r="N110" s="155">
        <f>M110*L110</f>
        <v>1074.7</v>
      </c>
      <c r="O110" s="162">
        <v>2.1587999999999998</v>
      </c>
      <c r="P110" s="175">
        <f t="shared" si="19"/>
        <v>500</v>
      </c>
      <c r="Q110" s="155">
        <f>P110*O110</f>
        <v>1079.3999999999999</v>
      </c>
      <c r="R110" s="158">
        <f t="shared" si="17"/>
        <v>4.6999999999998181</v>
      </c>
      <c r="S110" s="159">
        <f>IF(ISERROR(R110/N110), "", R110/N110)</f>
        <v>4.3733134828322492E-3</v>
      </c>
      <c r="T110" s="112"/>
      <c r="U110" s="112"/>
    </row>
    <row r="111" spans="9:21" x14ac:dyDescent="0.25">
      <c r="I111" s="150"/>
      <c r="J111" s="181" t="s">
        <v>121</v>
      </c>
      <c r="K111" s="166"/>
      <c r="L111" s="183"/>
      <c r="M111" s="184"/>
      <c r="N111" s="185">
        <f>SUM(N108:N110)</f>
        <v>5232.3499999999995</v>
      </c>
      <c r="O111" s="186"/>
      <c r="P111" s="171">
        <f t="shared" si="19"/>
        <v>0</v>
      </c>
      <c r="Q111" s="185">
        <f>SUM(Q108:Q110)</f>
        <v>4482.13</v>
      </c>
      <c r="R111" s="172">
        <f t="shared" si="17"/>
        <v>-750.21999999999935</v>
      </c>
      <c r="S111" s="173">
        <f>IF((N111)=0,"",(R111/N111))</f>
        <v>-0.14338108115856152</v>
      </c>
      <c r="T111" s="112"/>
      <c r="U111" s="112"/>
    </row>
    <row r="112" spans="9:21" x14ac:dyDescent="0.25">
      <c r="I112" s="150"/>
      <c r="J112" s="190" t="s">
        <v>122</v>
      </c>
      <c r="K112" s="152"/>
      <c r="L112" s="160">
        <v>3.6000000000000003E-3</v>
      </c>
      <c r="M112" s="175">
        <f>$K$88*$K$90</f>
        <v>346896</v>
      </c>
      <c r="N112" s="191">
        <f t="shared" ref="N112:N115" si="23">M112*L112</f>
        <v>1248.8256000000001</v>
      </c>
      <c r="O112" s="162">
        <v>3.6000000000000003E-3</v>
      </c>
      <c r="P112" s="175">
        <f t="shared" si="19"/>
        <v>346896</v>
      </c>
      <c r="Q112" s="191">
        <f t="shared" ref="Q112:Q115" si="24">P112*O112</f>
        <v>1248.8256000000001</v>
      </c>
      <c r="R112" s="158">
        <f t="shared" si="17"/>
        <v>0</v>
      </c>
      <c r="S112" s="159">
        <f t="shared" ref="S112:S117" si="25">IF(ISERROR(R112/N112), "", R112/N112)</f>
        <v>0</v>
      </c>
      <c r="T112" s="112"/>
      <c r="U112" s="112"/>
    </row>
    <row r="113" spans="9:21" x14ac:dyDescent="0.25">
      <c r="I113" s="150"/>
      <c r="J113" s="190" t="s">
        <v>123</v>
      </c>
      <c r="K113" s="152"/>
      <c r="L113" s="160">
        <f>'[1]17. Regulatory Charges'!$D$16</f>
        <v>2.9999999999999997E-4</v>
      </c>
      <c r="M113" s="175">
        <f>$K$88*$K$90</f>
        <v>346896</v>
      </c>
      <c r="N113" s="191">
        <f t="shared" si="23"/>
        <v>104.0688</v>
      </c>
      <c r="O113" s="162">
        <v>2.9999999999999997E-4</v>
      </c>
      <c r="P113" s="175">
        <f t="shared" si="19"/>
        <v>346896</v>
      </c>
      <c r="Q113" s="191">
        <f t="shared" si="24"/>
        <v>104.0688</v>
      </c>
      <c r="R113" s="158">
        <f t="shared" si="17"/>
        <v>0</v>
      </c>
      <c r="S113" s="159">
        <f t="shared" si="25"/>
        <v>0</v>
      </c>
      <c r="T113" s="112"/>
      <c r="U113" s="112"/>
    </row>
    <row r="114" spans="9:21" x14ac:dyDescent="0.25">
      <c r="I114" s="150"/>
      <c r="J114" s="193" t="s">
        <v>124</v>
      </c>
      <c r="K114" s="152"/>
      <c r="L114" s="179">
        <v>0.25</v>
      </c>
      <c r="M114" s="154">
        <v>1</v>
      </c>
      <c r="N114" s="191">
        <f t="shared" si="23"/>
        <v>0.25</v>
      </c>
      <c r="O114" s="180">
        <f>'[1]17. Regulatory Charges'!$D$17</f>
        <v>0.25</v>
      </c>
      <c r="P114" s="157">
        <f t="shared" si="19"/>
        <v>1</v>
      </c>
      <c r="Q114" s="191">
        <f t="shared" si="24"/>
        <v>0.25</v>
      </c>
      <c r="R114" s="158">
        <f t="shared" si="17"/>
        <v>0</v>
      </c>
      <c r="S114" s="159">
        <f t="shared" si="25"/>
        <v>0</v>
      </c>
      <c r="T114" s="112"/>
      <c r="U114" s="112"/>
    </row>
    <row r="115" spans="9:21" x14ac:dyDescent="0.25">
      <c r="I115" s="150"/>
      <c r="J115" s="193" t="s">
        <v>125</v>
      </c>
      <c r="K115" s="152"/>
      <c r="L115" s="160">
        <f>IF('[1]1. Information Sheet'!L135 = DATE(2016, 5, 1), (IF(ISERROR(FIND("RESIDENTIAL", UPPER(K86))), DRC, 0)), DRC)</f>
        <v>7.0000000000000001E-3</v>
      </c>
      <c r="M115" s="176">
        <f>$K$88</f>
        <v>328500</v>
      </c>
      <c r="N115" s="191">
        <f t="shared" si="23"/>
        <v>2299.5</v>
      </c>
      <c r="O115" s="233">
        <f>IF(ISERROR(FIND("RESIDENTIAL", UPPER(K86))),DRC, 0)</f>
        <v>7.0000000000000001E-3</v>
      </c>
      <c r="P115" s="176">
        <f t="shared" si="19"/>
        <v>328500</v>
      </c>
      <c r="Q115" s="191">
        <f t="shared" si="24"/>
        <v>2299.5</v>
      </c>
      <c r="R115" s="158">
        <f t="shared" si="17"/>
        <v>0</v>
      </c>
      <c r="S115" s="159">
        <f t="shared" si="25"/>
        <v>0</v>
      </c>
      <c r="T115" s="112"/>
      <c r="U115" s="112"/>
    </row>
    <row r="116" spans="9:21" ht="25.5" x14ac:dyDescent="0.25">
      <c r="I116" s="150"/>
      <c r="J116" s="190" t="s">
        <v>126</v>
      </c>
      <c r="K116" s="152"/>
      <c r="L116" s="160"/>
      <c r="M116" s="175"/>
      <c r="N116" s="191"/>
      <c r="O116" s="162"/>
      <c r="P116" s="175">
        <f t="shared" si="19"/>
        <v>0</v>
      </c>
      <c r="Q116" s="191"/>
      <c r="R116" s="158"/>
      <c r="S116" s="159"/>
      <c r="T116" s="112"/>
      <c r="U116" s="112"/>
    </row>
    <row r="117" spans="9:21" ht="15.75" thickBot="1" x14ac:dyDescent="0.3">
      <c r="I117" s="150"/>
      <c r="J117" s="200" t="s">
        <v>138</v>
      </c>
      <c r="K117" s="152"/>
      <c r="L117" s="242">
        <v>0.1101</v>
      </c>
      <c r="M117" s="202">
        <f>$K$88*$K$90</f>
        <v>346896</v>
      </c>
      <c r="N117" s="191">
        <f>M117*L117</f>
        <v>38193.249600000003</v>
      </c>
      <c r="O117" s="243">
        <f>L117</f>
        <v>0.1101</v>
      </c>
      <c r="P117" s="202">
        <f t="shared" si="19"/>
        <v>346896</v>
      </c>
      <c r="Q117" s="191">
        <f>P117*O117</f>
        <v>38193.249600000003</v>
      </c>
      <c r="R117" s="158">
        <f>Q117-N117</f>
        <v>0</v>
      </c>
      <c r="S117" s="159">
        <f t="shared" si="25"/>
        <v>0</v>
      </c>
      <c r="T117" s="112"/>
      <c r="U117" s="112"/>
    </row>
    <row r="118" spans="9:21" ht="15.75" thickBot="1" x14ac:dyDescent="0.3">
      <c r="I118" s="150"/>
      <c r="J118" s="204"/>
      <c r="K118" s="205"/>
      <c r="L118" s="206"/>
      <c r="M118" s="207"/>
      <c r="N118" s="208"/>
      <c r="O118" s="206"/>
      <c r="P118" s="209"/>
      <c r="Q118" s="208"/>
      <c r="R118" s="210"/>
      <c r="S118" s="211"/>
      <c r="T118" s="112"/>
      <c r="U118" s="112"/>
    </row>
    <row r="119" spans="9:21" x14ac:dyDescent="0.25">
      <c r="I119" s="150"/>
      <c r="J119" s="212" t="s">
        <v>139</v>
      </c>
      <c r="K119" s="213"/>
      <c r="L119" s="214"/>
      <c r="M119" s="215"/>
      <c r="N119" s="216">
        <f>SUM(N117,N112:N116,N111)</f>
        <v>47078.244000000006</v>
      </c>
      <c r="O119" s="217"/>
      <c r="P119" s="217"/>
      <c r="Q119" s="216">
        <f>SUM(Q117,Q112:Q116,Q111)</f>
        <v>46328.024000000005</v>
      </c>
      <c r="R119" s="218">
        <f>Q119-N119</f>
        <v>-750.22000000000116</v>
      </c>
      <c r="S119" s="219">
        <f>IF((N119)=0,"",(R119/N119))</f>
        <v>-1.5935598617484566E-2</v>
      </c>
      <c r="T119" s="112"/>
      <c r="U119" s="112"/>
    </row>
    <row r="120" spans="9:21" x14ac:dyDescent="0.25">
      <c r="I120" s="150"/>
      <c r="J120" s="220" t="s">
        <v>131</v>
      </c>
      <c r="K120" s="213"/>
      <c r="L120" s="214">
        <v>0.13</v>
      </c>
      <c r="M120" s="215"/>
      <c r="N120" s="222">
        <f>N119*L120</f>
        <v>6120.1717200000012</v>
      </c>
      <c r="O120" s="214">
        <v>0.13</v>
      </c>
      <c r="P120" s="223"/>
      <c r="Q120" s="222">
        <f>Q119*O120</f>
        <v>6022.6431200000006</v>
      </c>
      <c r="R120" s="224">
        <f>Q120-N120</f>
        <v>-97.528600000000552</v>
      </c>
      <c r="S120" s="225">
        <f>IF((N120)=0,"",(R120/N120))</f>
        <v>-1.5935598617484632E-2</v>
      </c>
      <c r="T120" s="112"/>
      <c r="U120" s="112"/>
    </row>
    <row r="121" spans="9:21" x14ac:dyDescent="0.25">
      <c r="I121" s="150"/>
      <c r="J121" s="220" t="s">
        <v>132</v>
      </c>
      <c r="K121" s="213"/>
      <c r="L121" s="214">
        <v>0.08</v>
      </c>
      <c r="M121" s="215"/>
      <c r="N121" s="222">
        <v>0</v>
      </c>
      <c r="O121" s="214">
        <v>0.08</v>
      </c>
      <c r="P121" s="223"/>
      <c r="Q121" s="222">
        <v>0</v>
      </c>
      <c r="R121" s="224"/>
      <c r="S121" s="225"/>
      <c r="T121" s="112"/>
      <c r="U121" s="112"/>
    </row>
    <row r="122" spans="9:21" ht="15.75" thickBot="1" x14ac:dyDescent="0.3">
      <c r="I122" s="150"/>
      <c r="J122" s="260" t="s">
        <v>139</v>
      </c>
      <c r="K122" s="261"/>
      <c r="L122" s="244"/>
      <c r="M122" s="245"/>
      <c r="N122" s="236">
        <f>SUM(N119,N120)</f>
        <v>53198.415720000005</v>
      </c>
      <c r="O122" s="246"/>
      <c r="P122" s="246"/>
      <c r="Q122" s="236">
        <f>SUM(Q119,Q120)</f>
        <v>52350.667120000006</v>
      </c>
      <c r="R122" s="247">
        <f>Q122-N122</f>
        <v>-847.74859999999899</v>
      </c>
      <c r="S122" s="248">
        <f>IF((N122)=0,"",(R122/N122))</f>
        <v>-1.5935598617484524E-2</v>
      </c>
      <c r="T122" s="112"/>
      <c r="U122" s="112"/>
    </row>
    <row r="123" spans="9:21" ht="15.75" thickBot="1" x14ac:dyDescent="0.3">
      <c r="I123" s="150"/>
      <c r="J123" s="204"/>
      <c r="K123" s="205"/>
      <c r="L123" s="249"/>
      <c r="M123" s="250"/>
      <c r="N123" s="251"/>
      <c r="O123" s="249"/>
      <c r="P123" s="252"/>
      <c r="Q123" s="251"/>
      <c r="R123" s="253"/>
      <c r="S123" s="254"/>
      <c r="T123" s="112"/>
      <c r="U123" s="112"/>
    </row>
    <row r="124" spans="9:21" ht="15.75" thickBot="1" x14ac:dyDescent="0.3">
      <c r="I124" s="232"/>
      <c r="J124" s="255"/>
      <c r="K124" s="256"/>
      <c r="L124" s="256"/>
      <c r="M124" s="256"/>
      <c r="N124" s="256"/>
      <c r="O124" s="256"/>
      <c r="P124" s="256"/>
      <c r="Q124" s="256"/>
      <c r="R124" s="256"/>
      <c r="S124" s="257"/>
      <c r="T124" s="112"/>
      <c r="U124" s="112"/>
    </row>
    <row r="125" spans="9:21" x14ac:dyDescent="0.25">
      <c r="I125" s="232"/>
      <c r="J125" s="258"/>
      <c r="K125" s="114"/>
      <c r="L125" s="114"/>
      <c r="M125" s="114"/>
      <c r="N125" s="114"/>
      <c r="O125" s="114"/>
      <c r="P125" s="114"/>
      <c r="Q125" s="114"/>
      <c r="R125" s="114"/>
      <c r="S125" s="115"/>
      <c r="T125" s="112"/>
      <c r="U125" s="112"/>
    </row>
    <row r="126" spans="9:21" x14ac:dyDescent="0.25">
      <c r="I126" s="112"/>
      <c r="J126" s="120" t="s">
        <v>86</v>
      </c>
      <c r="K126" s="272" t="s">
        <v>140</v>
      </c>
      <c r="L126" s="272"/>
      <c r="M126" s="272"/>
      <c r="N126" s="272"/>
      <c r="O126" s="272"/>
      <c r="P126" s="272"/>
      <c r="Q126" s="122" t="e">
        <f>IF(#REF!="DEMAND - INTERVAL","RTSR - INTERVAL METERED","")</f>
        <v>#REF!</v>
      </c>
      <c r="R126" s="122"/>
      <c r="S126" s="123"/>
      <c r="T126" s="112"/>
      <c r="U126" s="112"/>
    </row>
    <row r="127" spans="9:21" x14ac:dyDescent="0.25">
      <c r="I127" s="112"/>
      <c r="J127" s="120" t="s">
        <v>88</v>
      </c>
      <c r="K127" s="273" t="s">
        <v>136</v>
      </c>
      <c r="L127" s="273"/>
      <c r="M127" s="273"/>
      <c r="N127" s="121"/>
      <c r="O127" s="121"/>
      <c r="P127" s="122"/>
      <c r="Q127" s="122"/>
      <c r="R127" s="122"/>
      <c r="S127" s="123"/>
      <c r="T127" s="112"/>
      <c r="U127" s="112"/>
    </row>
    <row r="128" spans="9:21" ht="15.75" x14ac:dyDescent="0.25">
      <c r="I128" s="112"/>
      <c r="J128" s="120" t="s">
        <v>90</v>
      </c>
      <c r="K128" s="124">
        <v>1600000</v>
      </c>
      <c r="L128" s="125" t="s">
        <v>91</v>
      </c>
      <c r="M128" s="126"/>
      <c r="N128" s="122"/>
      <c r="O128" s="122"/>
      <c r="P128" s="127"/>
      <c r="Q128" s="127"/>
      <c r="R128" s="127"/>
      <c r="S128" s="128"/>
      <c r="T128" s="112"/>
      <c r="U128" s="112"/>
    </row>
    <row r="129" spans="9:21" ht="15.75" x14ac:dyDescent="0.25">
      <c r="I129" s="112"/>
      <c r="J129" s="120" t="s">
        <v>92</v>
      </c>
      <c r="K129" s="124">
        <v>2500</v>
      </c>
      <c r="L129" s="129" t="s">
        <v>93</v>
      </c>
      <c r="M129" s="130"/>
      <c r="N129" s="131"/>
      <c r="O129" s="131"/>
      <c r="P129" s="131"/>
      <c r="Q129" s="122"/>
      <c r="R129" s="122"/>
      <c r="S129" s="123"/>
      <c r="T129" s="112"/>
      <c r="U129" s="112"/>
    </row>
    <row r="130" spans="9:21" x14ac:dyDescent="0.25">
      <c r="I130" s="112"/>
      <c r="J130" s="120" t="s">
        <v>94</v>
      </c>
      <c r="K130" s="133">
        <v>1.056</v>
      </c>
      <c r="L130" s="122"/>
      <c r="M130" s="122"/>
      <c r="N130" s="122"/>
      <c r="O130" s="122"/>
      <c r="P130" s="122"/>
      <c r="Q130" s="122"/>
      <c r="R130" s="122"/>
      <c r="S130" s="123"/>
      <c r="T130" s="112"/>
      <c r="U130" s="112"/>
    </row>
    <row r="131" spans="9:21" x14ac:dyDescent="0.25">
      <c r="I131" s="112"/>
      <c r="J131" s="120" t="s">
        <v>95</v>
      </c>
      <c r="K131" s="133">
        <v>1.056</v>
      </c>
      <c r="L131" s="122"/>
      <c r="M131" s="122"/>
      <c r="N131" s="122"/>
      <c r="O131" s="122"/>
      <c r="P131" s="122"/>
      <c r="Q131" s="122"/>
      <c r="R131" s="122"/>
      <c r="S131" s="123"/>
      <c r="T131" s="112"/>
      <c r="U131" s="112"/>
    </row>
    <row r="132" spans="9:21" x14ac:dyDescent="0.25">
      <c r="I132" s="112"/>
      <c r="J132" s="134"/>
      <c r="K132" s="122"/>
      <c r="L132" s="122"/>
      <c r="M132" s="122"/>
      <c r="N132" s="122"/>
      <c r="O132" s="122"/>
      <c r="P132" s="122"/>
      <c r="Q132" s="122"/>
      <c r="R132" s="122"/>
      <c r="S132" s="123"/>
      <c r="T132" s="112"/>
      <c r="U132" s="112"/>
    </row>
    <row r="133" spans="9:21" x14ac:dyDescent="0.25">
      <c r="I133" s="112"/>
      <c r="J133" s="134"/>
      <c r="K133" s="139"/>
      <c r="L133" s="262" t="s">
        <v>96</v>
      </c>
      <c r="M133" s="263"/>
      <c r="N133" s="264"/>
      <c r="O133" s="262" t="s">
        <v>97</v>
      </c>
      <c r="P133" s="263"/>
      <c r="Q133" s="264"/>
      <c r="R133" s="262" t="s">
        <v>98</v>
      </c>
      <c r="S133" s="265"/>
      <c r="T133" s="112"/>
      <c r="U133" s="112"/>
    </row>
    <row r="134" spans="9:21" x14ac:dyDescent="0.25">
      <c r="I134" s="112"/>
      <c r="J134" s="134"/>
      <c r="K134" s="266"/>
      <c r="L134" s="144" t="s">
        <v>99</v>
      </c>
      <c r="M134" s="144" t="s">
        <v>100</v>
      </c>
      <c r="N134" s="145" t="s">
        <v>101</v>
      </c>
      <c r="O134" s="144" t="s">
        <v>99</v>
      </c>
      <c r="P134" s="146" t="s">
        <v>100</v>
      </c>
      <c r="Q134" s="145" t="s">
        <v>101</v>
      </c>
      <c r="R134" s="268" t="s">
        <v>102</v>
      </c>
      <c r="S134" s="270" t="s">
        <v>103</v>
      </c>
      <c r="T134" s="112"/>
      <c r="U134" s="112"/>
    </row>
    <row r="135" spans="9:21" x14ac:dyDescent="0.25">
      <c r="I135" s="112"/>
      <c r="J135" s="134"/>
      <c r="K135" s="267"/>
      <c r="L135" s="147" t="s">
        <v>104</v>
      </c>
      <c r="M135" s="147"/>
      <c r="N135" s="148" t="s">
        <v>104</v>
      </c>
      <c r="O135" s="147" t="s">
        <v>104</v>
      </c>
      <c r="P135" s="148"/>
      <c r="Q135" s="148" t="s">
        <v>104</v>
      </c>
      <c r="R135" s="269"/>
      <c r="S135" s="271"/>
      <c r="T135" s="112"/>
      <c r="U135" s="112"/>
    </row>
    <row r="136" spans="9:21" x14ac:dyDescent="0.25">
      <c r="I136" s="150"/>
      <c r="J136" s="151" t="s">
        <v>105</v>
      </c>
      <c r="K136" s="152"/>
      <c r="L136" s="153">
        <v>183.35</v>
      </c>
      <c r="M136" s="154">
        <v>1</v>
      </c>
      <c r="N136" s="155">
        <f>M136*L136</f>
        <v>183.35</v>
      </c>
      <c r="O136" s="156">
        <v>186.83</v>
      </c>
      <c r="P136" s="157">
        <f>M136</f>
        <v>1</v>
      </c>
      <c r="Q136" s="155">
        <f>P136*O136</f>
        <v>186.83</v>
      </c>
      <c r="R136" s="158">
        <f t="shared" ref="R136:R155" si="26">Q136-N136</f>
        <v>3.4800000000000182</v>
      </c>
      <c r="S136" s="159">
        <f>IF(ISERROR(R136/N136), "", R136/N136)</f>
        <v>1.8980092718843843E-2</v>
      </c>
      <c r="T136" s="112"/>
      <c r="U136" s="112"/>
    </row>
    <row r="137" spans="9:21" x14ac:dyDescent="0.25">
      <c r="I137" s="150"/>
      <c r="J137" s="151" t="s">
        <v>106</v>
      </c>
      <c r="K137" s="152"/>
      <c r="L137" s="160">
        <v>3.4293</v>
      </c>
      <c r="M137" s="161">
        <f>$K$129</f>
        <v>2500</v>
      </c>
      <c r="N137" s="155">
        <f t="shared" ref="N137:N145" si="27">M137*L137</f>
        <v>8573.25</v>
      </c>
      <c r="O137" s="162">
        <v>3.4944999999999999</v>
      </c>
      <c r="P137" s="157">
        <f t="shared" ref="P137:P157" si="28">M137</f>
        <v>2500</v>
      </c>
      <c r="Q137" s="155">
        <f>P137*O137</f>
        <v>8736.25</v>
      </c>
      <c r="R137" s="158">
        <f t="shared" si="26"/>
        <v>163</v>
      </c>
      <c r="S137" s="159">
        <f t="shared" ref="S137:S147" si="29">IF(ISERROR(R137/N137), "", R137/N137)</f>
        <v>1.9012626483538915E-2</v>
      </c>
      <c r="T137" s="112"/>
      <c r="U137" s="112"/>
    </row>
    <row r="138" spans="9:21" x14ac:dyDescent="0.25">
      <c r="I138" s="150"/>
      <c r="J138" s="163" t="s">
        <v>108</v>
      </c>
      <c r="K138" s="152"/>
      <c r="L138" s="153">
        <v>0</v>
      </c>
      <c r="M138" s="154">
        <v>1</v>
      </c>
      <c r="N138" s="155">
        <f t="shared" si="27"/>
        <v>0</v>
      </c>
      <c r="O138" s="156">
        <v>0</v>
      </c>
      <c r="P138" s="157">
        <f t="shared" si="28"/>
        <v>1</v>
      </c>
      <c r="Q138" s="155">
        <f t="shared" ref="Q138:Q145" si="30">P138*O138</f>
        <v>0</v>
      </c>
      <c r="R138" s="158">
        <f t="shared" si="26"/>
        <v>0</v>
      </c>
      <c r="S138" s="159" t="str">
        <f t="shared" si="29"/>
        <v/>
      </c>
      <c r="T138" s="112"/>
      <c r="U138" s="112"/>
    </row>
    <row r="139" spans="9:21" x14ac:dyDescent="0.25">
      <c r="I139" s="150"/>
      <c r="J139" s="151" t="s">
        <v>109</v>
      </c>
      <c r="K139" s="152"/>
      <c r="L139" s="160">
        <v>0</v>
      </c>
      <c r="M139" s="154">
        <f>$K$129</f>
        <v>2500</v>
      </c>
      <c r="N139" s="155">
        <f t="shared" si="27"/>
        <v>0</v>
      </c>
      <c r="O139" s="162">
        <v>0</v>
      </c>
      <c r="P139" s="157">
        <f t="shared" si="28"/>
        <v>2500</v>
      </c>
      <c r="Q139" s="155">
        <f t="shared" si="30"/>
        <v>0</v>
      </c>
      <c r="R139" s="158">
        <f t="shared" si="26"/>
        <v>0</v>
      </c>
      <c r="S139" s="159" t="str">
        <f t="shared" si="29"/>
        <v/>
      </c>
      <c r="T139" s="112"/>
      <c r="U139" s="112"/>
    </row>
    <row r="140" spans="9:21" x14ac:dyDescent="0.25">
      <c r="I140" s="150"/>
      <c r="J140" s="165" t="s">
        <v>110</v>
      </c>
      <c r="K140" s="166"/>
      <c r="L140" s="167"/>
      <c r="M140" s="168"/>
      <c r="N140" s="169">
        <f>SUM(N136:N139)</f>
        <v>8756.6</v>
      </c>
      <c r="O140" s="170"/>
      <c r="P140" s="171"/>
      <c r="Q140" s="169">
        <f>SUM(Q136:Q139)</f>
        <v>8923.08</v>
      </c>
      <c r="R140" s="172">
        <f t="shared" si="26"/>
        <v>166.47999999999956</v>
      </c>
      <c r="S140" s="173">
        <f>IF((N140)=0,"",(R140/N140))</f>
        <v>1.9011945275563526E-2</v>
      </c>
      <c r="T140" s="112"/>
      <c r="U140" s="112"/>
    </row>
    <row r="141" spans="9:21" x14ac:dyDescent="0.25">
      <c r="I141" s="150"/>
      <c r="J141" s="174" t="s">
        <v>111</v>
      </c>
      <c r="K141" s="152"/>
      <c r="L141" s="160">
        <f>IF((K128*12&gt;=150000), 0, IF(K127="RPP",(#REF!*0.65+#REF!*0.17+#REF!*0.18),IF(K127="Non-RPP (Retailer)",#REF!,L157)))</f>
        <v>0</v>
      </c>
      <c r="M141" s="175">
        <f>IF(L141=0, 0, $E128*K130-K128)</f>
        <v>0</v>
      </c>
      <c r="N141" s="155">
        <f>M141*L141</f>
        <v>0</v>
      </c>
      <c r="O141" s="162">
        <f>IF((K128*12&gt;=150000), 0, IF(K127="RPP",(#REF!*0.65+#REF!*0.17+#REF!*0.18),IF(K127="Non-RPP (Retailer)",#REF!,O157)))</f>
        <v>0</v>
      </c>
      <c r="P141" s="175">
        <f t="shared" si="28"/>
        <v>0</v>
      </c>
      <c r="Q141" s="155">
        <f>P141*O141</f>
        <v>0</v>
      </c>
      <c r="R141" s="158">
        <f>Q141-N141</f>
        <v>0</v>
      </c>
      <c r="S141" s="159" t="str">
        <f>IF(ISERROR(R141/N141), "", R141/N141)</f>
        <v/>
      </c>
      <c r="T141" s="112"/>
      <c r="U141" s="112"/>
    </row>
    <row r="142" spans="9:21" ht="25.5" x14ac:dyDescent="0.25">
      <c r="I142" s="150"/>
      <c r="J142" s="174" t="s">
        <v>137</v>
      </c>
      <c r="K142" s="152"/>
      <c r="L142" s="160">
        <v>0.53849999999999998</v>
      </c>
      <c r="M142" s="176">
        <f t="shared" ref="M142:M143" si="31">$K$129</f>
        <v>2500</v>
      </c>
      <c r="N142" s="155">
        <f t="shared" si="27"/>
        <v>1346.25</v>
      </c>
      <c r="O142" s="162">
        <v>-0.93979999999999997</v>
      </c>
      <c r="P142" s="176">
        <f t="shared" si="28"/>
        <v>2500</v>
      </c>
      <c r="Q142" s="155">
        <f t="shared" si="30"/>
        <v>-2349.5</v>
      </c>
      <c r="R142" s="158">
        <f t="shared" si="26"/>
        <v>-3695.75</v>
      </c>
      <c r="S142" s="159">
        <f t="shared" si="29"/>
        <v>-2.7452181987000928</v>
      </c>
      <c r="T142" s="112"/>
      <c r="U142" s="112"/>
    </row>
    <row r="143" spans="9:21" x14ac:dyDescent="0.25">
      <c r="I143" s="150"/>
      <c r="J143" s="174" t="s">
        <v>113</v>
      </c>
      <c r="K143" s="152"/>
      <c r="L143" s="160">
        <v>0</v>
      </c>
      <c r="M143" s="176">
        <f t="shared" si="31"/>
        <v>2500</v>
      </c>
      <c r="N143" s="155">
        <f>M143*L143</f>
        <v>0</v>
      </c>
      <c r="O143" s="162">
        <v>-3.4099999999999998E-2</v>
      </c>
      <c r="P143" s="176">
        <f t="shared" si="28"/>
        <v>2500</v>
      </c>
      <c r="Q143" s="155">
        <f>P143*O143</f>
        <v>-85.25</v>
      </c>
      <c r="R143" s="158">
        <f t="shared" si="26"/>
        <v>-85.25</v>
      </c>
      <c r="S143" s="159" t="str">
        <f t="shared" si="29"/>
        <v/>
      </c>
      <c r="T143" s="112"/>
      <c r="U143" s="112"/>
    </row>
    <row r="144" spans="9:21" x14ac:dyDescent="0.25">
      <c r="I144" s="150"/>
      <c r="J144" s="174" t="s">
        <v>114</v>
      </c>
      <c r="K144" s="152"/>
      <c r="L144" s="160">
        <v>0</v>
      </c>
      <c r="M144" s="176">
        <f>$K$128</f>
        <v>1600000</v>
      </c>
      <c r="N144" s="155">
        <f>M144*L144</f>
        <v>0</v>
      </c>
      <c r="O144" s="162">
        <v>-1E-3</v>
      </c>
      <c r="P144" s="176">
        <f t="shared" si="28"/>
        <v>1600000</v>
      </c>
      <c r="Q144" s="155">
        <f t="shared" si="30"/>
        <v>-1600</v>
      </c>
      <c r="R144" s="158">
        <f t="shared" si="26"/>
        <v>-1600</v>
      </c>
      <c r="S144" s="159" t="str">
        <f t="shared" si="29"/>
        <v/>
      </c>
      <c r="T144" s="112"/>
      <c r="U144" s="112"/>
    </row>
    <row r="145" spans="9:21" x14ac:dyDescent="0.25">
      <c r="I145" s="150"/>
      <c r="J145" s="177" t="s">
        <v>115</v>
      </c>
      <c r="K145" s="152"/>
      <c r="L145" s="160">
        <v>1.0483</v>
      </c>
      <c r="M145" s="176">
        <f>$K$129</f>
        <v>2500</v>
      </c>
      <c r="N145" s="155">
        <f t="shared" si="27"/>
        <v>2620.75</v>
      </c>
      <c r="O145" s="162">
        <v>1.0483</v>
      </c>
      <c r="P145" s="176">
        <f t="shared" si="28"/>
        <v>2500</v>
      </c>
      <c r="Q145" s="155">
        <f t="shared" si="30"/>
        <v>2620.75</v>
      </c>
      <c r="R145" s="158">
        <f t="shared" si="26"/>
        <v>0</v>
      </c>
      <c r="S145" s="159">
        <f t="shared" si="29"/>
        <v>0</v>
      </c>
      <c r="T145" s="112"/>
      <c r="U145" s="112"/>
    </row>
    <row r="146" spans="9:21" ht="38.25" x14ac:dyDescent="0.25">
      <c r="I146" s="150"/>
      <c r="J146" s="178" t="s">
        <v>116</v>
      </c>
      <c r="K146" s="152"/>
      <c r="L146" s="179">
        <v>0</v>
      </c>
      <c r="M146" s="154">
        <v>1</v>
      </c>
      <c r="N146" s="155">
        <f>M146*L146</f>
        <v>0</v>
      </c>
      <c r="O146" s="180">
        <v>0</v>
      </c>
      <c r="P146" s="154">
        <f t="shared" si="28"/>
        <v>1</v>
      </c>
      <c r="Q146" s="155">
        <f>P146*O146</f>
        <v>0</v>
      </c>
      <c r="R146" s="158">
        <f t="shared" si="26"/>
        <v>0</v>
      </c>
      <c r="S146" s="159" t="str">
        <f>IF(ISERROR(R146/N146), "", R146/N146)</f>
        <v/>
      </c>
      <c r="T146" s="112"/>
      <c r="U146" s="112"/>
    </row>
    <row r="147" spans="9:21" x14ac:dyDescent="0.25">
      <c r="I147" s="150"/>
      <c r="J147" s="177" t="s">
        <v>117</v>
      </c>
      <c r="K147" s="152"/>
      <c r="L147" s="160"/>
      <c r="M147" s="176">
        <f>$K$129</f>
        <v>2500</v>
      </c>
      <c r="N147" s="155">
        <f>M147*L147</f>
        <v>0</v>
      </c>
      <c r="O147" s="162">
        <v>0.51419999999999999</v>
      </c>
      <c r="P147" s="176">
        <f t="shared" si="28"/>
        <v>2500</v>
      </c>
      <c r="Q147" s="155">
        <f>P147*O147</f>
        <v>1285.5</v>
      </c>
      <c r="R147" s="158">
        <f t="shared" si="26"/>
        <v>1285.5</v>
      </c>
      <c r="S147" s="159" t="str">
        <f t="shared" si="29"/>
        <v/>
      </c>
      <c r="T147" s="112"/>
      <c r="U147" s="112"/>
    </row>
    <row r="148" spans="9:21" x14ac:dyDescent="0.25">
      <c r="I148" s="150"/>
      <c r="J148" s="181" t="s">
        <v>118</v>
      </c>
      <c r="K148" s="182"/>
      <c r="L148" s="183"/>
      <c r="M148" s="184"/>
      <c r="N148" s="185">
        <f>SUM(N140:N147)</f>
        <v>12723.6</v>
      </c>
      <c r="O148" s="186"/>
      <c r="P148" s="187"/>
      <c r="Q148" s="185">
        <f>SUM(Q140:Q147)</f>
        <v>8794.58</v>
      </c>
      <c r="R148" s="172">
        <f>Q148-N148</f>
        <v>-3929.0200000000004</v>
      </c>
      <c r="S148" s="173">
        <f>IF((N148)=0,"",(R148/N148))</f>
        <v>-0.30879782451507437</v>
      </c>
      <c r="T148" s="112"/>
      <c r="U148" s="112"/>
    </row>
    <row r="149" spans="9:21" x14ac:dyDescent="0.25">
      <c r="I149" s="150"/>
      <c r="J149" s="188" t="s">
        <v>119</v>
      </c>
      <c r="K149" s="152"/>
      <c r="L149" s="160">
        <v>0</v>
      </c>
      <c r="M149" s="175">
        <f t="shared" ref="M149:M150" si="32">$K$129</f>
        <v>2500</v>
      </c>
      <c r="N149" s="155">
        <f>M149*L149</f>
        <v>0</v>
      </c>
      <c r="O149" s="162">
        <v>0</v>
      </c>
      <c r="P149" s="175">
        <f t="shared" si="28"/>
        <v>2500</v>
      </c>
      <c r="Q149" s="155">
        <f>P149*O149</f>
        <v>0</v>
      </c>
      <c r="R149" s="158">
        <f t="shared" si="26"/>
        <v>0</v>
      </c>
      <c r="S149" s="159" t="str">
        <f>IF(ISERROR(R149/N149), "", R149/N149)</f>
        <v/>
      </c>
      <c r="T149" s="112"/>
      <c r="U149" s="112"/>
    </row>
    <row r="150" spans="9:21" ht="25.5" x14ac:dyDescent="0.25">
      <c r="I150" s="150"/>
      <c r="J150" s="189" t="s">
        <v>120</v>
      </c>
      <c r="K150" s="152"/>
      <c r="L150" s="160">
        <v>0</v>
      </c>
      <c r="M150" s="175">
        <f t="shared" si="32"/>
        <v>2500</v>
      </c>
      <c r="N150" s="155">
        <f>M150*L150</f>
        <v>0</v>
      </c>
      <c r="O150" s="162">
        <v>0</v>
      </c>
      <c r="P150" s="175">
        <f t="shared" si="28"/>
        <v>2500</v>
      </c>
      <c r="Q150" s="155">
        <f>P150*O150</f>
        <v>0</v>
      </c>
      <c r="R150" s="158">
        <f t="shared" si="26"/>
        <v>0</v>
      </c>
      <c r="S150" s="159" t="str">
        <f>IF(ISERROR(R150/N150), "", R150/N150)</f>
        <v/>
      </c>
      <c r="T150" s="112"/>
      <c r="U150" s="112"/>
    </row>
    <row r="151" spans="9:21" x14ac:dyDescent="0.25">
      <c r="I151" s="150"/>
      <c r="J151" s="181" t="s">
        <v>121</v>
      </c>
      <c r="K151" s="166"/>
      <c r="L151" s="183"/>
      <c r="M151" s="184"/>
      <c r="N151" s="185">
        <f>SUM(N148:N150)</f>
        <v>12723.6</v>
      </c>
      <c r="O151" s="186"/>
      <c r="P151" s="171"/>
      <c r="Q151" s="185">
        <f>SUM(Q148:Q150)</f>
        <v>8794.58</v>
      </c>
      <c r="R151" s="172">
        <f t="shared" si="26"/>
        <v>-3929.0200000000004</v>
      </c>
      <c r="S151" s="173">
        <f>IF((N151)=0,"",(R151/N151))</f>
        <v>-0.30879782451507437</v>
      </c>
      <c r="T151" s="112"/>
      <c r="U151" s="112"/>
    </row>
    <row r="152" spans="9:21" x14ac:dyDescent="0.25">
      <c r="I152" s="150"/>
      <c r="J152" s="190" t="s">
        <v>122</v>
      </c>
      <c r="K152" s="152"/>
      <c r="L152" s="160">
        <v>3.6000000000000003E-3</v>
      </c>
      <c r="M152" s="175">
        <f>$K$128*$K$130</f>
        <v>1689600</v>
      </c>
      <c r="N152" s="191">
        <f t="shared" ref="N152:N155" si="33">M152*L152</f>
        <v>6082.56</v>
      </c>
      <c r="O152" s="162">
        <v>3.6000000000000003E-3</v>
      </c>
      <c r="P152" s="175">
        <f t="shared" si="28"/>
        <v>1689600</v>
      </c>
      <c r="Q152" s="191">
        <f t="shared" ref="Q152:Q155" si="34">P152*O152</f>
        <v>6082.56</v>
      </c>
      <c r="R152" s="158">
        <f t="shared" si="26"/>
        <v>0</v>
      </c>
      <c r="S152" s="159">
        <f t="shared" ref="S152:S157" si="35">IF(ISERROR(R152/N152), "", R152/N152)</f>
        <v>0</v>
      </c>
      <c r="T152" s="112"/>
      <c r="U152" s="112"/>
    </row>
    <row r="153" spans="9:21" x14ac:dyDescent="0.25">
      <c r="I153" s="150"/>
      <c r="J153" s="190" t="s">
        <v>123</v>
      </c>
      <c r="K153" s="152"/>
      <c r="L153" s="160">
        <f>'[1]17. Regulatory Charges'!$D$16</f>
        <v>2.9999999999999997E-4</v>
      </c>
      <c r="M153" s="175">
        <f>$K$128*$K$130</f>
        <v>1689600</v>
      </c>
      <c r="N153" s="191">
        <f t="shared" si="33"/>
        <v>506.87999999999994</v>
      </c>
      <c r="O153" s="162">
        <v>2.9999999999999997E-4</v>
      </c>
      <c r="P153" s="175">
        <f t="shared" si="28"/>
        <v>1689600</v>
      </c>
      <c r="Q153" s="191">
        <f t="shared" si="34"/>
        <v>506.87999999999994</v>
      </c>
      <c r="R153" s="158">
        <f t="shared" si="26"/>
        <v>0</v>
      </c>
      <c r="S153" s="159">
        <f t="shared" si="35"/>
        <v>0</v>
      </c>
      <c r="T153" s="112"/>
      <c r="U153" s="112"/>
    </row>
    <row r="154" spans="9:21" x14ac:dyDescent="0.25">
      <c r="I154" s="150"/>
      <c r="J154" s="193" t="s">
        <v>124</v>
      </c>
      <c r="K154" s="152"/>
      <c r="L154" s="179">
        <v>0.25</v>
      </c>
      <c r="M154" s="154">
        <v>1</v>
      </c>
      <c r="N154" s="191">
        <f t="shared" si="33"/>
        <v>0.25</v>
      </c>
      <c r="O154" s="180">
        <f>'[1]17. Regulatory Charges'!$D$17</f>
        <v>0.25</v>
      </c>
      <c r="P154" s="157">
        <f t="shared" si="28"/>
        <v>1</v>
      </c>
      <c r="Q154" s="191">
        <f t="shared" si="34"/>
        <v>0.25</v>
      </c>
      <c r="R154" s="158">
        <f t="shared" si="26"/>
        <v>0</v>
      </c>
      <c r="S154" s="159">
        <f t="shared" si="35"/>
        <v>0</v>
      </c>
      <c r="T154" s="112"/>
      <c r="U154" s="112"/>
    </row>
    <row r="155" spans="9:21" x14ac:dyDescent="0.25">
      <c r="I155" s="150"/>
      <c r="J155" s="193" t="s">
        <v>125</v>
      </c>
      <c r="K155" s="152"/>
      <c r="L155" s="160">
        <f>IF('[1]1. Information Sheet'!L189 = DATE(2016, 5, 1), (IF(ISERROR(FIND("RESIDENTIAL", UPPER(K126))), DRC, 0)), DRC)</f>
        <v>7.0000000000000001E-3</v>
      </c>
      <c r="M155" s="176">
        <f>$K$128</f>
        <v>1600000</v>
      </c>
      <c r="N155" s="191">
        <f t="shared" si="33"/>
        <v>11200</v>
      </c>
      <c r="O155" s="233">
        <f>IF(ISERROR(FIND("RESIDENTIAL", UPPER(K126))),DRC, 0)</f>
        <v>7.0000000000000001E-3</v>
      </c>
      <c r="P155" s="176">
        <f t="shared" si="28"/>
        <v>1600000</v>
      </c>
      <c r="Q155" s="191">
        <f t="shared" si="34"/>
        <v>11200</v>
      </c>
      <c r="R155" s="158">
        <f t="shared" si="26"/>
        <v>0</v>
      </c>
      <c r="S155" s="159">
        <f t="shared" si="35"/>
        <v>0</v>
      </c>
      <c r="T155" s="112"/>
      <c r="U155" s="112"/>
    </row>
    <row r="156" spans="9:21" ht="25.5" x14ac:dyDescent="0.25">
      <c r="I156" s="150"/>
      <c r="J156" s="190" t="s">
        <v>126</v>
      </c>
      <c r="K156" s="152"/>
      <c r="L156" s="160"/>
      <c r="M156" s="175"/>
      <c r="N156" s="191"/>
      <c r="O156" s="162"/>
      <c r="P156" s="175">
        <f t="shared" si="28"/>
        <v>0</v>
      </c>
      <c r="Q156" s="191"/>
      <c r="R156" s="158"/>
      <c r="S156" s="159"/>
      <c r="T156" s="112"/>
      <c r="U156" s="112"/>
    </row>
    <row r="157" spans="9:21" ht="15.75" thickBot="1" x14ac:dyDescent="0.3">
      <c r="I157" s="150"/>
      <c r="J157" s="200" t="s">
        <v>138</v>
      </c>
      <c r="K157" s="152"/>
      <c r="L157" s="242">
        <v>0.1101</v>
      </c>
      <c r="M157" s="202">
        <f>$K$128*$K$130</f>
        <v>1689600</v>
      </c>
      <c r="N157" s="191">
        <f>M157*L157</f>
        <v>186024.95999999999</v>
      </c>
      <c r="O157" s="243">
        <f>L157</f>
        <v>0.1101</v>
      </c>
      <c r="P157" s="202">
        <f t="shared" si="28"/>
        <v>1689600</v>
      </c>
      <c r="Q157" s="191">
        <f>P157*O157</f>
        <v>186024.95999999999</v>
      </c>
      <c r="R157" s="158">
        <f>Q157-N157</f>
        <v>0</v>
      </c>
      <c r="S157" s="159">
        <f t="shared" si="35"/>
        <v>0</v>
      </c>
      <c r="T157" s="112"/>
      <c r="U157" s="112"/>
    </row>
    <row r="158" spans="9:21" ht="15.75" thickBot="1" x14ac:dyDescent="0.3">
      <c r="I158" s="150"/>
      <c r="J158" s="204"/>
      <c r="K158" s="205"/>
      <c r="L158" s="206"/>
      <c r="M158" s="207"/>
      <c r="N158" s="208"/>
      <c r="O158" s="206"/>
      <c r="P158" s="209"/>
      <c r="Q158" s="208"/>
      <c r="R158" s="210"/>
      <c r="S158" s="211"/>
      <c r="T158" s="112"/>
      <c r="U158" s="112"/>
    </row>
    <row r="159" spans="9:21" x14ac:dyDescent="0.25">
      <c r="I159" s="150"/>
      <c r="J159" s="212" t="s">
        <v>139</v>
      </c>
      <c r="K159" s="213"/>
      <c r="L159" s="214"/>
      <c r="M159" s="215"/>
      <c r="N159" s="216">
        <f>SUM(N157,N152:N156,N151)</f>
        <v>216538.25</v>
      </c>
      <c r="O159" s="217"/>
      <c r="P159" s="217"/>
      <c r="Q159" s="216">
        <f>SUM(Q157,Q152:Q156,Q151)</f>
        <v>212609.22999999998</v>
      </c>
      <c r="R159" s="218">
        <f>Q159-N159</f>
        <v>-3929.0200000000186</v>
      </c>
      <c r="S159" s="219">
        <f>IF((N159)=0,"",(R159/N159))</f>
        <v>-1.8144692681316205E-2</v>
      </c>
      <c r="T159" s="112"/>
      <c r="U159" s="112"/>
    </row>
    <row r="160" spans="9:21" x14ac:dyDescent="0.25">
      <c r="I160" s="150"/>
      <c r="J160" s="220" t="s">
        <v>131</v>
      </c>
      <c r="K160" s="213"/>
      <c r="L160" s="214">
        <v>0.13</v>
      </c>
      <c r="M160" s="215"/>
      <c r="N160" s="222">
        <f>N159*L160</f>
        <v>28149.9725</v>
      </c>
      <c r="O160" s="214">
        <v>0.13</v>
      </c>
      <c r="P160" s="223"/>
      <c r="Q160" s="222">
        <f>Q159*O160</f>
        <v>27639.1999</v>
      </c>
      <c r="R160" s="224">
        <f>Q160-N160</f>
        <v>-510.77260000000024</v>
      </c>
      <c r="S160" s="225">
        <f>IF((N160)=0,"",(R160/N160))</f>
        <v>-1.8144692681316126E-2</v>
      </c>
      <c r="T160" s="112"/>
      <c r="U160" s="112"/>
    </row>
    <row r="161" spans="9:21" x14ac:dyDescent="0.25">
      <c r="I161" s="150"/>
      <c r="J161" s="220" t="s">
        <v>132</v>
      </c>
      <c r="K161" s="213"/>
      <c r="L161" s="214">
        <v>0.08</v>
      </c>
      <c r="M161" s="215"/>
      <c r="N161" s="222">
        <v>0</v>
      </c>
      <c r="O161" s="214">
        <v>0.08</v>
      </c>
      <c r="P161" s="223"/>
      <c r="Q161" s="222">
        <v>0</v>
      </c>
      <c r="R161" s="224"/>
      <c r="S161" s="225"/>
      <c r="T161" s="112"/>
      <c r="U161" s="112"/>
    </row>
    <row r="162" spans="9:21" ht="15.75" thickBot="1" x14ac:dyDescent="0.3">
      <c r="I162" s="150"/>
      <c r="J162" s="260" t="s">
        <v>139</v>
      </c>
      <c r="K162" s="261"/>
      <c r="L162" s="244"/>
      <c r="M162" s="245"/>
      <c r="N162" s="236">
        <f>SUM(N159,N160)</f>
        <v>244688.2225</v>
      </c>
      <c r="O162" s="246"/>
      <c r="P162" s="246"/>
      <c r="Q162" s="236">
        <f>SUM(Q159,Q160)</f>
        <v>240248.42989999999</v>
      </c>
      <c r="R162" s="247">
        <f>Q162-N162</f>
        <v>-4439.7926000000152</v>
      </c>
      <c r="S162" s="248">
        <f>IF((N162)=0,"",(R162/N162))</f>
        <v>-1.8144692681316181E-2</v>
      </c>
      <c r="T162" s="112"/>
      <c r="U162" s="112"/>
    </row>
    <row r="163" spans="9:21" ht="15.75" thickBot="1" x14ac:dyDescent="0.3">
      <c r="I163" s="150"/>
      <c r="J163" s="204"/>
      <c r="K163" s="205"/>
      <c r="L163" s="249"/>
      <c r="M163" s="250"/>
      <c r="N163" s="251"/>
      <c r="O163" s="249"/>
      <c r="P163" s="252"/>
      <c r="Q163" s="251"/>
      <c r="R163" s="253"/>
      <c r="S163" s="254"/>
      <c r="T163" s="112"/>
      <c r="U163" s="112"/>
    </row>
    <row r="164" spans="9:21" ht="15.75" thickBot="1" x14ac:dyDescent="0.3">
      <c r="I164" s="232"/>
      <c r="J164" s="255"/>
      <c r="K164" s="256"/>
      <c r="L164" s="256"/>
      <c r="M164" s="256"/>
      <c r="N164" s="256"/>
      <c r="O164" s="256"/>
      <c r="P164" s="256"/>
      <c r="Q164" s="256"/>
      <c r="R164" s="256"/>
      <c r="S164" s="257"/>
      <c r="T164" s="112"/>
      <c r="U164" s="112"/>
    </row>
    <row r="165" spans="9:21" x14ac:dyDescent="0.25">
      <c r="I165" s="232"/>
      <c r="J165" s="258"/>
      <c r="K165" s="114"/>
      <c r="L165" s="114"/>
      <c r="M165" s="114"/>
      <c r="N165" s="114"/>
      <c r="O165" s="114"/>
      <c r="P165" s="114"/>
      <c r="Q165" s="114"/>
      <c r="R165" s="114"/>
      <c r="S165" s="115"/>
      <c r="T165" s="112"/>
      <c r="U165" s="112"/>
    </row>
    <row r="166" spans="9:21" x14ac:dyDescent="0.25">
      <c r="I166" s="112"/>
      <c r="J166" s="120" t="s">
        <v>86</v>
      </c>
      <c r="K166" s="272" t="s">
        <v>141</v>
      </c>
      <c r="L166" s="272"/>
      <c r="M166" s="272"/>
      <c r="N166" s="272"/>
      <c r="O166" s="272"/>
      <c r="P166" s="272"/>
      <c r="Q166" s="122" t="e">
        <f>IF(#REF!="DEMAND - INTERVAL","RTSR - INTERVAL METERED","")</f>
        <v>#REF!</v>
      </c>
      <c r="R166" s="122"/>
      <c r="S166" s="123"/>
      <c r="T166" s="112"/>
      <c r="U166" s="112"/>
    </row>
    <row r="167" spans="9:21" x14ac:dyDescent="0.25">
      <c r="I167" s="112"/>
      <c r="J167" s="120" t="s">
        <v>88</v>
      </c>
      <c r="K167" s="273" t="s">
        <v>89</v>
      </c>
      <c r="L167" s="273"/>
      <c r="M167" s="273"/>
      <c r="N167" s="121"/>
      <c r="O167" s="121"/>
      <c r="P167" s="122"/>
      <c r="Q167" s="122"/>
      <c r="R167" s="122"/>
      <c r="S167" s="123"/>
      <c r="T167" s="112"/>
      <c r="U167" s="112"/>
    </row>
    <row r="168" spans="9:21" ht="15.75" x14ac:dyDescent="0.25">
      <c r="I168" s="112"/>
      <c r="J168" s="120" t="s">
        <v>90</v>
      </c>
      <c r="K168" s="124">
        <v>150</v>
      </c>
      <c r="L168" s="125" t="s">
        <v>91</v>
      </c>
      <c r="M168" s="126"/>
      <c r="N168" s="122"/>
      <c r="O168" s="122"/>
      <c r="P168" s="127"/>
      <c r="Q168" s="127"/>
      <c r="R168" s="127"/>
      <c r="S168" s="128"/>
      <c r="T168" s="112"/>
      <c r="U168" s="112"/>
    </row>
    <row r="169" spans="9:21" ht="15.75" x14ac:dyDescent="0.25">
      <c r="I169" s="112"/>
      <c r="J169" s="120" t="s">
        <v>92</v>
      </c>
      <c r="K169" s="124">
        <v>0</v>
      </c>
      <c r="L169" s="129" t="s">
        <v>93</v>
      </c>
      <c r="M169" s="130"/>
      <c r="N169" s="131"/>
      <c r="O169" s="131"/>
      <c r="P169" s="131"/>
      <c r="Q169" s="122"/>
      <c r="R169" s="122"/>
      <c r="S169" s="123"/>
      <c r="T169" s="112"/>
      <c r="U169" s="112"/>
    </row>
    <row r="170" spans="9:21" x14ac:dyDescent="0.25">
      <c r="I170" s="112"/>
      <c r="J170" s="120" t="s">
        <v>94</v>
      </c>
      <c r="K170" s="133">
        <v>1.056</v>
      </c>
      <c r="L170" s="122"/>
      <c r="M170" s="122"/>
      <c r="N170" s="122"/>
      <c r="O170" s="122"/>
      <c r="P170" s="122"/>
      <c r="Q170" s="122"/>
      <c r="R170" s="122"/>
      <c r="S170" s="123"/>
      <c r="T170" s="112"/>
      <c r="U170" s="112"/>
    </row>
    <row r="171" spans="9:21" x14ac:dyDescent="0.25">
      <c r="I171" s="112"/>
      <c r="J171" s="120" t="s">
        <v>95</v>
      </c>
      <c r="K171" s="133">
        <v>1.056</v>
      </c>
      <c r="L171" s="122"/>
      <c r="M171" s="122"/>
      <c r="N171" s="122"/>
      <c r="O171" s="122"/>
      <c r="P171" s="122"/>
      <c r="Q171" s="122"/>
      <c r="R171" s="122"/>
      <c r="S171" s="123"/>
      <c r="T171" s="112"/>
      <c r="U171" s="112"/>
    </row>
    <row r="172" spans="9:21" x14ac:dyDescent="0.25">
      <c r="I172" s="112"/>
      <c r="J172" s="134"/>
      <c r="K172" s="122"/>
      <c r="L172" s="122"/>
      <c r="M172" s="122"/>
      <c r="N172" s="122"/>
      <c r="O172" s="122"/>
      <c r="P172" s="122"/>
      <c r="Q172" s="122"/>
      <c r="R172" s="122"/>
      <c r="S172" s="123"/>
      <c r="T172" s="112"/>
      <c r="U172" s="112"/>
    </row>
    <row r="173" spans="9:21" x14ac:dyDescent="0.25">
      <c r="I173" s="112"/>
      <c r="J173" s="134"/>
      <c r="K173" s="139"/>
      <c r="L173" s="262" t="s">
        <v>96</v>
      </c>
      <c r="M173" s="263"/>
      <c r="N173" s="264"/>
      <c r="O173" s="262" t="s">
        <v>97</v>
      </c>
      <c r="P173" s="263"/>
      <c r="Q173" s="264"/>
      <c r="R173" s="262" t="s">
        <v>98</v>
      </c>
      <c r="S173" s="265"/>
      <c r="T173" s="112"/>
      <c r="U173" s="112"/>
    </row>
    <row r="174" spans="9:21" x14ac:dyDescent="0.25">
      <c r="I174" s="112"/>
      <c r="J174" s="134"/>
      <c r="K174" s="266"/>
      <c r="L174" s="144" t="s">
        <v>99</v>
      </c>
      <c r="M174" s="144" t="s">
        <v>100</v>
      </c>
      <c r="N174" s="145" t="s">
        <v>101</v>
      </c>
      <c r="O174" s="144" t="s">
        <v>99</v>
      </c>
      <c r="P174" s="146" t="s">
        <v>100</v>
      </c>
      <c r="Q174" s="145" t="s">
        <v>101</v>
      </c>
      <c r="R174" s="268" t="s">
        <v>102</v>
      </c>
      <c r="S174" s="270" t="s">
        <v>103</v>
      </c>
      <c r="T174" s="112"/>
      <c r="U174" s="112"/>
    </row>
    <row r="175" spans="9:21" x14ac:dyDescent="0.25">
      <c r="I175" s="112"/>
      <c r="J175" s="134"/>
      <c r="K175" s="267"/>
      <c r="L175" s="147" t="s">
        <v>104</v>
      </c>
      <c r="M175" s="147"/>
      <c r="N175" s="148" t="s">
        <v>104</v>
      </c>
      <c r="O175" s="147" t="s">
        <v>104</v>
      </c>
      <c r="P175" s="148"/>
      <c r="Q175" s="148" t="s">
        <v>104</v>
      </c>
      <c r="R175" s="269"/>
      <c r="S175" s="271"/>
      <c r="T175" s="112"/>
      <c r="U175" s="112"/>
    </row>
    <row r="176" spans="9:21" x14ac:dyDescent="0.25">
      <c r="I176" s="150"/>
      <c r="J176" s="151" t="s">
        <v>105</v>
      </c>
      <c r="K176" s="152"/>
      <c r="L176" s="153">
        <v>7.88</v>
      </c>
      <c r="M176" s="154">
        <v>1</v>
      </c>
      <c r="N176" s="155">
        <f>M176*L176</f>
        <v>7.88</v>
      </c>
      <c r="O176" s="156">
        <v>8.0299999999999994</v>
      </c>
      <c r="P176" s="157">
        <f>M176</f>
        <v>1</v>
      </c>
      <c r="Q176" s="155">
        <f>P176*O176</f>
        <v>8.0299999999999994</v>
      </c>
      <c r="R176" s="158">
        <f t="shared" ref="R176:R195" si="36">Q176-N176</f>
        <v>0.14999999999999947</v>
      </c>
      <c r="S176" s="159">
        <f>IF(ISERROR(R176/N176), "", R176/N176)</f>
        <v>1.903553299492379E-2</v>
      </c>
      <c r="T176" s="112"/>
      <c r="U176" s="112"/>
    </row>
    <row r="177" spans="9:21" x14ac:dyDescent="0.25">
      <c r="I177" s="150"/>
      <c r="J177" s="151" t="s">
        <v>106</v>
      </c>
      <c r="K177" s="152"/>
      <c r="L177" s="160">
        <v>5.3E-3</v>
      </c>
      <c r="M177" s="161">
        <f>$K$168</f>
        <v>150</v>
      </c>
      <c r="N177" s="155">
        <f t="shared" ref="N177:N185" si="37">M177*L177</f>
        <v>0.79500000000000004</v>
      </c>
      <c r="O177" s="162">
        <v>5.4000000000000003E-3</v>
      </c>
      <c r="P177" s="157">
        <f t="shared" ref="P177:P179" si="38">M177</f>
        <v>150</v>
      </c>
      <c r="Q177" s="155">
        <f>P177*O177</f>
        <v>0.81</v>
      </c>
      <c r="R177" s="158">
        <f t="shared" si="36"/>
        <v>1.5000000000000013E-2</v>
      </c>
      <c r="S177" s="159">
        <f t="shared" ref="S177:S185" si="39">IF(ISERROR(R177/N177), "", R177/N177)</f>
        <v>1.8867924528301903E-2</v>
      </c>
      <c r="T177" s="112"/>
      <c r="U177" s="112"/>
    </row>
    <row r="178" spans="9:21" x14ac:dyDescent="0.25">
      <c r="I178" s="150"/>
      <c r="J178" s="163" t="s">
        <v>108</v>
      </c>
      <c r="K178" s="152"/>
      <c r="L178" s="153">
        <v>0</v>
      </c>
      <c r="M178" s="154">
        <v>1</v>
      </c>
      <c r="N178" s="155">
        <f t="shared" si="37"/>
        <v>0</v>
      </c>
      <c r="O178" s="156">
        <v>0</v>
      </c>
      <c r="P178" s="157">
        <f t="shared" si="38"/>
        <v>1</v>
      </c>
      <c r="Q178" s="155">
        <f t="shared" ref="Q178:Q185" si="40">P178*O178</f>
        <v>0</v>
      </c>
      <c r="R178" s="158">
        <f t="shared" si="36"/>
        <v>0</v>
      </c>
      <c r="S178" s="159" t="str">
        <f t="shared" si="39"/>
        <v/>
      </c>
      <c r="T178" s="112"/>
      <c r="U178" s="112"/>
    </row>
    <row r="179" spans="9:21" x14ac:dyDescent="0.25">
      <c r="I179" s="150"/>
      <c r="J179" s="151" t="s">
        <v>109</v>
      </c>
      <c r="K179" s="152"/>
      <c r="L179" s="160">
        <v>0</v>
      </c>
      <c r="M179" s="154">
        <f>$K$168</f>
        <v>150</v>
      </c>
      <c r="N179" s="155">
        <f t="shared" si="37"/>
        <v>0</v>
      </c>
      <c r="O179" s="162">
        <v>0</v>
      </c>
      <c r="P179" s="157">
        <f t="shared" si="38"/>
        <v>150</v>
      </c>
      <c r="Q179" s="155">
        <f t="shared" si="40"/>
        <v>0</v>
      </c>
      <c r="R179" s="158">
        <f t="shared" si="36"/>
        <v>0</v>
      </c>
      <c r="S179" s="159" t="str">
        <f t="shared" si="39"/>
        <v/>
      </c>
      <c r="T179" s="112"/>
      <c r="U179" s="112"/>
    </row>
    <row r="180" spans="9:21" x14ac:dyDescent="0.25">
      <c r="I180" s="150"/>
      <c r="J180" s="165" t="s">
        <v>110</v>
      </c>
      <c r="K180" s="166"/>
      <c r="L180" s="167"/>
      <c r="M180" s="168"/>
      <c r="N180" s="169">
        <f>SUM(N176:N179)</f>
        <v>8.6750000000000007</v>
      </c>
      <c r="O180" s="170"/>
      <c r="P180" s="171"/>
      <c r="Q180" s="169">
        <f>SUM(Q176:Q179)</f>
        <v>8.84</v>
      </c>
      <c r="R180" s="172">
        <f t="shared" si="36"/>
        <v>0.16499999999999915</v>
      </c>
      <c r="S180" s="173">
        <f>IF((N180)=0,"",(R180/N180))</f>
        <v>1.9020172910662724E-2</v>
      </c>
      <c r="T180" s="112"/>
      <c r="U180" s="112"/>
    </row>
    <row r="181" spans="9:21" x14ac:dyDescent="0.25">
      <c r="I181" s="150"/>
      <c r="J181" s="174" t="s">
        <v>111</v>
      </c>
      <c r="K181" s="152"/>
      <c r="L181" s="160">
        <f>IF((K168*12&gt;=150000), 0, IF(K167="RPP",(L197*0.65+L198*0.17+L199*0.18),IF(K167="Non-RPP (Retailer)",#REF!,#REF!)))</f>
        <v>8.2160000000000011E-2</v>
      </c>
      <c r="M181" s="175">
        <f>$K$168*($K$170-1)</f>
        <v>8.4000000000000075</v>
      </c>
      <c r="N181" s="155">
        <f>M181*L181</f>
        <v>0.69014400000000076</v>
      </c>
      <c r="O181" s="162">
        <f>IF((K168*12&gt;=150000), 0, IF(K167="RPP",(O197*0.65+O198*0.17+O199*0.18),IF(K167="Non-RPP (Retailer)",#REF!,#REF!)))</f>
        <v>8.2160000000000011E-2</v>
      </c>
      <c r="P181" s="175">
        <f t="shared" ref="P181:P187" si="41">M181</f>
        <v>8.4000000000000075</v>
      </c>
      <c r="Q181" s="155">
        <f>P181*O181</f>
        <v>0.69014400000000076</v>
      </c>
      <c r="R181" s="158">
        <f>Q181-N181</f>
        <v>0</v>
      </c>
      <c r="S181" s="159">
        <f>IF(ISERROR(R181/N181), "", R181/N181)</f>
        <v>0</v>
      </c>
      <c r="T181" s="112"/>
      <c r="U181" s="112"/>
    </row>
    <row r="182" spans="9:21" x14ac:dyDescent="0.25">
      <c r="I182" s="150"/>
      <c r="J182" s="174" t="s">
        <v>112</v>
      </c>
      <c r="K182" s="152"/>
      <c r="L182" s="160">
        <v>-2.0000000000000001E-4</v>
      </c>
      <c r="M182" s="176">
        <f t="shared" ref="M182:M185" si="42">$K$168</f>
        <v>150</v>
      </c>
      <c r="N182" s="155">
        <f t="shared" si="37"/>
        <v>-3.0000000000000002E-2</v>
      </c>
      <c r="O182" s="162">
        <v>-1.1999999999999999E-3</v>
      </c>
      <c r="P182" s="176">
        <f t="shared" si="41"/>
        <v>150</v>
      </c>
      <c r="Q182" s="155">
        <f t="shared" si="40"/>
        <v>-0.18</v>
      </c>
      <c r="R182" s="158">
        <f t="shared" si="36"/>
        <v>-0.15</v>
      </c>
      <c r="S182" s="159">
        <f t="shared" si="39"/>
        <v>4.9999999999999991</v>
      </c>
      <c r="T182" s="112"/>
      <c r="U182" s="112"/>
    </row>
    <row r="183" spans="9:21" x14ac:dyDescent="0.25">
      <c r="I183" s="150"/>
      <c r="J183" s="174" t="s">
        <v>113</v>
      </c>
      <c r="K183" s="152"/>
      <c r="L183" s="160">
        <v>0</v>
      </c>
      <c r="M183" s="176">
        <f t="shared" si="42"/>
        <v>150</v>
      </c>
      <c r="N183" s="155">
        <f>M183*L183</f>
        <v>0</v>
      </c>
      <c r="O183" s="162">
        <v>-1E-4</v>
      </c>
      <c r="P183" s="176">
        <f t="shared" si="41"/>
        <v>150</v>
      </c>
      <c r="Q183" s="155">
        <f>P183*O183</f>
        <v>-1.5000000000000001E-2</v>
      </c>
      <c r="R183" s="158">
        <f t="shared" si="36"/>
        <v>-1.5000000000000001E-2</v>
      </c>
      <c r="S183" s="159" t="str">
        <f t="shared" si="39"/>
        <v/>
      </c>
      <c r="T183" s="112"/>
      <c r="U183" s="112"/>
    </row>
    <row r="184" spans="9:21" x14ac:dyDescent="0.25">
      <c r="I184" s="150"/>
      <c r="J184" s="174" t="s">
        <v>114</v>
      </c>
      <c r="K184" s="152"/>
      <c r="L184" s="160">
        <v>0</v>
      </c>
      <c r="M184" s="176">
        <f t="shared" si="42"/>
        <v>150</v>
      </c>
      <c r="N184" s="155">
        <f>M184*L184</f>
        <v>0</v>
      </c>
      <c r="O184" s="162">
        <v>0</v>
      </c>
      <c r="P184" s="176">
        <f t="shared" si="41"/>
        <v>150</v>
      </c>
      <c r="Q184" s="155">
        <f t="shared" si="40"/>
        <v>0</v>
      </c>
      <c r="R184" s="158">
        <f t="shared" si="36"/>
        <v>0</v>
      </c>
      <c r="S184" s="159" t="str">
        <f t="shared" si="39"/>
        <v/>
      </c>
      <c r="T184" s="112"/>
      <c r="U184" s="112"/>
    </row>
    <row r="185" spans="9:21" x14ac:dyDescent="0.25">
      <c r="I185" s="150"/>
      <c r="J185" s="177" t="s">
        <v>115</v>
      </c>
      <c r="K185" s="152"/>
      <c r="L185" s="160">
        <v>2.3999999999999998E-3</v>
      </c>
      <c r="M185" s="176">
        <f t="shared" si="42"/>
        <v>150</v>
      </c>
      <c r="N185" s="155">
        <f t="shared" si="37"/>
        <v>0.36</v>
      </c>
      <c r="O185" s="162">
        <v>2.3999999999999998E-3</v>
      </c>
      <c r="P185" s="176">
        <f t="shared" si="41"/>
        <v>150</v>
      </c>
      <c r="Q185" s="155">
        <f t="shared" si="40"/>
        <v>0.36</v>
      </c>
      <c r="R185" s="158">
        <f t="shared" si="36"/>
        <v>0</v>
      </c>
      <c r="S185" s="159">
        <f t="shared" si="39"/>
        <v>0</v>
      </c>
      <c r="T185" s="112"/>
      <c r="U185" s="112"/>
    </row>
    <row r="186" spans="9:21" ht="38.25" x14ac:dyDescent="0.25">
      <c r="I186" s="150"/>
      <c r="J186" s="178" t="s">
        <v>116</v>
      </c>
      <c r="K186" s="152"/>
      <c r="L186" s="179">
        <v>0</v>
      </c>
      <c r="M186" s="154">
        <v>1</v>
      </c>
      <c r="N186" s="155">
        <f>M186*L186</f>
        <v>0</v>
      </c>
      <c r="O186" s="180">
        <v>0</v>
      </c>
      <c r="P186" s="154">
        <f t="shared" si="41"/>
        <v>1</v>
      </c>
      <c r="Q186" s="155">
        <f>P186*O186</f>
        <v>0</v>
      </c>
      <c r="R186" s="158">
        <f t="shared" si="36"/>
        <v>0</v>
      </c>
      <c r="S186" s="159" t="str">
        <f>IF(ISERROR(R186/N186), "", R186/N186)</f>
        <v/>
      </c>
      <c r="T186" s="112"/>
      <c r="U186" s="112"/>
    </row>
    <row r="187" spans="9:21" x14ac:dyDescent="0.25">
      <c r="I187" s="150"/>
      <c r="J187" s="177" t="s">
        <v>117</v>
      </c>
      <c r="K187" s="152"/>
      <c r="L187" s="160"/>
      <c r="M187" s="176">
        <f>$K$168</f>
        <v>150</v>
      </c>
      <c r="N187" s="155">
        <f>M187*L187</f>
        <v>0</v>
      </c>
      <c r="O187" s="162">
        <v>1.2999999999999999E-3</v>
      </c>
      <c r="P187" s="176">
        <f t="shared" si="41"/>
        <v>150</v>
      </c>
      <c r="Q187" s="155">
        <f>P187*O187</f>
        <v>0.19499999999999998</v>
      </c>
      <c r="R187" s="158">
        <f t="shared" si="36"/>
        <v>0.19499999999999998</v>
      </c>
      <c r="S187" s="159" t="str">
        <f>IF(ISERROR(R187/N187), "", R187/N187)</f>
        <v/>
      </c>
      <c r="T187" s="112"/>
      <c r="U187" s="112"/>
    </row>
    <row r="188" spans="9:21" x14ac:dyDescent="0.25">
      <c r="I188" s="150"/>
      <c r="J188" s="181" t="s">
        <v>118</v>
      </c>
      <c r="K188" s="182"/>
      <c r="L188" s="183"/>
      <c r="M188" s="184"/>
      <c r="N188" s="185">
        <f>SUM(N180:N187)</f>
        <v>9.6951440000000009</v>
      </c>
      <c r="O188" s="186"/>
      <c r="P188" s="187"/>
      <c r="Q188" s="185">
        <f>SUM(Q180:Q187)</f>
        <v>9.8901439999999994</v>
      </c>
      <c r="R188" s="172">
        <f t="shared" si="36"/>
        <v>0.19499999999999851</v>
      </c>
      <c r="S188" s="173">
        <f>IF((N188)=0,"",(R188/N188))</f>
        <v>2.0113161805538782E-2</v>
      </c>
      <c r="T188" s="112"/>
      <c r="U188" s="112"/>
    </row>
    <row r="189" spans="9:21" x14ac:dyDescent="0.25">
      <c r="I189" s="150"/>
      <c r="J189" s="188" t="s">
        <v>119</v>
      </c>
      <c r="K189" s="152"/>
      <c r="L189" s="160">
        <v>5.8999999999999999E-3</v>
      </c>
      <c r="M189" s="175">
        <f t="shared" ref="M189:M190" si="43">$K$168*$K$170</f>
        <v>158.4</v>
      </c>
      <c r="N189" s="155">
        <f>M189*L189</f>
        <v>0.93456000000000006</v>
      </c>
      <c r="O189" s="162">
        <v>6.0000000000000001E-3</v>
      </c>
      <c r="P189" s="175">
        <f t="shared" ref="P189:P190" si="44">M189</f>
        <v>158.4</v>
      </c>
      <c r="Q189" s="155">
        <f>P189*O189</f>
        <v>0.95040000000000002</v>
      </c>
      <c r="R189" s="158">
        <f t="shared" si="36"/>
        <v>1.5839999999999965E-2</v>
      </c>
      <c r="S189" s="159">
        <f>IF(ISERROR(R189/N189), "", R189/N189)</f>
        <v>1.6949152542372843E-2</v>
      </c>
      <c r="T189" s="112"/>
      <c r="U189" s="112"/>
    </row>
    <row r="190" spans="9:21" ht="25.5" x14ac:dyDescent="0.25">
      <c r="I190" s="150"/>
      <c r="J190" s="189" t="s">
        <v>120</v>
      </c>
      <c r="K190" s="152"/>
      <c r="L190" s="160">
        <v>5.1000000000000004E-3</v>
      </c>
      <c r="M190" s="175">
        <f t="shared" si="43"/>
        <v>158.4</v>
      </c>
      <c r="N190" s="155">
        <f>M190*L190</f>
        <v>0.80784000000000011</v>
      </c>
      <c r="O190" s="162">
        <v>5.1000000000000004E-3</v>
      </c>
      <c r="P190" s="175">
        <f t="shared" si="44"/>
        <v>158.4</v>
      </c>
      <c r="Q190" s="155">
        <f>P190*O190</f>
        <v>0.80784000000000011</v>
      </c>
      <c r="R190" s="158">
        <f t="shared" si="36"/>
        <v>0</v>
      </c>
      <c r="S190" s="159">
        <f>IF(ISERROR(R190/N190), "", R190/N190)</f>
        <v>0</v>
      </c>
      <c r="T190" s="112"/>
      <c r="U190" s="112"/>
    </row>
    <row r="191" spans="9:21" x14ac:dyDescent="0.25">
      <c r="I191" s="150"/>
      <c r="J191" s="181" t="s">
        <v>121</v>
      </c>
      <c r="K191" s="166"/>
      <c r="L191" s="183"/>
      <c r="M191" s="184"/>
      <c r="N191" s="185">
        <f>SUM(N188:N190)</f>
        <v>11.437544000000001</v>
      </c>
      <c r="O191" s="186"/>
      <c r="P191" s="171"/>
      <c r="Q191" s="185">
        <f>SUM(Q188:Q190)</f>
        <v>11.648384</v>
      </c>
      <c r="R191" s="172">
        <f t="shared" si="36"/>
        <v>0.21083999999999925</v>
      </c>
      <c r="S191" s="173">
        <f>IF((N191)=0,"",(R191/N191))</f>
        <v>1.8434027445052823E-2</v>
      </c>
      <c r="T191" s="112"/>
      <c r="U191" s="112"/>
    </row>
    <row r="192" spans="9:21" x14ac:dyDescent="0.25">
      <c r="I192" s="150"/>
      <c r="J192" s="190" t="s">
        <v>122</v>
      </c>
      <c r="K192" s="152"/>
      <c r="L192" s="160">
        <v>3.6000000000000003E-3</v>
      </c>
      <c r="M192" s="175">
        <f>$K$168*$K$170</f>
        <v>158.4</v>
      </c>
      <c r="N192" s="191">
        <f t="shared" ref="N192:N199" si="45">M192*L192</f>
        <v>0.57024000000000008</v>
      </c>
      <c r="O192" s="162">
        <v>3.6000000000000003E-3</v>
      </c>
      <c r="P192" s="175">
        <f t="shared" ref="P192:P199" si="46">M192</f>
        <v>158.4</v>
      </c>
      <c r="Q192" s="191">
        <f t="shared" ref="Q192:Q199" si="47">P192*O192</f>
        <v>0.57024000000000008</v>
      </c>
      <c r="R192" s="158">
        <f t="shared" si="36"/>
        <v>0</v>
      </c>
      <c r="S192" s="159">
        <f t="shared" ref="S192:S199" si="48">IF(ISERROR(R192/N192), "", R192/N192)</f>
        <v>0</v>
      </c>
      <c r="T192" s="112"/>
      <c r="U192" s="112"/>
    </row>
    <row r="193" spans="9:21" x14ac:dyDescent="0.25">
      <c r="I193" s="150"/>
      <c r="J193" s="190" t="s">
        <v>123</v>
      </c>
      <c r="K193" s="152"/>
      <c r="L193" s="160">
        <f>'[1]17. Regulatory Charges'!$D$16</f>
        <v>2.9999999999999997E-4</v>
      </c>
      <c r="M193" s="175">
        <f>$K$168*$K$170</f>
        <v>158.4</v>
      </c>
      <c r="N193" s="191">
        <f t="shared" si="45"/>
        <v>4.752E-2</v>
      </c>
      <c r="O193" s="162">
        <v>2.9999999999999997E-4</v>
      </c>
      <c r="P193" s="175">
        <f t="shared" si="46"/>
        <v>158.4</v>
      </c>
      <c r="Q193" s="191">
        <f t="shared" si="47"/>
        <v>4.752E-2</v>
      </c>
      <c r="R193" s="158">
        <f t="shared" si="36"/>
        <v>0</v>
      </c>
      <c r="S193" s="159">
        <f t="shared" si="48"/>
        <v>0</v>
      </c>
      <c r="T193" s="112"/>
      <c r="U193" s="112"/>
    </row>
    <row r="194" spans="9:21" x14ac:dyDescent="0.25">
      <c r="I194" s="150"/>
      <c r="J194" s="193" t="s">
        <v>124</v>
      </c>
      <c r="K194" s="152"/>
      <c r="L194" s="179">
        <v>0.25</v>
      </c>
      <c r="M194" s="154">
        <v>1</v>
      </c>
      <c r="N194" s="191">
        <f t="shared" si="45"/>
        <v>0.25</v>
      </c>
      <c r="O194" s="180">
        <f>'[1]17. Regulatory Charges'!$D$17</f>
        <v>0.25</v>
      </c>
      <c r="P194" s="157">
        <f t="shared" si="46"/>
        <v>1</v>
      </c>
      <c r="Q194" s="191">
        <f t="shared" si="47"/>
        <v>0.25</v>
      </c>
      <c r="R194" s="158">
        <f t="shared" si="36"/>
        <v>0</v>
      </c>
      <c r="S194" s="159">
        <f t="shared" si="48"/>
        <v>0</v>
      </c>
      <c r="T194" s="112"/>
      <c r="U194" s="112"/>
    </row>
    <row r="195" spans="9:21" x14ac:dyDescent="0.25">
      <c r="I195" s="150"/>
      <c r="J195" s="193" t="s">
        <v>125</v>
      </c>
      <c r="K195" s="152"/>
      <c r="L195" s="160">
        <f>IF('[1]1. Information Sheet'!L243 = DATE(2016, 5, 1), (IF(ISERROR(FIND("RESIDENTIAL", UPPER(K166))), DRC, 0)), DRC)</f>
        <v>7.0000000000000001E-3</v>
      </c>
      <c r="M195" s="176">
        <f>$K$168</f>
        <v>150</v>
      </c>
      <c r="N195" s="191">
        <f t="shared" si="45"/>
        <v>1.05</v>
      </c>
      <c r="O195" s="233">
        <f>IF(ISERROR(FIND("RESIDENTIAL", UPPER(K166))),DRC, 0)</f>
        <v>7.0000000000000001E-3</v>
      </c>
      <c r="P195" s="176">
        <f t="shared" si="46"/>
        <v>150</v>
      </c>
      <c r="Q195" s="191">
        <f t="shared" si="47"/>
        <v>1.05</v>
      </c>
      <c r="R195" s="158">
        <f t="shared" si="36"/>
        <v>0</v>
      </c>
      <c r="S195" s="159">
        <f t="shared" si="48"/>
        <v>0</v>
      </c>
      <c r="T195" s="112"/>
      <c r="U195" s="112"/>
    </row>
    <row r="196" spans="9:21" ht="25.5" x14ac:dyDescent="0.25">
      <c r="I196" s="150"/>
      <c r="J196" s="190" t="s">
        <v>126</v>
      </c>
      <c r="K196" s="152"/>
      <c r="L196" s="160"/>
      <c r="M196" s="175"/>
      <c r="N196" s="191"/>
      <c r="O196" s="162"/>
      <c r="P196" s="175">
        <f t="shared" si="46"/>
        <v>0</v>
      </c>
      <c r="Q196" s="191"/>
      <c r="R196" s="158"/>
      <c r="S196" s="159"/>
      <c r="T196" s="112"/>
      <c r="U196" s="112"/>
    </row>
    <row r="197" spans="9:21" x14ac:dyDescent="0.25">
      <c r="I197" s="150"/>
      <c r="J197" s="200" t="s">
        <v>127</v>
      </c>
      <c r="K197" s="152"/>
      <c r="L197" s="201">
        <f>OffPeak</f>
        <v>6.5000000000000002E-2</v>
      </c>
      <c r="M197" s="202">
        <f>IF(AND(K168*12&gt;=150000),0.65*K168*K170,0.65*K168)</f>
        <v>97.5</v>
      </c>
      <c r="N197" s="191">
        <f t="shared" si="45"/>
        <v>6.3375000000000004</v>
      </c>
      <c r="O197" s="203">
        <f>OffPeak</f>
        <v>6.5000000000000002E-2</v>
      </c>
      <c r="P197" s="202">
        <f t="shared" si="46"/>
        <v>97.5</v>
      </c>
      <c r="Q197" s="191">
        <f t="shared" si="47"/>
        <v>6.3375000000000004</v>
      </c>
      <c r="R197" s="158">
        <f>Q197-N197</f>
        <v>0</v>
      </c>
      <c r="S197" s="159">
        <f t="shared" si="48"/>
        <v>0</v>
      </c>
      <c r="T197" s="112"/>
      <c r="U197" s="112"/>
    </row>
    <row r="198" spans="9:21" x14ac:dyDescent="0.25">
      <c r="I198" s="150"/>
      <c r="J198" s="200" t="s">
        <v>128</v>
      </c>
      <c r="K198" s="152"/>
      <c r="L198" s="201">
        <f>MidPeak</f>
        <v>9.5000000000000001E-2</v>
      </c>
      <c r="M198" s="202">
        <f>IF(AND(K168*12&gt;=150000),0.17*K168*K170,0.17*K168)</f>
        <v>25.500000000000004</v>
      </c>
      <c r="N198" s="191">
        <f t="shared" si="45"/>
        <v>2.4225000000000003</v>
      </c>
      <c r="O198" s="203">
        <f>MidPeak</f>
        <v>9.5000000000000001E-2</v>
      </c>
      <c r="P198" s="202">
        <f t="shared" si="46"/>
        <v>25.500000000000004</v>
      </c>
      <c r="Q198" s="191">
        <f t="shared" si="47"/>
        <v>2.4225000000000003</v>
      </c>
      <c r="R198" s="158">
        <f>Q198-N198</f>
        <v>0</v>
      </c>
      <c r="S198" s="159">
        <f t="shared" si="48"/>
        <v>0</v>
      </c>
      <c r="T198" s="112"/>
      <c r="U198" s="112"/>
    </row>
    <row r="199" spans="9:21" ht="15.75" thickBot="1" x14ac:dyDescent="0.3">
      <c r="I199" s="150"/>
      <c r="J199" s="134" t="s">
        <v>129</v>
      </c>
      <c r="K199" s="152"/>
      <c r="L199" s="201">
        <f>OnPeak</f>
        <v>0.13200000000000001</v>
      </c>
      <c r="M199" s="202">
        <f>IF(AND(K168*12&gt;=150000),0.18*K168*K170,0.18*K168)</f>
        <v>27</v>
      </c>
      <c r="N199" s="191">
        <f t="shared" si="45"/>
        <v>3.5640000000000001</v>
      </c>
      <c r="O199" s="203">
        <f>OnPeak</f>
        <v>0.13200000000000001</v>
      </c>
      <c r="P199" s="202">
        <f t="shared" si="46"/>
        <v>27</v>
      </c>
      <c r="Q199" s="191">
        <f t="shared" si="47"/>
        <v>3.5640000000000001</v>
      </c>
      <c r="R199" s="158">
        <f>Q199-N199</f>
        <v>0</v>
      </c>
      <c r="S199" s="159">
        <f t="shared" si="48"/>
        <v>0</v>
      </c>
      <c r="T199" s="112"/>
      <c r="U199" s="112"/>
    </row>
    <row r="200" spans="9:21" ht="15.75" thickBot="1" x14ac:dyDescent="0.3">
      <c r="I200" s="150"/>
      <c r="J200" s="204"/>
      <c r="K200" s="205"/>
      <c r="L200" s="206"/>
      <c r="M200" s="207"/>
      <c r="N200" s="208"/>
      <c r="O200" s="206"/>
      <c r="P200" s="209"/>
      <c r="Q200" s="208"/>
      <c r="R200" s="210"/>
      <c r="S200" s="211"/>
      <c r="T200" s="112"/>
      <c r="U200" s="112"/>
    </row>
    <row r="201" spans="9:21" x14ac:dyDescent="0.25">
      <c r="I201" s="150"/>
      <c r="J201" s="212" t="s">
        <v>130</v>
      </c>
      <c r="K201" s="213"/>
      <c r="L201" s="214"/>
      <c r="M201" s="215"/>
      <c r="N201" s="216">
        <f>SUM(N192:N199,N191)</f>
        <v>25.679304000000002</v>
      </c>
      <c r="O201" s="217"/>
      <c r="P201" s="217"/>
      <c r="Q201" s="216">
        <f>SUM(Q192:Q199,Q191)</f>
        <v>25.890143999999999</v>
      </c>
      <c r="R201" s="218">
        <f>Q201-N201</f>
        <v>0.21083999999999747</v>
      </c>
      <c r="S201" s="219">
        <f>IF((N201)=0,"",(R201/N201))</f>
        <v>8.2105029014804091E-3</v>
      </c>
      <c r="T201" s="112"/>
      <c r="U201" s="112"/>
    </row>
    <row r="202" spans="9:21" x14ac:dyDescent="0.25">
      <c r="I202" s="150"/>
      <c r="J202" s="220" t="s">
        <v>131</v>
      </c>
      <c r="K202" s="213"/>
      <c r="L202" s="214">
        <v>0.13</v>
      </c>
      <c r="M202" s="221"/>
      <c r="N202" s="222">
        <f>N201*L202</f>
        <v>3.3383095200000001</v>
      </c>
      <c r="O202" s="223">
        <v>0.13</v>
      </c>
      <c r="P202" s="154"/>
      <c r="Q202" s="222">
        <f>Q201*O202</f>
        <v>3.3657187199999998</v>
      </c>
      <c r="R202" s="224">
        <f>Q202-N202</f>
        <v>2.7409199999999689E-2</v>
      </c>
      <c r="S202" s="225">
        <f>IF((N202)=0,"",(R202/N202))</f>
        <v>8.2105029014804144E-3</v>
      </c>
      <c r="T202" s="112"/>
      <c r="U202" s="112"/>
    </row>
    <row r="203" spans="9:21" x14ac:dyDescent="0.25">
      <c r="I203" s="150"/>
      <c r="J203" s="220" t="s">
        <v>132</v>
      </c>
      <c r="K203" s="213"/>
      <c r="L203" s="214">
        <v>0.08</v>
      </c>
      <c r="M203" s="221"/>
      <c r="N203" s="222">
        <v>0</v>
      </c>
      <c r="O203" s="214">
        <v>0.08</v>
      </c>
      <c r="P203" s="154"/>
      <c r="Q203" s="222">
        <v>0</v>
      </c>
      <c r="R203" s="224">
        <f>Q203-N203</f>
        <v>0</v>
      </c>
      <c r="S203" s="225"/>
      <c r="T203" s="112"/>
      <c r="U203" s="112"/>
    </row>
    <row r="204" spans="9:21" ht="15.75" thickBot="1" x14ac:dyDescent="0.3">
      <c r="I204" s="150"/>
      <c r="J204" s="260" t="s">
        <v>133</v>
      </c>
      <c r="K204" s="261"/>
      <c r="L204" s="234"/>
      <c r="M204" s="235"/>
      <c r="N204" s="236">
        <f>N201+N202+N203</f>
        <v>29.017613520000001</v>
      </c>
      <c r="O204" s="237"/>
      <c r="P204" s="237"/>
      <c r="Q204" s="238">
        <f>Q201+Q202+Q203</f>
        <v>29.25586272</v>
      </c>
      <c r="R204" s="239">
        <f>Q204-N204</f>
        <v>0.2382491999999985</v>
      </c>
      <c r="S204" s="240">
        <f>IF((N204)=0,"",(R204/N204))</f>
        <v>8.210502901480456E-3</v>
      </c>
      <c r="T204" s="112"/>
      <c r="U204" s="112"/>
    </row>
    <row r="205" spans="9:21" ht="15.75" thickBot="1" x14ac:dyDescent="0.3">
      <c r="I205" s="150"/>
      <c r="J205" s="204"/>
      <c r="K205" s="205"/>
      <c r="L205" s="206"/>
      <c r="M205" s="207"/>
      <c r="N205" s="208"/>
      <c r="O205" s="206"/>
      <c r="P205" s="209"/>
      <c r="Q205" s="208"/>
      <c r="R205" s="210"/>
      <c r="S205" s="211"/>
      <c r="T205" s="112"/>
      <c r="U205" s="112"/>
    </row>
    <row r="206" spans="9:21" ht="15.75" thickBot="1" x14ac:dyDescent="0.3">
      <c r="I206" s="232"/>
      <c r="J206" s="255"/>
      <c r="K206" s="256"/>
      <c r="L206" s="256"/>
      <c r="M206" s="256"/>
      <c r="N206" s="256"/>
      <c r="O206" s="256"/>
      <c r="P206" s="256"/>
      <c r="Q206" s="256"/>
      <c r="R206" s="256"/>
      <c r="S206" s="257"/>
      <c r="T206" s="112"/>
      <c r="U206" s="112"/>
    </row>
    <row r="207" spans="9:21" x14ac:dyDescent="0.25">
      <c r="I207" s="232"/>
      <c r="J207" s="258"/>
      <c r="K207" s="114"/>
      <c r="L207" s="114"/>
      <c r="M207" s="114"/>
      <c r="N207" s="114"/>
      <c r="O207" s="114"/>
      <c r="P207" s="114"/>
      <c r="Q207" s="114"/>
      <c r="R207" s="114"/>
      <c r="S207" s="115"/>
      <c r="T207" s="112"/>
      <c r="U207" s="112"/>
    </row>
    <row r="208" spans="9:21" x14ac:dyDescent="0.25">
      <c r="I208" s="112"/>
      <c r="J208" s="120" t="s">
        <v>86</v>
      </c>
      <c r="K208" s="272" t="s">
        <v>142</v>
      </c>
      <c r="L208" s="272"/>
      <c r="M208" s="272"/>
      <c r="N208" s="272"/>
      <c r="O208" s="272"/>
      <c r="P208" s="272"/>
      <c r="Q208" s="122" t="e">
        <f>IF(#REF!="DEMAND - INTERVAL","RTSR - INTERVAL METERED","")</f>
        <v>#REF!</v>
      </c>
      <c r="R208" s="122"/>
      <c r="S208" s="123"/>
      <c r="T208" s="112"/>
      <c r="U208" s="112"/>
    </row>
    <row r="209" spans="9:21" x14ac:dyDescent="0.25">
      <c r="I209" s="112"/>
      <c r="J209" s="120" t="s">
        <v>88</v>
      </c>
      <c r="K209" s="273" t="s">
        <v>89</v>
      </c>
      <c r="L209" s="273"/>
      <c r="M209" s="273"/>
      <c r="N209" s="121"/>
      <c r="O209" s="121"/>
      <c r="P209" s="122"/>
      <c r="Q209" s="122"/>
      <c r="R209" s="122"/>
      <c r="S209" s="123"/>
      <c r="T209" s="112"/>
      <c r="U209" s="112"/>
    </row>
    <row r="210" spans="9:21" ht="15.75" x14ac:dyDescent="0.25">
      <c r="I210" s="112"/>
      <c r="J210" s="120" t="s">
        <v>90</v>
      </c>
      <c r="K210" s="124">
        <v>650</v>
      </c>
      <c r="L210" s="125" t="s">
        <v>91</v>
      </c>
      <c r="M210" s="126"/>
      <c r="N210" s="122"/>
      <c r="O210" s="122"/>
      <c r="P210" s="127"/>
      <c r="Q210" s="127"/>
      <c r="R210" s="127"/>
      <c r="S210" s="128"/>
      <c r="T210" s="112"/>
      <c r="U210" s="112"/>
    </row>
    <row r="211" spans="9:21" ht="15.75" x14ac:dyDescent="0.25">
      <c r="I211" s="112"/>
      <c r="J211" s="120" t="s">
        <v>92</v>
      </c>
      <c r="K211" s="124">
        <v>1</v>
      </c>
      <c r="L211" s="129" t="s">
        <v>93</v>
      </c>
      <c r="M211" s="130"/>
      <c r="N211" s="131"/>
      <c r="O211" s="131"/>
      <c r="P211" s="131"/>
      <c r="Q211" s="122"/>
      <c r="R211" s="122"/>
      <c r="S211" s="123"/>
      <c r="T211" s="112"/>
      <c r="U211" s="112"/>
    </row>
    <row r="212" spans="9:21" x14ac:dyDescent="0.25">
      <c r="I212" s="112"/>
      <c r="J212" s="120" t="s">
        <v>94</v>
      </c>
      <c r="K212" s="133">
        <v>1.056</v>
      </c>
      <c r="L212" s="122"/>
      <c r="M212" s="122"/>
      <c r="N212" s="122"/>
      <c r="O212" s="122"/>
      <c r="P212" s="122"/>
      <c r="Q212" s="122"/>
      <c r="R212" s="122"/>
      <c r="S212" s="123"/>
      <c r="T212" s="112"/>
      <c r="U212" s="112"/>
    </row>
    <row r="213" spans="9:21" x14ac:dyDescent="0.25">
      <c r="I213" s="112"/>
      <c r="J213" s="120" t="s">
        <v>95</v>
      </c>
      <c r="K213" s="133">
        <v>1.056</v>
      </c>
      <c r="L213" s="122"/>
      <c r="M213" s="122"/>
      <c r="N213" s="122"/>
      <c r="O213" s="122"/>
      <c r="P213" s="122"/>
      <c r="Q213" s="122"/>
      <c r="R213" s="122"/>
      <c r="S213" s="123"/>
      <c r="T213" s="112"/>
      <c r="U213" s="112"/>
    </row>
    <row r="214" spans="9:21" x14ac:dyDescent="0.25">
      <c r="I214" s="112"/>
      <c r="J214" s="134"/>
      <c r="K214" s="122"/>
      <c r="L214" s="122"/>
      <c r="M214" s="122"/>
      <c r="N214" s="122"/>
      <c r="O214" s="122"/>
      <c r="P214" s="122"/>
      <c r="Q214" s="122"/>
      <c r="R214" s="122"/>
      <c r="S214" s="123"/>
      <c r="T214" s="112"/>
      <c r="U214" s="112"/>
    </row>
    <row r="215" spans="9:21" x14ac:dyDescent="0.25">
      <c r="I215" s="112"/>
      <c r="J215" s="134"/>
      <c r="K215" s="139"/>
      <c r="L215" s="262" t="s">
        <v>96</v>
      </c>
      <c r="M215" s="263"/>
      <c r="N215" s="264"/>
      <c r="O215" s="262" t="s">
        <v>97</v>
      </c>
      <c r="P215" s="263"/>
      <c r="Q215" s="264"/>
      <c r="R215" s="262" t="s">
        <v>98</v>
      </c>
      <c r="S215" s="265"/>
      <c r="T215" s="112"/>
      <c r="U215" s="112"/>
    </row>
    <row r="216" spans="9:21" x14ac:dyDescent="0.25">
      <c r="I216" s="112"/>
      <c r="J216" s="134"/>
      <c r="K216" s="266"/>
      <c r="L216" s="144" t="s">
        <v>99</v>
      </c>
      <c r="M216" s="144" t="s">
        <v>100</v>
      </c>
      <c r="N216" s="145" t="s">
        <v>101</v>
      </c>
      <c r="O216" s="144" t="s">
        <v>99</v>
      </c>
      <c r="P216" s="146" t="s">
        <v>100</v>
      </c>
      <c r="Q216" s="145" t="s">
        <v>101</v>
      </c>
      <c r="R216" s="268" t="s">
        <v>102</v>
      </c>
      <c r="S216" s="270" t="s">
        <v>103</v>
      </c>
      <c r="T216" s="112"/>
      <c r="U216" s="112"/>
    </row>
    <row r="217" spans="9:21" x14ac:dyDescent="0.25">
      <c r="I217" s="112"/>
      <c r="J217" s="134"/>
      <c r="K217" s="267"/>
      <c r="L217" s="147" t="s">
        <v>104</v>
      </c>
      <c r="M217" s="147"/>
      <c r="N217" s="148" t="s">
        <v>104</v>
      </c>
      <c r="O217" s="147" t="s">
        <v>104</v>
      </c>
      <c r="P217" s="148"/>
      <c r="Q217" s="148" t="s">
        <v>104</v>
      </c>
      <c r="R217" s="269"/>
      <c r="S217" s="271"/>
      <c r="T217" s="112"/>
      <c r="U217" s="112"/>
    </row>
    <row r="218" spans="9:21" x14ac:dyDescent="0.25">
      <c r="I218" s="150"/>
      <c r="J218" s="151" t="s">
        <v>105</v>
      </c>
      <c r="K218" s="152"/>
      <c r="L218" s="153">
        <v>9.36</v>
      </c>
      <c r="M218" s="154">
        <v>1</v>
      </c>
      <c r="N218" s="155">
        <f>M218*L218</f>
        <v>9.36</v>
      </c>
      <c r="O218" s="156">
        <v>9.5399999999999991</v>
      </c>
      <c r="P218" s="157">
        <f>M218</f>
        <v>1</v>
      </c>
      <c r="Q218" s="155">
        <f>P218*O218</f>
        <v>9.5399999999999991</v>
      </c>
      <c r="R218" s="158">
        <f t="shared" ref="R218:R237" si="49">Q218-N218</f>
        <v>0.17999999999999972</v>
      </c>
      <c r="S218" s="159">
        <f>IF(ISERROR(R218/N218), "", R218/N218)</f>
        <v>1.9230769230769201E-2</v>
      </c>
      <c r="T218" s="112"/>
      <c r="U218" s="112"/>
    </row>
    <row r="219" spans="9:21" x14ac:dyDescent="0.25">
      <c r="I219" s="150"/>
      <c r="J219" s="151" t="s">
        <v>106</v>
      </c>
      <c r="K219" s="152"/>
      <c r="L219" s="160">
        <v>35.479199999999999</v>
      </c>
      <c r="M219" s="161">
        <f>$K$211</f>
        <v>1</v>
      </c>
      <c r="N219" s="155">
        <f t="shared" ref="N219:N227" si="50">M219*L219</f>
        <v>35.479199999999999</v>
      </c>
      <c r="O219" s="162">
        <v>36.153300000000002</v>
      </c>
      <c r="P219" s="157">
        <f t="shared" ref="P219:P221" si="51">M219</f>
        <v>1</v>
      </c>
      <c r="Q219" s="155">
        <f>P219*O219</f>
        <v>36.153300000000002</v>
      </c>
      <c r="R219" s="158">
        <f t="shared" si="49"/>
        <v>0.67410000000000281</v>
      </c>
      <c r="S219" s="159">
        <f t="shared" ref="S219:S227" si="52">IF(ISERROR(R219/N219), "", R219/N219)</f>
        <v>1.8999864709463653E-2</v>
      </c>
      <c r="T219" s="112"/>
      <c r="U219" s="112"/>
    </row>
    <row r="220" spans="9:21" x14ac:dyDescent="0.25">
      <c r="I220" s="150"/>
      <c r="J220" s="163" t="s">
        <v>108</v>
      </c>
      <c r="K220" s="152"/>
      <c r="L220" s="153">
        <v>0</v>
      </c>
      <c r="M220" s="154">
        <v>1</v>
      </c>
      <c r="N220" s="155">
        <f t="shared" si="50"/>
        <v>0</v>
      </c>
      <c r="O220" s="156">
        <v>0</v>
      </c>
      <c r="P220" s="157">
        <f t="shared" si="51"/>
        <v>1</v>
      </c>
      <c r="Q220" s="155">
        <f t="shared" ref="Q220:Q227" si="53">P220*O220</f>
        <v>0</v>
      </c>
      <c r="R220" s="158">
        <f t="shared" si="49"/>
        <v>0</v>
      </c>
      <c r="S220" s="159" t="str">
        <f t="shared" si="52"/>
        <v/>
      </c>
      <c r="T220" s="112"/>
      <c r="U220" s="112"/>
    </row>
    <row r="221" spans="9:21" x14ac:dyDescent="0.25">
      <c r="I221" s="150"/>
      <c r="J221" s="151" t="s">
        <v>109</v>
      </c>
      <c r="K221" s="152"/>
      <c r="L221" s="160">
        <v>0</v>
      </c>
      <c r="M221" s="154">
        <f>$K$211</f>
        <v>1</v>
      </c>
      <c r="N221" s="155">
        <f t="shared" si="50"/>
        <v>0</v>
      </c>
      <c r="O221" s="162">
        <v>0</v>
      </c>
      <c r="P221" s="157">
        <f t="shared" si="51"/>
        <v>1</v>
      </c>
      <c r="Q221" s="155">
        <f t="shared" si="53"/>
        <v>0</v>
      </c>
      <c r="R221" s="158">
        <f t="shared" si="49"/>
        <v>0</v>
      </c>
      <c r="S221" s="159" t="str">
        <f t="shared" si="52"/>
        <v/>
      </c>
      <c r="T221" s="112"/>
      <c r="U221" s="112"/>
    </row>
    <row r="222" spans="9:21" x14ac:dyDescent="0.25">
      <c r="I222" s="150"/>
      <c r="J222" s="165" t="s">
        <v>110</v>
      </c>
      <c r="K222" s="166"/>
      <c r="L222" s="167"/>
      <c r="M222" s="168"/>
      <c r="N222" s="169">
        <f>SUM(N218:N221)</f>
        <v>44.839199999999998</v>
      </c>
      <c r="O222" s="170"/>
      <c r="P222" s="171"/>
      <c r="Q222" s="169">
        <f>SUM(Q218:Q221)</f>
        <v>45.693300000000001</v>
      </c>
      <c r="R222" s="172">
        <f t="shared" si="49"/>
        <v>0.85410000000000252</v>
      </c>
      <c r="S222" s="173">
        <f>IF((N222)=0,"",(R222/N222))</f>
        <v>1.9048065085907031E-2</v>
      </c>
      <c r="T222" s="112"/>
      <c r="U222" s="112"/>
    </row>
    <row r="223" spans="9:21" x14ac:dyDescent="0.25">
      <c r="I223" s="150"/>
      <c r="J223" s="174" t="s">
        <v>111</v>
      </c>
      <c r="K223" s="152"/>
      <c r="L223" s="160">
        <f>IF((K210*12&gt;=150000), 0, IF(K209="RPP",(L239*0.65+L240*0.17+L241*0.18),IF(K209="Non-RPP (Retailer)",#REF!,#REF!)))</f>
        <v>8.2160000000000011E-2</v>
      </c>
      <c r="M223" s="175">
        <f>IF(L223=0, 0, $K$210*$K$212-$K$210)</f>
        <v>36.399999999999977</v>
      </c>
      <c r="N223" s="155">
        <f>M223*L223</f>
        <v>2.9906239999999986</v>
      </c>
      <c r="O223" s="162">
        <f>IF((K210*12&gt;=150000), 0, IF(K209="RPP",(O239*0.65+O240*0.17+O241*0.18),IF(K209="Non-RPP (Retailer)",#REF!,#REF!)))</f>
        <v>8.2160000000000011E-2</v>
      </c>
      <c r="P223" s="175">
        <f t="shared" ref="P223:P229" si="54">M223</f>
        <v>36.399999999999977</v>
      </c>
      <c r="Q223" s="155">
        <f>P223*O223</f>
        <v>2.9906239999999986</v>
      </c>
      <c r="R223" s="158">
        <f>Q223-N223</f>
        <v>0</v>
      </c>
      <c r="S223" s="159">
        <f>IF(ISERROR(R223/N223), "", R223/N223)</f>
        <v>0</v>
      </c>
      <c r="T223" s="112"/>
      <c r="U223" s="112"/>
    </row>
    <row r="224" spans="9:21" ht="25.5" x14ac:dyDescent="0.25">
      <c r="I224" s="150"/>
      <c r="J224" s="174" t="s">
        <v>137</v>
      </c>
      <c r="K224" s="152"/>
      <c r="L224" s="160">
        <v>0.44069999999999998</v>
      </c>
      <c r="M224" s="176">
        <f>$K$211</f>
        <v>1</v>
      </c>
      <c r="N224" s="155">
        <f t="shared" si="50"/>
        <v>0.44069999999999998</v>
      </c>
      <c r="O224" s="162">
        <v>-0.47110000000000002</v>
      </c>
      <c r="P224" s="176">
        <f t="shared" si="54"/>
        <v>1</v>
      </c>
      <c r="Q224" s="155">
        <f t="shared" si="53"/>
        <v>-0.47110000000000002</v>
      </c>
      <c r="R224" s="158">
        <f t="shared" si="49"/>
        <v>-0.91179999999999994</v>
      </c>
      <c r="S224" s="159">
        <f t="shared" si="52"/>
        <v>-2.0689811663262989</v>
      </c>
      <c r="T224" s="112"/>
      <c r="U224" s="112"/>
    </row>
    <row r="225" spans="9:21" x14ac:dyDescent="0.25">
      <c r="I225" s="150"/>
      <c r="J225" s="174" t="s">
        <v>113</v>
      </c>
      <c r="K225" s="152"/>
      <c r="L225" s="160">
        <v>0</v>
      </c>
      <c r="M225" s="176">
        <f>$K$211</f>
        <v>1</v>
      </c>
      <c r="N225" s="155">
        <f>M225*L225</f>
        <v>0</v>
      </c>
      <c r="O225" s="162">
        <v>-2.98E-2</v>
      </c>
      <c r="P225" s="176">
        <f t="shared" si="54"/>
        <v>1</v>
      </c>
      <c r="Q225" s="155">
        <f>P225*O225</f>
        <v>-2.98E-2</v>
      </c>
      <c r="R225" s="158">
        <f t="shared" si="49"/>
        <v>-2.98E-2</v>
      </c>
      <c r="S225" s="159" t="str">
        <f t="shared" si="52"/>
        <v/>
      </c>
      <c r="T225" s="112"/>
      <c r="U225" s="112"/>
    </row>
    <row r="226" spans="9:21" x14ac:dyDescent="0.25">
      <c r="I226" s="150"/>
      <c r="J226" s="174" t="s">
        <v>114</v>
      </c>
      <c r="K226" s="152"/>
      <c r="L226" s="160">
        <v>0</v>
      </c>
      <c r="M226" s="176">
        <f>$K$210</f>
        <v>650</v>
      </c>
      <c r="N226" s="155">
        <f>M226*L226</f>
        <v>0</v>
      </c>
      <c r="O226" s="162">
        <v>0</v>
      </c>
      <c r="P226" s="176">
        <f t="shared" si="54"/>
        <v>650</v>
      </c>
      <c r="Q226" s="155">
        <f t="shared" si="53"/>
        <v>0</v>
      </c>
      <c r="R226" s="158">
        <f t="shared" si="49"/>
        <v>0</v>
      </c>
      <c r="S226" s="159" t="str">
        <f t="shared" si="52"/>
        <v/>
      </c>
      <c r="T226" s="112"/>
      <c r="U226" s="112"/>
    </row>
    <row r="227" spans="9:21" x14ac:dyDescent="0.25">
      <c r="I227" s="150"/>
      <c r="J227" s="177" t="s">
        <v>115</v>
      </c>
      <c r="K227" s="152"/>
      <c r="L227" s="160">
        <v>0.75470000000000004</v>
      </c>
      <c r="M227" s="176">
        <f>$K$211</f>
        <v>1</v>
      </c>
      <c r="N227" s="155">
        <f t="shared" si="50"/>
        <v>0.75470000000000004</v>
      </c>
      <c r="O227" s="162">
        <v>0.75470000000000004</v>
      </c>
      <c r="P227" s="176">
        <f t="shared" si="54"/>
        <v>1</v>
      </c>
      <c r="Q227" s="155">
        <f t="shared" si="53"/>
        <v>0.75470000000000004</v>
      </c>
      <c r="R227" s="158">
        <f t="shared" si="49"/>
        <v>0</v>
      </c>
      <c r="S227" s="159">
        <f t="shared" si="52"/>
        <v>0</v>
      </c>
      <c r="T227" s="112"/>
      <c r="U227" s="112"/>
    </row>
    <row r="228" spans="9:21" ht="38.25" x14ac:dyDescent="0.25">
      <c r="I228" s="150"/>
      <c r="J228" s="178" t="s">
        <v>116</v>
      </c>
      <c r="K228" s="152"/>
      <c r="L228" s="179">
        <v>0</v>
      </c>
      <c r="M228" s="154">
        <v>1</v>
      </c>
      <c r="N228" s="155">
        <f>M228*L228</f>
        <v>0</v>
      </c>
      <c r="O228" s="180">
        <v>0</v>
      </c>
      <c r="P228" s="154">
        <f t="shared" si="54"/>
        <v>1</v>
      </c>
      <c r="Q228" s="155">
        <f>P228*O228</f>
        <v>0</v>
      </c>
      <c r="R228" s="158">
        <f t="shared" si="49"/>
        <v>0</v>
      </c>
      <c r="S228" s="159" t="str">
        <f>IF(ISERROR(R228/N228), "", R228/N228)</f>
        <v/>
      </c>
      <c r="T228" s="112"/>
      <c r="U228" s="112"/>
    </row>
    <row r="229" spans="9:21" x14ac:dyDescent="0.25">
      <c r="I229" s="150"/>
      <c r="J229" s="177" t="s">
        <v>117</v>
      </c>
      <c r="K229" s="152"/>
      <c r="L229" s="160"/>
      <c r="M229" s="176">
        <f>$K$211</f>
        <v>1</v>
      </c>
      <c r="N229" s="155">
        <f>M229*L229</f>
        <v>0</v>
      </c>
      <c r="O229" s="162">
        <v>0.48520000000000002</v>
      </c>
      <c r="P229" s="176">
        <f t="shared" si="54"/>
        <v>1</v>
      </c>
      <c r="Q229" s="155">
        <f>P229*O229</f>
        <v>0.48520000000000002</v>
      </c>
      <c r="R229" s="158">
        <f t="shared" si="49"/>
        <v>0.48520000000000002</v>
      </c>
      <c r="S229" s="159" t="str">
        <f>IF(ISERROR(R229/N229), "", R229/N229)</f>
        <v/>
      </c>
      <c r="T229" s="112"/>
      <c r="U229" s="112"/>
    </row>
    <row r="230" spans="9:21" x14ac:dyDescent="0.25">
      <c r="I230" s="150"/>
      <c r="J230" s="181" t="s">
        <v>118</v>
      </c>
      <c r="K230" s="182"/>
      <c r="L230" s="183"/>
      <c r="M230" s="184"/>
      <c r="N230" s="185">
        <f>SUM(N222:N229)</f>
        <v>49.025223999999994</v>
      </c>
      <c r="O230" s="186"/>
      <c r="P230" s="187"/>
      <c r="Q230" s="185">
        <f>SUM(Q222:Q229)</f>
        <v>49.422923999999995</v>
      </c>
      <c r="R230" s="172">
        <f t="shared" si="49"/>
        <v>0.39770000000000039</v>
      </c>
      <c r="S230" s="173">
        <f>IF((N230)=0,"",(R230/N230))</f>
        <v>8.1121505941512979E-3</v>
      </c>
      <c r="T230" s="112"/>
      <c r="U230" s="112"/>
    </row>
    <row r="231" spans="9:21" x14ac:dyDescent="0.25">
      <c r="I231" s="150"/>
      <c r="J231" s="188" t="s">
        <v>119</v>
      </c>
      <c r="K231" s="152"/>
      <c r="L231" s="160">
        <v>1.85</v>
      </c>
      <c r="M231" s="175">
        <f t="shared" ref="M231:M232" si="55">$K$211</f>
        <v>1</v>
      </c>
      <c r="N231" s="155">
        <f>M231*L231</f>
        <v>1.85</v>
      </c>
      <c r="O231" s="162">
        <v>1.8747</v>
      </c>
      <c r="P231" s="175">
        <f t="shared" ref="P231:P232" si="56">M231</f>
        <v>1</v>
      </c>
      <c r="Q231" s="155">
        <f>P231*O231</f>
        <v>1.8747</v>
      </c>
      <c r="R231" s="158">
        <f t="shared" si="49"/>
        <v>2.4699999999999944E-2</v>
      </c>
      <c r="S231" s="159">
        <f>IF(ISERROR(R231/N231), "", R231/N231)</f>
        <v>1.335135135135132E-2</v>
      </c>
      <c r="T231" s="112"/>
      <c r="U231" s="112"/>
    </row>
    <row r="232" spans="9:21" ht="25.5" x14ac:dyDescent="0.25">
      <c r="I232" s="150"/>
      <c r="J232" s="189" t="s">
        <v>120</v>
      </c>
      <c r="K232" s="152"/>
      <c r="L232" s="160">
        <v>1.5472999999999999</v>
      </c>
      <c r="M232" s="175">
        <f t="shared" si="55"/>
        <v>1</v>
      </c>
      <c r="N232" s="155">
        <f>M232*L232</f>
        <v>1.5472999999999999</v>
      </c>
      <c r="O232" s="162">
        <v>1.5541</v>
      </c>
      <c r="P232" s="175">
        <f t="shared" si="56"/>
        <v>1</v>
      </c>
      <c r="Q232" s="155">
        <f>P232*O232</f>
        <v>1.5541</v>
      </c>
      <c r="R232" s="158">
        <f t="shared" si="49"/>
        <v>6.8000000000001393E-3</v>
      </c>
      <c r="S232" s="159">
        <f>IF(ISERROR(R232/N232), "", R232/N232)</f>
        <v>4.3947521489046334E-3</v>
      </c>
      <c r="T232" s="112"/>
      <c r="U232" s="112"/>
    </row>
    <row r="233" spans="9:21" x14ac:dyDescent="0.25">
      <c r="I233" s="150"/>
      <c r="J233" s="181" t="s">
        <v>121</v>
      </c>
      <c r="K233" s="166"/>
      <c r="L233" s="183"/>
      <c r="M233" s="184"/>
      <c r="N233" s="185">
        <f>SUM(N230:N232)</f>
        <v>52.422523999999996</v>
      </c>
      <c r="O233" s="186"/>
      <c r="P233" s="171"/>
      <c r="Q233" s="185">
        <f>SUM(Q230:Q232)</f>
        <v>52.85172399999999</v>
      </c>
      <c r="R233" s="172">
        <f t="shared" si="49"/>
        <v>0.42919999999999447</v>
      </c>
      <c r="S233" s="173">
        <f>IF((N233)=0,"",(R233/N233))</f>
        <v>8.187320396858315E-3</v>
      </c>
      <c r="T233" s="112"/>
      <c r="U233" s="112"/>
    </row>
    <row r="234" spans="9:21" x14ac:dyDescent="0.25">
      <c r="I234" s="150"/>
      <c r="J234" s="190" t="s">
        <v>122</v>
      </c>
      <c r="K234" s="152"/>
      <c r="L234" s="160">
        <v>3.6000000000000003E-3</v>
      </c>
      <c r="M234" s="175">
        <f>$K$210*$K$212</f>
        <v>686.4</v>
      </c>
      <c r="N234" s="191">
        <f t="shared" ref="N234:N241" si="57">M234*L234</f>
        <v>2.4710400000000003</v>
      </c>
      <c r="O234" s="162">
        <v>3.6000000000000003E-3</v>
      </c>
      <c r="P234" s="175">
        <f t="shared" ref="P234:P241" si="58">M234</f>
        <v>686.4</v>
      </c>
      <c r="Q234" s="191">
        <f t="shared" ref="Q234:Q241" si="59">P234*O234</f>
        <v>2.4710400000000003</v>
      </c>
      <c r="R234" s="158">
        <f t="shared" si="49"/>
        <v>0</v>
      </c>
      <c r="S234" s="159">
        <f t="shared" ref="S234:S241" si="60">IF(ISERROR(R234/N234), "", R234/N234)</f>
        <v>0</v>
      </c>
      <c r="T234" s="112"/>
      <c r="U234" s="112"/>
    </row>
    <row r="235" spans="9:21" x14ac:dyDescent="0.25">
      <c r="I235" s="150"/>
      <c r="J235" s="190" t="s">
        <v>123</v>
      </c>
      <c r="K235" s="152"/>
      <c r="L235" s="160">
        <f>'[1]17. Regulatory Charges'!$D$16</f>
        <v>2.9999999999999997E-4</v>
      </c>
      <c r="M235" s="175">
        <f>$K$210*$K$212</f>
        <v>686.4</v>
      </c>
      <c r="N235" s="191">
        <f t="shared" si="57"/>
        <v>0.20591999999999996</v>
      </c>
      <c r="O235" s="162">
        <v>2.9999999999999997E-4</v>
      </c>
      <c r="P235" s="175">
        <f t="shared" si="58"/>
        <v>686.4</v>
      </c>
      <c r="Q235" s="191">
        <f t="shared" si="59"/>
        <v>0.20591999999999996</v>
      </c>
      <c r="R235" s="158">
        <f t="shared" si="49"/>
        <v>0</v>
      </c>
      <c r="S235" s="159">
        <f t="shared" si="60"/>
        <v>0</v>
      </c>
      <c r="T235" s="112"/>
      <c r="U235" s="112"/>
    </row>
    <row r="236" spans="9:21" x14ac:dyDescent="0.25">
      <c r="I236" s="150"/>
      <c r="J236" s="193" t="s">
        <v>124</v>
      </c>
      <c r="K236" s="152"/>
      <c r="L236" s="179">
        <v>0.25</v>
      </c>
      <c r="M236" s="154">
        <v>1</v>
      </c>
      <c r="N236" s="191">
        <f t="shared" si="57"/>
        <v>0.25</v>
      </c>
      <c r="O236" s="180">
        <f>'[1]17. Regulatory Charges'!$D$17</f>
        <v>0.25</v>
      </c>
      <c r="P236" s="157">
        <f t="shared" si="58"/>
        <v>1</v>
      </c>
      <c r="Q236" s="191">
        <f t="shared" si="59"/>
        <v>0.25</v>
      </c>
      <c r="R236" s="158">
        <f t="shared" si="49"/>
        <v>0</v>
      </c>
      <c r="S236" s="159">
        <f t="shared" si="60"/>
        <v>0</v>
      </c>
      <c r="T236" s="112"/>
      <c r="U236" s="112"/>
    </row>
    <row r="237" spans="9:21" x14ac:dyDescent="0.25">
      <c r="I237" s="150"/>
      <c r="J237" s="193" t="s">
        <v>125</v>
      </c>
      <c r="K237" s="152"/>
      <c r="L237" s="160">
        <f>IF('[1]1. Information Sheet'!L297 = DATE(2016, 5, 1), (IF(ISERROR(FIND("RESIDENTIAL", UPPER(K208))), DRC, 0)), DRC)</f>
        <v>7.0000000000000001E-3</v>
      </c>
      <c r="M237" s="176">
        <f>$K$210</f>
        <v>650</v>
      </c>
      <c r="N237" s="191">
        <f t="shared" si="57"/>
        <v>4.55</v>
      </c>
      <c r="O237" s="233">
        <f>IF(ISERROR(FIND("RESIDENTIAL", UPPER(K208))),DRC, 0)</f>
        <v>7.0000000000000001E-3</v>
      </c>
      <c r="P237" s="176">
        <f t="shared" si="58"/>
        <v>650</v>
      </c>
      <c r="Q237" s="191">
        <f t="shared" si="59"/>
        <v>4.55</v>
      </c>
      <c r="R237" s="158">
        <f t="shared" si="49"/>
        <v>0</v>
      </c>
      <c r="S237" s="159">
        <f t="shared" si="60"/>
        <v>0</v>
      </c>
      <c r="T237" s="112"/>
      <c r="U237" s="112"/>
    </row>
    <row r="238" spans="9:21" ht="25.5" x14ac:dyDescent="0.25">
      <c r="I238" s="150"/>
      <c r="J238" s="190" t="s">
        <v>126</v>
      </c>
      <c r="K238" s="152"/>
      <c r="L238" s="160"/>
      <c r="M238" s="175"/>
      <c r="N238" s="191"/>
      <c r="O238" s="162"/>
      <c r="P238" s="175">
        <f t="shared" si="58"/>
        <v>0</v>
      </c>
      <c r="Q238" s="191"/>
      <c r="R238" s="158"/>
      <c r="S238" s="159"/>
      <c r="T238" s="112"/>
      <c r="U238" s="112"/>
    </row>
    <row r="239" spans="9:21" x14ac:dyDescent="0.25">
      <c r="I239" s="150"/>
      <c r="J239" s="200" t="s">
        <v>127</v>
      </c>
      <c r="K239" s="152"/>
      <c r="L239" s="201">
        <f>OffPeak</f>
        <v>6.5000000000000002E-2</v>
      </c>
      <c r="M239" s="202">
        <f>IF(AND(K210*12&gt;=150000),0.65*K210*K212,0.65*K210)</f>
        <v>422.5</v>
      </c>
      <c r="N239" s="191">
        <f t="shared" si="57"/>
        <v>27.462500000000002</v>
      </c>
      <c r="O239" s="203">
        <f>OffPeak</f>
        <v>6.5000000000000002E-2</v>
      </c>
      <c r="P239" s="202">
        <f t="shared" si="58"/>
        <v>422.5</v>
      </c>
      <c r="Q239" s="191">
        <f t="shared" si="59"/>
        <v>27.462500000000002</v>
      </c>
      <c r="R239" s="158">
        <f>Q239-N239</f>
        <v>0</v>
      </c>
      <c r="S239" s="159">
        <f t="shared" si="60"/>
        <v>0</v>
      </c>
      <c r="T239" s="112"/>
      <c r="U239" s="112"/>
    </row>
    <row r="240" spans="9:21" x14ac:dyDescent="0.25">
      <c r="I240" s="150"/>
      <c r="J240" s="200" t="s">
        <v>128</v>
      </c>
      <c r="K240" s="152"/>
      <c r="L240" s="201">
        <f>MidPeak</f>
        <v>9.5000000000000001E-2</v>
      </c>
      <c r="M240" s="202">
        <f>IF(AND(K210*12&gt;=150000),0.17*K210*K212,0.17*K210)</f>
        <v>110.50000000000001</v>
      </c>
      <c r="N240" s="191">
        <f t="shared" si="57"/>
        <v>10.497500000000002</v>
      </c>
      <c r="O240" s="203">
        <f>MidPeak</f>
        <v>9.5000000000000001E-2</v>
      </c>
      <c r="P240" s="202">
        <f t="shared" si="58"/>
        <v>110.50000000000001</v>
      </c>
      <c r="Q240" s="191">
        <f t="shared" si="59"/>
        <v>10.497500000000002</v>
      </c>
      <c r="R240" s="158">
        <f>Q240-N240</f>
        <v>0</v>
      </c>
      <c r="S240" s="159">
        <f t="shared" si="60"/>
        <v>0</v>
      </c>
      <c r="T240" s="112"/>
      <c r="U240" s="112"/>
    </row>
    <row r="241" spans="9:21" ht="15.75" thickBot="1" x14ac:dyDescent="0.3">
      <c r="I241" s="150"/>
      <c r="J241" s="134" t="s">
        <v>129</v>
      </c>
      <c r="K241" s="152"/>
      <c r="L241" s="201">
        <f>OnPeak</f>
        <v>0.13200000000000001</v>
      </c>
      <c r="M241" s="202">
        <f>IF(AND(K210*12&gt;=150000),0.18*K210*K212,0.18*K210)</f>
        <v>117</v>
      </c>
      <c r="N241" s="191">
        <f t="shared" si="57"/>
        <v>15.444000000000001</v>
      </c>
      <c r="O241" s="203">
        <f>OnPeak</f>
        <v>0.13200000000000001</v>
      </c>
      <c r="P241" s="202">
        <f t="shared" si="58"/>
        <v>117</v>
      </c>
      <c r="Q241" s="191">
        <f t="shared" si="59"/>
        <v>15.444000000000001</v>
      </c>
      <c r="R241" s="158">
        <f>Q241-N241</f>
        <v>0</v>
      </c>
      <c r="S241" s="159">
        <f t="shared" si="60"/>
        <v>0</v>
      </c>
      <c r="T241" s="112"/>
      <c r="U241" s="112"/>
    </row>
    <row r="242" spans="9:21" ht="15.75" thickBot="1" x14ac:dyDescent="0.3">
      <c r="I242" s="150"/>
      <c r="J242" s="204"/>
      <c r="K242" s="205"/>
      <c r="L242" s="206"/>
      <c r="M242" s="207"/>
      <c r="N242" s="208"/>
      <c r="O242" s="206"/>
      <c r="P242" s="209"/>
      <c r="Q242" s="208"/>
      <c r="R242" s="210"/>
      <c r="S242" s="211"/>
      <c r="T242" s="112"/>
      <c r="U242" s="112"/>
    </row>
    <row r="243" spans="9:21" x14ac:dyDescent="0.25">
      <c r="I243" s="150"/>
      <c r="J243" s="212" t="s">
        <v>130</v>
      </c>
      <c r="K243" s="213"/>
      <c r="L243" s="214"/>
      <c r="M243" s="215"/>
      <c r="N243" s="216">
        <f>SUM(N234:N241,N233)</f>
        <v>113.303484</v>
      </c>
      <c r="O243" s="217"/>
      <c r="P243" s="217"/>
      <c r="Q243" s="216">
        <f>SUM(Q234:Q241,Q233)</f>
        <v>113.73268400000001</v>
      </c>
      <c r="R243" s="218">
        <f>Q243-N243</f>
        <v>0.42920000000000869</v>
      </c>
      <c r="S243" s="219">
        <f>IF((N243)=0,"",(R243/N243))</f>
        <v>3.7880565084830817E-3</v>
      </c>
      <c r="T243" s="112"/>
      <c r="U243" s="112"/>
    </row>
    <row r="244" spans="9:21" x14ac:dyDescent="0.25">
      <c r="I244" s="150"/>
      <c r="J244" s="220" t="s">
        <v>131</v>
      </c>
      <c r="K244" s="213"/>
      <c r="L244" s="214">
        <v>0.13</v>
      </c>
      <c r="M244" s="221"/>
      <c r="N244" s="222">
        <f>N243*L244</f>
        <v>14.72945292</v>
      </c>
      <c r="O244" s="223">
        <v>0.13</v>
      </c>
      <c r="P244" s="154"/>
      <c r="Q244" s="222">
        <f>Q243*O244</f>
        <v>14.785248920000001</v>
      </c>
      <c r="R244" s="224">
        <f>Q244-N244</f>
        <v>5.5796000000000845E-2</v>
      </c>
      <c r="S244" s="225">
        <f>IF((N244)=0,"",(R244/N244))</f>
        <v>3.7880565084830622E-3</v>
      </c>
      <c r="T244" s="112"/>
      <c r="U244" s="112"/>
    </row>
    <row r="245" spans="9:21" x14ac:dyDescent="0.25">
      <c r="I245" s="150"/>
      <c r="J245" s="220" t="s">
        <v>132</v>
      </c>
      <c r="K245" s="213"/>
      <c r="L245" s="214">
        <v>0.08</v>
      </c>
      <c r="M245" s="221"/>
      <c r="N245" s="222">
        <v>0</v>
      </c>
      <c r="O245" s="214">
        <v>0.08</v>
      </c>
      <c r="P245" s="154"/>
      <c r="Q245" s="222">
        <v>0</v>
      </c>
      <c r="R245" s="224">
        <f>Q245-N245</f>
        <v>0</v>
      </c>
      <c r="S245" s="225"/>
      <c r="T245" s="112"/>
      <c r="U245" s="112"/>
    </row>
    <row r="246" spans="9:21" ht="15.75" thickBot="1" x14ac:dyDescent="0.3">
      <c r="I246" s="150"/>
      <c r="J246" s="260" t="s">
        <v>133</v>
      </c>
      <c r="K246" s="261"/>
      <c r="L246" s="234"/>
      <c r="M246" s="235"/>
      <c r="N246" s="236">
        <f>N243+N244+N245</f>
        <v>128.03293692</v>
      </c>
      <c r="O246" s="237"/>
      <c r="P246" s="237"/>
      <c r="Q246" s="238">
        <f>Q243+Q244+Q245</f>
        <v>128.51793292000002</v>
      </c>
      <c r="R246" s="239">
        <f>Q246-N246</f>
        <v>0.48499600000002374</v>
      </c>
      <c r="S246" s="240">
        <f>IF((N246)=0,"",(R246/N246))</f>
        <v>3.7880565084831902E-3</v>
      </c>
      <c r="T246" s="112"/>
      <c r="U246" s="112"/>
    </row>
    <row r="247" spans="9:21" ht="15.75" thickBot="1" x14ac:dyDescent="0.3">
      <c r="I247" s="150"/>
      <c r="J247" s="204"/>
      <c r="K247" s="205"/>
      <c r="L247" s="206"/>
      <c r="M247" s="207"/>
      <c r="N247" s="208"/>
      <c r="O247" s="206"/>
      <c r="P247" s="209"/>
      <c r="Q247" s="208"/>
      <c r="R247" s="210"/>
      <c r="S247" s="211"/>
      <c r="T247" s="112"/>
      <c r="U247" s="112"/>
    </row>
    <row r="248" spans="9:21" ht="15.75" thickBot="1" x14ac:dyDescent="0.3">
      <c r="I248" s="232"/>
      <c r="J248" s="255"/>
      <c r="K248" s="256"/>
      <c r="L248" s="256"/>
      <c r="M248" s="256"/>
      <c r="N248" s="256"/>
      <c r="O248" s="256"/>
      <c r="P248" s="256"/>
      <c r="Q248" s="256"/>
      <c r="R248" s="256"/>
      <c r="S248" s="257"/>
      <c r="T248" s="112"/>
      <c r="U248" s="112"/>
    </row>
    <row r="249" spans="9:21" x14ac:dyDescent="0.25">
      <c r="I249" s="232"/>
      <c r="J249" s="258"/>
      <c r="K249" s="114"/>
      <c r="L249" s="114"/>
      <c r="M249" s="114"/>
      <c r="N249" s="114"/>
      <c r="O249" s="114"/>
      <c r="P249" s="114"/>
      <c r="Q249" s="114"/>
      <c r="R249" s="114"/>
      <c r="S249" s="115"/>
      <c r="T249" s="112"/>
      <c r="U249" s="112"/>
    </row>
    <row r="250" spans="9:21" x14ac:dyDescent="0.25">
      <c r="I250" s="112"/>
      <c r="J250" s="120" t="s">
        <v>86</v>
      </c>
      <c r="K250" s="272" t="s">
        <v>143</v>
      </c>
      <c r="L250" s="272"/>
      <c r="M250" s="272"/>
      <c r="N250" s="272"/>
      <c r="O250" s="272"/>
      <c r="P250" s="272"/>
      <c r="Q250" s="122" t="e">
        <f>IF(#REF!="DEMAND - INTERVAL","RTSR - INTERVAL METERED","")</f>
        <v>#REF!</v>
      </c>
      <c r="R250" s="122"/>
      <c r="S250" s="123"/>
      <c r="T250" s="112"/>
      <c r="U250" s="112"/>
    </row>
    <row r="251" spans="9:21" x14ac:dyDescent="0.25">
      <c r="I251" s="112"/>
      <c r="J251" s="120" t="s">
        <v>88</v>
      </c>
      <c r="K251" s="273" t="s">
        <v>136</v>
      </c>
      <c r="L251" s="273"/>
      <c r="M251" s="273"/>
      <c r="N251" s="121"/>
      <c r="O251" s="121"/>
      <c r="P251" s="122"/>
      <c r="Q251" s="122"/>
      <c r="R251" s="122"/>
      <c r="S251" s="123"/>
      <c r="T251" s="112"/>
      <c r="U251" s="112"/>
    </row>
    <row r="252" spans="9:21" ht="15.75" x14ac:dyDescent="0.25">
      <c r="I252" s="112"/>
      <c r="J252" s="120" t="s">
        <v>90</v>
      </c>
      <c r="K252" s="124">
        <v>152750</v>
      </c>
      <c r="L252" s="125" t="s">
        <v>91</v>
      </c>
      <c r="M252" s="126"/>
      <c r="N252" s="122"/>
      <c r="O252" s="122"/>
      <c r="P252" s="127"/>
      <c r="Q252" s="127"/>
      <c r="R252" s="127"/>
      <c r="S252" s="128"/>
      <c r="T252" s="112"/>
      <c r="U252" s="112"/>
    </row>
    <row r="253" spans="9:21" ht="15.75" x14ac:dyDescent="0.25">
      <c r="I253" s="112"/>
      <c r="J253" s="120" t="s">
        <v>92</v>
      </c>
      <c r="K253" s="124">
        <v>252</v>
      </c>
      <c r="L253" s="129" t="s">
        <v>93</v>
      </c>
      <c r="M253" s="130"/>
      <c r="N253" s="131"/>
      <c r="O253" s="131"/>
      <c r="P253" s="131"/>
      <c r="Q253" s="122"/>
      <c r="R253" s="122"/>
      <c r="S253" s="123"/>
      <c r="T253" s="112"/>
      <c r="U253" s="112"/>
    </row>
    <row r="254" spans="9:21" x14ac:dyDescent="0.25">
      <c r="I254" s="112"/>
      <c r="J254" s="120" t="s">
        <v>94</v>
      </c>
      <c r="K254" s="133">
        <v>1.056</v>
      </c>
      <c r="L254" s="122"/>
      <c r="M254" s="122"/>
      <c r="N254" s="122"/>
      <c r="O254" s="122"/>
      <c r="P254" s="122"/>
      <c r="Q254" s="122"/>
      <c r="R254" s="122"/>
      <c r="S254" s="123"/>
      <c r="T254" s="112"/>
      <c r="U254" s="112"/>
    </row>
    <row r="255" spans="9:21" x14ac:dyDescent="0.25">
      <c r="I255" s="112"/>
      <c r="J255" s="120" t="s">
        <v>95</v>
      </c>
      <c r="K255" s="133">
        <v>1.056</v>
      </c>
      <c r="L255" s="122"/>
      <c r="M255" s="122"/>
      <c r="N255" s="122"/>
      <c r="O255" s="122"/>
      <c r="P255" s="122"/>
      <c r="Q255" s="122"/>
      <c r="R255" s="122"/>
      <c r="S255" s="123"/>
      <c r="T255" s="112"/>
      <c r="U255" s="112"/>
    </row>
    <row r="256" spans="9:21" x14ac:dyDescent="0.25">
      <c r="I256" s="112"/>
      <c r="J256" s="120" t="s">
        <v>144</v>
      </c>
      <c r="K256" s="122">
        <v>4674</v>
      </c>
      <c r="L256" s="122"/>
      <c r="M256" s="122"/>
      <c r="N256" s="122"/>
      <c r="O256" s="122"/>
      <c r="P256" s="122"/>
      <c r="Q256" s="122"/>
      <c r="R256" s="122"/>
      <c r="S256" s="123"/>
      <c r="T256" s="112"/>
      <c r="U256" s="112"/>
    </row>
    <row r="257" spans="9:21" x14ac:dyDescent="0.25">
      <c r="I257" s="112"/>
      <c r="J257" s="134"/>
      <c r="K257" s="139"/>
      <c r="L257" s="262" t="s">
        <v>96</v>
      </c>
      <c r="M257" s="263"/>
      <c r="N257" s="264"/>
      <c r="O257" s="262" t="s">
        <v>97</v>
      </c>
      <c r="P257" s="263"/>
      <c r="Q257" s="264"/>
      <c r="R257" s="262" t="s">
        <v>98</v>
      </c>
      <c r="S257" s="265"/>
      <c r="T257" s="112"/>
      <c r="U257" s="112"/>
    </row>
    <row r="258" spans="9:21" x14ac:dyDescent="0.25">
      <c r="I258" s="112"/>
      <c r="J258" s="134"/>
      <c r="K258" s="266"/>
      <c r="L258" s="144" t="s">
        <v>99</v>
      </c>
      <c r="M258" s="144" t="s">
        <v>100</v>
      </c>
      <c r="N258" s="145" t="s">
        <v>101</v>
      </c>
      <c r="O258" s="144" t="s">
        <v>99</v>
      </c>
      <c r="P258" s="146" t="s">
        <v>100</v>
      </c>
      <c r="Q258" s="145" t="s">
        <v>101</v>
      </c>
      <c r="R258" s="268" t="s">
        <v>102</v>
      </c>
      <c r="S258" s="270" t="s">
        <v>103</v>
      </c>
      <c r="T258" s="112"/>
      <c r="U258" s="112"/>
    </row>
    <row r="259" spans="9:21" x14ac:dyDescent="0.25">
      <c r="I259" s="112"/>
      <c r="J259" s="134"/>
      <c r="K259" s="267"/>
      <c r="L259" s="147" t="s">
        <v>104</v>
      </c>
      <c r="M259" s="147"/>
      <c r="N259" s="148" t="s">
        <v>104</v>
      </c>
      <c r="O259" s="147" t="s">
        <v>104</v>
      </c>
      <c r="P259" s="148"/>
      <c r="Q259" s="148" t="s">
        <v>104</v>
      </c>
      <c r="R259" s="269"/>
      <c r="S259" s="271"/>
      <c r="T259" s="112"/>
      <c r="U259" s="112"/>
    </row>
    <row r="260" spans="9:21" x14ac:dyDescent="0.25">
      <c r="I260" s="150"/>
      <c r="J260" s="151" t="s">
        <v>105</v>
      </c>
      <c r="K260" s="152"/>
      <c r="L260" s="153">
        <v>2.27</v>
      </c>
      <c r="M260" s="154">
        <f>$K$256</f>
        <v>4674</v>
      </c>
      <c r="N260" s="155">
        <f>M260*L260</f>
        <v>10609.98</v>
      </c>
      <c r="O260" s="156">
        <v>2.31</v>
      </c>
      <c r="P260" s="157">
        <f>M260</f>
        <v>4674</v>
      </c>
      <c r="Q260" s="155">
        <f>P260*O260</f>
        <v>10796.94</v>
      </c>
      <c r="R260" s="158">
        <f t="shared" ref="R260:R279" si="61">Q260-N260</f>
        <v>186.96000000000095</v>
      </c>
      <c r="S260" s="159">
        <f>IF(ISERROR(R260/N260), "", R260/N260)</f>
        <v>1.7621145374449428E-2</v>
      </c>
      <c r="T260" s="112"/>
      <c r="U260" s="112"/>
    </row>
    <row r="261" spans="9:21" x14ac:dyDescent="0.25">
      <c r="I261" s="150"/>
      <c r="J261" s="151" t="s">
        <v>106</v>
      </c>
      <c r="K261" s="152"/>
      <c r="L261" s="160">
        <v>1.5339</v>
      </c>
      <c r="M261" s="161">
        <f>$K$253</f>
        <v>252</v>
      </c>
      <c r="N261" s="155">
        <f t="shared" ref="N261:N269" si="62">M261*L261</f>
        <v>386.5428</v>
      </c>
      <c r="O261" s="162">
        <v>1.5629999999999999</v>
      </c>
      <c r="P261" s="157">
        <f t="shared" ref="P261:P263" si="63">M261</f>
        <v>252</v>
      </c>
      <c r="Q261" s="155">
        <f>P261*O261</f>
        <v>393.87599999999998</v>
      </c>
      <c r="R261" s="158">
        <f t="shared" si="61"/>
        <v>7.3331999999999766</v>
      </c>
      <c r="S261" s="159">
        <f t="shared" ref="S261:S269" si="64">IF(ISERROR(R261/N261), "", R261/N261)</f>
        <v>1.8971249755525072E-2</v>
      </c>
      <c r="T261" s="112"/>
      <c r="U261" s="112"/>
    </row>
    <row r="262" spans="9:21" x14ac:dyDescent="0.25">
      <c r="I262" s="150"/>
      <c r="J262" s="163" t="s">
        <v>108</v>
      </c>
      <c r="K262" s="152"/>
      <c r="L262" s="153">
        <v>0</v>
      </c>
      <c r="M262" s="154">
        <f>$K$256</f>
        <v>4674</v>
      </c>
      <c r="N262" s="155">
        <f t="shared" si="62"/>
        <v>0</v>
      </c>
      <c r="O262" s="156">
        <v>0</v>
      </c>
      <c r="P262" s="157">
        <f t="shared" si="63"/>
        <v>4674</v>
      </c>
      <c r="Q262" s="155">
        <f t="shared" ref="Q262:Q269" si="65">P262*O262</f>
        <v>0</v>
      </c>
      <c r="R262" s="158">
        <f t="shared" si="61"/>
        <v>0</v>
      </c>
      <c r="S262" s="159" t="str">
        <f t="shared" si="64"/>
        <v/>
      </c>
      <c r="T262" s="112"/>
      <c r="U262" s="112"/>
    </row>
    <row r="263" spans="9:21" x14ac:dyDescent="0.25">
      <c r="I263" s="150"/>
      <c r="J263" s="151" t="s">
        <v>109</v>
      </c>
      <c r="K263" s="152"/>
      <c r="L263" s="160">
        <v>0</v>
      </c>
      <c r="M263" s="154">
        <f>$K$253</f>
        <v>252</v>
      </c>
      <c r="N263" s="155">
        <f t="shared" si="62"/>
        <v>0</v>
      </c>
      <c r="O263" s="162">
        <v>0</v>
      </c>
      <c r="P263" s="157">
        <f t="shared" si="63"/>
        <v>252</v>
      </c>
      <c r="Q263" s="155">
        <f t="shared" si="65"/>
        <v>0</v>
      </c>
      <c r="R263" s="158">
        <f t="shared" si="61"/>
        <v>0</v>
      </c>
      <c r="S263" s="159" t="str">
        <f t="shared" si="64"/>
        <v/>
      </c>
      <c r="T263" s="112"/>
      <c r="U263" s="112"/>
    </row>
    <row r="264" spans="9:21" x14ac:dyDescent="0.25">
      <c r="I264" s="150"/>
      <c r="J264" s="165" t="s">
        <v>110</v>
      </c>
      <c r="K264" s="166"/>
      <c r="L264" s="167"/>
      <c r="M264" s="168"/>
      <c r="N264" s="169">
        <f>SUM(N260:N263)</f>
        <v>10996.522799999999</v>
      </c>
      <c r="O264" s="170"/>
      <c r="P264" s="171"/>
      <c r="Q264" s="169">
        <f>SUM(Q260:Q263)</f>
        <v>11190.816000000001</v>
      </c>
      <c r="R264" s="172">
        <f t="shared" si="61"/>
        <v>194.29320000000189</v>
      </c>
      <c r="S264" s="173">
        <f>IF((N264)=0,"",(R264/N264))</f>
        <v>1.7668603387972961E-2</v>
      </c>
      <c r="T264" s="112"/>
      <c r="U264" s="112"/>
    </row>
    <row r="265" spans="9:21" x14ac:dyDescent="0.25">
      <c r="I265" s="150"/>
      <c r="J265" s="174" t="s">
        <v>111</v>
      </c>
      <c r="K265" s="152"/>
      <c r="L265" s="160">
        <f>IF((K252*12&gt;=150000), 0, IF(K251="RPP",(#REF!*0.65+#REF!*0.17+#REF!*0.18),IF(K251="Non-RPP (Retailer)",#REF!,L281)))</f>
        <v>0</v>
      </c>
      <c r="M265" s="175">
        <f>IF(L265=0, 0, $E252*K254-K252)</f>
        <v>0</v>
      </c>
      <c r="N265" s="155">
        <f>M265*L265</f>
        <v>0</v>
      </c>
      <c r="O265" s="162">
        <f>IF((K252*12&gt;=150000), 0, IF(K251="RPP",(#REF!*0.65+#REF!*0.17+#REF!*0.18),IF(K251="Non-RPP (Retailer)",#REF!,O281)))</f>
        <v>0</v>
      </c>
      <c r="P265" s="175">
        <f t="shared" ref="P265:P271" si="66">M265</f>
        <v>0</v>
      </c>
      <c r="Q265" s="155">
        <f>P265*O265</f>
        <v>0</v>
      </c>
      <c r="R265" s="158">
        <f>Q265-N265</f>
        <v>0</v>
      </c>
      <c r="S265" s="159" t="str">
        <f>IF(ISERROR(R265/N265), "", R265/N265)</f>
        <v/>
      </c>
      <c r="T265" s="112"/>
      <c r="U265" s="112"/>
    </row>
    <row r="266" spans="9:21" ht="25.5" x14ac:dyDescent="0.25">
      <c r="I266" s="150"/>
      <c r="J266" s="174" t="s">
        <v>137</v>
      </c>
      <c r="K266" s="152"/>
      <c r="L266" s="160">
        <v>-1.8895</v>
      </c>
      <c r="M266" s="176">
        <f t="shared" ref="M266:M267" si="67">$K$253</f>
        <v>252</v>
      </c>
      <c r="N266" s="155">
        <f t="shared" si="62"/>
        <v>-476.154</v>
      </c>
      <c r="O266" s="162">
        <v>-0.97850000000000004</v>
      </c>
      <c r="P266" s="176">
        <f t="shared" si="66"/>
        <v>252</v>
      </c>
      <c r="Q266" s="155">
        <f t="shared" si="65"/>
        <v>-246.58200000000002</v>
      </c>
      <c r="R266" s="158">
        <f t="shared" si="61"/>
        <v>229.57199999999997</v>
      </c>
      <c r="S266" s="159">
        <f t="shared" si="64"/>
        <v>-0.48213813178089437</v>
      </c>
      <c r="T266" s="112"/>
      <c r="U266" s="112"/>
    </row>
    <row r="267" spans="9:21" x14ac:dyDescent="0.25">
      <c r="I267" s="150"/>
      <c r="J267" s="174" t="s">
        <v>113</v>
      </c>
      <c r="K267" s="152"/>
      <c r="L267" s="160">
        <v>0</v>
      </c>
      <c r="M267" s="176">
        <f t="shared" si="67"/>
        <v>252</v>
      </c>
      <c r="N267" s="155">
        <f>M267*L267</f>
        <v>0</v>
      </c>
      <c r="O267" s="162">
        <v>-2.8500000000000001E-2</v>
      </c>
      <c r="P267" s="176">
        <f t="shared" si="66"/>
        <v>252</v>
      </c>
      <c r="Q267" s="155">
        <f>P267*O267</f>
        <v>-7.1820000000000004</v>
      </c>
      <c r="R267" s="158">
        <f t="shared" si="61"/>
        <v>-7.1820000000000004</v>
      </c>
      <c r="S267" s="159" t="str">
        <f t="shared" si="64"/>
        <v/>
      </c>
      <c r="T267" s="112"/>
      <c r="U267" s="112"/>
    </row>
    <row r="268" spans="9:21" x14ac:dyDescent="0.25">
      <c r="I268" s="150"/>
      <c r="J268" s="174" t="s">
        <v>114</v>
      </c>
      <c r="K268" s="152"/>
      <c r="L268" s="160">
        <v>0</v>
      </c>
      <c r="M268" s="176">
        <f>$K$252</f>
        <v>152750</v>
      </c>
      <c r="N268" s="155">
        <f>M268*L268</f>
        <v>0</v>
      </c>
      <c r="O268" s="162">
        <v>-1E-3</v>
      </c>
      <c r="P268" s="176">
        <f t="shared" si="66"/>
        <v>152750</v>
      </c>
      <c r="Q268" s="155">
        <f t="shared" si="65"/>
        <v>-152.75</v>
      </c>
      <c r="R268" s="158">
        <f t="shared" si="61"/>
        <v>-152.75</v>
      </c>
      <c r="S268" s="159" t="str">
        <f t="shared" si="64"/>
        <v/>
      </c>
      <c r="T268" s="112"/>
      <c r="U268" s="112"/>
    </row>
    <row r="269" spans="9:21" x14ac:dyDescent="0.25">
      <c r="I269" s="150"/>
      <c r="J269" s="177" t="s">
        <v>115</v>
      </c>
      <c r="K269" s="152"/>
      <c r="L269" s="160">
        <v>0.73929999999999996</v>
      </c>
      <c r="M269" s="176">
        <f>$K$253</f>
        <v>252</v>
      </c>
      <c r="N269" s="155">
        <f t="shared" si="62"/>
        <v>186.30359999999999</v>
      </c>
      <c r="O269" s="162">
        <v>0.73929999999999996</v>
      </c>
      <c r="P269" s="176">
        <f t="shared" si="66"/>
        <v>252</v>
      </c>
      <c r="Q269" s="155">
        <f t="shared" si="65"/>
        <v>186.30359999999999</v>
      </c>
      <c r="R269" s="158">
        <f t="shared" si="61"/>
        <v>0</v>
      </c>
      <c r="S269" s="159">
        <f t="shared" si="64"/>
        <v>0</v>
      </c>
      <c r="T269" s="112"/>
      <c r="U269" s="112"/>
    </row>
    <row r="270" spans="9:21" ht="38.25" x14ac:dyDescent="0.25">
      <c r="I270" s="150"/>
      <c r="J270" s="178" t="s">
        <v>116</v>
      </c>
      <c r="K270" s="152"/>
      <c r="L270" s="179">
        <v>0</v>
      </c>
      <c r="M270" s="154">
        <v>1</v>
      </c>
      <c r="N270" s="155">
        <f>M270*L270</f>
        <v>0</v>
      </c>
      <c r="O270" s="180">
        <v>0</v>
      </c>
      <c r="P270" s="154">
        <f t="shared" si="66"/>
        <v>1</v>
      </c>
      <c r="Q270" s="155">
        <f>P270*O270</f>
        <v>0</v>
      </c>
      <c r="R270" s="158">
        <f t="shared" si="61"/>
        <v>0</v>
      </c>
      <c r="S270" s="159" t="str">
        <f>IF(ISERROR(R270/N270), "", R270/N270)</f>
        <v/>
      </c>
      <c r="T270" s="112"/>
      <c r="U270" s="112"/>
    </row>
    <row r="271" spans="9:21" x14ac:dyDescent="0.25">
      <c r="I271" s="150"/>
      <c r="J271" s="177" t="s">
        <v>117</v>
      </c>
      <c r="K271" s="152"/>
      <c r="L271" s="160"/>
      <c r="M271" s="176">
        <f>$K$253</f>
        <v>252</v>
      </c>
      <c r="N271" s="155">
        <f>M271*L271</f>
        <v>0</v>
      </c>
      <c r="O271" s="162">
        <v>0.46910000000000002</v>
      </c>
      <c r="P271" s="176">
        <f t="shared" si="66"/>
        <v>252</v>
      </c>
      <c r="Q271" s="155">
        <f>P271*O271</f>
        <v>118.2132</v>
      </c>
      <c r="R271" s="158">
        <f t="shared" si="61"/>
        <v>118.2132</v>
      </c>
      <c r="S271" s="159" t="str">
        <f>IF(ISERROR(R271/N271), "", R271/N271)</f>
        <v/>
      </c>
      <c r="T271" s="112"/>
      <c r="U271" s="112"/>
    </row>
    <row r="272" spans="9:21" x14ac:dyDescent="0.25">
      <c r="I272" s="150"/>
      <c r="J272" s="181" t="s">
        <v>118</v>
      </c>
      <c r="K272" s="182"/>
      <c r="L272" s="183"/>
      <c r="M272" s="184"/>
      <c r="N272" s="185">
        <f>SUM(N264:N271)</f>
        <v>10706.672399999998</v>
      </c>
      <c r="O272" s="186"/>
      <c r="P272" s="187"/>
      <c r="Q272" s="185">
        <f>SUM(Q264:Q271)</f>
        <v>11088.818799999999</v>
      </c>
      <c r="R272" s="172">
        <f t="shared" si="61"/>
        <v>382.14640000000145</v>
      </c>
      <c r="S272" s="173">
        <f>IF((N272)=0,"",(R272/N272))</f>
        <v>3.569235946735435E-2</v>
      </c>
      <c r="T272" s="112"/>
      <c r="U272" s="112"/>
    </row>
    <row r="273" spans="9:21" x14ac:dyDescent="0.25">
      <c r="I273" s="150"/>
      <c r="J273" s="188" t="s">
        <v>119</v>
      </c>
      <c r="K273" s="152"/>
      <c r="L273" s="160">
        <v>1.8413999999999999</v>
      </c>
      <c r="M273" s="175">
        <f t="shared" ref="M273:M274" si="68">$K$253</f>
        <v>252</v>
      </c>
      <c r="N273" s="155">
        <f>M273*L273</f>
        <v>464.03280000000001</v>
      </c>
      <c r="O273" s="162">
        <v>1.8660000000000001</v>
      </c>
      <c r="P273" s="175">
        <f t="shared" ref="P273:P274" si="69">M273</f>
        <v>252</v>
      </c>
      <c r="Q273" s="155">
        <f>P273*O273</f>
        <v>470.23200000000003</v>
      </c>
      <c r="R273" s="158">
        <f t="shared" si="61"/>
        <v>6.1992000000000189</v>
      </c>
      <c r="S273" s="159">
        <f>IF(ISERROR(R273/N273), "", R273/N273)</f>
        <v>1.335940045617469E-2</v>
      </c>
      <c r="T273" s="112"/>
      <c r="U273" s="112"/>
    </row>
    <row r="274" spans="9:21" ht="25.5" x14ac:dyDescent="0.25">
      <c r="I274" s="150"/>
      <c r="J274" s="189" t="s">
        <v>120</v>
      </c>
      <c r="K274" s="152"/>
      <c r="L274" s="160">
        <v>1.5157</v>
      </c>
      <c r="M274" s="175">
        <f t="shared" si="68"/>
        <v>252</v>
      </c>
      <c r="N274" s="155">
        <f>M274*L274</f>
        <v>381.95640000000003</v>
      </c>
      <c r="O274" s="162">
        <v>1.5223</v>
      </c>
      <c r="P274" s="175">
        <f t="shared" si="69"/>
        <v>252</v>
      </c>
      <c r="Q274" s="155">
        <f>P274*O274</f>
        <v>383.61959999999999</v>
      </c>
      <c r="R274" s="158">
        <f t="shared" si="61"/>
        <v>1.6631999999999607</v>
      </c>
      <c r="S274" s="159">
        <f>IF(ISERROR(R274/N274), "", R274/N274)</f>
        <v>4.3544236986209958E-3</v>
      </c>
      <c r="T274" s="112"/>
      <c r="U274" s="112"/>
    </row>
    <row r="275" spans="9:21" x14ac:dyDescent="0.25">
      <c r="I275" s="150"/>
      <c r="J275" s="181" t="s">
        <v>121</v>
      </c>
      <c r="K275" s="166"/>
      <c r="L275" s="183"/>
      <c r="M275" s="184"/>
      <c r="N275" s="185">
        <f>SUM(N272:N274)</f>
        <v>11552.661599999999</v>
      </c>
      <c r="O275" s="186"/>
      <c r="P275" s="171"/>
      <c r="Q275" s="185">
        <f>SUM(Q272:Q274)</f>
        <v>11942.670399999999</v>
      </c>
      <c r="R275" s="172">
        <f t="shared" si="61"/>
        <v>390.00879999999961</v>
      </c>
      <c r="S275" s="173">
        <f>IF((N275)=0,"",(R275/N275))</f>
        <v>3.3759216144615509E-2</v>
      </c>
      <c r="T275" s="112"/>
      <c r="U275" s="112"/>
    </row>
    <row r="276" spans="9:21" x14ac:dyDescent="0.25">
      <c r="I276" s="150"/>
      <c r="J276" s="190" t="s">
        <v>122</v>
      </c>
      <c r="K276" s="152"/>
      <c r="L276" s="160">
        <v>3.6000000000000003E-3</v>
      </c>
      <c r="M276" s="175">
        <f>$K$252*$K$254</f>
        <v>161304</v>
      </c>
      <c r="N276" s="191">
        <f t="shared" ref="N276:N279" si="70">M276*L276</f>
        <v>580.69440000000009</v>
      </c>
      <c r="O276" s="162">
        <v>3.6000000000000003E-3</v>
      </c>
      <c r="P276" s="175">
        <f t="shared" ref="P276:P281" si="71">M276</f>
        <v>161304</v>
      </c>
      <c r="Q276" s="191">
        <f t="shared" ref="Q276:Q279" si="72">P276*O276</f>
        <v>580.69440000000009</v>
      </c>
      <c r="R276" s="158">
        <f t="shared" si="61"/>
        <v>0</v>
      </c>
      <c r="S276" s="159">
        <f t="shared" ref="S276:S281" si="73">IF(ISERROR(R276/N276), "", R276/N276)</f>
        <v>0</v>
      </c>
      <c r="T276" s="112"/>
      <c r="U276" s="112"/>
    </row>
    <row r="277" spans="9:21" x14ac:dyDescent="0.25">
      <c r="I277" s="150"/>
      <c r="J277" s="190" t="s">
        <v>123</v>
      </c>
      <c r="K277" s="152"/>
      <c r="L277" s="160">
        <f>'[1]17. Regulatory Charges'!$D$16</f>
        <v>2.9999999999999997E-4</v>
      </c>
      <c r="M277" s="175">
        <f>$K$252*$K$254</f>
        <v>161304</v>
      </c>
      <c r="N277" s="191">
        <f t="shared" si="70"/>
        <v>48.391199999999998</v>
      </c>
      <c r="O277" s="162">
        <v>2.9999999999999997E-4</v>
      </c>
      <c r="P277" s="175">
        <f t="shared" si="71"/>
        <v>161304</v>
      </c>
      <c r="Q277" s="191">
        <f t="shared" si="72"/>
        <v>48.391199999999998</v>
      </c>
      <c r="R277" s="158">
        <f t="shared" si="61"/>
        <v>0</v>
      </c>
      <c r="S277" s="159">
        <f t="shared" si="73"/>
        <v>0</v>
      </c>
      <c r="T277" s="112"/>
      <c r="U277" s="112"/>
    </row>
    <row r="278" spans="9:21" x14ac:dyDescent="0.25">
      <c r="I278" s="150"/>
      <c r="J278" s="193" t="s">
        <v>124</v>
      </c>
      <c r="K278" s="152"/>
      <c r="L278" s="179">
        <v>0.25</v>
      </c>
      <c r="M278" s="154">
        <v>1</v>
      </c>
      <c r="N278" s="191">
        <f t="shared" si="70"/>
        <v>0.25</v>
      </c>
      <c r="O278" s="180">
        <f>'[1]17. Regulatory Charges'!$D$17</f>
        <v>0.25</v>
      </c>
      <c r="P278" s="157">
        <f t="shared" si="71"/>
        <v>1</v>
      </c>
      <c r="Q278" s="191">
        <f t="shared" si="72"/>
        <v>0.25</v>
      </c>
      <c r="R278" s="158">
        <f t="shared" si="61"/>
        <v>0</v>
      </c>
      <c r="S278" s="159">
        <f t="shared" si="73"/>
        <v>0</v>
      </c>
      <c r="T278" s="112"/>
      <c r="U278" s="112"/>
    </row>
    <row r="279" spans="9:21" x14ac:dyDescent="0.25">
      <c r="I279" s="150"/>
      <c r="J279" s="193" t="s">
        <v>125</v>
      </c>
      <c r="K279" s="152"/>
      <c r="L279" s="160">
        <f>IF('[1]1. Information Sheet'!L351 = DATE(2016, 5, 1), (IF(ISERROR(FIND("RESIDENTIAL", UPPER(K250))), DRC, 0)), DRC)</f>
        <v>7.0000000000000001E-3</v>
      </c>
      <c r="M279" s="176">
        <f>$K$252</f>
        <v>152750</v>
      </c>
      <c r="N279" s="191">
        <f t="shared" si="70"/>
        <v>1069.25</v>
      </c>
      <c r="O279" s="233">
        <f>IF(ISERROR(FIND("RESIDENTIAL", UPPER(K250))),DRC, 0)</f>
        <v>7.0000000000000001E-3</v>
      </c>
      <c r="P279" s="176">
        <f t="shared" si="71"/>
        <v>152750</v>
      </c>
      <c r="Q279" s="191">
        <f t="shared" si="72"/>
        <v>1069.25</v>
      </c>
      <c r="R279" s="158">
        <f t="shared" si="61"/>
        <v>0</v>
      </c>
      <c r="S279" s="159">
        <f t="shared" si="73"/>
        <v>0</v>
      </c>
      <c r="T279" s="112"/>
      <c r="U279" s="112"/>
    </row>
    <row r="280" spans="9:21" ht="25.5" x14ac:dyDescent="0.25">
      <c r="I280" s="150"/>
      <c r="J280" s="190" t="s">
        <v>126</v>
      </c>
      <c r="K280" s="152"/>
      <c r="L280" s="160"/>
      <c r="M280" s="175"/>
      <c r="N280" s="191"/>
      <c r="O280" s="162"/>
      <c r="P280" s="175">
        <f t="shared" si="71"/>
        <v>0</v>
      </c>
      <c r="Q280" s="191"/>
      <c r="R280" s="158"/>
      <c r="S280" s="159"/>
      <c r="T280" s="112"/>
      <c r="U280" s="112"/>
    </row>
    <row r="281" spans="9:21" ht="15.75" thickBot="1" x14ac:dyDescent="0.3">
      <c r="I281" s="150"/>
      <c r="J281" s="200" t="s">
        <v>138</v>
      </c>
      <c r="K281" s="152"/>
      <c r="L281" s="242">
        <v>0.1101</v>
      </c>
      <c r="M281" s="202">
        <f>$K$252*$K$254</f>
        <v>161304</v>
      </c>
      <c r="N281" s="191">
        <f>M281*L281</f>
        <v>17759.570400000001</v>
      </c>
      <c r="O281" s="243">
        <f>L281</f>
        <v>0.1101</v>
      </c>
      <c r="P281" s="202">
        <f t="shared" si="71"/>
        <v>161304</v>
      </c>
      <c r="Q281" s="191">
        <f>P281*O281</f>
        <v>17759.570400000001</v>
      </c>
      <c r="R281" s="158">
        <f>Q281-N281</f>
        <v>0</v>
      </c>
      <c r="S281" s="159">
        <f t="shared" si="73"/>
        <v>0</v>
      </c>
      <c r="T281" s="112"/>
      <c r="U281" s="112"/>
    </row>
    <row r="282" spans="9:21" ht="15.75" thickBot="1" x14ac:dyDescent="0.3">
      <c r="I282" s="150"/>
      <c r="J282" s="204"/>
      <c r="K282" s="205"/>
      <c r="L282" s="206"/>
      <c r="M282" s="207"/>
      <c r="N282" s="208"/>
      <c r="O282" s="206"/>
      <c r="P282" s="209"/>
      <c r="Q282" s="208"/>
      <c r="R282" s="210"/>
      <c r="S282" s="211"/>
      <c r="T282" s="112"/>
      <c r="U282" s="112"/>
    </row>
    <row r="283" spans="9:21" x14ac:dyDescent="0.25">
      <c r="I283" s="150"/>
      <c r="J283" s="212" t="s">
        <v>139</v>
      </c>
      <c r="K283" s="213"/>
      <c r="L283" s="214"/>
      <c r="M283" s="215"/>
      <c r="N283" s="216">
        <f>SUM(N281,N276:N280,N275)</f>
        <v>31010.817599999998</v>
      </c>
      <c r="O283" s="217"/>
      <c r="P283" s="217"/>
      <c r="Q283" s="216">
        <f>SUM(Q281,Q276:Q280,Q275)</f>
        <v>31400.826399999998</v>
      </c>
      <c r="R283" s="218">
        <f>Q283-N283</f>
        <v>390.00879999999961</v>
      </c>
      <c r="S283" s="219">
        <f>IF((N283)=0,"",(R283/N283))</f>
        <v>1.257654038763556E-2</v>
      </c>
      <c r="T283" s="112"/>
      <c r="U283" s="112"/>
    </row>
    <row r="284" spans="9:21" x14ac:dyDescent="0.25">
      <c r="I284" s="150"/>
      <c r="J284" s="220" t="s">
        <v>131</v>
      </c>
      <c r="K284" s="213"/>
      <c r="L284" s="214">
        <v>0.13</v>
      </c>
      <c r="M284" s="215"/>
      <c r="N284" s="222">
        <f>N283*L284</f>
        <v>4031.4062880000001</v>
      </c>
      <c r="O284" s="214">
        <v>0.13</v>
      </c>
      <c r="P284" s="223"/>
      <c r="Q284" s="222">
        <f>Q283*O284</f>
        <v>4082.1074319999998</v>
      </c>
      <c r="R284" s="224">
        <f>Q284-N284</f>
        <v>50.701143999999658</v>
      </c>
      <c r="S284" s="225">
        <f>IF((N284)=0,"",(R284/N284))</f>
        <v>1.2576540387635487E-2</v>
      </c>
      <c r="T284" s="112"/>
      <c r="U284" s="112"/>
    </row>
    <row r="285" spans="9:21" x14ac:dyDescent="0.25">
      <c r="I285" s="150"/>
      <c r="J285" s="220" t="s">
        <v>132</v>
      </c>
      <c r="K285" s="213"/>
      <c r="L285" s="214">
        <v>0.08</v>
      </c>
      <c r="M285" s="215"/>
      <c r="N285" s="222">
        <v>0</v>
      </c>
      <c r="O285" s="214">
        <v>0.08</v>
      </c>
      <c r="P285" s="223"/>
      <c r="Q285" s="222">
        <v>0</v>
      </c>
      <c r="R285" s="224"/>
      <c r="S285" s="225"/>
      <c r="T285" s="112"/>
      <c r="U285" s="112"/>
    </row>
    <row r="286" spans="9:21" ht="15.75" thickBot="1" x14ac:dyDescent="0.3">
      <c r="I286" s="150"/>
      <c r="J286" s="260" t="s">
        <v>139</v>
      </c>
      <c r="K286" s="261"/>
      <c r="L286" s="244"/>
      <c r="M286" s="245"/>
      <c r="N286" s="236">
        <f>SUM(N283,N284)</f>
        <v>35042.223888</v>
      </c>
      <c r="O286" s="246"/>
      <c r="P286" s="246"/>
      <c r="Q286" s="236">
        <f>SUM(Q283,Q284)</f>
        <v>35482.933831999995</v>
      </c>
      <c r="R286" s="247">
        <f>Q286-N286</f>
        <v>440.70994399999472</v>
      </c>
      <c r="S286" s="248">
        <f>IF((N286)=0,"",(R286/N286))</f>
        <v>1.2576540387635421E-2</v>
      </c>
      <c r="T286" s="112"/>
      <c r="U286" s="112"/>
    </row>
    <row r="287" spans="9:21" ht="15.75" thickBot="1" x14ac:dyDescent="0.3">
      <c r="I287" s="150"/>
      <c r="J287" s="204"/>
      <c r="K287" s="205"/>
      <c r="L287" s="249"/>
      <c r="M287" s="250"/>
      <c r="N287" s="251"/>
      <c r="O287" s="249"/>
      <c r="P287" s="252"/>
      <c r="Q287" s="251"/>
      <c r="R287" s="253"/>
      <c r="S287" s="254"/>
      <c r="T287" s="112"/>
      <c r="U287" s="112"/>
    </row>
    <row r="288" spans="9:21" ht="15.75" thickBot="1" x14ac:dyDescent="0.3">
      <c r="I288" s="232"/>
      <c r="J288" s="255"/>
      <c r="K288" s="256"/>
      <c r="L288" s="256"/>
      <c r="M288" s="256"/>
      <c r="N288" s="256"/>
      <c r="O288" s="256"/>
      <c r="P288" s="256"/>
      <c r="Q288" s="256"/>
      <c r="R288" s="256"/>
      <c r="S288" s="257"/>
      <c r="T288" s="112"/>
      <c r="U288" s="112"/>
    </row>
    <row r="289" spans="9:21" x14ac:dyDescent="0.25">
      <c r="I289" s="23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</row>
  </sheetData>
  <mergeCells count="63">
    <mergeCell ref="R51:S51"/>
    <mergeCell ref="K3:P3"/>
    <mergeCell ref="K4:M4"/>
    <mergeCell ref="L10:N10"/>
    <mergeCell ref="O10:Q10"/>
    <mergeCell ref="R10:S10"/>
    <mergeCell ref="K11:K12"/>
    <mergeCell ref="R11:R12"/>
    <mergeCell ref="S11:S12"/>
    <mergeCell ref="K87:M87"/>
    <mergeCell ref="J41:K41"/>
    <mergeCell ref="K44:P44"/>
    <mergeCell ref="K45:M45"/>
    <mergeCell ref="L51:N51"/>
    <mergeCell ref="O51:Q51"/>
    <mergeCell ref="K52:K53"/>
    <mergeCell ref="R52:R53"/>
    <mergeCell ref="S52:S53"/>
    <mergeCell ref="J82:K82"/>
    <mergeCell ref="K86:P86"/>
    <mergeCell ref="R133:S133"/>
    <mergeCell ref="L93:N93"/>
    <mergeCell ref="O93:Q93"/>
    <mergeCell ref="R93:S93"/>
    <mergeCell ref="K94:K95"/>
    <mergeCell ref="R94:R95"/>
    <mergeCell ref="S94:S95"/>
    <mergeCell ref="K167:M167"/>
    <mergeCell ref="J122:K122"/>
    <mergeCell ref="K126:P126"/>
    <mergeCell ref="K127:M127"/>
    <mergeCell ref="L133:N133"/>
    <mergeCell ref="O133:Q133"/>
    <mergeCell ref="K134:K135"/>
    <mergeCell ref="R134:R135"/>
    <mergeCell ref="S134:S135"/>
    <mergeCell ref="J162:K162"/>
    <mergeCell ref="K166:P166"/>
    <mergeCell ref="R215:S215"/>
    <mergeCell ref="L173:N173"/>
    <mergeCell ref="O173:Q173"/>
    <mergeCell ref="R173:S173"/>
    <mergeCell ref="K174:K175"/>
    <mergeCell ref="R174:R175"/>
    <mergeCell ref="S174:S175"/>
    <mergeCell ref="K251:M251"/>
    <mergeCell ref="J204:K204"/>
    <mergeCell ref="K208:P208"/>
    <mergeCell ref="K209:M209"/>
    <mergeCell ref="L215:N215"/>
    <mergeCell ref="O215:Q215"/>
    <mergeCell ref="K216:K217"/>
    <mergeCell ref="R216:R217"/>
    <mergeCell ref="S216:S217"/>
    <mergeCell ref="J246:K246"/>
    <mergeCell ref="K250:P250"/>
    <mergeCell ref="J286:K286"/>
    <mergeCell ref="L257:N257"/>
    <mergeCell ref="O257:Q257"/>
    <mergeCell ref="R257:S257"/>
    <mergeCell ref="K258:K259"/>
    <mergeCell ref="R258:R259"/>
    <mergeCell ref="S258:S259"/>
  </mergeCells>
  <dataValidations count="2">
    <dataValidation type="list" allowBlank="1" showInputMessage="1" showErrorMessage="1" prompt="Select Charge Unit - monthly, per kWh, per kW" sqref="K37 K83 K78 K123 K118 K163 K158 K205 K200 K247 K242 K287 K282">
      <formula1>"Monthly, per kWh, per kW"</formula1>
    </dataValidation>
    <dataValidation type="list" allowBlank="1" showInputMessage="1" showErrorMessage="1" sqref="B4:B10">
      <formula1>Units1</formula1>
    </dataValidation>
  </dataValidations>
  <pageMargins left="0.7" right="0.7" top="0.75" bottom="0.75" header="0.3" footer="0.3"/>
  <pageSetup scale="50" orientation="portrait" r:id="rId1"/>
  <rowBreaks count="2" manualBreakCount="2">
    <brk id="163" max="16383" man="1"/>
    <brk id="247" max="16383" man="1"/>
  </rowBreaks>
  <colBreaks count="1" manualBreakCount="1">
    <brk id="9" max="1048575" man="1"/>
  </colBreaks>
  <ignoredErrors>
    <ignoredError sqref="G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U289"/>
  <sheetViews>
    <sheetView tabSelected="1" view="pageBreakPreview" zoomScale="70" zoomScaleNormal="80" zoomScaleSheetLayoutView="70" workbookViewId="0">
      <selection activeCell="E23" sqref="E23"/>
    </sheetView>
  </sheetViews>
  <sheetFormatPr defaultRowHeight="15.75" x14ac:dyDescent="0.25"/>
  <cols>
    <col min="1" max="1" width="37.140625" style="81" customWidth="1"/>
    <col min="2" max="2" width="16" style="81" customWidth="1"/>
    <col min="3" max="3" width="21.85546875" style="81" customWidth="1"/>
    <col min="4" max="4" width="14.5703125" style="81" customWidth="1"/>
    <col min="5" max="5" width="13.140625" style="81" bestFit="1" customWidth="1"/>
    <col min="6" max="6" width="12.7109375" style="81" bestFit="1" customWidth="1"/>
    <col min="7" max="7" width="16.28515625" style="277" customWidth="1"/>
    <col min="8" max="8" width="16.42578125" style="81" customWidth="1"/>
    <col min="10" max="10" width="48.5703125" bestFit="1" customWidth="1"/>
    <col min="11" max="11" width="12.7109375" customWidth="1"/>
    <col min="12" max="13" width="14.7109375" bestFit="1" customWidth="1"/>
    <col min="14" max="14" width="15.85546875" bestFit="1" customWidth="1"/>
    <col min="15" max="15" width="14.140625" bestFit="1" customWidth="1"/>
    <col min="16" max="16" width="14.7109375" bestFit="1" customWidth="1"/>
    <col min="17" max="17" width="15.85546875" bestFit="1" customWidth="1"/>
    <col min="18" max="18" width="13" bestFit="1" customWidth="1"/>
    <col min="19" max="19" width="13.7109375" bestFit="1" customWidth="1"/>
  </cols>
  <sheetData>
    <row r="1" spans="1:21" x14ac:dyDescent="0.25">
      <c r="A1" s="1" t="s">
        <v>160</v>
      </c>
    </row>
    <row r="2" spans="1:21" ht="16.5" thickBot="1" x14ac:dyDescent="0.3"/>
    <row r="3" spans="1:21" x14ac:dyDescent="0.25">
      <c r="G3" s="278"/>
      <c r="I3" s="112"/>
      <c r="J3" s="113" t="s">
        <v>86</v>
      </c>
      <c r="K3" s="276" t="s">
        <v>87</v>
      </c>
      <c r="L3" s="276"/>
      <c r="M3" s="276"/>
      <c r="N3" s="276"/>
      <c r="O3" s="276"/>
      <c r="P3" s="276"/>
      <c r="Q3" s="114" t="e">
        <f>IF(#REF!="DEMAND - INTERVAL","RTSR - INTERVAL METERED","")</f>
        <v>#REF!</v>
      </c>
      <c r="R3" s="114"/>
      <c r="S3" s="115"/>
      <c r="T3" s="112"/>
      <c r="U3" s="112"/>
    </row>
    <row r="4" spans="1:21" x14ac:dyDescent="0.25">
      <c r="G4" s="279"/>
      <c r="I4" s="112"/>
      <c r="J4" s="120" t="s">
        <v>88</v>
      </c>
      <c r="K4" s="273" t="s">
        <v>89</v>
      </c>
      <c r="L4" s="273"/>
      <c r="M4" s="273"/>
      <c r="N4" s="121"/>
      <c r="O4" s="121"/>
      <c r="P4" s="122"/>
      <c r="Q4" s="122"/>
      <c r="R4" s="122"/>
      <c r="S4" s="123"/>
      <c r="T4" s="112"/>
      <c r="U4" s="112"/>
    </row>
    <row r="5" spans="1:21" ht="16.5" thickBot="1" x14ac:dyDescent="0.3">
      <c r="G5" s="279"/>
      <c r="I5" s="112"/>
      <c r="J5" s="120" t="s">
        <v>90</v>
      </c>
      <c r="K5" s="124">
        <v>750</v>
      </c>
      <c r="L5" s="125" t="s">
        <v>91</v>
      </c>
      <c r="M5" s="126"/>
      <c r="N5" s="122"/>
      <c r="O5" s="122"/>
      <c r="P5" s="127"/>
      <c r="Q5" s="127"/>
      <c r="R5" s="127"/>
      <c r="S5" s="128"/>
      <c r="T5" s="112"/>
      <c r="U5" s="112"/>
    </row>
    <row r="6" spans="1:21" ht="111" thickBot="1" x14ac:dyDescent="0.3">
      <c r="A6" s="280" t="s">
        <v>147</v>
      </c>
      <c r="B6" s="281" t="s">
        <v>148</v>
      </c>
      <c r="C6" s="282" t="s">
        <v>149</v>
      </c>
      <c r="D6" s="282" t="s">
        <v>150</v>
      </c>
      <c r="E6" s="282" t="s">
        <v>151</v>
      </c>
      <c r="F6" s="283" t="s">
        <v>152</v>
      </c>
      <c r="G6" s="284" t="s">
        <v>153</v>
      </c>
      <c r="H6" s="285" t="s">
        <v>154</v>
      </c>
      <c r="I6" s="112"/>
      <c r="J6" s="120" t="s">
        <v>92</v>
      </c>
      <c r="K6" s="124">
        <v>0</v>
      </c>
      <c r="L6" s="129" t="s">
        <v>93</v>
      </c>
      <c r="M6" s="130"/>
      <c r="N6" s="131"/>
      <c r="O6" s="131"/>
      <c r="P6" s="131"/>
      <c r="Q6" s="122"/>
      <c r="R6" s="122"/>
      <c r="S6" s="123"/>
      <c r="T6" s="112"/>
      <c r="U6" s="112"/>
    </row>
    <row r="7" spans="1:21" x14ac:dyDescent="0.25">
      <c r="A7" s="286" t="s">
        <v>155</v>
      </c>
      <c r="B7" s="287">
        <v>6146082</v>
      </c>
      <c r="C7" s="288">
        <f t="shared" ref="C7:C13" si="0">B7/$B$14</f>
        <v>0.61744895917135556</v>
      </c>
      <c r="D7" s="289">
        <f t="shared" ref="D7:D13" si="1">C7*$D$16</f>
        <v>160391.10384260156</v>
      </c>
      <c r="E7" s="290">
        <v>20188</v>
      </c>
      <c r="F7" s="291">
        <f>D7/E7/36</f>
        <v>0.2206909272871144</v>
      </c>
      <c r="G7" s="292">
        <f>S41</f>
        <v>1.3193184828899673E-3</v>
      </c>
      <c r="H7" s="293">
        <f>S25</f>
        <v>1.9272638824108217E-3</v>
      </c>
      <c r="I7" s="112"/>
      <c r="J7" s="120" t="s">
        <v>94</v>
      </c>
      <c r="K7" s="133">
        <v>1.056</v>
      </c>
      <c r="L7" s="122"/>
      <c r="M7" s="122"/>
      <c r="N7" s="122"/>
      <c r="O7" s="122"/>
      <c r="P7" s="122"/>
      <c r="Q7" s="122"/>
      <c r="R7" s="122"/>
      <c r="S7" s="123"/>
      <c r="T7" s="112"/>
      <c r="U7" s="112"/>
    </row>
    <row r="8" spans="1:21" x14ac:dyDescent="0.25">
      <c r="A8" s="294" t="s">
        <v>156</v>
      </c>
      <c r="B8" s="295">
        <v>1233774</v>
      </c>
      <c r="C8" s="296">
        <f t="shared" si="0"/>
        <v>0.12394765838670556</v>
      </c>
      <c r="D8" s="297">
        <f t="shared" si="1"/>
        <v>32197.158084174913</v>
      </c>
      <c r="E8" s="298">
        <v>1810</v>
      </c>
      <c r="F8" s="299">
        <f t="shared" ref="F8:F13" si="2">D8/E8/36</f>
        <v>0.49412458692717792</v>
      </c>
      <c r="G8" s="300">
        <f>S82</f>
        <v>-4.2683879639135169E-3</v>
      </c>
      <c r="H8" s="301">
        <f>S66</f>
        <v>-2.1901199662041949E-2</v>
      </c>
      <c r="I8" s="112"/>
      <c r="J8" s="120" t="s">
        <v>95</v>
      </c>
      <c r="K8" s="133">
        <v>1.056</v>
      </c>
      <c r="L8" s="122"/>
      <c r="M8" s="122"/>
      <c r="N8" s="122"/>
      <c r="O8" s="122"/>
      <c r="P8" s="122"/>
      <c r="Q8" s="122"/>
      <c r="R8" s="122"/>
      <c r="S8" s="123"/>
      <c r="T8" s="112"/>
      <c r="U8" s="112"/>
    </row>
    <row r="9" spans="1:21" x14ac:dyDescent="0.25">
      <c r="A9" s="294" t="s">
        <v>74</v>
      </c>
      <c r="B9" s="295">
        <v>1506028</v>
      </c>
      <c r="C9" s="296">
        <f t="shared" si="0"/>
        <v>0.15129889596053522</v>
      </c>
      <c r="D9" s="297">
        <f t="shared" si="1"/>
        <v>39302.029054911007</v>
      </c>
      <c r="E9" s="298">
        <v>186</v>
      </c>
      <c r="F9" s="299">
        <f t="shared" si="2"/>
        <v>5.8694786521671158</v>
      </c>
      <c r="G9" s="300">
        <f>S122</f>
        <v>-2.0705966037047319E-2</v>
      </c>
      <c r="H9" s="301">
        <f>S108</f>
        <v>-0.34841512752012616</v>
      </c>
      <c r="I9" s="112"/>
      <c r="J9" s="134"/>
      <c r="K9" s="122"/>
      <c r="L9" s="122"/>
      <c r="M9" s="122"/>
      <c r="N9" s="122"/>
      <c r="O9" s="122"/>
      <c r="P9" s="122"/>
      <c r="Q9" s="122"/>
      <c r="R9" s="122"/>
      <c r="S9" s="123"/>
      <c r="T9" s="112"/>
      <c r="U9" s="112"/>
    </row>
    <row r="10" spans="1:21" x14ac:dyDescent="0.25">
      <c r="A10" s="294" t="s">
        <v>157</v>
      </c>
      <c r="B10" s="295">
        <v>878110</v>
      </c>
      <c r="C10" s="296">
        <f t="shared" si="0"/>
        <v>8.821686816706302E-2</v>
      </c>
      <c r="D10" s="297">
        <f t="shared" si="1"/>
        <v>22915.579745800147</v>
      </c>
      <c r="E10" s="298">
        <v>11</v>
      </c>
      <c r="F10" s="299">
        <f t="shared" si="2"/>
        <v>57.86762562070745</v>
      </c>
      <c r="G10" s="300">
        <f>S162</f>
        <v>-2.381404843892158E-2</v>
      </c>
      <c r="H10" s="301">
        <f>S148</f>
        <v>-0.4052824966502635</v>
      </c>
      <c r="I10" s="112"/>
      <c r="J10" s="134"/>
      <c r="K10" s="139"/>
      <c r="L10" s="262" t="s">
        <v>96</v>
      </c>
      <c r="M10" s="263"/>
      <c r="N10" s="264"/>
      <c r="O10" s="262" t="s">
        <v>97</v>
      </c>
      <c r="P10" s="263"/>
      <c r="Q10" s="264"/>
      <c r="R10" s="262" t="s">
        <v>98</v>
      </c>
      <c r="S10" s="265"/>
      <c r="T10" s="112"/>
      <c r="U10" s="112"/>
    </row>
    <row r="11" spans="1:21" x14ac:dyDescent="0.25">
      <c r="A11" s="294" t="s">
        <v>158</v>
      </c>
      <c r="B11" s="295">
        <v>17985</v>
      </c>
      <c r="C11" s="296">
        <f t="shared" si="0"/>
        <v>1.8068127842578133E-3</v>
      </c>
      <c r="D11" s="297">
        <f t="shared" si="1"/>
        <v>469.34518651218599</v>
      </c>
      <c r="E11" s="298">
        <v>152</v>
      </c>
      <c r="F11" s="299">
        <f>D11/E11/36</f>
        <v>8.5772146657928719E-2</v>
      </c>
      <c r="G11" s="300">
        <f>S204</f>
        <v>3.9569665384205296E-3</v>
      </c>
      <c r="H11" s="301">
        <f>S188</f>
        <v>8.8469182776374534E-3</v>
      </c>
      <c r="I11" s="112"/>
      <c r="J11" s="134"/>
      <c r="K11" s="266"/>
      <c r="L11" s="144" t="s">
        <v>99</v>
      </c>
      <c r="M11" s="144" t="s">
        <v>100</v>
      </c>
      <c r="N11" s="145" t="s">
        <v>101</v>
      </c>
      <c r="O11" s="144" t="s">
        <v>99</v>
      </c>
      <c r="P11" s="146" t="s">
        <v>100</v>
      </c>
      <c r="Q11" s="145" t="s">
        <v>101</v>
      </c>
      <c r="R11" s="268" t="s">
        <v>102</v>
      </c>
      <c r="S11" s="270" t="s">
        <v>103</v>
      </c>
      <c r="T11" s="112"/>
      <c r="U11" s="112"/>
    </row>
    <row r="12" spans="1:21" x14ac:dyDescent="0.25">
      <c r="A12" s="286" t="s">
        <v>78</v>
      </c>
      <c r="B12" s="287">
        <v>41173</v>
      </c>
      <c r="C12" s="288">
        <f t="shared" si="0"/>
        <v>4.1363304290379177E-3</v>
      </c>
      <c r="D12" s="289">
        <f>C12*$D$16</f>
        <v>1074.4703566453286</v>
      </c>
      <c r="E12" s="290">
        <v>173</v>
      </c>
      <c r="F12" s="291">
        <f t="shared" si="2"/>
        <v>0.17252253639135012</v>
      </c>
      <c r="G12" s="292">
        <f>S246</f>
        <v>1.0284108862121737E-3</v>
      </c>
      <c r="H12" s="293">
        <f>S230</f>
        <v>1.7342610487888744E-3</v>
      </c>
      <c r="I12" s="112"/>
      <c r="J12" s="134"/>
      <c r="K12" s="267"/>
      <c r="L12" s="147" t="s">
        <v>104</v>
      </c>
      <c r="M12" s="147"/>
      <c r="N12" s="148" t="s">
        <v>104</v>
      </c>
      <c r="O12" s="147" t="s">
        <v>104</v>
      </c>
      <c r="P12" s="148"/>
      <c r="Q12" s="148" t="s">
        <v>104</v>
      </c>
      <c r="R12" s="269"/>
      <c r="S12" s="271"/>
      <c r="T12" s="112"/>
      <c r="U12" s="112"/>
    </row>
    <row r="13" spans="1:21" ht="16.5" thickBot="1" x14ac:dyDescent="0.3">
      <c r="A13" s="302" t="s">
        <v>79</v>
      </c>
      <c r="B13" s="303">
        <v>130840</v>
      </c>
      <c r="C13" s="304">
        <f t="shared" si="0"/>
        <v>1.3144475101044887E-2</v>
      </c>
      <c r="D13" s="305">
        <f t="shared" si="1"/>
        <v>3414.463397456459</v>
      </c>
      <c r="E13" s="306">
        <v>4674</v>
      </c>
      <c r="F13" s="307">
        <f t="shared" si="2"/>
        <v>2.0292298991207026E-2</v>
      </c>
      <c r="G13" s="308">
        <f>S286</f>
        <v>1.1823029312355174E-2</v>
      </c>
      <c r="H13" s="309">
        <f>S272</f>
        <v>3.3509889168263314E-2</v>
      </c>
      <c r="I13" s="150"/>
      <c r="J13" s="151" t="s">
        <v>105</v>
      </c>
      <c r="K13" s="152"/>
      <c r="L13" s="153">
        <v>20.28</v>
      </c>
      <c r="M13" s="154">
        <v>1</v>
      </c>
      <c r="N13" s="155">
        <f>M13*L13</f>
        <v>20.28</v>
      </c>
      <c r="O13" s="156">
        <v>23.64</v>
      </c>
      <c r="P13" s="157">
        <f>M13</f>
        <v>1</v>
      </c>
      <c r="Q13" s="155">
        <f>P13*O13</f>
        <v>23.64</v>
      </c>
      <c r="R13" s="158">
        <f t="shared" ref="R13:R31" si="3">Q13-N13</f>
        <v>3.3599999999999994</v>
      </c>
      <c r="S13" s="159">
        <f>IF(ISERROR(R13/N13), "", R13/N13)</f>
        <v>0.16568047337278102</v>
      </c>
      <c r="T13" s="112"/>
      <c r="U13" s="112"/>
    </row>
    <row r="14" spans="1:21" ht="16.5" thickBot="1" x14ac:dyDescent="0.3">
      <c r="A14" s="310" t="s">
        <v>159</v>
      </c>
      <c r="B14" s="311">
        <f>SUM(B7:B13)</f>
        <v>9953992</v>
      </c>
      <c r="C14" s="312">
        <f>SUM(C7:C13)</f>
        <v>0.99999999999999989</v>
      </c>
      <c r="D14" s="313">
        <f>SUM(D7:D13)</f>
        <v>259764.1496681016</v>
      </c>
      <c r="E14" s="314">
        <f>SUM(E7:E13)</f>
        <v>27194</v>
      </c>
      <c r="F14" s="315"/>
      <c r="G14" s="316"/>
      <c r="H14" s="316"/>
      <c r="I14" s="150"/>
      <c r="J14" s="151" t="s">
        <v>106</v>
      </c>
      <c r="K14" s="152"/>
      <c r="L14" s="160">
        <v>6.7999999999999996E-3</v>
      </c>
      <c r="M14" s="161">
        <f>K5</f>
        <v>750</v>
      </c>
      <c r="N14" s="155">
        <f t="shared" ref="N14:N22" si="4">M14*L14</f>
        <v>5.0999999999999996</v>
      </c>
      <c r="O14" s="162">
        <v>3.5000000000000001E-3</v>
      </c>
      <c r="P14" s="157">
        <f t="shared" ref="P14:P36" si="5">M14</f>
        <v>750</v>
      </c>
      <c r="Q14" s="155">
        <f>P14*O14</f>
        <v>2.625</v>
      </c>
      <c r="R14" s="158">
        <f t="shared" si="3"/>
        <v>-2.4749999999999996</v>
      </c>
      <c r="S14" s="159">
        <f t="shared" ref="S14:S22" si="6">IF(ISERROR(R14/N14), "", R14/N14)</f>
        <v>-0.48529411764705876</v>
      </c>
      <c r="T14" s="112"/>
      <c r="U14" s="112"/>
    </row>
    <row r="15" spans="1:21" x14ac:dyDescent="0.25">
      <c r="I15" s="150"/>
      <c r="J15" s="163" t="s">
        <v>108</v>
      </c>
      <c r="K15" s="152"/>
      <c r="L15" s="153">
        <v>0</v>
      </c>
      <c r="M15" s="154">
        <v>1</v>
      </c>
      <c r="N15" s="155">
        <f t="shared" si="4"/>
        <v>0</v>
      </c>
      <c r="O15" s="156">
        <f>F7</f>
        <v>0.2206909272871144</v>
      </c>
      <c r="P15" s="157">
        <f t="shared" si="5"/>
        <v>1</v>
      </c>
      <c r="Q15" s="155">
        <f>P15*O15</f>
        <v>0.2206909272871144</v>
      </c>
      <c r="R15" s="158">
        <f t="shared" si="3"/>
        <v>0.2206909272871144</v>
      </c>
      <c r="S15" s="159" t="str">
        <f t="shared" si="6"/>
        <v/>
      </c>
      <c r="T15" s="112"/>
      <c r="U15" s="112"/>
    </row>
    <row r="16" spans="1:21" x14ac:dyDescent="0.25">
      <c r="D16" s="317">
        <v>259764.1496681016</v>
      </c>
      <c r="F16" s="318"/>
      <c r="I16" s="150"/>
      <c r="J16" s="151" t="s">
        <v>109</v>
      </c>
      <c r="K16" s="152"/>
      <c r="L16" s="160">
        <v>0</v>
      </c>
      <c r="M16" s="161">
        <f>K5</f>
        <v>750</v>
      </c>
      <c r="N16" s="155">
        <f t="shared" si="4"/>
        <v>0</v>
      </c>
      <c r="O16" s="162">
        <v>0</v>
      </c>
      <c r="P16" s="157">
        <f t="shared" si="5"/>
        <v>750</v>
      </c>
      <c r="Q16" s="155">
        <f t="shared" ref="Q16:Q22" si="7">P16*O16</f>
        <v>0</v>
      </c>
      <c r="R16" s="158">
        <f t="shared" si="3"/>
        <v>0</v>
      </c>
      <c r="S16" s="159" t="str">
        <f t="shared" si="6"/>
        <v/>
      </c>
      <c r="T16" s="112"/>
      <c r="U16" s="112"/>
    </row>
    <row r="17" spans="4:21" x14ac:dyDescent="0.25">
      <c r="I17" s="150"/>
      <c r="J17" s="165" t="s">
        <v>110</v>
      </c>
      <c r="K17" s="166"/>
      <c r="L17" s="167"/>
      <c r="M17" s="168"/>
      <c r="N17" s="169">
        <f>SUM(N13:N16)</f>
        <v>25.380000000000003</v>
      </c>
      <c r="O17" s="170"/>
      <c r="P17" s="171">
        <f t="shared" si="5"/>
        <v>0</v>
      </c>
      <c r="Q17" s="169">
        <f>SUM(Q13:Q16)</f>
        <v>26.485690927287116</v>
      </c>
      <c r="R17" s="172">
        <f t="shared" si="3"/>
        <v>1.1056909272871138</v>
      </c>
      <c r="S17" s="173">
        <f>IF((N17)=0,"",(R17/N17))</f>
        <v>4.3565442367498569E-2</v>
      </c>
      <c r="T17" s="112"/>
      <c r="U17" s="112"/>
    </row>
    <row r="18" spans="4:21" x14ac:dyDescent="0.25">
      <c r="I18" s="150"/>
      <c r="J18" s="174" t="s">
        <v>111</v>
      </c>
      <c r="K18" s="152"/>
      <c r="L18" s="160">
        <f>IF((K5*12&gt;=150000), 0, IF(K4="RPP",(L34*0.65+L35*0.17+L36*0.18),IF(K4="Non-RPP (Retailer)",#REF!,#REF!)))</f>
        <v>8.2160000000000011E-2</v>
      </c>
      <c r="M18" s="175">
        <v>42</v>
      </c>
      <c r="N18" s="155">
        <f>M18*L18</f>
        <v>3.4507200000000005</v>
      </c>
      <c r="O18" s="162">
        <f>IF((K5*12&gt;=150000), 0, IF(K4="RPP",(O34*0.65+O35*0.17+O36*0.18),IF(K4="Non-RPP (Retailer)",#REF!,#REF!)))</f>
        <v>8.2160000000000011E-2</v>
      </c>
      <c r="P18" s="175">
        <f t="shared" si="5"/>
        <v>42</v>
      </c>
      <c r="Q18" s="155">
        <f>P18*O18</f>
        <v>3.4507200000000005</v>
      </c>
      <c r="R18" s="158">
        <f>Q18-N18</f>
        <v>0</v>
      </c>
      <c r="S18" s="159">
        <f>IF(ISERROR(R18/N18), "", R18/N18)</f>
        <v>0</v>
      </c>
      <c r="T18" s="112"/>
      <c r="U18" s="112"/>
    </row>
    <row r="19" spans="4:21" x14ac:dyDescent="0.25">
      <c r="D19" s="319"/>
      <c r="I19" s="150"/>
      <c r="J19" s="174" t="s">
        <v>112</v>
      </c>
      <c r="K19" s="152"/>
      <c r="L19" s="160">
        <v>-5.9999999999999995E-4</v>
      </c>
      <c r="M19" s="176">
        <v>750</v>
      </c>
      <c r="N19" s="155">
        <f t="shared" si="4"/>
        <v>-0.44999999999999996</v>
      </c>
      <c r="O19" s="162">
        <v>-1.4E-3</v>
      </c>
      <c r="P19" s="176">
        <f t="shared" si="5"/>
        <v>750</v>
      </c>
      <c r="Q19" s="155">
        <f t="shared" si="7"/>
        <v>-1.05</v>
      </c>
      <c r="R19" s="158">
        <f t="shared" si="3"/>
        <v>-0.60000000000000009</v>
      </c>
      <c r="S19" s="159">
        <f t="shared" si="6"/>
        <v>1.3333333333333337</v>
      </c>
      <c r="T19" s="112"/>
      <c r="U19" s="112"/>
    </row>
    <row r="20" spans="4:21" x14ac:dyDescent="0.25">
      <c r="I20" s="150"/>
      <c r="J20" s="174" t="s">
        <v>113</v>
      </c>
      <c r="K20" s="152"/>
      <c r="L20" s="160">
        <v>0</v>
      </c>
      <c r="M20" s="176">
        <v>750</v>
      </c>
      <c r="N20" s="155">
        <f>M20*L20</f>
        <v>0</v>
      </c>
      <c r="O20" s="162">
        <v>-1E-4</v>
      </c>
      <c r="P20" s="176">
        <f t="shared" si="5"/>
        <v>750</v>
      </c>
      <c r="Q20" s="155">
        <f>P20*O20</f>
        <v>-7.4999999999999997E-2</v>
      </c>
      <c r="R20" s="158">
        <f t="shared" si="3"/>
        <v>-7.4999999999999997E-2</v>
      </c>
      <c r="S20" s="159" t="str">
        <f t="shared" si="6"/>
        <v/>
      </c>
      <c r="T20" s="112"/>
      <c r="U20" s="112"/>
    </row>
    <row r="21" spans="4:21" x14ac:dyDescent="0.25">
      <c r="I21" s="150"/>
      <c r="J21" s="174" t="s">
        <v>114</v>
      </c>
      <c r="K21" s="152"/>
      <c r="L21" s="160">
        <v>0</v>
      </c>
      <c r="M21" s="176">
        <f>K5</f>
        <v>750</v>
      </c>
      <c r="N21" s="155">
        <f>M21*L21</f>
        <v>0</v>
      </c>
      <c r="O21" s="162">
        <v>0</v>
      </c>
      <c r="P21" s="176">
        <f t="shared" si="5"/>
        <v>750</v>
      </c>
      <c r="Q21" s="155">
        <f t="shared" si="7"/>
        <v>0</v>
      </c>
      <c r="R21" s="158">
        <f t="shared" si="3"/>
        <v>0</v>
      </c>
      <c r="S21" s="159" t="str">
        <f t="shared" si="6"/>
        <v/>
      </c>
      <c r="T21" s="112"/>
      <c r="U21" s="112"/>
    </row>
    <row r="22" spans="4:21" x14ac:dyDescent="0.25">
      <c r="I22" s="150"/>
      <c r="J22" s="177" t="s">
        <v>115</v>
      </c>
      <c r="K22" s="152"/>
      <c r="L22" s="160">
        <v>2.5999999999999999E-3</v>
      </c>
      <c r="M22" s="176">
        <v>750</v>
      </c>
      <c r="N22" s="155">
        <f t="shared" si="4"/>
        <v>1.95</v>
      </c>
      <c r="O22" s="162">
        <v>2.5999999999999999E-3</v>
      </c>
      <c r="P22" s="176">
        <f t="shared" si="5"/>
        <v>750</v>
      </c>
      <c r="Q22" s="155">
        <f t="shared" si="7"/>
        <v>1.95</v>
      </c>
      <c r="R22" s="158">
        <f t="shared" si="3"/>
        <v>0</v>
      </c>
      <c r="S22" s="159">
        <f t="shared" si="6"/>
        <v>0</v>
      </c>
      <c r="T22" s="112"/>
      <c r="U22" s="112"/>
    </row>
    <row r="23" spans="4:21" ht="38.25" x14ac:dyDescent="0.25">
      <c r="I23" s="150"/>
      <c r="J23" s="178" t="s">
        <v>116</v>
      </c>
      <c r="K23" s="152"/>
      <c r="L23" s="179">
        <v>1.1599999999999999</v>
      </c>
      <c r="M23" s="154">
        <v>1</v>
      </c>
      <c r="N23" s="155">
        <f>M23*L23</f>
        <v>1.1599999999999999</v>
      </c>
      <c r="O23" s="180">
        <v>0.79</v>
      </c>
      <c r="P23" s="154">
        <f t="shared" si="5"/>
        <v>1</v>
      </c>
      <c r="Q23" s="155">
        <f>P23*O23</f>
        <v>0.79</v>
      </c>
      <c r="R23" s="158">
        <f t="shared" si="3"/>
        <v>-0.36999999999999988</v>
      </c>
      <c r="S23" s="159">
        <f>IF(ISERROR(R23/N23), "", R23/N23)</f>
        <v>-0.31896551724137923</v>
      </c>
      <c r="T23" s="112"/>
      <c r="U23" s="112"/>
    </row>
    <row r="24" spans="4:21" x14ac:dyDescent="0.25">
      <c r="I24" s="150"/>
      <c r="J24" s="177" t="s">
        <v>117</v>
      </c>
      <c r="K24" s="152"/>
      <c r="L24" s="160"/>
      <c r="M24" s="176">
        <v>750</v>
      </c>
      <c r="N24" s="155">
        <f>M24*L24</f>
        <v>0</v>
      </c>
      <c r="O24" s="162"/>
      <c r="P24" s="176">
        <f t="shared" si="5"/>
        <v>750</v>
      </c>
      <c r="Q24" s="155">
        <f>P24*O24</f>
        <v>0</v>
      </c>
      <c r="R24" s="158">
        <f t="shared" si="3"/>
        <v>0</v>
      </c>
      <c r="S24" s="159" t="str">
        <f>IF(ISERROR(R24/N24), "", R24/N24)</f>
        <v/>
      </c>
      <c r="T24" s="112"/>
      <c r="U24" s="112"/>
    </row>
    <row r="25" spans="4:21" x14ac:dyDescent="0.25">
      <c r="I25" s="150"/>
      <c r="J25" s="181" t="s">
        <v>118</v>
      </c>
      <c r="K25" s="182"/>
      <c r="L25" s="183"/>
      <c r="M25" s="184"/>
      <c r="N25" s="185">
        <f>SUM(N17:N24)</f>
        <v>31.490720000000003</v>
      </c>
      <c r="O25" s="186"/>
      <c r="P25" s="187">
        <f t="shared" si="5"/>
        <v>0</v>
      </c>
      <c r="Q25" s="185">
        <f>SUM(Q17:Q24)</f>
        <v>31.551410927287115</v>
      </c>
      <c r="R25" s="172">
        <f t="shared" si="3"/>
        <v>6.0690927287112117E-2</v>
      </c>
      <c r="S25" s="173">
        <f>IF((N25)=0,"",(R25/N25))</f>
        <v>1.9272638824108217E-3</v>
      </c>
      <c r="T25" s="112"/>
      <c r="U25" s="112"/>
    </row>
    <row r="26" spans="4:21" x14ac:dyDescent="0.25">
      <c r="I26" s="150"/>
      <c r="J26" s="188" t="s">
        <v>119</v>
      </c>
      <c r="K26" s="152"/>
      <c r="L26" s="160">
        <v>6.7000000000000002E-3</v>
      </c>
      <c r="M26" s="175">
        <v>792</v>
      </c>
      <c r="N26" s="155">
        <f>M26*L26</f>
        <v>5.3064</v>
      </c>
      <c r="O26" s="162">
        <v>6.7999999999999996E-3</v>
      </c>
      <c r="P26" s="175">
        <f t="shared" si="5"/>
        <v>792</v>
      </c>
      <c r="Q26" s="155">
        <f>P26*O26</f>
        <v>5.3855999999999993</v>
      </c>
      <c r="R26" s="158">
        <f t="shared" si="3"/>
        <v>7.9199999999999271E-2</v>
      </c>
      <c r="S26" s="159">
        <f>IF(ISERROR(R26/N26), "", R26/N26)</f>
        <v>1.4925373134328221E-2</v>
      </c>
      <c r="T26" s="112"/>
      <c r="U26" s="112"/>
    </row>
    <row r="27" spans="4:21" ht="25.5" x14ac:dyDescent="0.25">
      <c r="I27" s="150"/>
      <c r="J27" s="189" t="s">
        <v>120</v>
      </c>
      <c r="K27" s="152"/>
      <c r="L27" s="160">
        <v>5.4000000000000003E-3</v>
      </c>
      <c r="M27" s="175">
        <v>792</v>
      </c>
      <c r="N27" s="155">
        <f>M27*L27</f>
        <v>4.2768000000000006</v>
      </c>
      <c r="O27" s="162">
        <v>5.4000000000000003E-3</v>
      </c>
      <c r="P27" s="175">
        <f t="shared" si="5"/>
        <v>792</v>
      </c>
      <c r="Q27" s="155">
        <f>P27*O27</f>
        <v>4.2768000000000006</v>
      </c>
      <c r="R27" s="158">
        <f t="shared" si="3"/>
        <v>0</v>
      </c>
      <c r="S27" s="159">
        <f>IF(ISERROR(R27/N27), "", R27/N27)</f>
        <v>0</v>
      </c>
      <c r="T27" s="112"/>
      <c r="U27" s="112"/>
    </row>
    <row r="28" spans="4:21" x14ac:dyDescent="0.25">
      <c r="I28" s="150"/>
      <c r="J28" s="181" t="s">
        <v>121</v>
      </c>
      <c r="K28" s="166"/>
      <c r="L28" s="183"/>
      <c r="M28" s="184"/>
      <c r="N28" s="185">
        <f>SUM(N25:N27)</f>
        <v>41.073920000000008</v>
      </c>
      <c r="O28" s="186"/>
      <c r="P28" s="171">
        <f t="shared" si="5"/>
        <v>0</v>
      </c>
      <c r="Q28" s="185">
        <f>SUM(Q25:Q27)</f>
        <v>41.213810927287113</v>
      </c>
      <c r="R28" s="172">
        <f t="shared" si="3"/>
        <v>0.13989092728710517</v>
      </c>
      <c r="S28" s="173">
        <f>IF((N28)=0,"",(R28/N28))</f>
        <v>3.4058333679158246E-3</v>
      </c>
      <c r="T28" s="112"/>
      <c r="U28" s="112"/>
    </row>
    <row r="29" spans="4:21" x14ac:dyDescent="0.25">
      <c r="I29" s="150"/>
      <c r="J29" s="190" t="s">
        <v>122</v>
      </c>
      <c r="K29" s="152"/>
      <c r="L29" s="160">
        <v>3.6000000000000003E-3</v>
      </c>
      <c r="M29" s="175">
        <f>K5*K7</f>
        <v>792</v>
      </c>
      <c r="N29" s="191">
        <f t="shared" ref="N29:N36" si="8">M29*L29</f>
        <v>2.8512000000000004</v>
      </c>
      <c r="O29" s="162">
        <v>3.6000000000000003E-3</v>
      </c>
      <c r="P29" s="175">
        <f t="shared" si="5"/>
        <v>792</v>
      </c>
      <c r="Q29" s="191">
        <f t="shared" ref="Q29:Q36" si="9">P29*O29</f>
        <v>2.8512000000000004</v>
      </c>
      <c r="R29" s="158">
        <f t="shared" si="3"/>
        <v>0</v>
      </c>
      <c r="S29" s="159">
        <f t="shared" ref="S29:S36" si="10">IF(ISERROR(R29/N29), "", R29/N29)</f>
        <v>0</v>
      </c>
      <c r="T29" s="112"/>
      <c r="U29" s="112"/>
    </row>
    <row r="30" spans="4:21" x14ac:dyDescent="0.25">
      <c r="I30" s="150"/>
      <c r="J30" s="190" t="s">
        <v>123</v>
      </c>
      <c r="K30" s="152"/>
      <c r="L30" s="160">
        <f>'[1]17. Regulatory Charges'!$D$16</f>
        <v>2.9999999999999997E-4</v>
      </c>
      <c r="M30" s="175">
        <f>K5*K7</f>
        <v>792</v>
      </c>
      <c r="N30" s="191">
        <f t="shared" si="8"/>
        <v>0.23759999999999998</v>
      </c>
      <c r="O30" s="162">
        <v>2.9999999999999997E-4</v>
      </c>
      <c r="P30" s="175">
        <f t="shared" si="5"/>
        <v>792</v>
      </c>
      <c r="Q30" s="191">
        <f t="shared" si="9"/>
        <v>0.23759999999999998</v>
      </c>
      <c r="R30" s="158">
        <f t="shared" si="3"/>
        <v>0</v>
      </c>
      <c r="S30" s="159">
        <f t="shared" si="10"/>
        <v>0</v>
      </c>
      <c r="T30" s="112"/>
      <c r="U30" s="112"/>
    </row>
    <row r="31" spans="4:21" x14ac:dyDescent="0.25">
      <c r="I31" s="150"/>
      <c r="J31" s="193" t="s">
        <v>124</v>
      </c>
      <c r="K31" s="152"/>
      <c r="L31" s="179">
        <v>0.25</v>
      </c>
      <c r="M31" s="154">
        <v>1</v>
      </c>
      <c r="N31" s="191">
        <f t="shared" si="8"/>
        <v>0.25</v>
      </c>
      <c r="O31" s="180">
        <f>'[1]17. Regulatory Charges'!$D$17</f>
        <v>0.25</v>
      </c>
      <c r="P31" s="157">
        <f t="shared" si="5"/>
        <v>1</v>
      </c>
      <c r="Q31" s="191">
        <f t="shared" si="9"/>
        <v>0.25</v>
      </c>
      <c r="R31" s="158">
        <f t="shared" si="3"/>
        <v>0</v>
      </c>
      <c r="S31" s="159">
        <f t="shared" si="10"/>
        <v>0</v>
      </c>
      <c r="T31" s="112"/>
      <c r="U31" s="112"/>
    </row>
    <row r="32" spans="4:21" x14ac:dyDescent="0.25">
      <c r="I32" s="150"/>
      <c r="J32" s="193" t="s">
        <v>125</v>
      </c>
      <c r="K32" s="152"/>
      <c r="L32" s="194"/>
      <c r="M32" s="195"/>
      <c r="N32" s="196"/>
      <c r="O32" s="197"/>
      <c r="P32" s="195">
        <f t="shared" si="5"/>
        <v>0</v>
      </c>
      <c r="Q32" s="196"/>
      <c r="R32" s="198"/>
      <c r="S32" s="199"/>
      <c r="T32" s="112"/>
      <c r="U32" s="112"/>
    </row>
    <row r="33" spans="9:21" ht="25.5" x14ac:dyDescent="0.25">
      <c r="I33" s="150"/>
      <c r="J33" s="190" t="s">
        <v>126</v>
      </c>
      <c r="K33" s="152"/>
      <c r="L33" s="160"/>
      <c r="M33" s="175"/>
      <c r="N33" s="191"/>
      <c r="O33" s="162"/>
      <c r="P33" s="175">
        <f t="shared" si="5"/>
        <v>0</v>
      </c>
      <c r="Q33" s="191"/>
      <c r="R33" s="158"/>
      <c r="S33" s="159"/>
      <c r="T33" s="112"/>
      <c r="U33" s="112"/>
    </row>
    <row r="34" spans="9:21" x14ac:dyDescent="0.25">
      <c r="I34" s="150"/>
      <c r="J34" s="200" t="s">
        <v>127</v>
      </c>
      <c r="K34" s="152"/>
      <c r="L34" s="201">
        <f>OffPeak</f>
        <v>6.5000000000000002E-2</v>
      </c>
      <c r="M34" s="202">
        <f>IF(AND(K5*12&gt;=150000),0.65*K5*K7,0.65*K5)</f>
        <v>487.5</v>
      </c>
      <c r="N34" s="191">
        <f t="shared" si="8"/>
        <v>31.6875</v>
      </c>
      <c r="O34" s="203">
        <f>OffPeak</f>
        <v>6.5000000000000002E-2</v>
      </c>
      <c r="P34" s="202">
        <f t="shared" si="5"/>
        <v>487.5</v>
      </c>
      <c r="Q34" s="191">
        <f t="shared" si="9"/>
        <v>31.6875</v>
      </c>
      <c r="R34" s="158">
        <f>Q34-N34</f>
        <v>0</v>
      </c>
      <c r="S34" s="159">
        <f t="shared" si="10"/>
        <v>0</v>
      </c>
      <c r="T34" s="112"/>
      <c r="U34" s="112"/>
    </row>
    <row r="35" spans="9:21" x14ac:dyDescent="0.25">
      <c r="I35" s="150"/>
      <c r="J35" s="200" t="s">
        <v>128</v>
      </c>
      <c r="K35" s="152"/>
      <c r="L35" s="201">
        <f>MidPeak</f>
        <v>9.5000000000000001E-2</v>
      </c>
      <c r="M35" s="202">
        <f>IF(AND(K5*12&gt;=150000),0.17*K5*K7,0.17*K5)</f>
        <v>127.50000000000001</v>
      </c>
      <c r="N35" s="191">
        <f t="shared" si="8"/>
        <v>12.112500000000001</v>
      </c>
      <c r="O35" s="203">
        <f>MidPeak</f>
        <v>9.5000000000000001E-2</v>
      </c>
      <c r="P35" s="202">
        <f t="shared" si="5"/>
        <v>127.50000000000001</v>
      </c>
      <c r="Q35" s="191">
        <f t="shared" si="9"/>
        <v>12.112500000000001</v>
      </c>
      <c r="R35" s="158">
        <f>Q35-N35</f>
        <v>0</v>
      </c>
      <c r="S35" s="159">
        <f t="shared" si="10"/>
        <v>0</v>
      </c>
      <c r="T35" s="112"/>
      <c r="U35" s="112"/>
    </row>
    <row r="36" spans="9:21" ht="16.5" thickBot="1" x14ac:dyDescent="0.3">
      <c r="I36" s="150"/>
      <c r="J36" s="134" t="s">
        <v>129</v>
      </c>
      <c r="K36" s="152"/>
      <c r="L36" s="201">
        <f>OnPeak</f>
        <v>0.13200000000000001</v>
      </c>
      <c r="M36" s="202">
        <f>IF(AND(K5*12&gt;=150000),0.18*K5*K7,0.18*K5)</f>
        <v>135</v>
      </c>
      <c r="N36" s="191">
        <f t="shared" si="8"/>
        <v>17.82</v>
      </c>
      <c r="O36" s="203">
        <f>OnPeak</f>
        <v>0.13200000000000001</v>
      </c>
      <c r="P36" s="202">
        <f t="shared" si="5"/>
        <v>135</v>
      </c>
      <c r="Q36" s="191">
        <f t="shared" si="9"/>
        <v>17.82</v>
      </c>
      <c r="R36" s="158">
        <f>Q36-N36</f>
        <v>0</v>
      </c>
      <c r="S36" s="159">
        <f t="shared" si="10"/>
        <v>0</v>
      </c>
      <c r="T36" s="112"/>
      <c r="U36" s="112"/>
    </row>
    <row r="37" spans="9:21" ht="16.5" thickBot="1" x14ac:dyDescent="0.3">
      <c r="I37" s="150"/>
      <c r="J37" s="204"/>
      <c r="K37" s="205"/>
      <c r="L37" s="206"/>
      <c r="M37" s="207"/>
      <c r="N37" s="208"/>
      <c r="O37" s="206"/>
      <c r="P37" s="209"/>
      <c r="Q37" s="208"/>
      <c r="R37" s="210"/>
      <c r="S37" s="211"/>
      <c r="T37" s="112"/>
      <c r="U37" s="112"/>
    </row>
    <row r="38" spans="9:21" x14ac:dyDescent="0.25">
      <c r="I38" s="150"/>
      <c r="J38" s="212" t="s">
        <v>130</v>
      </c>
      <c r="K38" s="213"/>
      <c r="L38" s="214"/>
      <c r="M38" s="215"/>
      <c r="N38" s="216">
        <f>SUM(N29:N36,N28)</f>
        <v>106.03272000000001</v>
      </c>
      <c r="O38" s="217"/>
      <c r="P38" s="217"/>
      <c r="Q38" s="216">
        <f>SUM(Q29:Q36,Q28)</f>
        <v>106.17261092728711</v>
      </c>
      <c r="R38" s="218">
        <f>Q38-N38</f>
        <v>0.13989092728709807</v>
      </c>
      <c r="S38" s="219">
        <f>IF((N38)=0,"",(R38/N38))</f>
        <v>1.3193184828899801E-3</v>
      </c>
      <c r="T38" s="112"/>
      <c r="U38" s="112"/>
    </row>
    <row r="39" spans="9:21" x14ac:dyDescent="0.25">
      <c r="I39" s="150"/>
      <c r="J39" s="220" t="s">
        <v>131</v>
      </c>
      <c r="K39" s="213"/>
      <c r="L39" s="214">
        <v>0.13</v>
      </c>
      <c r="M39" s="221"/>
      <c r="N39" s="222">
        <f>N38*L39</f>
        <v>13.784253600000001</v>
      </c>
      <c r="O39" s="223">
        <v>0.13</v>
      </c>
      <c r="P39" s="154"/>
      <c r="Q39" s="222">
        <f>Q38*O39</f>
        <v>13.802439420547325</v>
      </c>
      <c r="R39" s="224">
        <f>Q39-N39</f>
        <v>1.8185820547323317E-2</v>
      </c>
      <c r="S39" s="225">
        <f>IF((N39)=0,"",(R39/N39))</f>
        <v>1.3193184828900213E-3</v>
      </c>
      <c r="T39" s="112"/>
      <c r="U39" s="112"/>
    </row>
    <row r="40" spans="9:21" x14ac:dyDescent="0.25">
      <c r="I40" s="150"/>
      <c r="J40" s="220" t="s">
        <v>132</v>
      </c>
      <c r="K40" s="213"/>
      <c r="L40" s="214">
        <v>0.08</v>
      </c>
      <c r="M40" s="221"/>
      <c r="N40" s="222">
        <f>N38*-L40</f>
        <v>-8.4826176000000011</v>
      </c>
      <c r="O40" s="214">
        <v>0.08</v>
      </c>
      <c r="P40" s="154"/>
      <c r="Q40" s="222">
        <f>Q38*-O40</f>
        <v>-8.4938088741829691</v>
      </c>
      <c r="R40" s="224">
        <f>Q40-N40</f>
        <v>-1.1191274182968058E-2</v>
      </c>
      <c r="S40" s="225"/>
      <c r="T40" s="112"/>
      <c r="U40" s="112"/>
    </row>
    <row r="41" spans="9:21" ht="16.5" thickBot="1" x14ac:dyDescent="0.3">
      <c r="I41" s="150"/>
      <c r="J41" s="274" t="s">
        <v>133</v>
      </c>
      <c r="K41" s="275"/>
      <c r="L41" s="226"/>
      <c r="M41" s="227"/>
      <c r="N41" s="228">
        <f>N38+N39+N40</f>
        <v>111.33435600000001</v>
      </c>
      <c r="O41" s="229"/>
      <c r="P41" s="229"/>
      <c r="Q41" s="228">
        <f>Q38+Q39+Q40</f>
        <v>111.48124147365147</v>
      </c>
      <c r="R41" s="230">
        <f>Q41-N41</f>
        <v>0.14688547365145155</v>
      </c>
      <c r="S41" s="231">
        <f>IF((N41)=0,"",(R41/N41))</f>
        <v>1.3193184828899673E-3</v>
      </c>
      <c r="T41" s="112"/>
      <c r="U41" s="112"/>
    </row>
    <row r="42" spans="9:21" x14ac:dyDescent="0.25">
      <c r="I42" s="23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</row>
    <row r="43" spans="9:21" ht="16.5" thickBot="1" x14ac:dyDescent="0.3">
      <c r="I43" s="23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</row>
    <row r="44" spans="9:21" x14ac:dyDescent="0.25">
      <c r="I44" s="112"/>
      <c r="J44" s="113" t="s">
        <v>86</v>
      </c>
      <c r="K44" s="276" t="s">
        <v>134</v>
      </c>
      <c r="L44" s="276"/>
      <c r="M44" s="276"/>
      <c r="N44" s="276"/>
      <c r="O44" s="276"/>
      <c r="P44" s="276"/>
      <c r="Q44" s="114" t="e">
        <f>IF(#REF!="DEMAND - INTERVAL","RTSR - INTERVAL METERED","")</f>
        <v>#REF!</v>
      </c>
      <c r="R44" s="114"/>
      <c r="S44" s="115"/>
      <c r="T44" s="112"/>
      <c r="U44" s="112"/>
    </row>
    <row r="45" spans="9:21" x14ac:dyDescent="0.25">
      <c r="I45" s="112"/>
      <c r="J45" s="120" t="s">
        <v>88</v>
      </c>
      <c r="K45" s="273" t="s">
        <v>89</v>
      </c>
      <c r="L45" s="273"/>
      <c r="M45" s="273"/>
      <c r="N45" s="121"/>
      <c r="O45" s="121"/>
      <c r="P45" s="122"/>
      <c r="Q45" s="122"/>
      <c r="R45" s="122"/>
      <c r="S45" s="123"/>
      <c r="T45" s="112"/>
      <c r="U45" s="112"/>
    </row>
    <row r="46" spans="9:21" x14ac:dyDescent="0.25">
      <c r="I46" s="112"/>
      <c r="J46" s="120" t="s">
        <v>90</v>
      </c>
      <c r="K46" s="124">
        <v>2000</v>
      </c>
      <c r="L46" s="125" t="s">
        <v>91</v>
      </c>
      <c r="M46" s="126"/>
      <c r="N46" s="122"/>
      <c r="O46" s="122"/>
      <c r="P46" s="127"/>
      <c r="Q46" s="127"/>
      <c r="R46" s="127"/>
      <c r="S46" s="128"/>
      <c r="T46" s="112"/>
      <c r="U46" s="112"/>
    </row>
    <row r="47" spans="9:21" x14ac:dyDescent="0.25">
      <c r="I47" s="112"/>
      <c r="J47" s="120" t="s">
        <v>92</v>
      </c>
      <c r="K47" s="124">
        <v>0</v>
      </c>
      <c r="L47" s="129" t="s">
        <v>93</v>
      </c>
      <c r="M47" s="130"/>
      <c r="N47" s="131"/>
      <c r="O47" s="131"/>
      <c r="P47" s="131"/>
      <c r="Q47" s="122"/>
      <c r="R47" s="122"/>
      <c r="S47" s="123"/>
      <c r="T47" s="112"/>
      <c r="U47" s="112"/>
    </row>
    <row r="48" spans="9:21" x14ac:dyDescent="0.25">
      <c r="I48" s="112"/>
      <c r="J48" s="120" t="s">
        <v>94</v>
      </c>
      <c r="K48" s="133">
        <v>1.056</v>
      </c>
      <c r="L48" s="122"/>
      <c r="M48" s="122"/>
      <c r="N48" s="122"/>
      <c r="O48" s="122"/>
      <c r="P48" s="122"/>
      <c r="Q48" s="122"/>
      <c r="R48" s="122"/>
      <c r="S48" s="123"/>
      <c r="T48" s="112"/>
      <c r="U48" s="112"/>
    </row>
    <row r="49" spans="9:21" x14ac:dyDescent="0.25">
      <c r="I49" s="112"/>
      <c r="J49" s="120" t="s">
        <v>95</v>
      </c>
      <c r="K49" s="133">
        <v>1.056</v>
      </c>
      <c r="L49" s="122"/>
      <c r="M49" s="122"/>
      <c r="N49" s="122"/>
      <c r="O49" s="122"/>
      <c r="P49" s="122"/>
      <c r="Q49" s="122"/>
      <c r="R49" s="122"/>
      <c r="S49" s="123"/>
      <c r="T49" s="112"/>
      <c r="U49" s="112"/>
    </row>
    <row r="50" spans="9:21" x14ac:dyDescent="0.25">
      <c r="I50" s="112"/>
      <c r="J50" s="134"/>
      <c r="K50" s="122"/>
      <c r="L50" s="122"/>
      <c r="M50" s="122"/>
      <c r="N50" s="122"/>
      <c r="O50" s="122"/>
      <c r="P50" s="122"/>
      <c r="Q50" s="122"/>
      <c r="R50" s="122"/>
      <c r="S50" s="123"/>
      <c r="T50" s="112"/>
      <c r="U50" s="112"/>
    </row>
    <row r="51" spans="9:21" x14ac:dyDescent="0.25">
      <c r="I51" s="112"/>
      <c r="J51" s="134"/>
      <c r="K51" s="139"/>
      <c r="L51" s="262" t="s">
        <v>96</v>
      </c>
      <c r="M51" s="263"/>
      <c r="N51" s="264"/>
      <c r="O51" s="262" t="s">
        <v>97</v>
      </c>
      <c r="P51" s="263"/>
      <c r="Q51" s="264"/>
      <c r="R51" s="262" t="s">
        <v>98</v>
      </c>
      <c r="S51" s="265"/>
      <c r="T51" s="112"/>
      <c r="U51" s="112"/>
    </row>
    <row r="52" spans="9:21" x14ac:dyDescent="0.25">
      <c r="I52" s="112"/>
      <c r="J52" s="134"/>
      <c r="K52" s="266"/>
      <c r="L52" s="144" t="s">
        <v>99</v>
      </c>
      <c r="M52" s="144" t="s">
        <v>100</v>
      </c>
      <c r="N52" s="145" t="s">
        <v>101</v>
      </c>
      <c r="O52" s="144" t="s">
        <v>99</v>
      </c>
      <c r="P52" s="146" t="s">
        <v>100</v>
      </c>
      <c r="Q52" s="145" t="s">
        <v>101</v>
      </c>
      <c r="R52" s="268" t="s">
        <v>102</v>
      </c>
      <c r="S52" s="270" t="s">
        <v>103</v>
      </c>
      <c r="T52" s="112"/>
      <c r="U52" s="112"/>
    </row>
    <row r="53" spans="9:21" x14ac:dyDescent="0.25">
      <c r="I53" s="112"/>
      <c r="J53" s="134"/>
      <c r="K53" s="267"/>
      <c r="L53" s="147" t="s">
        <v>104</v>
      </c>
      <c r="M53" s="147"/>
      <c r="N53" s="148" t="s">
        <v>104</v>
      </c>
      <c r="O53" s="147" t="s">
        <v>104</v>
      </c>
      <c r="P53" s="148"/>
      <c r="Q53" s="148" t="s">
        <v>104</v>
      </c>
      <c r="R53" s="269"/>
      <c r="S53" s="271"/>
      <c r="T53" s="112"/>
      <c r="U53" s="112"/>
    </row>
    <row r="54" spans="9:21" x14ac:dyDescent="0.25">
      <c r="I54" s="150"/>
      <c r="J54" s="151" t="s">
        <v>105</v>
      </c>
      <c r="K54" s="152"/>
      <c r="L54" s="153">
        <v>28.03</v>
      </c>
      <c r="M54" s="154">
        <v>1</v>
      </c>
      <c r="N54" s="155">
        <f>M54*L54</f>
        <v>28.03</v>
      </c>
      <c r="O54" s="156">
        <v>28.56</v>
      </c>
      <c r="P54" s="157">
        <f>M54</f>
        <v>1</v>
      </c>
      <c r="Q54" s="155">
        <f>P54*O54</f>
        <v>28.56</v>
      </c>
      <c r="R54" s="158">
        <f t="shared" ref="R54:R73" si="11">Q54-N54</f>
        <v>0.52999999999999758</v>
      </c>
      <c r="S54" s="159">
        <f>IF(ISERROR(R54/N54), "", R54/N54)</f>
        <v>1.8908312522297452E-2</v>
      </c>
      <c r="T54" s="112"/>
      <c r="U54" s="112"/>
    </row>
    <row r="55" spans="9:21" x14ac:dyDescent="0.25">
      <c r="I55" s="150"/>
      <c r="J55" s="151" t="s">
        <v>106</v>
      </c>
      <c r="K55" s="152"/>
      <c r="L55" s="160">
        <v>1.01E-2</v>
      </c>
      <c r="M55" s="154">
        <v>2000</v>
      </c>
      <c r="N55" s="155">
        <f t="shared" ref="N55:N63" si="12">M55*L55</f>
        <v>20.2</v>
      </c>
      <c r="O55" s="162">
        <v>1.03E-2</v>
      </c>
      <c r="P55" s="157">
        <f t="shared" ref="P55:P77" si="13">M55</f>
        <v>2000</v>
      </c>
      <c r="Q55" s="155">
        <f>P55*O55</f>
        <v>20.6</v>
      </c>
      <c r="R55" s="158">
        <f t="shared" si="11"/>
        <v>0.40000000000000213</v>
      </c>
      <c r="S55" s="159">
        <f t="shared" ref="S55:S63" si="14">IF(ISERROR(R55/N55), "", R55/N55)</f>
        <v>1.980198019801991E-2</v>
      </c>
      <c r="T55" s="112"/>
      <c r="U55" s="112"/>
    </row>
    <row r="56" spans="9:21" x14ac:dyDescent="0.25">
      <c r="I56" s="150"/>
      <c r="J56" s="163" t="s">
        <v>108</v>
      </c>
      <c r="K56" s="152"/>
      <c r="L56" s="153">
        <v>0</v>
      </c>
      <c r="M56" s="154">
        <v>1</v>
      </c>
      <c r="N56" s="155">
        <f t="shared" si="12"/>
        <v>0</v>
      </c>
      <c r="O56" s="156">
        <f>F8</f>
        <v>0.49412458692717792</v>
      </c>
      <c r="P56" s="157">
        <f t="shared" si="13"/>
        <v>1</v>
      </c>
      <c r="Q56" s="155">
        <f t="shared" ref="Q56:Q63" si="15">P56*O56</f>
        <v>0.49412458692717792</v>
      </c>
      <c r="R56" s="158">
        <f t="shared" si="11"/>
        <v>0.49412458692717792</v>
      </c>
      <c r="S56" s="159" t="str">
        <f t="shared" si="14"/>
        <v/>
      </c>
      <c r="T56" s="112"/>
      <c r="U56" s="112"/>
    </row>
    <row r="57" spans="9:21" x14ac:dyDescent="0.25">
      <c r="I57" s="150"/>
      <c r="J57" s="151" t="s">
        <v>109</v>
      </c>
      <c r="K57" s="152"/>
      <c r="L57" s="160">
        <v>0</v>
      </c>
      <c r="M57" s="154">
        <v>2000</v>
      </c>
      <c r="N57" s="155">
        <f t="shared" si="12"/>
        <v>0</v>
      </c>
      <c r="O57" s="162">
        <v>0</v>
      </c>
      <c r="P57" s="157">
        <f t="shared" si="13"/>
        <v>2000</v>
      </c>
      <c r="Q57" s="155">
        <f t="shared" si="15"/>
        <v>0</v>
      </c>
      <c r="R57" s="158">
        <f t="shared" si="11"/>
        <v>0</v>
      </c>
      <c r="S57" s="159" t="str">
        <f t="shared" si="14"/>
        <v/>
      </c>
      <c r="T57" s="112"/>
      <c r="U57" s="112"/>
    </row>
    <row r="58" spans="9:21" x14ac:dyDescent="0.25">
      <c r="I58" s="150" t="e">
        <f>#REF!</f>
        <v>#REF!</v>
      </c>
      <c r="J58" s="165" t="s">
        <v>110</v>
      </c>
      <c r="K58" s="166"/>
      <c r="L58" s="167"/>
      <c r="M58" s="168"/>
      <c r="N58" s="169">
        <f>SUM(N54:N57)</f>
        <v>48.230000000000004</v>
      </c>
      <c r="O58" s="170"/>
      <c r="P58" s="171">
        <f t="shared" si="13"/>
        <v>0</v>
      </c>
      <c r="Q58" s="169">
        <f>SUM(Q54:Q57)</f>
        <v>49.654124586927175</v>
      </c>
      <c r="R58" s="172">
        <f t="shared" si="11"/>
        <v>1.4241245869271708</v>
      </c>
      <c r="S58" s="173">
        <f>IF((N58)=0,"",(R58/N58))</f>
        <v>2.9527774972572481E-2</v>
      </c>
      <c r="T58" s="112"/>
      <c r="U58" s="112"/>
    </row>
    <row r="59" spans="9:21" x14ac:dyDescent="0.25">
      <c r="I59" s="150"/>
      <c r="J59" s="174" t="s">
        <v>111</v>
      </c>
      <c r="K59" s="152"/>
      <c r="L59" s="160">
        <f>IF((K46*12&gt;=150000), 0, IF(K45="RPP",(L75*0.65+L76*0.17+L77*0.18),IF(K45="Non-RPP (Retailer)",#REF!,#REF!)))</f>
        <v>8.2160000000000011E-2</v>
      </c>
      <c r="M59" s="175">
        <v>112</v>
      </c>
      <c r="N59" s="155">
        <f>M59*L59</f>
        <v>9.2019200000000012</v>
      </c>
      <c r="O59" s="162">
        <f>IF((K46*12&gt;=150000), 0, IF(K45="RPP",(O75*0.65+O76*0.17+O77*0.18),IF(K45="Non-RPP (Retailer)",#REF!,#REF!)))</f>
        <v>8.2160000000000011E-2</v>
      </c>
      <c r="P59" s="175">
        <f t="shared" si="13"/>
        <v>112</v>
      </c>
      <c r="Q59" s="155">
        <f>P59*O59</f>
        <v>9.2019200000000012</v>
      </c>
      <c r="R59" s="158">
        <f>Q59-N59</f>
        <v>0</v>
      </c>
      <c r="S59" s="159">
        <f>IF(ISERROR(R59/N59), "", R59/N59)</f>
        <v>0</v>
      </c>
      <c r="T59" s="112"/>
      <c r="U59" s="112"/>
    </row>
    <row r="60" spans="9:21" x14ac:dyDescent="0.25">
      <c r="I60" s="150"/>
      <c r="J60" s="174" t="s">
        <v>112</v>
      </c>
      <c r="K60" s="152"/>
      <c r="L60" s="160">
        <v>-1E-4</v>
      </c>
      <c r="M60" s="176">
        <v>2000</v>
      </c>
      <c r="N60" s="155">
        <f t="shared" si="12"/>
        <v>-0.2</v>
      </c>
      <c r="O60" s="162">
        <v>-1.4E-3</v>
      </c>
      <c r="P60" s="176">
        <f t="shared" si="13"/>
        <v>2000</v>
      </c>
      <c r="Q60" s="155">
        <f t="shared" si="15"/>
        <v>-2.8</v>
      </c>
      <c r="R60" s="158">
        <f t="shared" si="11"/>
        <v>-2.5999999999999996</v>
      </c>
      <c r="S60" s="159">
        <f t="shared" si="14"/>
        <v>12.999999999999998</v>
      </c>
      <c r="T60" s="112"/>
      <c r="U60" s="112"/>
    </row>
    <row r="61" spans="9:21" x14ac:dyDescent="0.25">
      <c r="I61" s="150"/>
      <c r="J61" s="174" t="s">
        <v>113</v>
      </c>
      <c r="K61" s="152"/>
      <c r="L61" s="160">
        <v>0</v>
      </c>
      <c r="M61" s="176">
        <v>2000</v>
      </c>
      <c r="N61" s="155">
        <f>M61*L61</f>
        <v>0</v>
      </c>
      <c r="O61" s="162">
        <v>-1E-4</v>
      </c>
      <c r="P61" s="176">
        <f t="shared" si="13"/>
        <v>2000</v>
      </c>
      <c r="Q61" s="155">
        <f>P61*O61</f>
        <v>-0.2</v>
      </c>
      <c r="R61" s="158">
        <f t="shared" si="11"/>
        <v>-0.2</v>
      </c>
      <c r="S61" s="159" t="str">
        <f t="shared" si="14"/>
        <v/>
      </c>
      <c r="T61" s="112"/>
      <c r="U61" s="112"/>
    </row>
    <row r="62" spans="9:21" x14ac:dyDescent="0.25">
      <c r="I62" s="150"/>
      <c r="J62" s="174" t="s">
        <v>114</v>
      </c>
      <c r="K62" s="152"/>
      <c r="L62" s="160">
        <v>0</v>
      </c>
      <c r="M62" s="176">
        <f>K46</f>
        <v>2000</v>
      </c>
      <c r="N62" s="155">
        <f>M62*L62</f>
        <v>0</v>
      </c>
      <c r="O62" s="162">
        <v>0</v>
      </c>
      <c r="P62" s="176">
        <f t="shared" si="13"/>
        <v>2000</v>
      </c>
      <c r="Q62" s="155">
        <f t="shared" si="15"/>
        <v>0</v>
      </c>
      <c r="R62" s="158">
        <f t="shared" si="11"/>
        <v>0</v>
      </c>
      <c r="S62" s="159" t="str">
        <f t="shared" si="14"/>
        <v/>
      </c>
      <c r="T62" s="112"/>
      <c r="U62" s="112"/>
    </row>
    <row r="63" spans="9:21" x14ac:dyDescent="0.25">
      <c r="I63" s="150"/>
      <c r="J63" s="177" t="s">
        <v>115</v>
      </c>
      <c r="K63" s="152"/>
      <c r="L63" s="160">
        <v>2.3999999999999998E-3</v>
      </c>
      <c r="M63" s="176">
        <v>2000</v>
      </c>
      <c r="N63" s="155">
        <f t="shared" si="12"/>
        <v>4.8</v>
      </c>
      <c r="O63" s="162">
        <v>2.3999999999999998E-3</v>
      </c>
      <c r="P63" s="176">
        <f t="shared" si="13"/>
        <v>2000</v>
      </c>
      <c r="Q63" s="155">
        <f t="shared" si="15"/>
        <v>4.8</v>
      </c>
      <c r="R63" s="158">
        <f t="shared" si="11"/>
        <v>0</v>
      </c>
      <c r="S63" s="159">
        <f t="shared" si="14"/>
        <v>0</v>
      </c>
      <c r="T63" s="112"/>
      <c r="U63" s="112"/>
    </row>
    <row r="64" spans="9:21" ht="38.25" x14ac:dyDescent="0.25">
      <c r="I64" s="150"/>
      <c r="J64" s="178" t="s">
        <v>116</v>
      </c>
      <c r="K64" s="152"/>
      <c r="L64" s="179">
        <v>0.79</v>
      </c>
      <c r="M64" s="154">
        <v>1</v>
      </c>
      <c r="N64" s="155">
        <f>M64*L64</f>
        <v>0.79</v>
      </c>
      <c r="O64" s="180">
        <v>0.79</v>
      </c>
      <c r="P64" s="154">
        <f t="shared" si="13"/>
        <v>1</v>
      </c>
      <c r="Q64" s="155">
        <f>P64*O64</f>
        <v>0.79</v>
      </c>
      <c r="R64" s="158">
        <f t="shared" si="11"/>
        <v>0</v>
      </c>
      <c r="S64" s="159">
        <f>IF(ISERROR(R64/N64), "", R64/N64)</f>
        <v>0</v>
      </c>
      <c r="T64" s="112"/>
      <c r="U64" s="112"/>
    </row>
    <row r="65" spans="9:21" x14ac:dyDescent="0.25">
      <c r="I65" s="150"/>
      <c r="J65" s="177" t="s">
        <v>117</v>
      </c>
      <c r="K65" s="152"/>
      <c r="L65" s="160"/>
      <c r="M65" s="176">
        <v>2000</v>
      </c>
      <c r="N65" s="155">
        <f>M65*L65</f>
        <v>0</v>
      </c>
      <c r="O65" s="162"/>
      <c r="P65" s="176">
        <f t="shared" si="13"/>
        <v>2000</v>
      </c>
      <c r="Q65" s="155">
        <f>P65*O65</f>
        <v>0</v>
      </c>
      <c r="R65" s="158">
        <f t="shared" si="11"/>
        <v>0</v>
      </c>
      <c r="S65" s="159" t="str">
        <f>IF(ISERROR(R65/N65), "", R65/N65)</f>
        <v/>
      </c>
      <c r="T65" s="112"/>
      <c r="U65" s="112"/>
    </row>
    <row r="66" spans="9:21" x14ac:dyDescent="0.25">
      <c r="I66" s="150" t="e">
        <f>#REF!</f>
        <v>#REF!</v>
      </c>
      <c r="J66" s="181" t="s">
        <v>118</v>
      </c>
      <c r="K66" s="182"/>
      <c r="L66" s="183"/>
      <c r="M66" s="184"/>
      <c r="N66" s="185">
        <f>SUM(N58:N65)</f>
        <v>62.821919999999999</v>
      </c>
      <c r="O66" s="186"/>
      <c r="P66" s="187">
        <f t="shared" si="13"/>
        <v>0</v>
      </c>
      <c r="Q66" s="185">
        <f>SUM(Q58:Q65)</f>
        <v>61.446044586927172</v>
      </c>
      <c r="R66" s="172">
        <f t="shared" si="11"/>
        <v>-1.3758754130728263</v>
      </c>
      <c r="S66" s="173">
        <f>IF((N66)=0,"",(R66/N66))</f>
        <v>-2.1901199662041949E-2</v>
      </c>
      <c r="T66" s="112"/>
      <c r="U66" s="112"/>
    </row>
    <row r="67" spans="9:21" x14ac:dyDescent="0.25">
      <c r="I67" s="150"/>
      <c r="J67" s="188" t="s">
        <v>119</v>
      </c>
      <c r="K67" s="152"/>
      <c r="L67" s="160">
        <v>5.8999999999999999E-3</v>
      </c>
      <c r="M67" s="175">
        <v>2112</v>
      </c>
      <c r="N67" s="155">
        <f>M67*L67</f>
        <v>12.460799999999999</v>
      </c>
      <c r="O67" s="162">
        <v>6.0000000000000001E-3</v>
      </c>
      <c r="P67" s="175">
        <f t="shared" si="13"/>
        <v>2112</v>
      </c>
      <c r="Q67" s="155">
        <f>P67*O67</f>
        <v>12.672000000000001</v>
      </c>
      <c r="R67" s="158">
        <f t="shared" si="11"/>
        <v>0.21120000000000161</v>
      </c>
      <c r="S67" s="159">
        <f>IF(ISERROR(R67/N67), "", R67/N67)</f>
        <v>1.6949152542373013E-2</v>
      </c>
      <c r="T67" s="112"/>
      <c r="U67" s="112"/>
    </row>
    <row r="68" spans="9:21" ht="25.5" x14ac:dyDescent="0.25">
      <c r="I68" s="150"/>
      <c r="J68" s="189" t="s">
        <v>120</v>
      </c>
      <c r="K68" s="152"/>
      <c r="L68" s="160">
        <v>5.1000000000000004E-3</v>
      </c>
      <c r="M68" s="175">
        <v>2112</v>
      </c>
      <c r="N68" s="155">
        <f>M68*L68</f>
        <v>10.7712</v>
      </c>
      <c r="O68" s="162">
        <v>5.1000000000000004E-3</v>
      </c>
      <c r="P68" s="175">
        <f t="shared" si="13"/>
        <v>2112</v>
      </c>
      <c r="Q68" s="155">
        <f>P68*O68</f>
        <v>10.7712</v>
      </c>
      <c r="R68" s="158">
        <f t="shared" si="11"/>
        <v>0</v>
      </c>
      <c r="S68" s="159">
        <f>IF(ISERROR(R68/N68), "", R68/N68)</f>
        <v>0</v>
      </c>
      <c r="T68" s="112"/>
      <c r="U68" s="112"/>
    </row>
    <row r="69" spans="9:21" x14ac:dyDescent="0.25">
      <c r="I69" s="150" t="e">
        <f>#REF!</f>
        <v>#REF!</v>
      </c>
      <c r="J69" s="181" t="s">
        <v>121</v>
      </c>
      <c r="K69" s="166"/>
      <c r="L69" s="183"/>
      <c r="M69" s="184"/>
      <c r="N69" s="185">
        <f>SUM(N66:N68)</f>
        <v>86.053920000000005</v>
      </c>
      <c r="O69" s="186"/>
      <c r="P69" s="171">
        <f t="shared" si="13"/>
        <v>0</v>
      </c>
      <c r="Q69" s="185">
        <f>SUM(Q66:Q68)</f>
        <v>84.889244586927163</v>
      </c>
      <c r="R69" s="172">
        <f t="shared" si="11"/>
        <v>-1.1646754130728425</v>
      </c>
      <c r="S69" s="173">
        <f>IF((N69)=0,"",(R69/N69))</f>
        <v>-1.3534251700246107E-2</v>
      </c>
      <c r="T69" s="112"/>
      <c r="U69" s="112"/>
    </row>
    <row r="70" spans="9:21" x14ac:dyDescent="0.25">
      <c r="I70" s="150"/>
      <c r="J70" s="190" t="s">
        <v>122</v>
      </c>
      <c r="K70" s="152"/>
      <c r="L70" s="160">
        <v>3.6000000000000003E-3</v>
      </c>
      <c r="M70" s="175">
        <f>K46*K48</f>
        <v>2112</v>
      </c>
      <c r="N70" s="191">
        <f t="shared" ref="N70:N77" si="16">M70*L70</f>
        <v>7.6032000000000011</v>
      </c>
      <c r="O70" s="162">
        <v>3.6000000000000003E-3</v>
      </c>
      <c r="P70" s="175">
        <f t="shared" si="13"/>
        <v>2112</v>
      </c>
      <c r="Q70" s="191">
        <f t="shared" ref="Q70:Q77" si="17">P70*O70</f>
        <v>7.6032000000000011</v>
      </c>
      <c r="R70" s="158">
        <f t="shared" si="11"/>
        <v>0</v>
      </c>
      <c r="S70" s="159">
        <f t="shared" ref="S70:S77" si="18">IF(ISERROR(R70/N70), "", R70/N70)</f>
        <v>0</v>
      </c>
      <c r="T70" s="112"/>
      <c r="U70" s="112"/>
    </row>
    <row r="71" spans="9:21" x14ac:dyDescent="0.25">
      <c r="I71" s="150"/>
      <c r="J71" s="190" t="s">
        <v>123</v>
      </c>
      <c r="K71" s="152"/>
      <c r="L71" s="160">
        <f>'[1]17. Regulatory Charges'!$D$16</f>
        <v>2.9999999999999997E-4</v>
      </c>
      <c r="M71" s="175">
        <f>K46*K48</f>
        <v>2112</v>
      </c>
      <c r="N71" s="191">
        <f t="shared" si="16"/>
        <v>0.63359999999999994</v>
      </c>
      <c r="O71" s="162">
        <v>2.9999999999999997E-4</v>
      </c>
      <c r="P71" s="175">
        <f t="shared" si="13"/>
        <v>2112</v>
      </c>
      <c r="Q71" s="191">
        <f t="shared" si="17"/>
        <v>0.63359999999999994</v>
      </c>
      <c r="R71" s="158">
        <f t="shared" si="11"/>
        <v>0</v>
      </c>
      <c r="S71" s="159">
        <f t="shared" si="18"/>
        <v>0</v>
      </c>
      <c r="T71" s="112"/>
      <c r="U71" s="112"/>
    </row>
    <row r="72" spans="9:21" x14ac:dyDescent="0.25">
      <c r="I72" s="150"/>
      <c r="J72" s="193" t="s">
        <v>124</v>
      </c>
      <c r="K72" s="152"/>
      <c r="L72" s="179">
        <v>0.25</v>
      </c>
      <c r="M72" s="154">
        <v>1</v>
      </c>
      <c r="N72" s="191">
        <f t="shared" si="16"/>
        <v>0.25</v>
      </c>
      <c r="O72" s="180">
        <f>'[1]17. Regulatory Charges'!$D$17</f>
        <v>0.25</v>
      </c>
      <c r="P72" s="157">
        <f t="shared" si="13"/>
        <v>1</v>
      </c>
      <c r="Q72" s="191">
        <f t="shared" si="17"/>
        <v>0.25</v>
      </c>
      <c r="R72" s="158">
        <f t="shared" si="11"/>
        <v>0</v>
      </c>
      <c r="S72" s="159">
        <f t="shared" si="18"/>
        <v>0</v>
      </c>
      <c r="T72" s="112"/>
      <c r="U72" s="112"/>
    </row>
    <row r="73" spans="9:21" x14ac:dyDescent="0.25">
      <c r="I73" s="150"/>
      <c r="J73" s="193" t="s">
        <v>125</v>
      </c>
      <c r="K73" s="152"/>
      <c r="L73" s="160">
        <f>IF('[1]1. Information Sheet'!L81 = DATE(2016, 5, 1), (IF(ISERROR(FIND("RESIDENTIAL", UPPER(K44))), DRC, 0)), DRC)</f>
        <v>7.0000000000000001E-3</v>
      </c>
      <c r="M73" s="176">
        <f>K46</f>
        <v>2000</v>
      </c>
      <c r="N73" s="191">
        <f t="shared" si="16"/>
        <v>14</v>
      </c>
      <c r="O73" s="233">
        <f>IF(ISERROR(FIND("RESIDENTIAL", UPPER(K44))),DRC, 0)</f>
        <v>7.0000000000000001E-3</v>
      </c>
      <c r="P73" s="176">
        <f t="shared" si="13"/>
        <v>2000</v>
      </c>
      <c r="Q73" s="191">
        <f t="shared" si="17"/>
        <v>14</v>
      </c>
      <c r="R73" s="158">
        <f t="shared" si="11"/>
        <v>0</v>
      </c>
      <c r="S73" s="159">
        <f t="shared" si="18"/>
        <v>0</v>
      </c>
      <c r="T73" s="112"/>
      <c r="U73" s="112"/>
    </row>
    <row r="74" spans="9:21" ht="25.5" x14ac:dyDescent="0.25">
      <c r="I74" s="150"/>
      <c r="J74" s="190" t="s">
        <v>126</v>
      </c>
      <c r="K74" s="152"/>
      <c r="L74" s="160"/>
      <c r="M74" s="175"/>
      <c r="N74" s="191"/>
      <c r="O74" s="162"/>
      <c r="P74" s="175">
        <f t="shared" si="13"/>
        <v>0</v>
      </c>
      <c r="Q74" s="191"/>
      <c r="R74" s="158"/>
      <c r="S74" s="159"/>
      <c r="T74" s="112"/>
      <c r="U74" s="112"/>
    </row>
    <row r="75" spans="9:21" x14ac:dyDescent="0.25">
      <c r="I75" s="150"/>
      <c r="J75" s="200" t="s">
        <v>127</v>
      </c>
      <c r="K75" s="152"/>
      <c r="L75" s="201">
        <f>OffPeak</f>
        <v>6.5000000000000002E-2</v>
      </c>
      <c r="M75" s="202">
        <f>IF(AND(K46*12&gt;=150000),0.65*K46*K48,0.65*K46)</f>
        <v>1300</v>
      </c>
      <c r="N75" s="191">
        <f t="shared" si="16"/>
        <v>84.5</v>
      </c>
      <c r="O75" s="203">
        <f>OffPeak</f>
        <v>6.5000000000000002E-2</v>
      </c>
      <c r="P75" s="202">
        <f t="shared" si="13"/>
        <v>1300</v>
      </c>
      <c r="Q75" s="191">
        <f t="shared" si="17"/>
        <v>84.5</v>
      </c>
      <c r="R75" s="158">
        <f>Q75-N75</f>
        <v>0</v>
      </c>
      <c r="S75" s="159">
        <f t="shared" si="18"/>
        <v>0</v>
      </c>
      <c r="T75" s="112"/>
      <c r="U75" s="112"/>
    </row>
    <row r="76" spans="9:21" x14ac:dyDescent="0.25">
      <c r="I76" s="150"/>
      <c r="J76" s="200" t="s">
        <v>128</v>
      </c>
      <c r="K76" s="152"/>
      <c r="L76" s="201">
        <f>MidPeak</f>
        <v>9.5000000000000001E-2</v>
      </c>
      <c r="M76" s="202">
        <f>IF(AND(K46*12&gt;=150000),0.17*K46*K48,0.17*K46)</f>
        <v>340</v>
      </c>
      <c r="N76" s="191">
        <f t="shared" si="16"/>
        <v>32.299999999999997</v>
      </c>
      <c r="O76" s="203">
        <f>MidPeak</f>
        <v>9.5000000000000001E-2</v>
      </c>
      <c r="P76" s="202">
        <f t="shared" si="13"/>
        <v>340</v>
      </c>
      <c r="Q76" s="191">
        <f t="shared" si="17"/>
        <v>32.299999999999997</v>
      </c>
      <c r="R76" s="158">
        <f>Q76-N76</f>
        <v>0</v>
      </c>
      <c r="S76" s="159">
        <f t="shared" si="18"/>
        <v>0</v>
      </c>
      <c r="T76" s="112"/>
      <c r="U76" s="112"/>
    </row>
    <row r="77" spans="9:21" ht="16.5" thickBot="1" x14ac:dyDescent="0.3">
      <c r="I77" s="150"/>
      <c r="J77" s="134" t="s">
        <v>129</v>
      </c>
      <c r="K77" s="152"/>
      <c r="L77" s="201">
        <f>OnPeak</f>
        <v>0.13200000000000001</v>
      </c>
      <c r="M77" s="202">
        <f>IF(AND(K46*12&gt;=150000),0.18*K46*K48,0.18*K46)</f>
        <v>360</v>
      </c>
      <c r="N77" s="191">
        <f t="shared" si="16"/>
        <v>47.52</v>
      </c>
      <c r="O77" s="203">
        <f>OnPeak</f>
        <v>0.13200000000000001</v>
      </c>
      <c r="P77" s="202">
        <f t="shared" si="13"/>
        <v>360</v>
      </c>
      <c r="Q77" s="191">
        <f t="shared" si="17"/>
        <v>47.52</v>
      </c>
      <c r="R77" s="158">
        <f>Q77-N77</f>
        <v>0</v>
      </c>
      <c r="S77" s="159">
        <f t="shared" si="18"/>
        <v>0</v>
      </c>
      <c r="T77" s="112"/>
      <c r="U77" s="112"/>
    </row>
    <row r="78" spans="9:21" ht="16.5" thickBot="1" x14ac:dyDescent="0.3">
      <c r="I78" s="150"/>
      <c r="J78" s="204"/>
      <c r="K78" s="205"/>
      <c r="L78" s="206"/>
      <c r="M78" s="207"/>
      <c r="N78" s="208"/>
      <c r="O78" s="206"/>
      <c r="P78" s="209"/>
      <c r="Q78" s="208"/>
      <c r="R78" s="210"/>
      <c r="S78" s="211"/>
      <c r="T78" s="112"/>
      <c r="U78" s="112"/>
    </row>
    <row r="79" spans="9:21" x14ac:dyDescent="0.25">
      <c r="I79" s="150"/>
      <c r="J79" s="212" t="s">
        <v>130</v>
      </c>
      <c r="K79" s="213"/>
      <c r="L79" s="214"/>
      <c r="M79" s="215"/>
      <c r="N79" s="216">
        <f>SUM(N70:N77,N69)</f>
        <v>272.86072000000001</v>
      </c>
      <c r="O79" s="217"/>
      <c r="P79" s="217"/>
      <c r="Q79" s="216">
        <f>SUM(Q70:Q77,Q69)</f>
        <v>271.6960445869272</v>
      </c>
      <c r="R79" s="218">
        <f>Q79-N79</f>
        <v>-1.1646754130728141</v>
      </c>
      <c r="S79" s="219">
        <f>IF((N79)=0,"",(R79/N79))</f>
        <v>-4.2683879639136557E-3</v>
      </c>
      <c r="T79" s="112"/>
      <c r="U79" s="112"/>
    </row>
    <row r="80" spans="9:21" x14ac:dyDescent="0.25">
      <c r="I80" s="150"/>
      <c r="J80" s="220" t="s">
        <v>131</v>
      </c>
      <c r="K80" s="213"/>
      <c r="L80" s="214">
        <v>0.13</v>
      </c>
      <c r="M80" s="221"/>
      <c r="N80" s="222">
        <f>N79*L80</f>
        <v>35.471893600000001</v>
      </c>
      <c r="O80" s="223">
        <v>0.13</v>
      </c>
      <c r="P80" s="154"/>
      <c r="Q80" s="222">
        <f>Q79*O80</f>
        <v>35.320485796300538</v>
      </c>
      <c r="R80" s="224">
        <f>Q80-N80</f>
        <v>-0.15140780369946327</v>
      </c>
      <c r="S80" s="225">
        <f>IF((N80)=0,"",(R80/N80))</f>
        <v>-4.2683879639135837E-3</v>
      </c>
      <c r="T80" s="112"/>
      <c r="U80" s="112"/>
    </row>
    <row r="81" spans="9:21" x14ac:dyDescent="0.25">
      <c r="I81" s="150"/>
      <c r="J81" s="220" t="s">
        <v>132</v>
      </c>
      <c r="K81" s="213"/>
      <c r="L81" s="214">
        <v>0.08</v>
      </c>
      <c r="M81" s="221"/>
      <c r="N81" s="222">
        <f>N79*-L81</f>
        <v>-21.828857600000003</v>
      </c>
      <c r="O81" s="214">
        <v>0.08</v>
      </c>
      <c r="P81" s="154"/>
      <c r="Q81" s="222">
        <f>Q79*-O81</f>
        <v>-21.735683566954176</v>
      </c>
      <c r="R81" s="224">
        <f>Q81-N81</f>
        <v>9.3174033045826832E-2</v>
      </c>
      <c r="S81" s="225"/>
      <c r="T81" s="112"/>
      <c r="U81" s="112"/>
    </row>
    <row r="82" spans="9:21" ht="16.5" thickBot="1" x14ac:dyDescent="0.3">
      <c r="I82" s="150"/>
      <c r="J82" s="260" t="s">
        <v>133</v>
      </c>
      <c r="K82" s="261"/>
      <c r="L82" s="234"/>
      <c r="M82" s="235"/>
      <c r="N82" s="236">
        <f>N79+N80+N81</f>
        <v>286.50375600000001</v>
      </c>
      <c r="O82" s="237"/>
      <c r="P82" s="237"/>
      <c r="Q82" s="238">
        <f>Q79+Q80+Q81</f>
        <v>285.28084681627359</v>
      </c>
      <c r="R82" s="239">
        <f>Q82-N82</f>
        <v>-1.222909183726415</v>
      </c>
      <c r="S82" s="240">
        <f>IF((N82)=0,"",(R82/N82))</f>
        <v>-4.2683879639135169E-3</v>
      </c>
      <c r="T82" s="112"/>
      <c r="U82" s="112"/>
    </row>
    <row r="83" spans="9:21" ht="16.5" thickBot="1" x14ac:dyDescent="0.3">
      <c r="I83" s="150"/>
      <c r="J83" s="204"/>
      <c r="K83" s="205"/>
      <c r="L83" s="206"/>
      <c r="M83" s="207"/>
      <c r="N83" s="208"/>
      <c r="O83" s="206"/>
      <c r="P83" s="209"/>
      <c r="Q83" s="208"/>
      <c r="R83" s="210"/>
      <c r="S83" s="211"/>
      <c r="T83" s="112"/>
      <c r="U83" s="112"/>
    </row>
    <row r="84" spans="9:21" x14ac:dyDescent="0.25">
      <c r="I84" s="232"/>
      <c r="J84" s="241"/>
      <c r="K84" s="122"/>
      <c r="L84" s="122"/>
      <c r="M84" s="122"/>
      <c r="N84" s="122"/>
      <c r="O84" s="122"/>
      <c r="P84" s="122"/>
      <c r="Q84" s="122"/>
      <c r="R84" s="122"/>
      <c r="S84" s="123"/>
      <c r="T84" s="112"/>
      <c r="U84" s="112"/>
    </row>
    <row r="85" spans="9:21" x14ac:dyDescent="0.25">
      <c r="I85" s="232"/>
      <c r="J85" s="241"/>
      <c r="K85" s="122"/>
      <c r="L85" s="122"/>
      <c r="M85" s="122"/>
      <c r="N85" s="122"/>
      <c r="O85" s="122"/>
      <c r="P85" s="122"/>
      <c r="Q85" s="122"/>
      <c r="R85" s="122"/>
      <c r="S85" s="123"/>
      <c r="T85" s="112"/>
      <c r="U85" s="112"/>
    </row>
    <row r="86" spans="9:21" x14ac:dyDescent="0.25">
      <c r="I86" s="112"/>
      <c r="J86" s="120" t="s">
        <v>86</v>
      </c>
      <c r="K86" s="272" t="s">
        <v>135</v>
      </c>
      <c r="L86" s="272"/>
      <c r="M86" s="272"/>
      <c r="N86" s="272"/>
      <c r="O86" s="272"/>
      <c r="P86" s="272"/>
      <c r="Q86" s="122" t="e">
        <f>IF(#REF!="DEMAND - INTERVAL","RTSR - INTERVAL METERED","")</f>
        <v>#REF!</v>
      </c>
      <c r="R86" s="122"/>
      <c r="S86" s="123"/>
      <c r="T86" s="112"/>
      <c r="U86" s="112"/>
    </row>
    <row r="87" spans="9:21" x14ac:dyDescent="0.25">
      <c r="I87" s="112"/>
      <c r="J87" s="120" t="s">
        <v>88</v>
      </c>
      <c r="K87" s="273" t="s">
        <v>136</v>
      </c>
      <c r="L87" s="273"/>
      <c r="M87" s="273"/>
      <c r="N87" s="121"/>
      <c r="O87" s="121"/>
      <c r="P87" s="122"/>
      <c r="Q87" s="122"/>
      <c r="R87" s="122"/>
      <c r="S87" s="123"/>
      <c r="T87" s="112"/>
      <c r="U87" s="112"/>
    </row>
    <row r="88" spans="9:21" x14ac:dyDescent="0.25">
      <c r="I88" s="112"/>
      <c r="J88" s="120" t="s">
        <v>90</v>
      </c>
      <c r="K88" s="124">
        <v>328500</v>
      </c>
      <c r="L88" s="125" t="s">
        <v>91</v>
      </c>
      <c r="M88" s="126"/>
      <c r="N88" s="122"/>
      <c r="O88" s="122"/>
      <c r="P88" s="127"/>
      <c r="Q88" s="127"/>
      <c r="R88" s="127"/>
      <c r="S88" s="128"/>
      <c r="T88" s="112"/>
      <c r="U88" s="112"/>
    </row>
    <row r="89" spans="9:21" x14ac:dyDescent="0.25">
      <c r="I89" s="112"/>
      <c r="J89" s="120" t="s">
        <v>92</v>
      </c>
      <c r="K89" s="124">
        <v>500</v>
      </c>
      <c r="L89" s="129" t="s">
        <v>93</v>
      </c>
      <c r="M89" s="130"/>
      <c r="N89" s="131"/>
      <c r="O89" s="131"/>
      <c r="P89" s="131"/>
      <c r="Q89" s="122"/>
      <c r="R89" s="122"/>
      <c r="S89" s="123"/>
      <c r="T89" s="112"/>
      <c r="U89" s="112"/>
    </row>
    <row r="90" spans="9:21" x14ac:dyDescent="0.25">
      <c r="I90" s="112"/>
      <c r="J90" s="120" t="s">
        <v>94</v>
      </c>
      <c r="K90" s="133">
        <v>1.056</v>
      </c>
      <c r="L90" s="122"/>
      <c r="M90" s="122"/>
      <c r="N90" s="122"/>
      <c r="O90" s="122"/>
      <c r="P90" s="122"/>
      <c r="Q90" s="122"/>
      <c r="R90" s="122"/>
      <c r="S90" s="123"/>
      <c r="T90" s="112"/>
      <c r="U90" s="112"/>
    </row>
    <row r="91" spans="9:21" x14ac:dyDescent="0.25">
      <c r="I91" s="112"/>
      <c r="J91" s="120" t="s">
        <v>95</v>
      </c>
      <c r="K91" s="133">
        <v>1.056</v>
      </c>
      <c r="L91" s="122"/>
      <c r="M91" s="122"/>
      <c r="N91" s="122"/>
      <c r="O91" s="122"/>
      <c r="P91" s="122"/>
      <c r="Q91" s="122"/>
      <c r="R91" s="122"/>
      <c r="S91" s="123"/>
      <c r="T91" s="112"/>
      <c r="U91" s="112"/>
    </row>
    <row r="92" spans="9:21" x14ac:dyDescent="0.25">
      <c r="I92" s="112"/>
      <c r="J92" s="134"/>
      <c r="K92" s="122"/>
      <c r="L92" s="122"/>
      <c r="M92" s="122"/>
      <c r="N92" s="122"/>
      <c r="O92" s="122"/>
      <c r="P92" s="122"/>
      <c r="Q92" s="122"/>
      <c r="R92" s="122"/>
      <c r="S92" s="123"/>
      <c r="T92" s="112"/>
      <c r="U92" s="112"/>
    </row>
    <row r="93" spans="9:21" x14ac:dyDescent="0.25">
      <c r="I93" s="112"/>
      <c r="J93" s="134"/>
      <c r="K93" s="139"/>
      <c r="L93" s="262" t="s">
        <v>96</v>
      </c>
      <c r="M93" s="263"/>
      <c r="N93" s="264"/>
      <c r="O93" s="262" t="s">
        <v>97</v>
      </c>
      <c r="P93" s="263"/>
      <c r="Q93" s="264"/>
      <c r="R93" s="262" t="s">
        <v>98</v>
      </c>
      <c r="S93" s="265"/>
      <c r="T93" s="112"/>
      <c r="U93" s="112"/>
    </row>
    <row r="94" spans="9:21" x14ac:dyDescent="0.25">
      <c r="I94" s="112"/>
      <c r="J94" s="134"/>
      <c r="K94" s="266"/>
      <c r="L94" s="144" t="s">
        <v>99</v>
      </c>
      <c r="M94" s="144" t="s">
        <v>100</v>
      </c>
      <c r="N94" s="145" t="s">
        <v>101</v>
      </c>
      <c r="O94" s="144" t="s">
        <v>99</v>
      </c>
      <c r="P94" s="146" t="s">
        <v>100</v>
      </c>
      <c r="Q94" s="145" t="s">
        <v>101</v>
      </c>
      <c r="R94" s="268" t="s">
        <v>102</v>
      </c>
      <c r="S94" s="270" t="s">
        <v>103</v>
      </c>
      <c r="T94" s="112"/>
      <c r="U94" s="112"/>
    </row>
    <row r="95" spans="9:21" x14ac:dyDescent="0.25">
      <c r="I95" s="112"/>
      <c r="J95" s="134"/>
      <c r="K95" s="267"/>
      <c r="L95" s="147" t="s">
        <v>104</v>
      </c>
      <c r="M95" s="147"/>
      <c r="N95" s="148" t="s">
        <v>104</v>
      </c>
      <c r="O95" s="147" t="s">
        <v>104</v>
      </c>
      <c r="P95" s="148"/>
      <c r="Q95" s="148" t="s">
        <v>104</v>
      </c>
      <c r="R95" s="269"/>
      <c r="S95" s="271"/>
      <c r="T95" s="112"/>
      <c r="U95" s="112"/>
    </row>
    <row r="96" spans="9:21" x14ac:dyDescent="0.25">
      <c r="I96" s="150"/>
      <c r="J96" s="151" t="s">
        <v>105</v>
      </c>
      <c r="K96" s="152"/>
      <c r="L96" s="153">
        <v>85.8</v>
      </c>
      <c r="M96" s="154">
        <v>1</v>
      </c>
      <c r="N96" s="155">
        <f>M96*L96</f>
        <v>85.8</v>
      </c>
      <c r="O96" s="156">
        <v>87.43</v>
      </c>
      <c r="P96" s="157">
        <f>M96</f>
        <v>1</v>
      </c>
      <c r="Q96" s="155">
        <f>P96*O96</f>
        <v>87.43</v>
      </c>
      <c r="R96" s="158">
        <f t="shared" ref="R96:R115" si="19">Q96-N96</f>
        <v>1.6300000000000097</v>
      </c>
      <c r="S96" s="159">
        <f>IF(ISERROR(R96/N96), "", R96/N96)</f>
        <v>1.8997668997669109E-2</v>
      </c>
      <c r="T96" s="112"/>
      <c r="U96" s="112"/>
    </row>
    <row r="97" spans="9:21" x14ac:dyDescent="0.25">
      <c r="I97" s="150"/>
      <c r="J97" s="151" t="s">
        <v>106</v>
      </c>
      <c r="K97" s="152"/>
      <c r="L97" s="160">
        <v>3.8123</v>
      </c>
      <c r="M97" s="161">
        <f>$K$89</f>
        <v>500</v>
      </c>
      <c r="N97" s="155">
        <f t="shared" ref="N97:N105" si="20">M97*L97</f>
        <v>1906.15</v>
      </c>
      <c r="O97" s="162">
        <v>3.8847</v>
      </c>
      <c r="P97" s="157">
        <f t="shared" ref="P97:P117" si="21">M97</f>
        <v>500</v>
      </c>
      <c r="Q97" s="155">
        <f>P97*O97</f>
        <v>1942.35</v>
      </c>
      <c r="R97" s="158">
        <f t="shared" si="19"/>
        <v>36.199999999999818</v>
      </c>
      <c r="S97" s="159">
        <f t="shared" ref="S97:S105" si="22">IF(ISERROR(R97/N97), "", R97/N97)</f>
        <v>1.8991160192009977E-2</v>
      </c>
      <c r="T97" s="112"/>
      <c r="U97" s="112"/>
    </row>
    <row r="98" spans="9:21" x14ac:dyDescent="0.25">
      <c r="I98" s="150"/>
      <c r="J98" s="163" t="s">
        <v>108</v>
      </c>
      <c r="K98" s="152"/>
      <c r="L98" s="153">
        <v>0</v>
      </c>
      <c r="M98" s="154">
        <v>1</v>
      </c>
      <c r="N98" s="155">
        <f t="shared" si="20"/>
        <v>0</v>
      </c>
      <c r="O98" s="156">
        <f>F9</f>
        <v>5.8694786521671158</v>
      </c>
      <c r="P98" s="157">
        <f t="shared" si="21"/>
        <v>1</v>
      </c>
      <c r="Q98" s="155">
        <f t="shared" ref="Q98:Q105" si="23">P98*O98</f>
        <v>5.8694786521671158</v>
      </c>
      <c r="R98" s="158">
        <f t="shared" si="19"/>
        <v>5.8694786521671158</v>
      </c>
      <c r="S98" s="159" t="str">
        <f t="shared" si="22"/>
        <v/>
      </c>
      <c r="T98" s="112"/>
      <c r="U98" s="112"/>
    </row>
    <row r="99" spans="9:21" x14ac:dyDescent="0.25">
      <c r="I99" s="150"/>
      <c r="J99" s="151" t="s">
        <v>109</v>
      </c>
      <c r="K99" s="152"/>
      <c r="L99" s="160">
        <v>0</v>
      </c>
      <c r="M99" s="154">
        <f>$K$89</f>
        <v>500</v>
      </c>
      <c r="N99" s="155">
        <f t="shared" si="20"/>
        <v>0</v>
      </c>
      <c r="O99" s="162">
        <v>0</v>
      </c>
      <c r="P99" s="157">
        <f t="shared" si="21"/>
        <v>500</v>
      </c>
      <c r="Q99" s="155">
        <f t="shared" si="23"/>
        <v>0</v>
      </c>
      <c r="R99" s="158">
        <f t="shared" si="19"/>
        <v>0</v>
      </c>
      <c r="S99" s="159" t="str">
        <f t="shared" si="22"/>
        <v/>
      </c>
      <c r="T99" s="112"/>
      <c r="U99" s="112"/>
    </row>
    <row r="100" spans="9:21" x14ac:dyDescent="0.25">
      <c r="I100" s="150"/>
      <c r="J100" s="165" t="s">
        <v>110</v>
      </c>
      <c r="K100" s="166"/>
      <c r="L100" s="167"/>
      <c r="M100" s="168"/>
      <c r="N100" s="169">
        <f>SUM(N96:N99)</f>
        <v>1991.95</v>
      </c>
      <c r="O100" s="170"/>
      <c r="P100" s="171">
        <f t="shared" si="21"/>
        <v>0</v>
      </c>
      <c r="Q100" s="169">
        <f>SUM(Q96:Q99)</f>
        <v>2035.6494786521671</v>
      </c>
      <c r="R100" s="172">
        <f t="shared" si="19"/>
        <v>43.699478652167045</v>
      </c>
      <c r="S100" s="173">
        <f>IF((N100)=0,"",(R100/N100))</f>
        <v>2.1938039936829259E-2</v>
      </c>
      <c r="T100" s="112"/>
      <c r="U100" s="112"/>
    </row>
    <row r="101" spans="9:21" x14ac:dyDescent="0.25">
      <c r="I101" s="150"/>
      <c r="J101" s="174" t="s">
        <v>111</v>
      </c>
      <c r="K101" s="152"/>
      <c r="L101" s="160">
        <f>IF((K88*12&gt;=150000), 0, IF(K87="RPP",(#REF!*0.65+#REF!*0.17+#REF!*0.18),IF(K87="Non-RPP (Retailer)",#REF!,L117)))</f>
        <v>0</v>
      </c>
      <c r="M101" s="175">
        <f>IF(L101=0, 0, $E88*K90-K88)</f>
        <v>0</v>
      </c>
      <c r="N101" s="155">
        <f>M101*L101</f>
        <v>0</v>
      </c>
      <c r="O101" s="162">
        <f>IF((K88*12&gt;=150000), 0, IF(K87="RPP",(#REF!*0.65+#REF!*0.17+#REF!*0.18),IF(K87="Non-RPP (Retailer)",#REF!,O117)))</f>
        <v>0</v>
      </c>
      <c r="P101" s="175">
        <f t="shared" si="21"/>
        <v>0</v>
      </c>
      <c r="Q101" s="155">
        <f>P101*O101</f>
        <v>0</v>
      </c>
      <c r="R101" s="158">
        <f>Q101-N101</f>
        <v>0</v>
      </c>
      <c r="S101" s="159" t="str">
        <f>IF(ISERROR(R101/N101), "", R101/N101)</f>
        <v/>
      </c>
      <c r="T101" s="112"/>
      <c r="U101" s="112"/>
    </row>
    <row r="102" spans="9:21" ht="25.5" x14ac:dyDescent="0.25">
      <c r="I102" s="150"/>
      <c r="J102" s="174" t="s">
        <v>137</v>
      </c>
      <c r="K102" s="152"/>
      <c r="L102" s="160">
        <v>0.69</v>
      </c>
      <c r="M102" s="176">
        <f t="shared" ref="M102:M110" si="24">$K$89</f>
        <v>500</v>
      </c>
      <c r="N102" s="155">
        <f t="shared" si="20"/>
        <v>345</v>
      </c>
      <c r="O102" s="162">
        <v>-0.70650000000000002</v>
      </c>
      <c r="P102" s="176">
        <f t="shared" si="21"/>
        <v>500</v>
      </c>
      <c r="Q102" s="155">
        <f t="shared" si="23"/>
        <v>-353.25</v>
      </c>
      <c r="R102" s="158">
        <f t="shared" si="19"/>
        <v>-698.25</v>
      </c>
      <c r="S102" s="159">
        <f t="shared" si="22"/>
        <v>-2.0239130434782608</v>
      </c>
      <c r="T102" s="112"/>
      <c r="U102" s="112"/>
    </row>
    <row r="103" spans="9:21" x14ac:dyDescent="0.25">
      <c r="I103" s="150"/>
      <c r="J103" s="174" t="s">
        <v>113</v>
      </c>
      <c r="K103" s="152"/>
      <c r="L103" s="160">
        <v>0</v>
      </c>
      <c r="M103" s="176">
        <f t="shared" si="24"/>
        <v>500</v>
      </c>
      <c r="N103" s="155">
        <f>M103*L103</f>
        <v>0</v>
      </c>
      <c r="O103" s="162">
        <v>-2.76E-2</v>
      </c>
      <c r="P103" s="176">
        <f t="shared" si="21"/>
        <v>500</v>
      </c>
      <c r="Q103" s="155">
        <f>P103*O103</f>
        <v>-13.799999999999999</v>
      </c>
      <c r="R103" s="158">
        <f t="shared" si="19"/>
        <v>-13.799999999999999</v>
      </c>
      <c r="S103" s="159" t="str">
        <f t="shared" si="22"/>
        <v/>
      </c>
      <c r="T103" s="112"/>
      <c r="U103" s="112"/>
    </row>
    <row r="104" spans="9:21" x14ac:dyDescent="0.25">
      <c r="I104" s="150"/>
      <c r="J104" s="174" t="s">
        <v>114</v>
      </c>
      <c r="K104" s="152"/>
      <c r="L104" s="160">
        <v>0</v>
      </c>
      <c r="M104" s="176">
        <f>$K$88</f>
        <v>328500</v>
      </c>
      <c r="N104" s="155">
        <f>M104*L104</f>
        <v>0</v>
      </c>
      <c r="O104" s="162">
        <v>-1E-3</v>
      </c>
      <c r="P104" s="176">
        <f t="shared" si="21"/>
        <v>328500</v>
      </c>
      <c r="Q104" s="155">
        <f t="shared" si="23"/>
        <v>-328.5</v>
      </c>
      <c r="R104" s="158">
        <f t="shared" si="19"/>
        <v>-328.5</v>
      </c>
      <c r="S104" s="159" t="str">
        <f t="shared" si="22"/>
        <v/>
      </c>
      <c r="T104" s="112"/>
      <c r="U104" s="112"/>
    </row>
    <row r="105" spans="9:21" x14ac:dyDescent="0.25">
      <c r="I105" s="150"/>
      <c r="J105" s="177" t="s">
        <v>115</v>
      </c>
      <c r="K105" s="152"/>
      <c r="L105" s="160">
        <v>1.0483</v>
      </c>
      <c r="M105" s="176">
        <f t="shared" si="24"/>
        <v>500</v>
      </c>
      <c r="N105" s="155">
        <f t="shared" si="20"/>
        <v>524.15</v>
      </c>
      <c r="O105" s="162">
        <v>1.0483</v>
      </c>
      <c r="P105" s="176">
        <f t="shared" si="21"/>
        <v>500</v>
      </c>
      <c r="Q105" s="155">
        <f t="shared" si="23"/>
        <v>524.15</v>
      </c>
      <c r="R105" s="158">
        <f t="shared" si="19"/>
        <v>0</v>
      </c>
      <c r="S105" s="159">
        <f t="shared" si="22"/>
        <v>0</v>
      </c>
      <c r="T105" s="112"/>
      <c r="U105" s="112"/>
    </row>
    <row r="106" spans="9:21" ht="38.25" x14ac:dyDescent="0.25">
      <c r="I106" s="150"/>
      <c r="J106" s="178" t="s">
        <v>116</v>
      </c>
      <c r="K106" s="152"/>
      <c r="L106" s="179">
        <v>0</v>
      </c>
      <c r="M106" s="154">
        <v>1</v>
      </c>
      <c r="N106" s="155">
        <f>M106*L106</f>
        <v>0</v>
      </c>
      <c r="O106" s="180">
        <v>0</v>
      </c>
      <c r="P106" s="154">
        <f t="shared" si="21"/>
        <v>1</v>
      </c>
      <c r="Q106" s="155">
        <f>P106*O106</f>
        <v>0</v>
      </c>
      <c r="R106" s="158">
        <f t="shared" si="19"/>
        <v>0</v>
      </c>
      <c r="S106" s="159" t="str">
        <f>IF(ISERROR(R106/N106), "", R106/N106)</f>
        <v/>
      </c>
      <c r="T106" s="112"/>
      <c r="U106" s="112"/>
    </row>
    <row r="107" spans="9:21" x14ac:dyDescent="0.25">
      <c r="I107" s="150"/>
      <c r="J107" s="177" t="s">
        <v>117</v>
      </c>
      <c r="K107" s="152"/>
      <c r="L107" s="160"/>
      <c r="M107" s="176">
        <f t="shared" si="24"/>
        <v>500</v>
      </c>
      <c r="N107" s="155">
        <f>M107*L107</f>
        <v>0</v>
      </c>
      <c r="O107" s="162"/>
      <c r="P107" s="176">
        <f t="shared" si="21"/>
        <v>500</v>
      </c>
      <c r="Q107" s="155">
        <f>P107*O107</f>
        <v>0</v>
      </c>
      <c r="R107" s="158">
        <f t="shared" si="19"/>
        <v>0</v>
      </c>
      <c r="S107" s="159" t="str">
        <f>IF(ISERROR(R107/N107), "", R107/N107)</f>
        <v/>
      </c>
      <c r="T107" s="112"/>
      <c r="U107" s="112"/>
    </row>
    <row r="108" spans="9:21" x14ac:dyDescent="0.25">
      <c r="I108" s="150"/>
      <c r="J108" s="181" t="s">
        <v>118</v>
      </c>
      <c r="K108" s="182"/>
      <c r="L108" s="183"/>
      <c r="M108" s="184"/>
      <c r="N108" s="185">
        <f>SUM(N100:N107)</f>
        <v>2861.1</v>
      </c>
      <c r="O108" s="186"/>
      <c r="P108" s="187">
        <f t="shared" si="21"/>
        <v>0</v>
      </c>
      <c r="Q108" s="185">
        <f>SUM(Q100:Q107)</f>
        <v>1864.249478652167</v>
      </c>
      <c r="R108" s="172">
        <f t="shared" si="19"/>
        <v>-996.85052134783291</v>
      </c>
      <c r="S108" s="173">
        <f>IF((N108)=0,"",(R108/N108))</f>
        <v>-0.34841512752012616</v>
      </c>
      <c r="T108" s="112"/>
      <c r="U108" s="112"/>
    </row>
    <row r="109" spans="9:21" x14ac:dyDescent="0.25">
      <c r="I109" s="150"/>
      <c r="J109" s="188" t="s">
        <v>119</v>
      </c>
      <c r="K109" s="152"/>
      <c r="L109" s="160">
        <v>2.5931000000000002</v>
      </c>
      <c r="M109" s="175">
        <f t="shared" si="24"/>
        <v>500</v>
      </c>
      <c r="N109" s="155">
        <f>M109*L109</f>
        <v>1296.5500000000002</v>
      </c>
      <c r="O109" s="162">
        <v>2.6278000000000001</v>
      </c>
      <c r="P109" s="175">
        <f t="shared" si="21"/>
        <v>500</v>
      </c>
      <c r="Q109" s="155">
        <f>P109*O109</f>
        <v>1313.9</v>
      </c>
      <c r="R109" s="158">
        <f t="shared" si="19"/>
        <v>17.349999999999909</v>
      </c>
      <c r="S109" s="159">
        <f>IF(ISERROR(R109/N109), "", R109/N109)</f>
        <v>1.3381666730939729E-2</v>
      </c>
      <c r="T109" s="112"/>
      <c r="U109" s="112"/>
    </row>
    <row r="110" spans="9:21" ht="25.5" x14ac:dyDescent="0.25">
      <c r="I110" s="150"/>
      <c r="J110" s="189" t="s">
        <v>120</v>
      </c>
      <c r="K110" s="152"/>
      <c r="L110" s="160">
        <v>2.1494</v>
      </c>
      <c r="M110" s="175">
        <f t="shared" si="24"/>
        <v>500</v>
      </c>
      <c r="N110" s="155">
        <f>M110*L110</f>
        <v>1074.7</v>
      </c>
      <c r="O110" s="162">
        <v>2.1587999999999998</v>
      </c>
      <c r="P110" s="175">
        <f t="shared" si="21"/>
        <v>500</v>
      </c>
      <c r="Q110" s="155">
        <f>P110*O110</f>
        <v>1079.3999999999999</v>
      </c>
      <c r="R110" s="158">
        <f t="shared" si="19"/>
        <v>4.6999999999998181</v>
      </c>
      <c r="S110" s="159">
        <f>IF(ISERROR(R110/N110), "", R110/N110)</f>
        <v>4.3733134828322492E-3</v>
      </c>
      <c r="T110" s="112"/>
      <c r="U110" s="112"/>
    </row>
    <row r="111" spans="9:21" x14ac:dyDescent="0.25">
      <c r="I111" s="150"/>
      <c r="J111" s="181" t="s">
        <v>121</v>
      </c>
      <c r="K111" s="166"/>
      <c r="L111" s="183"/>
      <c r="M111" s="184"/>
      <c r="N111" s="185">
        <f>SUM(N108:N110)</f>
        <v>5232.3499999999995</v>
      </c>
      <c r="O111" s="186"/>
      <c r="P111" s="171">
        <f t="shared" si="21"/>
        <v>0</v>
      </c>
      <c r="Q111" s="185">
        <f>SUM(Q108:Q110)</f>
        <v>4257.5494786521667</v>
      </c>
      <c r="R111" s="172">
        <f t="shared" si="19"/>
        <v>-974.80052134783273</v>
      </c>
      <c r="S111" s="173">
        <f>IF((N111)=0,"",(R111/N111))</f>
        <v>-0.18630262145075022</v>
      </c>
      <c r="T111" s="112"/>
      <c r="U111" s="112"/>
    </row>
    <row r="112" spans="9:21" x14ac:dyDescent="0.25">
      <c r="I112" s="150"/>
      <c r="J112" s="190" t="s">
        <v>122</v>
      </c>
      <c r="K112" s="152"/>
      <c r="L112" s="160">
        <v>3.6000000000000003E-3</v>
      </c>
      <c r="M112" s="175">
        <f>$K$88*$K$90</f>
        <v>346896</v>
      </c>
      <c r="N112" s="191">
        <f t="shared" ref="N112:N115" si="25">M112*L112</f>
        <v>1248.8256000000001</v>
      </c>
      <c r="O112" s="162">
        <v>3.6000000000000003E-3</v>
      </c>
      <c r="P112" s="175">
        <f t="shared" si="21"/>
        <v>346896</v>
      </c>
      <c r="Q112" s="191">
        <f t="shared" ref="Q112:Q115" si="26">P112*O112</f>
        <v>1248.8256000000001</v>
      </c>
      <c r="R112" s="158">
        <f t="shared" si="19"/>
        <v>0</v>
      </c>
      <c r="S112" s="159">
        <f t="shared" ref="S112:S117" si="27">IF(ISERROR(R112/N112), "", R112/N112)</f>
        <v>0</v>
      </c>
      <c r="T112" s="112"/>
      <c r="U112" s="112"/>
    </row>
    <row r="113" spans="9:21" x14ac:dyDescent="0.25">
      <c r="I113" s="150"/>
      <c r="J113" s="190" t="s">
        <v>123</v>
      </c>
      <c r="K113" s="152"/>
      <c r="L113" s="160">
        <f>'[1]17. Regulatory Charges'!$D$16</f>
        <v>2.9999999999999997E-4</v>
      </c>
      <c r="M113" s="175">
        <f>$K$88*$K$90</f>
        <v>346896</v>
      </c>
      <c r="N113" s="191">
        <f t="shared" si="25"/>
        <v>104.0688</v>
      </c>
      <c r="O113" s="162">
        <v>2.9999999999999997E-4</v>
      </c>
      <c r="P113" s="175">
        <f t="shared" si="21"/>
        <v>346896</v>
      </c>
      <c r="Q113" s="191">
        <f t="shared" si="26"/>
        <v>104.0688</v>
      </c>
      <c r="R113" s="158">
        <f t="shared" si="19"/>
        <v>0</v>
      </c>
      <c r="S113" s="159">
        <f t="shared" si="27"/>
        <v>0</v>
      </c>
      <c r="T113" s="112"/>
      <c r="U113" s="112"/>
    </row>
    <row r="114" spans="9:21" x14ac:dyDescent="0.25">
      <c r="I114" s="150"/>
      <c r="J114" s="193" t="s">
        <v>124</v>
      </c>
      <c r="K114" s="152"/>
      <c r="L114" s="179">
        <v>0.25</v>
      </c>
      <c r="M114" s="154">
        <v>1</v>
      </c>
      <c r="N114" s="191">
        <f t="shared" si="25"/>
        <v>0.25</v>
      </c>
      <c r="O114" s="180">
        <f>'[1]17. Regulatory Charges'!$D$17</f>
        <v>0.25</v>
      </c>
      <c r="P114" s="157">
        <f t="shared" si="21"/>
        <v>1</v>
      </c>
      <c r="Q114" s="191">
        <f t="shared" si="26"/>
        <v>0.25</v>
      </c>
      <c r="R114" s="158">
        <f t="shared" si="19"/>
        <v>0</v>
      </c>
      <c r="S114" s="159">
        <f t="shared" si="27"/>
        <v>0</v>
      </c>
      <c r="T114" s="112"/>
      <c r="U114" s="112"/>
    </row>
    <row r="115" spans="9:21" x14ac:dyDescent="0.25">
      <c r="I115" s="150"/>
      <c r="J115" s="193" t="s">
        <v>125</v>
      </c>
      <c r="K115" s="152"/>
      <c r="L115" s="160">
        <f>IF('[1]1. Information Sheet'!L135 = DATE(2016, 5, 1), (IF(ISERROR(FIND("RESIDENTIAL", UPPER(K86))), DRC, 0)), DRC)</f>
        <v>7.0000000000000001E-3</v>
      </c>
      <c r="M115" s="176">
        <f>$K$88</f>
        <v>328500</v>
      </c>
      <c r="N115" s="191">
        <f t="shared" si="25"/>
        <v>2299.5</v>
      </c>
      <c r="O115" s="233">
        <f>IF(ISERROR(FIND("RESIDENTIAL", UPPER(K86))),DRC, 0)</f>
        <v>7.0000000000000001E-3</v>
      </c>
      <c r="P115" s="176">
        <f t="shared" si="21"/>
        <v>328500</v>
      </c>
      <c r="Q115" s="191">
        <f t="shared" si="26"/>
        <v>2299.5</v>
      </c>
      <c r="R115" s="158">
        <f t="shared" si="19"/>
        <v>0</v>
      </c>
      <c r="S115" s="159">
        <f t="shared" si="27"/>
        <v>0</v>
      </c>
      <c r="T115" s="112"/>
      <c r="U115" s="112"/>
    </row>
    <row r="116" spans="9:21" ht="25.5" x14ac:dyDescent="0.25">
      <c r="I116" s="150"/>
      <c r="J116" s="190" t="s">
        <v>126</v>
      </c>
      <c r="K116" s="152"/>
      <c r="L116" s="160"/>
      <c r="M116" s="175"/>
      <c r="N116" s="191"/>
      <c r="O116" s="162"/>
      <c r="P116" s="175">
        <f t="shared" si="21"/>
        <v>0</v>
      </c>
      <c r="Q116" s="191"/>
      <c r="R116" s="158"/>
      <c r="S116" s="159"/>
      <c r="T116" s="112"/>
      <c r="U116" s="112"/>
    </row>
    <row r="117" spans="9:21" ht="16.5" thickBot="1" x14ac:dyDescent="0.3">
      <c r="I117" s="150"/>
      <c r="J117" s="200" t="s">
        <v>138</v>
      </c>
      <c r="K117" s="152"/>
      <c r="L117" s="242">
        <v>0.1101</v>
      </c>
      <c r="M117" s="202">
        <f>$K$88*$K$90</f>
        <v>346896</v>
      </c>
      <c r="N117" s="191">
        <f>M117*L117</f>
        <v>38193.249600000003</v>
      </c>
      <c r="O117" s="243">
        <f>L117</f>
        <v>0.1101</v>
      </c>
      <c r="P117" s="202">
        <f t="shared" si="21"/>
        <v>346896</v>
      </c>
      <c r="Q117" s="191">
        <f>P117*O117</f>
        <v>38193.249600000003</v>
      </c>
      <c r="R117" s="158">
        <f>Q117-N117</f>
        <v>0</v>
      </c>
      <c r="S117" s="159">
        <f t="shared" si="27"/>
        <v>0</v>
      </c>
      <c r="T117" s="112"/>
      <c r="U117" s="112"/>
    </row>
    <row r="118" spans="9:21" ht="16.5" thickBot="1" x14ac:dyDescent="0.3">
      <c r="I118" s="150"/>
      <c r="J118" s="204"/>
      <c r="K118" s="205"/>
      <c r="L118" s="206"/>
      <c r="M118" s="207"/>
      <c r="N118" s="208"/>
      <c r="O118" s="206"/>
      <c r="P118" s="209"/>
      <c r="Q118" s="208"/>
      <c r="R118" s="210"/>
      <c r="S118" s="211"/>
      <c r="T118" s="112"/>
      <c r="U118" s="112"/>
    </row>
    <row r="119" spans="9:21" x14ac:dyDescent="0.25">
      <c r="I119" s="150"/>
      <c r="J119" s="212" t="s">
        <v>139</v>
      </c>
      <c r="K119" s="213"/>
      <c r="L119" s="214"/>
      <c r="M119" s="215"/>
      <c r="N119" s="216">
        <f>SUM(N117,N112:N116,N111)</f>
        <v>47078.244000000006</v>
      </c>
      <c r="O119" s="217"/>
      <c r="P119" s="217"/>
      <c r="Q119" s="216">
        <f>SUM(Q117,Q112:Q116,Q111)</f>
        <v>46103.443478652174</v>
      </c>
      <c r="R119" s="218">
        <f>Q119-N119</f>
        <v>-974.80052134783182</v>
      </c>
      <c r="S119" s="219">
        <f>IF((N119)=0,"",(R119/N119))</f>
        <v>-2.0705966037047423E-2</v>
      </c>
      <c r="T119" s="112"/>
      <c r="U119" s="112"/>
    </row>
    <row r="120" spans="9:21" x14ac:dyDescent="0.25">
      <c r="I120" s="150"/>
      <c r="J120" s="220" t="s">
        <v>131</v>
      </c>
      <c r="K120" s="213"/>
      <c r="L120" s="214">
        <v>0.13</v>
      </c>
      <c r="M120" s="215"/>
      <c r="N120" s="222">
        <f>N119*L120</f>
        <v>6120.1717200000012</v>
      </c>
      <c r="O120" s="214">
        <v>0.13</v>
      </c>
      <c r="P120" s="223"/>
      <c r="Q120" s="222">
        <f>Q119*O120</f>
        <v>5993.4476522247833</v>
      </c>
      <c r="R120" s="224">
        <f>Q120-N120</f>
        <v>-126.72406777521792</v>
      </c>
      <c r="S120" s="225">
        <f>IF((N120)=0,"",(R120/N120))</f>
        <v>-2.0705966037047389E-2</v>
      </c>
      <c r="T120" s="112"/>
      <c r="U120" s="112"/>
    </row>
    <row r="121" spans="9:21" x14ac:dyDescent="0.25">
      <c r="I121" s="150"/>
      <c r="J121" s="220" t="s">
        <v>132</v>
      </c>
      <c r="K121" s="213"/>
      <c r="L121" s="214">
        <v>0.08</v>
      </c>
      <c r="M121" s="215"/>
      <c r="N121" s="222">
        <v>0</v>
      </c>
      <c r="O121" s="214">
        <v>0.08</v>
      </c>
      <c r="P121" s="223"/>
      <c r="Q121" s="222">
        <v>0</v>
      </c>
      <c r="R121" s="224"/>
      <c r="S121" s="225"/>
      <c r="T121" s="112"/>
      <c r="U121" s="112"/>
    </row>
    <row r="122" spans="9:21" ht="16.5" thickBot="1" x14ac:dyDescent="0.3">
      <c r="I122" s="150"/>
      <c r="J122" s="260" t="s">
        <v>139</v>
      </c>
      <c r="K122" s="261"/>
      <c r="L122" s="244"/>
      <c r="M122" s="245"/>
      <c r="N122" s="236">
        <f>SUM(N119,N120)</f>
        <v>53198.415720000005</v>
      </c>
      <c r="O122" s="246"/>
      <c r="P122" s="246"/>
      <c r="Q122" s="236">
        <f>SUM(Q119,Q120)</f>
        <v>52096.89113087696</v>
      </c>
      <c r="R122" s="247">
        <f>Q122-N122</f>
        <v>-1101.5245891230443</v>
      </c>
      <c r="S122" s="248">
        <f>IF((N122)=0,"",(R122/N122))</f>
        <v>-2.0705966037047319E-2</v>
      </c>
      <c r="T122" s="112"/>
      <c r="U122" s="112"/>
    </row>
    <row r="123" spans="9:21" ht="16.5" thickBot="1" x14ac:dyDescent="0.3">
      <c r="I123" s="150"/>
      <c r="J123" s="204"/>
      <c r="K123" s="205"/>
      <c r="L123" s="249"/>
      <c r="M123" s="250"/>
      <c r="N123" s="251"/>
      <c r="O123" s="249"/>
      <c r="P123" s="252"/>
      <c r="Q123" s="251"/>
      <c r="R123" s="253"/>
      <c r="S123" s="254"/>
      <c r="T123" s="112"/>
      <c r="U123" s="112"/>
    </row>
    <row r="124" spans="9:21" ht="16.5" thickBot="1" x14ac:dyDescent="0.3">
      <c r="I124" s="232"/>
      <c r="J124" s="255"/>
      <c r="K124" s="256"/>
      <c r="L124" s="256"/>
      <c r="M124" s="256"/>
      <c r="N124" s="256"/>
      <c r="O124" s="256"/>
      <c r="P124" s="256"/>
      <c r="Q124" s="256"/>
      <c r="R124" s="256"/>
      <c r="S124" s="257"/>
      <c r="T124" s="112"/>
      <c r="U124" s="112"/>
    </row>
    <row r="125" spans="9:21" x14ac:dyDescent="0.25">
      <c r="I125" s="232"/>
      <c r="J125" s="258"/>
      <c r="K125" s="114"/>
      <c r="L125" s="114"/>
      <c r="M125" s="114"/>
      <c r="N125" s="114"/>
      <c r="O125" s="114"/>
      <c r="P125" s="114"/>
      <c r="Q125" s="114"/>
      <c r="R125" s="114"/>
      <c r="S125" s="115"/>
      <c r="T125" s="112"/>
      <c r="U125" s="112"/>
    </row>
    <row r="126" spans="9:21" x14ac:dyDescent="0.25">
      <c r="I126" s="112"/>
      <c r="J126" s="120" t="s">
        <v>86</v>
      </c>
      <c r="K126" s="272" t="s">
        <v>140</v>
      </c>
      <c r="L126" s="272"/>
      <c r="M126" s="272"/>
      <c r="N126" s="272"/>
      <c r="O126" s="272"/>
      <c r="P126" s="272"/>
      <c r="Q126" s="122" t="e">
        <f>IF(#REF!="DEMAND - INTERVAL","RTSR - INTERVAL METERED","")</f>
        <v>#REF!</v>
      </c>
      <c r="R126" s="122"/>
      <c r="S126" s="123"/>
      <c r="T126" s="112"/>
      <c r="U126" s="112"/>
    </row>
    <row r="127" spans="9:21" x14ac:dyDescent="0.25">
      <c r="I127" s="112"/>
      <c r="J127" s="120" t="s">
        <v>88</v>
      </c>
      <c r="K127" s="273" t="s">
        <v>136</v>
      </c>
      <c r="L127" s="273"/>
      <c r="M127" s="273"/>
      <c r="N127" s="121"/>
      <c r="O127" s="121"/>
      <c r="P127" s="122"/>
      <c r="Q127" s="122"/>
      <c r="R127" s="122"/>
      <c r="S127" s="123"/>
      <c r="T127" s="112"/>
      <c r="U127" s="112"/>
    </row>
    <row r="128" spans="9:21" x14ac:dyDescent="0.25">
      <c r="I128" s="112"/>
      <c r="J128" s="120" t="s">
        <v>90</v>
      </c>
      <c r="K128" s="124">
        <v>1600000</v>
      </c>
      <c r="L128" s="125" t="s">
        <v>91</v>
      </c>
      <c r="M128" s="126"/>
      <c r="N128" s="122"/>
      <c r="O128" s="122"/>
      <c r="P128" s="127"/>
      <c r="Q128" s="127"/>
      <c r="R128" s="127"/>
      <c r="S128" s="128"/>
      <c r="T128" s="112"/>
      <c r="U128" s="112"/>
    </row>
    <row r="129" spans="9:21" x14ac:dyDescent="0.25">
      <c r="I129" s="112"/>
      <c r="J129" s="120" t="s">
        <v>92</v>
      </c>
      <c r="K129" s="124">
        <v>2500</v>
      </c>
      <c r="L129" s="129" t="s">
        <v>93</v>
      </c>
      <c r="M129" s="130"/>
      <c r="N129" s="131"/>
      <c r="O129" s="131"/>
      <c r="P129" s="131"/>
      <c r="Q129" s="122"/>
      <c r="R129" s="122"/>
      <c r="S129" s="123"/>
      <c r="T129" s="112"/>
      <c r="U129" s="112"/>
    </row>
    <row r="130" spans="9:21" x14ac:dyDescent="0.25">
      <c r="I130" s="112"/>
      <c r="J130" s="120" t="s">
        <v>94</v>
      </c>
      <c r="K130" s="133">
        <v>1.056</v>
      </c>
      <c r="L130" s="122"/>
      <c r="M130" s="122"/>
      <c r="N130" s="122"/>
      <c r="O130" s="122"/>
      <c r="P130" s="122"/>
      <c r="Q130" s="122"/>
      <c r="R130" s="122"/>
      <c r="S130" s="123"/>
      <c r="T130" s="112"/>
      <c r="U130" s="112"/>
    </row>
    <row r="131" spans="9:21" x14ac:dyDescent="0.25">
      <c r="I131" s="112"/>
      <c r="J131" s="120" t="s">
        <v>95</v>
      </c>
      <c r="K131" s="133">
        <v>1.056</v>
      </c>
      <c r="L131" s="122"/>
      <c r="M131" s="122"/>
      <c r="N131" s="122"/>
      <c r="O131" s="122"/>
      <c r="P131" s="122"/>
      <c r="Q131" s="122"/>
      <c r="R131" s="122"/>
      <c r="S131" s="123"/>
      <c r="T131" s="112"/>
      <c r="U131" s="112"/>
    </row>
    <row r="132" spans="9:21" x14ac:dyDescent="0.25">
      <c r="I132" s="112"/>
      <c r="J132" s="134"/>
      <c r="K132" s="122"/>
      <c r="L132" s="122"/>
      <c r="M132" s="122"/>
      <c r="N132" s="122"/>
      <c r="O132" s="122"/>
      <c r="P132" s="122"/>
      <c r="Q132" s="122"/>
      <c r="R132" s="122"/>
      <c r="S132" s="123"/>
      <c r="T132" s="112"/>
      <c r="U132" s="112"/>
    </row>
    <row r="133" spans="9:21" x14ac:dyDescent="0.25">
      <c r="I133" s="112"/>
      <c r="J133" s="134"/>
      <c r="K133" s="139"/>
      <c r="L133" s="262" t="s">
        <v>96</v>
      </c>
      <c r="M133" s="263"/>
      <c r="N133" s="264"/>
      <c r="O133" s="262" t="s">
        <v>97</v>
      </c>
      <c r="P133" s="263"/>
      <c r="Q133" s="264"/>
      <c r="R133" s="262" t="s">
        <v>98</v>
      </c>
      <c r="S133" s="265"/>
      <c r="T133" s="112"/>
      <c r="U133" s="112"/>
    </row>
    <row r="134" spans="9:21" x14ac:dyDescent="0.25">
      <c r="I134" s="112"/>
      <c r="J134" s="134"/>
      <c r="K134" s="266"/>
      <c r="L134" s="144" t="s">
        <v>99</v>
      </c>
      <c r="M134" s="144" t="s">
        <v>100</v>
      </c>
      <c r="N134" s="145" t="s">
        <v>101</v>
      </c>
      <c r="O134" s="144" t="s">
        <v>99</v>
      </c>
      <c r="P134" s="146" t="s">
        <v>100</v>
      </c>
      <c r="Q134" s="145" t="s">
        <v>101</v>
      </c>
      <c r="R134" s="268" t="s">
        <v>102</v>
      </c>
      <c r="S134" s="270" t="s">
        <v>103</v>
      </c>
      <c r="T134" s="112"/>
      <c r="U134" s="112"/>
    </row>
    <row r="135" spans="9:21" x14ac:dyDescent="0.25">
      <c r="I135" s="112"/>
      <c r="J135" s="134"/>
      <c r="K135" s="267"/>
      <c r="L135" s="147" t="s">
        <v>104</v>
      </c>
      <c r="M135" s="147"/>
      <c r="N135" s="148" t="s">
        <v>104</v>
      </c>
      <c r="O135" s="147" t="s">
        <v>104</v>
      </c>
      <c r="P135" s="148"/>
      <c r="Q135" s="148" t="s">
        <v>104</v>
      </c>
      <c r="R135" s="269"/>
      <c r="S135" s="271"/>
      <c r="T135" s="112"/>
      <c r="U135" s="112"/>
    </row>
    <row r="136" spans="9:21" x14ac:dyDescent="0.25">
      <c r="I136" s="150"/>
      <c r="J136" s="151" t="s">
        <v>105</v>
      </c>
      <c r="K136" s="152"/>
      <c r="L136" s="153">
        <v>183.35</v>
      </c>
      <c r="M136" s="154">
        <v>1</v>
      </c>
      <c r="N136" s="155">
        <f>M136*L136</f>
        <v>183.35</v>
      </c>
      <c r="O136" s="156">
        <v>186.83</v>
      </c>
      <c r="P136" s="157">
        <f>M136</f>
        <v>1</v>
      </c>
      <c r="Q136" s="155">
        <f>P136*O136</f>
        <v>186.83</v>
      </c>
      <c r="R136" s="158">
        <f t="shared" ref="R136:R155" si="28">Q136-N136</f>
        <v>3.4800000000000182</v>
      </c>
      <c r="S136" s="159">
        <f>IF(ISERROR(R136/N136), "", R136/N136)</f>
        <v>1.8980092718843843E-2</v>
      </c>
      <c r="T136" s="112"/>
      <c r="U136" s="112"/>
    </row>
    <row r="137" spans="9:21" x14ac:dyDescent="0.25">
      <c r="I137" s="150"/>
      <c r="J137" s="151" t="s">
        <v>106</v>
      </c>
      <c r="K137" s="152"/>
      <c r="L137" s="160">
        <v>3.4293</v>
      </c>
      <c r="M137" s="161">
        <f>$K$129</f>
        <v>2500</v>
      </c>
      <c r="N137" s="155">
        <f t="shared" ref="N137:N145" si="29">M137*L137</f>
        <v>8573.25</v>
      </c>
      <c r="O137" s="162">
        <v>3.4944999999999999</v>
      </c>
      <c r="P137" s="157">
        <f t="shared" ref="P137:P157" si="30">M137</f>
        <v>2500</v>
      </c>
      <c r="Q137" s="155">
        <f>P137*O137</f>
        <v>8736.25</v>
      </c>
      <c r="R137" s="158">
        <f t="shared" si="28"/>
        <v>163</v>
      </c>
      <c r="S137" s="159">
        <f t="shared" ref="S137:S147" si="31">IF(ISERROR(R137/N137), "", R137/N137)</f>
        <v>1.9012626483538915E-2</v>
      </c>
      <c r="T137" s="112"/>
      <c r="U137" s="112"/>
    </row>
    <row r="138" spans="9:21" x14ac:dyDescent="0.25">
      <c r="I138" s="150"/>
      <c r="J138" s="163" t="s">
        <v>108</v>
      </c>
      <c r="K138" s="152"/>
      <c r="L138" s="153">
        <v>0</v>
      </c>
      <c r="M138" s="154">
        <v>1</v>
      </c>
      <c r="N138" s="155">
        <f t="shared" si="29"/>
        <v>0</v>
      </c>
      <c r="O138" s="156">
        <f>F10</f>
        <v>57.86762562070745</v>
      </c>
      <c r="P138" s="157">
        <f t="shared" si="30"/>
        <v>1</v>
      </c>
      <c r="Q138" s="155">
        <f t="shared" ref="Q138:Q145" si="32">P138*O138</f>
        <v>57.86762562070745</v>
      </c>
      <c r="R138" s="158">
        <f t="shared" si="28"/>
        <v>57.86762562070745</v>
      </c>
      <c r="S138" s="159" t="str">
        <f t="shared" si="31"/>
        <v/>
      </c>
      <c r="T138" s="112"/>
      <c r="U138" s="112"/>
    </row>
    <row r="139" spans="9:21" x14ac:dyDescent="0.25">
      <c r="I139" s="150"/>
      <c r="J139" s="151" t="s">
        <v>109</v>
      </c>
      <c r="K139" s="152"/>
      <c r="L139" s="160">
        <v>0</v>
      </c>
      <c r="M139" s="154">
        <f>$K$129</f>
        <v>2500</v>
      </c>
      <c r="N139" s="155">
        <f t="shared" si="29"/>
        <v>0</v>
      </c>
      <c r="O139" s="162">
        <v>0</v>
      </c>
      <c r="P139" s="157">
        <f t="shared" si="30"/>
        <v>2500</v>
      </c>
      <c r="Q139" s="155">
        <f t="shared" si="32"/>
        <v>0</v>
      </c>
      <c r="R139" s="158">
        <f t="shared" si="28"/>
        <v>0</v>
      </c>
      <c r="S139" s="159" t="str">
        <f t="shared" si="31"/>
        <v/>
      </c>
      <c r="T139" s="112"/>
      <c r="U139" s="112"/>
    </row>
    <row r="140" spans="9:21" x14ac:dyDescent="0.25">
      <c r="I140" s="150"/>
      <c r="J140" s="165" t="s">
        <v>110</v>
      </c>
      <c r="K140" s="166"/>
      <c r="L140" s="167"/>
      <c r="M140" s="168"/>
      <c r="N140" s="169">
        <f>SUM(N136:N139)</f>
        <v>8756.6</v>
      </c>
      <c r="O140" s="170"/>
      <c r="P140" s="171"/>
      <c r="Q140" s="169">
        <f>SUM(Q136:Q139)</f>
        <v>8980.9476256207072</v>
      </c>
      <c r="R140" s="172">
        <f t="shared" si="28"/>
        <v>224.34762562070682</v>
      </c>
      <c r="S140" s="173">
        <f>IF((N140)=0,"",(R140/N140))</f>
        <v>2.5620403537983557E-2</v>
      </c>
      <c r="T140" s="112"/>
      <c r="U140" s="112"/>
    </row>
    <row r="141" spans="9:21" x14ac:dyDescent="0.25">
      <c r="I141" s="150"/>
      <c r="J141" s="174" t="s">
        <v>111</v>
      </c>
      <c r="K141" s="152"/>
      <c r="L141" s="160">
        <f>IF((K128*12&gt;=150000), 0, IF(K127="RPP",(#REF!*0.65+#REF!*0.17+#REF!*0.18),IF(K127="Non-RPP (Retailer)",#REF!,L157)))</f>
        <v>0</v>
      </c>
      <c r="M141" s="175">
        <f>IF(L141=0, 0, $E128*K130-K128)</f>
        <v>0</v>
      </c>
      <c r="N141" s="155">
        <f>M141*L141</f>
        <v>0</v>
      </c>
      <c r="O141" s="162">
        <f>IF((K128*12&gt;=150000), 0, IF(K127="RPP",(#REF!*0.65+#REF!*0.17+#REF!*0.18),IF(K127="Non-RPP (Retailer)",#REF!,O157)))</f>
        <v>0</v>
      </c>
      <c r="P141" s="175">
        <f t="shared" si="30"/>
        <v>0</v>
      </c>
      <c r="Q141" s="155">
        <f>P141*O141</f>
        <v>0</v>
      </c>
      <c r="R141" s="158">
        <f>Q141-N141</f>
        <v>0</v>
      </c>
      <c r="S141" s="159" t="str">
        <f>IF(ISERROR(R141/N141), "", R141/N141)</f>
        <v/>
      </c>
      <c r="T141" s="112"/>
      <c r="U141" s="112"/>
    </row>
    <row r="142" spans="9:21" ht="25.5" x14ac:dyDescent="0.25">
      <c r="I142" s="150"/>
      <c r="J142" s="174" t="s">
        <v>137</v>
      </c>
      <c r="K142" s="152"/>
      <c r="L142" s="160">
        <v>0.53849999999999998</v>
      </c>
      <c r="M142" s="176">
        <f t="shared" ref="M142:M143" si="33">$K$129</f>
        <v>2500</v>
      </c>
      <c r="N142" s="155">
        <f t="shared" si="29"/>
        <v>1346.25</v>
      </c>
      <c r="O142" s="162">
        <v>-0.93979999999999997</v>
      </c>
      <c r="P142" s="176">
        <f t="shared" si="30"/>
        <v>2500</v>
      </c>
      <c r="Q142" s="155">
        <f t="shared" si="32"/>
        <v>-2349.5</v>
      </c>
      <c r="R142" s="158">
        <f t="shared" si="28"/>
        <v>-3695.75</v>
      </c>
      <c r="S142" s="159">
        <f t="shared" si="31"/>
        <v>-2.7452181987000928</v>
      </c>
      <c r="T142" s="112"/>
      <c r="U142" s="112"/>
    </row>
    <row r="143" spans="9:21" x14ac:dyDescent="0.25">
      <c r="I143" s="150"/>
      <c r="J143" s="174" t="s">
        <v>113</v>
      </c>
      <c r="K143" s="152"/>
      <c r="L143" s="160">
        <v>0</v>
      </c>
      <c r="M143" s="176">
        <f t="shared" si="33"/>
        <v>2500</v>
      </c>
      <c r="N143" s="155">
        <f>M143*L143</f>
        <v>0</v>
      </c>
      <c r="O143" s="162">
        <v>-3.4099999999999998E-2</v>
      </c>
      <c r="P143" s="176">
        <f t="shared" si="30"/>
        <v>2500</v>
      </c>
      <c r="Q143" s="155">
        <f>P143*O143</f>
        <v>-85.25</v>
      </c>
      <c r="R143" s="158">
        <f t="shared" si="28"/>
        <v>-85.25</v>
      </c>
      <c r="S143" s="159" t="str">
        <f t="shared" si="31"/>
        <v/>
      </c>
      <c r="T143" s="112"/>
      <c r="U143" s="112"/>
    </row>
    <row r="144" spans="9:21" x14ac:dyDescent="0.25">
      <c r="I144" s="150"/>
      <c r="J144" s="174" t="s">
        <v>114</v>
      </c>
      <c r="K144" s="152"/>
      <c r="L144" s="160">
        <v>0</v>
      </c>
      <c r="M144" s="176">
        <f>$K$128</f>
        <v>1600000</v>
      </c>
      <c r="N144" s="155">
        <f>M144*L144</f>
        <v>0</v>
      </c>
      <c r="O144" s="162">
        <v>-1E-3</v>
      </c>
      <c r="P144" s="176">
        <f t="shared" si="30"/>
        <v>1600000</v>
      </c>
      <c r="Q144" s="155">
        <f t="shared" si="32"/>
        <v>-1600</v>
      </c>
      <c r="R144" s="158">
        <f t="shared" si="28"/>
        <v>-1600</v>
      </c>
      <c r="S144" s="159" t="str">
        <f t="shared" si="31"/>
        <v/>
      </c>
      <c r="T144" s="112"/>
      <c r="U144" s="112"/>
    </row>
    <row r="145" spans="9:21" x14ac:dyDescent="0.25">
      <c r="I145" s="150"/>
      <c r="J145" s="177" t="s">
        <v>115</v>
      </c>
      <c r="K145" s="152"/>
      <c r="L145" s="160">
        <v>1.0483</v>
      </c>
      <c r="M145" s="176">
        <f>$K$129</f>
        <v>2500</v>
      </c>
      <c r="N145" s="155">
        <f t="shared" si="29"/>
        <v>2620.75</v>
      </c>
      <c r="O145" s="162">
        <v>1.0483</v>
      </c>
      <c r="P145" s="176">
        <f t="shared" si="30"/>
        <v>2500</v>
      </c>
      <c r="Q145" s="155">
        <f t="shared" si="32"/>
        <v>2620.75</v>
      </c>
      <c r="R145" s="158">
        <f t="shared" si="28"/>
        <v>0</v>
      </c>
      <c r="S145" s="159">
        <f t="shared" si="31"/>
        <v>0</v>
      </c>
      <c r="T145" s="112"/>
      <c r="U145" s="112"/>
    </row>
    <row r="146" spans="9:21" ht="38.25" x14ac:dyDescent="0.25">
      <c r="I146" s="150"/>
      <c r="J146" s="178" t="s">
        <v>116</v>
      </c>
      <c r="K146" s="152"/>
      <c r="L146" s="179">
        <v>0</v>
      </c>
      <c r="M146" s="154">
        <v>1</v>
      </c>
      <c r="N146" s="155">
        <f>M146*L146</f>
        <v>0</v>
      </c>
      <c r="O146" s="180">
        <v>0</v>
      </c>
      <c r="P146" s="154">
        <f t="shared" si="30"/>
        <v>1</v>
      </c>
      <c r="Q146" s="155">
        <f>P146*O146</f>
        <v>0</v>
      </c>
      <c r="R146" s="158">
        <f t="shared" si="28"/>
        <v>0</v>
      </c>
      <c r="S146" s="159" t="str">
        <f>IF(ISERROR(R146/N146), "", R146/N146)</f>
        <v/>
      </c>
      <c r="T146" s="112"/>
      <c r="U146" s="112"/>
    </row>
    <row r="147" spans="9:21" x14ac:dyDescent="0.25">
      <c r="I147" s="150"/>
      <c r="J147" s="177" t="s">
        <v>117</v>
      </c>
      <c r="K147" s="152"/>
      <c r="L147" s="160"/>
      <c r="M147" s="176">
        <f>$K$129</f>
        <v>2500</v>
      </c>
      <c r="N147" s="155">
        <f>M147*L147</f>
        <v>0</v>
      </c>
      <c r="O147" s="162"/>
      <c r="P147" s="176">
        <f t="shared" si="30"/>
        <v>2500</v>
      </c>
      <c r="Q147" s="155">
        <f>P147*O147</f>
        <v>0</v>
      </c>
      <c r="R147" s="158">
        <f t="shared" si="28"/>
        <v>0</v>
      </c>
      <c r="S147" s="159" t="str">
        <f t="shared" si="31"/>
        <v/>
      </c>
      <c r="T147" s="112"/>
      <c r="U147" s="112"/>
    </row>
    <row r="148" spans="9:21" x14ac:dyDescent="0.25">
      <c r="I148" s="150"/>
      <c r="J148" s="181" t="s">
        <v>118</v>
      </c>
      <c r="K148" s="182"/>
      <c r="L148" s="183"/>
      <c r="M148" s="184"/>
      <c r="N148" s="185">
        <f>SUM(N140:N147)</f>
        <v>12723.6</v>
      </c>
      <c r="O148" s="186"/>
      <c r="P148" s="187"/>
      <c r="Q148" s="185">
        <f>SUM(Q140:Q147)</f>
        <v>7566.9476256207072</v>
      </c>
      <c r="R148" s="172">
        <f>Q148-N148</f>
        <v>-5156.6523743792932</v>
      </c>
      <c r="S148" s="173">
        <f>IF((N148)=0,"",(R148/N148))</f>
        <v>-0.4052824966502635</v>
      </c>
      <c r="T148" s="112"/>
      <c r="U148" s="112"/>
    </row>
    <row r="149" spans="9:21" x14ac:dyDescent="0.25">
      <c r="I149" s="150"/>
      <c r="J149" s="188" t="s">
        <v>119</v>
      </c>
      <c r="K149" s="152"/>
      <c r="L149" s="160">
        <v>0</v>
      </c>
      <c r="M149" s="175">
        <f t="shared" ref="M149:M150" si="34">$K$129</f>
        <v>2500</v>
      </c>
      <c r="N149" s="155">
        <f>M149*L149</f>
        <v>0</v>
      </c>
      <c r="O149" s="162">
        <v>0</v>
      </c>
      <c r="P149" s="175">
        <f t="shared" si="30"/>
        <v>2500</v>
      </c>
      <c r="Q149" s="155">
        <f>P149*O149</f>
        <v>0</v>
      </c>
      <c r="R149" s="158">
        <f t="shared" si="28"/>
        <v>0</v>
      </c>
      <c r="S149" s="159" t="str">
        <f>IF(ISERROR(R149/N149), "", R149/N149)</f>
        <v/>
      </c>
      <c r="T149" s="112"/>
      <c r="U149" s="112"/>
    </row>
    <row r="150" spans="9:21" ht="25.5" x14ac:dyDescent="0.25">
      <c r="I150" s="150"/>
      <c r="J150" s="189" t="s">
        <v>120</v>
      </c>
      <c r="K150" s="152"/>
      <c r="L150" s="160">
        <v>0</v>
      </c>
      <c r="M150" s="175">
        <f t="shared" si="34"/>
        <v>2500</v>
      </c>
      <c r="N150" s="155">
        <f>M150*L150</f>
        <v>0</v>
      </c>
      <c r="O150" s="162">
        <v>0</v>
      </c>
      <c r="P150" s="175">
        <f t="shared" si="30"/>
        <v>2500</v>
      </c>
      <c r="Q150" s="155">
        <f>P150*O150</f>
        <v>0</v>
      </c>
      <c r="R150" s="158">
        <f t="shared" si="28"/>
        <v>0</v>
      </c>
      <c r="S150" s="159" t="str">
        <f>IF(ISERROR(R150/N150), "", R150/N150)</f>
        <v/>
      </c>
      <c r="T150" s="112"/>
      <c r="U150" s="112"/>
    </row>
    <row r="151" spans="9:21" x14ac:dyDescent="0.25">
      <c r="I151" s="150"/>
      <c r="J151" s="181" t="s">
        <v>121</v>
      </c>
      <c r="K151" s="166"/>
      <c r="L151" s="183"/>
      <c r="M151" s="184"/>
      <c r="N151" s="185">
        <f>SUM(N148:N150)</f>
        <v>12723.6</v>
      </c>
      <c r="O151" s="186"/>
      <c r="P151" s="171"/>
      <c r="Q151" s="185">
        <f>SUM(Q148:Q150)</f>
        <v>7566.9476256207072</v>
      </c>
      <c r="R151" s="172">
        <f t="shared" si="28"/>
        <v>-5156.6523743792932</v>
      </c>
      <c r="S151" s="173">
        <f>IF((N151)=0,"",(R151/N151))</f>
        <v>-0.4052824966502635</v>
      </c>
      <c r="T151" s="112"/>
      <c r="U151" s="112"/>
    </row>
    <row r="152" spans="9:21" x14ac:dyDescent="0.25">
      <c r="I152" s="150"/>
      <c r="J152" s="190" t="s">
        <v>122</v>
      </c>
      <c r="K152" s="152"/>
      <c r="L152" s="160">
        <v>3.6000000000000003E-3</v>
      </c>
      <c r="M152" s="175">
        <f>$K$128*$K$130</f>
        <v>1689600</v>
      </c>
      <c r="N152" s="191">
        <f t="shared" ref="N152:N155" si="35">M152*L152</f>
        <v>6082.56</v>
      </c>
      <c r="O152" s="162">
        <v>3.6000000000000003E-3</v>
      </c>
      <c r="P152" s="175">
        <f t="shared" si="30"/>
        <v>1689600</v>
      </c>
      <c r="Q152" s="191">
        <f t="shared" ref="Q152:Q155" si="36">P152*O152</f>
        <v>6082.56</v>
      </c>
      <c r="R152" s="158">
        <f t="shared" si="28"/>
        <v>0</v>
      </c>
      <c r="S152" s="159">
        <f t="shared" ref="S152:S157" si="37">IF(ISERROR(R152/N152), "", R152/N152)</f>
        <v>0</v>
      </c>
      <c r="T152" s="112"/>
      <c r="U152" s="112"/>
    </row>
    <row r="153" spans="9:21" x14ac:dyDescent="0.25">
      <c r="I153" s="150"/>
      <c r="J153" s="190" t="s">
        <v>123</v>
      </c>
      <c r="K153" s="152"/>
      <c r="L153" s="160">
        <f>'[1]17. Regulatory Charges'!$D$16</f>
        <v>2.9999999999999997E-4</v>
      </c>
      <c r="M153" s="175">
        <f>$K$128*$K$130</f>
        <v>1689600</v>
      </c>
      <c r="N153" s="191">
        <f t="shared" si="35"/>
        <v>506.87999999999994</v>
      </c>
      <c r="O153" s="162">
        <v>2.9999999999999997E-4</v>
      </c>
      <c r="P153" s="175">
        <f t="shared" si="30"/>
        <v>1689600</v>
      </c>
      <c r="Q153" s="191">
        <f t="shared" si="36"/>
        <v>506.87999999999994</v>
      </c>
      <c r="R153" s="158">
        <f t="shared" si="28"/>
        <v>0</v>
      </c>
      <c r="S153" s="159">
        <f t="shared" si="37"/>
        <v>0</v>
      </c>
      <c r="T153" s="112"/>
      <c r="U153" s="112"/>
    </row>
    <row r="154" spans="9:21" x14ac:dyDescent="0.25">
      <c r="I154" s="150"/>
      <c r="J154" s="193" t="s">
        <v>124</v>
      </c>
      <c r="K154" s="152"/>
      <c r="L154" s="179">
        <v>0.25</v>
      </c>
      <c r="M154" s="154">
        <v>1</v>
      </c>
      <c r="N154" s="191">
        <f t="shared" si="35"/>
        <v>0.25</v>
      </c>
      <c r="O154" s="180">
        <f>'[1]17. Regulatory Charges'!$D$17</f>
        <v>0.25</v>
      </c>
      <c r="P154" s="157">
        <f t="shared" si="30"/>
        <v>1</v>
      </c>
      <c r="Q154" s="191">
        <f t="shared" si="36"/>
        <v>0.25</v>
      </c>
      <c r="R154" s="158">
        <f t="shared" si="28"/>
        <v>0</v>
      </c>
      <c r="S154" s="159">
        <f t="shared" si="37"/>
        <v>0</v>
      </c>
      <c r="T154" s="112"/>
      <c r="U154" s="112"/>
    </row>
    <row r="155" spans="9:21" x14ac:dyDescent="0.25">
      <c r="I155" s="150"/>
      <c r="J155" s="193" t="s">
        <v>125</v>
      </c>
      <c r="K155" s="152"/>
      <c r="L155" s="160">
        <f>IF('[1]1. Information Sheet'!L189 = DATE(2016, 5, 1), (IF(ISERROR(FIND("RESIDENTIAL", UPPER(K126))), DRC, 0)), DRC)</f>
        <v>7.0000000000000001E-3</v>
      </c>
      <c r="M155" s="176">
        <f>$K$128</f>
        <v>1600000</v>
      </c>
      <c r="N155" s="191">
        <f t="shared" si="35"/>
        <v>11200</v>
      </c>
      <c r="O155" s="233">
        <f>IF(ISERROR(FIND("RESIDENTIAL", UPPER(K126))),DRC, 0)</f>
        <v>7.0000000000000001E-3</v>
      </c>
      <c r="P155" s="176">
        <f t="shared" si="30"/>
        <v>1600000</v>
      </c>
      <c r="Q155" s="191">
        <f t="shared" si="36"/>
        <v>11200</v>
      </c>
      <c r="R155" s="158">
        <f t="shared" si="28"/>
        <v>0</v>
      </c>
      <c r="S155" s="159">
        <f t="shared" si="37"/>
        <v>0</v>
      </c>
      <c r="T155" s="112"/>
      <c r="U155" s="112"/>
    </row>
    <row r="156" spans="9:21" ht="25.5" x14ac:dyDescent="0.25">
      <c r="I156" s="150"/>
      <c r="J156" s="190" t="s">
        <v>126</v>
      </c>
      <c r="K156" s="152"/>
      <c r="L156" s="160"/>
      <c r="M156" s="175"/>
      <c r="N156" s="191"/>
      <c r="O156" s="162"/>
      <c r="P156" s="175">
        <f t="shared" si="30"/>
        <v>0</v>
      </c>
      <c r="Q156" s="191"/>
      <c r="R156" s="158"/>
      <c r="S156" s="159"/>
      <c r="T156" s="112"/>
      <c r="U156" s="112"/>
    </row>
    <row r="157" spans="9:21" ht="16.5" thickBot="1" x14ac:dyDescent="0.3">
      <c r="I157" s="150"/>
      <c r="J157" s="200" t="s">
        <v>138</v>
      </c>
      <c r="K157" s="152"/>
      <c r="L157" s="242">
        <v>0.1101</v>
      </c>
      <c r="M157" s="202">
        <f>$K$128*$K$130</f>
        <v>1689600</v>
      </c>
      <c r="N157" s="191">
        <f>M157*L157</f>
        <v>186024.95999999999</v>
      </c>
      <c r="O157" s="243">
        <f>L157</f>
        <v>0.1101</v>
      </c>
      <c r="P157" s="202">
        <f t="shared" si="30"/>
        <v>1689600</v>
      </c>
      <c r="Q157" s="191">
        <f>P157*O157</f>
        <v>186024.95999999999</v>
      </c>
      <c r="R157" s="158">
        <f>Q157-N157</f>
        <v>0</v>
      </c>
      <c r="S157" s="159">
        <f t="shared" si="37"/>
        <v>0</v>
      </c>
      <c r="T157" s="112"/>
      <c r="U157" s="112"/>
    </row>
    <row r="158" spans="9:21" ht="16.5" thickBot="1" x14ac:dyDescent="0.3">
      <c r="I158" s="150"/>
      <c r="J158" s="204"/>
      <c r="K158" s="205"/>
      <c r="L158" s="206"/>
      <c r="M158" s="207"/>
      <c r="N158" s="208"/>
      <c r="O158" s="206"/>
      <c r="P158" s="209"/>
      <c r="Q158" s="208"/>
      <c r="R158" s="210"/>
      <c r="S158" s="211"/>
      <c r="T158" s="112"/>
      <c r="U158" s="112"/>
    </row>
    <row r="159" spans="9:21" x14ac:dyDescent="0.25">
      <c r="I159" s="150"/>
      <c r="J159" s="212" t="s">
        <v>139</v>
      </c>
      <c r="K159" s="213"/>
      <c r="L159" s="214"/>
      <c r="M159" s="215"/>
      <c r="N159" s="216">
        <f>SUM(N157,N152:N156,N151)</f>
        <v>216538.25</v>
      </c>
      <c r="O159" s="217"/>
      <c r="P159" s="217"/>
      <c r="Q159" s="216">
        <f>SUM(Q157,Q152:Q156,Q151)</f>
        <v>211381.59762562069</v>
      </c>
      <c r="R159" s="218">
        <f>Q159-N159</f>
        <v>-5156.6523743793077</v>
      </c>
      <c r="S159" s="219">
        <f>IF((N159)=0,"",(R159/N159))</f>
        <v>-2.3814048438921567E-2</v>
      </c>
      <c r="T159" s="112"/>
      <c r="U159" s="112"/>
    </row>
    <row r="160" spans="9:21" x14ac:dyDescent="0.25">
      <c r="I160" s="150"/>
      <c r="J160" s="220" t="s">
        <v>131</v>
      </c>
      <c r="K160" s="213"/>
      <c r="L160" s="214">
        <v>0.13</v>
      </c>
      <c r="M160" s="215"/>
      <c r="N160" s="222">
        <f>N159*L160</f>
        <v>28149.9725</v>
      </c>
      <c r="O160" s="214">
        <v>0.13</v>
      </c>
      <c r="P160" s="223"/>
      <c r="Q160" s="222">
        <f>Q159*O160</f>
        <v>27479.60769133069</v>
      </c>
      <c r="R160" s="224">
        <f>Q160-N160</f>
        <v>-670.36480866931015</v>
      </c>
      <c r="S160" s="225">
        <f>IF((N160)=0,"",(R160/N160))</f>
        <v>-2.381404843892157E-2</v>
      </c>
      <c r="T160" s="112"/>
      <c r="U160" s="112"/>
    </row>
    <row r="161" spans="9:21" x14ac:dyDescent="0.25">
      <c r="I161" s="150"/>
      <c r="J161" s="220" t="s">
        <v>132</v>
      </c>
      <c r="K161" s="213"/>
      <c r="L161" s="214">
        <v>0.08</v>
      </c>
      <c r="M161" s="215"/>
      <c r="N161" s="222">
        <v>0</v>
      </c>
      <c r="O161" s="214">
        <v>0.08</v>
      </c>
      <c r="P161" s="223"/>
      <c r="Q161" s="222">
        <v>0</v>
      </c>
      <c r="R161" s="224"/>
      <c r="S161" s="225"/>
      <c r="T161" s="112"/>
      <c r="U161" s="112"/>
    </row>
    <row r="162" spans="9:21" ht="16.5" thickBot="1" x14ac:dyDescent="0.3">
      <c r="I162" s="150"/>
      <c r="J162" s="260" t="s">
        <v>139</v>
      </c>
      <c r="K162" s="261"/>
      <c r="L162" s="244"/>
      <c r="M162" s="245"/>
      <c r="N162" s="236">
        <f>SUM(N159,N160)</f>
        <v>244688.2225</v>
      </c>
      <c r="O162" s="246"/>
      <c r="P162" s="246"/>
      <c r="Q162" s="236">
        <f>SUM(Q159,Q160)</f>
        <v>238861.20531695138</v>
      </c>
      <c r="R162" s="247">
        <f>Q162-N162</f>
        <v>-5827.0171830486215</v>
      </c>
      <c r="S162" s="248">
        <f>IF((N162)=0,"",(R162/N162))</f>
        <v>-2.381404843892158E-2</v>
      </c>
      <c r="T162" s="112"/>
      <c r="U162" s="112"/>
    </row>
    <row r="163" spans="9:21" ht="16.5" thickBot="1" x14ac:dyDescent="0.3">
      <c r="I163" s="150"/>
      <c r="J163" s="204"/>
      <c r="K163" s="205"/>
      <c r="L163" s="249"/>
      <c r="M163" s="250"/>
      <c r="N163" s="251"/>
      <c r="O163" s="249"/>
      <c r="P163" s="252"/>
      <c r="Q163" s="251"/>
      <c r="R163" s="253"/>
      <c r="S163" s="254"/>
      <c r="T163" s="112"/>
      <c r="U163" s="112"/>
    </row>
    <row r="164" spans="9:21" ht="16.5" thickBot="1" x14ac:dyDescent="0.3">
      <c r="I164" s="232"/>
      <c r="J164" s="255"/>
      <c r="K164" s="256"/>
      <c r="L164" s="256"/>
      <c r="M164" s="256"/>
      <c r="N164" s="256"/>
      <c r="O164" s="256"/>
      <c r="P164" s="256"/>
      <c r="Q164" s="256"/>
      <c r="R164" s="256"/>
      <c r="S164" s="257"/>
      <c r="T164" s="112"/>
      <c r="U164" s="112"/>
    </row>
    <row r="165" spans="9:21" x14ac:dyDescent="0.25">
      <c r="I165" s="232"/>
      <c r="J165" s="258"/>
      <c r="K165" s="114"/>
      <c r="L165" s="114"/>
      <c r="M165" s="114"/>
      <c r="N165" s="114"/>
      <c r="O165" s="114"/>
      <c r="P165" s="114"/>
      <c r="Q165" s="114"/>
      <c r="R165" s="114"/>
      <c r="S165" s="115"/>
      <c r="T165" s="112"/>
      <c r="U165" s="112"/>
    </row>
    <row r="166" spans="9:21" x14ac:dyDescent="0.25">
      <c r="I166" s="112"/>
      <c r="J166" s="120" t="s">
        <v>86</v>
      </c>
      <c r="K166" s="272" t="s">
        <v>141</v>
      </c>
      <c r="L166" s="272"/>
      <c r="M166" s="272"/>
      <c r="N166" s="272"/>
      <c r="O166" s="272"/>
      <c r="P166" s="272"/>
      <c r="Q166" s="122" t="e">
        <f>IF(#REF!="DEMAND - INTERVAL","RTSR - INTERVAL METERED","")</f>
        <v>#REF!</v>
      </c>
      <c r="R166" s="122"/>
      <c r="S166" s="123"/>
      <c r="T166" s="112"/>
      <c r="U166" s="112"/>
    </row>
    <row r="167" spans="9:21" x14ac:dyDescent="0.25">
      <c r="I167" s="112"/>
      <c r="J167" s="120" t="s">
        <v>88</v>
      </c>
      <c r="K167" s="273" t="s">
        <v>89</v>
      </c>
      <c r="L167" s="273"/>
      <c r="M167" s="273"/>
      <c r="N167" s="121"/>
      <c r="O167" s="121"/>
      <c r="P167" s="122"/>
      <c r="Q167" s="122"/>
      <c r="R167" s="122"/>
      <c r="S167" s="123"/>
      <c r="T167" s="112"/>
      <c r="U167" s="112"/>
    </row>
    <row r="168" spans="9:21" x14ac:dyDescent="0.25">
      <c r="I168" s="112"/>
      <c r="J168" s="120" t="s">
        <v>90</v>
      </c>
      <c r="K168" s="124">
        <v>150</v>
      </c>
      <c r="L168" s="125" t="s">
        <v>91</v>
      </c>
      <c r="M168" s="126"/>
      <c r="N168" s="122"/>
      <c r="O168" s="122"/>
      <c r="P168" s="127"/>
      <c r="Q168" s="127"/>
      <c r="R168" s="127"/>
      <c r="S168" s="128"/>
      <c r="T168" s="112"/>
      <c r="U168" s="112"/>
    </row>
    <row r="169" spans="9:21" x14ac:dyDescent="0.25">
      <c r="I169" s="112"/>
      <c r="J169" s="120" t="s">
        <v>92</v>
      </c>
      <c r="K169" s="124">
        <v>0</v>
      </c>
      <c r="L169" s="129" t="s">
        <v>93</v>
      </c>
      <c r="M169" s="130"/>
      <c r="N169" s="131"/>
      <c r="O169" s="131"/>
      <c r="P169" s="131"/>
      <c r="Q169" s="122"/>
      <c r="R169" s="122"/>
      <c r="S169" s="123"/>
      <c r="T169" s="112"/>
      <c r="U169" s="112"/>
    </row>
    <row r="170" spans="9:21" x14ac:dyDescent="0.25">
      <c r="I170" s="112"/>
      <c r="J170" s="120" t="s">
        <v>94</v>
      </c>
      <c r="K170" s="133">
        <v>1.056</v>
      </c>
      <c r="L170" s="122"/>
      <c r="M170" s="122"/>
      <c r="N170" s="122"/>
      <c r="O170" s="122"/>
      <c r="P170" s="122"/>
      <c r="Q170" s="122"/>
      <c r="R170" s="122"/>
      <c r="S170" s="123"/>
      <c r="T170" s="112"/>
      <c r="U170" s="112"/>
    </row>
    <row r="171" spans="9:21" x14ac:dyDescent="0.25">
      <c r="I171" s="112"/>
      <c r="J171" s="120" t="s">
        <v>95</v>
      </c>
      <c r="K171" s="133">
        <v>1.056</v>
      </c>
      <c r="L171" s="122"/>
      <c r="M171" s="122"/>
      <c r="N171" s="122"/>
      <c r="O171" s="122"/>
      <c r="P171" s="122"/>
      <c r="Q171" s="122"/>
      <c r="R171" s="122"/>
      <c r="S171" s="123"/>
      <c r="T171" s="112"/>
      <c r="U171" s="112"/>
    </row>
    <row r="172" spans="9:21" x14ac:dyDescent="0.25">
      <c r="I172" s="112"/>
      <c r="J172" s="134"/>
      <c r="K172" s="122"/>
      <c r="L172" s="122"/>
      <c r="M172" s="122"/>
      <c r="N172" s="122"/>
      <c r="O172" s="122"/>
      <c r="P172" s="122"/>
      <c r="Q172" s="122"/>
      <c r="R172" s="122"/>
      <c r="S172" s="123"/>
      <c r="T172" s="112"/>
      <c r="U172" s="112"/>
    </row>
    <row r="173" spans="9:21" x14ac:dyDescent="0.25">
      <c r="I173" s="112"/>
      <c r="J173" s="134"/>
      <c r="K173" s="139"/>
      <c r="L173" s="262" t="s">
        <v>96</v>
      </c>
      <c r="M173" s="263"/>
      <c r="N173" s="264"/>
      <c r="O173" s="262" t="s">
        <v>97</v>
      </c>
      <c r="P173" s="263"/>
      <c r="Q173" s="264"/>
      <c r="R173" s="262" t="s">
        <v>98</v>
      </c>
      <c r="S173" s="265"/>
      <c r="T173" s="112"/>
      <c r="U173" s="112"/>
    </row>
    <row r="174" spans="9:21" x14ac:dyDescent="0.25">
      <c r="I174" s="112"/>
      <c r="J174" s="134"/>
      <c r="K174" s="266"/>
      <c r="L174" s="144" t="s">
        <v>99</v>
      </c>
      <c r="M174" s="144" t="s">
        <v>100</v>
      </c>
      <c r="N174" s="145" t="s">
        <v>101</v>
      </c>
      <c r="O174" s="144" t="s">
        <v>99</v>
      </c>
      <c r="P174" s="146" t="s">
        <v>100</v>
      </c>
      <c r="Q174" s="145" t="s">
        <v>101</v>
      </c>
      <c r="R174" s="268" t="s">
        <v>102</v>
      </c>
      <c r="S174" s="270" t="s">
        <v>103</v>
      </c>
      <c r="T174" s="112"/>
      <c r="U174" s="112"/>
    </row>
    <row r="175" spans="9:21" x14ac:dyDescent="0.25">
      <c r="I175" s="112"/>
      <c r="J175" s="134"/>
      <c r="K175" s="267"/>
      <c r="L175" s="147" t="s">
        <v>104</v>
      </c>
      <c r="M175" s="147"/>
      <c r="N175" s="148" t="s">
        <v>104</v>
      </c>
      <c r="O175" s="147" t="s">
        <v>104</v>
      </c>
      <c r="P175" s="148"/>
      <c r="Q175" s="148" t="s">
        <v>104</v>
      </c>
      <c r="R175" s="269"/>
      <c r="S175" s="271"/>
      <c r="T175" s="112"/>
      <c r="U175" s="112"/>
    </row>
    <row r="176" spans="9:21" x14ac:dyDescent="0.25">
      <c r="I176" s="150"/>
      <c r="J176" s="151" t="s">
        <v>105</v>
      </c>
      <c r="K176" s="152"/>
      <c r="L176" s="153">
        <v>7.88</v>
      </c>
      <c r="M176" s="154">
        <v>1</v>
      </c>
      <c r="N176" s="155">
        <f>M176*L176</f>
        <v>7.88</v>
      </c>
      <c r="O176" s="156">
        <v>8.0299999999999994</v>
      </c>
      <c r="P176" s="157">
        <f>M176</f>
        <v>1</v>
      </c>
      <c r="Q176" s="155">
        <f>P176*O176</f>
        <v>8.0299999999999994</v>
      </c>
      <c r="R176" s="158">
        <f t="shared" ref="R176:R195" si="38">Q176-N176</f>
        <v>0.14999999999999947</v>
      </c>
      <c r="S176" s="159">
        <f>IF(ISERROR(R176/N176), "", R176/N176)</f>
        <v>1.903553299492379E-2</v>
      </c>
      <c r="T176" s="112"/>
      <c r="U176" s="112"/>
    </row>
    <row r="177" spans="9:21" x14ac:dyDescent="0.25">
      <c r="I177" s="150"/>
      <c r="J177" s="151" t="s">
        <v>106</v>
      </c>
      <c r="K177" s="152"/>
      <c r="L177" s="160">
        <v>5.3E-3</v>
      </c>
      <c r="M177" s="161">
        <f>$K$168</f>
        <v>150</v>
      </c>
      <c r="N177" s="155">
        <f t="shared" ref="N177:N185" si="39">M177*L177</f>
        <v>0.79500000000000004</v>
      </c>
      <c r="O177" s="162">
        <v>5.4000000000000003E-3</v>
      </c>
      <c r="P177" s="157">
        <f t="shared" ref="P177:P179" si="40">M177</f>
        <v>150</v>
      </c>
      <c r="Q177" s="155">
        <f>P177*O177</f>
        <v>0.81</v>
      </c>
      <c r="R177" s="158">
        <f t="shared" si="38"/>
        <v>1.5000000000000013E-2</v>
      </c>
      <c r="S177" s="159">
        <f t="shared" ref="S177:S185" si="41">IF(ISERROR(R177/N177), "", R177/N177)</f>
        <v>1.8867924528301903E-2</v>
      </c>
      <c r="T177" s="112"/>
      <c r="U177" s="112"/>
    </row>
    <row r="178" spans="9:21" x14ac:dyDescent="0.25">
      <c r="I178" s="150"/>
      <c r="J178" s="163" t="s">
        <v>108</v>
      </c>
      <c r="K178" s="152"/>
      <c r="L178" s="153">
        <v>0</v>
      </c>
      <c r="M178" s="154">
        <v>1</v>
      </c>
      <c r="N178" s="155">
        <f t="shared" si="39"/>
        <v>0</v>
      </c>
      <c r="O178" s="156">
        <f>F11</f>
        <v>8.5772146657928719E-2</v>
      </c>
      <c r="P178" s="157">
        <f t="shared" si="40"/>
        <v>1</v>
      </c>
      <c r="Q178" s="155">
        <f t="shared" ref="Q178:Q185" si="42">P178*O178</f>
        <v>8.5772146657928719E-2</v>
      </c>
      <c r="R178" s="158">
        <f t="shared" si="38"/>
        <v>8.5772146657928719E-2</v>
      </c>
      <c r="S178" s="159" t="str">
        <f t="shared" si="41"/>
        <v/>
      </c>
      <c r="T178" s="112"/>
      <c r="U178" s="112"/>
    </row>
    <row r="179" spans="9:21" x14ac:dyDescent="0.25">
      <c r="I179" s="150"/>
      <c r="J179" s="151" t="s">
        <v>109</v>
      </c>
      <c r="K179" s="152"/>
      <c r="L179" s="160">
        <v>0</v>
      </c>
      <c r="M179" s="154">
        <f>$K$168</f>
        <v>150</v>
      </c>
      <c r="N179" s="155">
        <f t="shared" si="39"/>
        <v>0</v>
      </c>
      <c r="O179" s="162">
        <v>0</v>
      </c>
      <c r="P179" s="157">
        <f t="shared" si="40"/>
        <v>150</v>
      </c>
      <c r="Q179" s="155">
        <f t="shared" si="42"/>
        <v>0</v>
      </c>
      <c r="R179" s="158">
        <f t="shared" si="38"/>
        <v>0</v>
      </c>
      <c r="S179" s="159" t="str">
        <f t="shared" si="41"/>
        <v/>
      </c>
      <c r="T179" s="112"/>
      <c r="U179" s="112"/>
    </row>
    <row r="180" spans="9:21" x14ac:dyDescent="0.25">
      <c r="I180" s="150"/>
      <c r="J180" s="165" t="s">
        <v>110</v>
      </c>
      <c r="K180" s="166"/>
      <c r="L180" s="167"/>
      <c r="M180" s="168"/>
      <c r="N180" s="169">
        <f>SUM(N176:N179)</f>
        <v>8.6750000000000007</v>
      </c>
      <c r="O180" s="170"/>
      <c r="P180" s="171"/>
      <c r="Q180" s="169">
        <f>SUM(Q176:Q179)</f>
        <v>8.9257721466579287</v>
      </c>
      <c r="R180" s="172">
        <f t="shared" si="38"/>
        <v>0.25077214665792802</v>
      </c>
      <c r="S180" s="173">
        <f>IF((N180)=0,"",(R180/N180))</f>
        <v>2.8907452064314467E-2</v>
      </c>
      <c r="T180" s="112"/>
      <c r="U180" s="112"/>
    </row>
    <row r="181" spans="9:21" x14ac:dyDescent="0.25">
      <c r="I181" s="150"/>
      <c r="J181" s="174" t="s">
        <v>111</v>
      </c>
      <c r="K181" s="152"/>
      <c r="L181" s="160">
        <f>IF((K168*12&gt;=150000), 0, IF(K167="RPP",(L197*0.65+L198*0.17+L199*0.18),IF(K167="Non-RPP (Retailer)",#REF!,#REF!)))</f>
        <v>8.2160000000000011E-2</v>
      </c>
      <c r="M181" s="175">
        <f>$K$168*($K$170-1)</f>
        <v>8.4000000000000075</v>
      </c>
      <c r="N181" s="155">
        <f>M181*L181</f>
        <v>0.69014400000000076</v>
      </c>
      <c r="O181" s="162">
        <f>IF((K168*12&gt;=150000), 0, IF(K167="RPP",(O197*0.65+O198*0.17+O199*0.18),IF(K167="Non-RPP (Retailer)",#REF!,#REF!)))</f>
        <v>8.2160000000000011E-2</v>
      </c>
      <c r="P181" s="175">
        <f t="shared" ref="P181:P187" si="43">M181</f>
        <v>8.4000000000000075</v>
      </c>
      <c r="Q181" s="155">
        <f>P181*O181</f>
        <v>0.69014400000000076</v>
      </c>
      <c r="R181" s="158">
        <f>Q181-N181</f>
        <v>0</v>
      </c>
      <c r="S181" s="159">
        <f>IF(ISERROR(R181/N181), "", R181/N181)</f>
        <v>0</v>
      </c>
      <c r="T181" s="112"/>
      <c r="U181" s="112"/>
    </row>
    <row r="182" spans="9:21" x14ac:dyDescent="0.25">
      <c r="I182" s="150"/>
      <c r="J182" s="174" t="s">
        <v>112</v>
      </c>
      <c r="K182" s="152"/>
      <c r="L182" s="160">
        <v>-2.0000000000000001E-4</v>
      </c>
      <c r="M182" s="176">
        <f t="shared" ref="M182:M185" si="44">$K$168</f>
        <v>150</v>
      </c>
      <c r="N182" s="155">
        <f t="shared" si="39"/>
        <v>-3.0000000000000002E-2</v>
      </c>
      <c r="O182" s="162">
        <v>-1.1999999999999999E-3</v>
      </c>
      <c r="P182" s="176">
        <f t="shared" si="43"/>
        <v>150</v>
      </c>
      <c r="Q182" s="155">
        <f t="shared" si="42"/>
        <v>-0.18</v>
      </c>
      <c r="R182" s="158">
        <f t="shared" si="38"/>
        <v>-0.15</v>
      </c>
      <c r="S182" s="159">
        <f t="shared" si="41"/>
        <v>4.9999999999999991</v>
      </c>
      <c r="T182" s="112"/>
      <c r="U182" s="112"/>
    </row>
    <row r="183" spans="9:21" x14ac:dyDescent="0.25">
      <c r="I183" s="150"/>
      <c r="J183" s="174" t="s">
        <v>113</v>
      </c>
      <c r="K183" s="152"/>
      <c r="L183" s="160">
        <v>0</v>
      </c>
      <c r="M183" s="176">
        <f t="shared" si="44"/>
        <v>150</v>
      </c>
      <c r="N183" s="155">
        <f>M183*L183</f>
        <v>0</v>
      </c>
      <c r="O183" s="162">
        <v>-1E-4</v>
      </c>
      <c r="P183" s="176">
        <f t="shared" si="43"/>
        <v>150</v>
      </c>
      <c r="Q183" s="155">
        <f>P183*O183</f>
        <v>-1.5000000000000001E-2</v>
      </c>
      <c r="R183" s="158">
        <f t="shared" si="38"/>
        <v>-1.5000000000000001E-2</v>
      </c>
      <c r="S183" s="159" t="str">
        <f t="shared" si="41"/>
        <v/>
      </c>
      <c r="T183" s="112"/>
      <c r="U183" s="112"/>
    </row>
    <row r="184" spans="9:21" x14ac:dyDescent="0.25">
      <c r="I184" s="150"/>
      <c r="J184" s="174" t="s">
        <v>114</v>
      </c>
      <c r="K184" s="152"/>
      <c r="L184" s="160">
        <v>0</v>
      </c>
      <c r="M184" s="176">
        <f t="shared" si="44"/>
        <v>150</v>
      </c>
      <c r="N184" s="155">
        <f>M184*L184</f>
        <v>0</v>
      </c>
      <c r="O184" s="162">
        <v>0</v>
      </c>
      <c r="P184" s="176">
        <f t="shared" si="43"/>
        <v>150</v>
      </c>
      <c r="Q184" s="155">
        <f t="shared" si="42"/>
        <v>0</v>
      </c>
      <c r="R184" s="158">
        <f t="shared" si="38"/>
        <v>0</v>
      </c>
      <c r="S184" s="159" t="str">
        <f t="shared" si="41"/>
        <v/>
      </c>
      <c r="T184" s="112"/>
      <c r="U184" s="112"/>
    </row>
    <row r="185" spans="9:21" x14ac:dyDescent="0.25">
      <c r="I185" s="150"/>
      <c r="J185" s="177" t="s">
        <v>115</v>
      </c>
      <c r="K185" s="152"/>
      <c r="L185" s="160">
        <v>2.3999999999999998E-3</v>
      </c>
      <c r="M185" s="176">
        <f t="shared" si="44"/>
        <v>150</v>
      </c>
      <c r="N185" s="155">
        <f t="shared" si="39"/>
        <v>0.36</v>
      </c>
      <c r="O185" s="162">
        <v>2.3999999999999998E-3</v>
      </c>
      <c r="P185" s="176">
        <f t="shared" si="43"/>
        <v>150</v>
      </c>
      <c r="Q185" s="155">
        <f t="shared" si="42"/>
        <v>0.36</v>
      </c>
      <c r="R185" s="158">
        <f t="shared" si="38"/>
        <v>0</v>
      </c>
      <c r="S185" s="159">
        <f t="shared" si="41"/>
        <v>0</v>
      </c>
      <c r="T185" s="112"/>
      <c r="U185" s="112"/>
    </row>
    <row r="186" spans="9:21" ht="38.25" x14ac:dyDescent="0.25">
      <c r="I186" s="150"/>
      <c r="J186" s="178" t="s">
        <v>116</v>
      </c>
      <c r="K186" s="152"/>
      <c r="L186" s="179">
        <v>0</v>
      </c>
      <c r="M186" s="154">
        <v>1</v>
      </c>
      <c r="N186" s="155">
        <f>M186*L186</f>
        <v>0</v>
      </c>
      <c r="O186" s="180">
        <v>0</v>
      </c>
      <c r="P186" s="154">
        <f t="shared" si="43"/>
        <v>1</v>
      </c>
      <c r="Q186" s="155">
        <f>P186*O186</f>
        <v>0</v>
      </c>
      <c r="R186" s="158">
        <f t="shared" si="38"/>
        <v>0</v>
      </c>
      <c r="S186" s="159" t="str">
        <f>IF(ISERROR(R186/N186), "", R186/N186)</f>
        <v/>
      </c>
      <c r="T186" s="112"/>
      <c r="U186" s="112"/>
    </row>
    <row r="187" spans="9:21" x14ac:dyDescent="0.25">
      <c r="I187" s="150"/>
      <c r="J187" s="177" t="s">
        <v>117</v>
      </c>
      <c r="K187" s="152"/>
      <c r="L187" s="160"/>
      <c r="M187" s="176">
        <f>$K$168</f>
        <v>150</v>
      </c>
      <c r="N187" s="155">
        <f>M187*L187</f>
        <v>0</v>
      </c>
      <c r="O187" s="162"/>
      <c r="P187" s="176">
        <f t="shared" si="43"/>
        <v>150</v>
      </c>
      <c r="Q187" s="155">
        <f>P187*O187</f>
        <v>0</v>
      </c>
      <c r="R187" s="158">
        <f t="shared" si="38"/>
        <v>0</v>
      </c>
      <c r="S187" s="159" t="str">
        <f>IF(ISERROR(R187/N187), "", R187/N187)</f>
        <v/>
      </c>
      <c r="T187" s="112"/>
      <c r="U187" s="112"/>
    </row>
    <row r="188" spans="9:21" x14ac:dyDescent="0.25">
      <c r="I188" s="150"/>
      <c r="J188" s="181" t="s">
        <v>118</v>
      </c>
      <c r="K188" s="182"/>
      <c r="L188" s="183"/>
      <c r="M188" s="184"/>
      <c r="N188" s="185">
        <f>SUM(N180:N187)</f>
        <v>9.6951440000000009</v>
      </c>
      <c r="O188" s="186"/>
      <c r="P188" s="187"/>
      <c r="Q188" s="185">
        <f>SUM(Q180:Q187)</f>
        <v>9.780916146657928</v>
      </c>
      <c r="R188" s="172">
        <f t="shared" si="38"/>
        <v>8.5772146657927095E-2</v>
      </c>
      <c r="S188" s="173">
        <f>IF((N188)=0,"",(R188/N188))</f>
        <v>8.8469182776374534E-3</v>
      </c>
      <c r="T188" s="112"/>
      <c r="U188" s="112"/>
    </row>
    <row r="189" spans="9:21" x14ac:dyDescent="0.25">
      <c r="I189" s="150"/>
      <c r="J189" s="188" t="s">
        <v>119</v>
      </c>
      <c r="K189" s="152"/>
      <c r="L189" s="160">
        <v>5.8999999999999999E-3</v>
      </c>
      <c r="M189" s="175">
        <f t="shared" ref="M189:M190" si="45">$K$168*$K$170</f>
        <v>158.4</v>
      </c>
      <c r="N189" s="155">
        <f>M189*L189</f>
        <v>0.93456000000000006</v>
      </c>
      <c r="O189" s="162">
        <v>6.0000000000000001E-3</v>
      </c>
      <c r="P189" s="175">
        <f t="shared" ref="P189:P190" si="46">M189</f>
        <v>158.4</v>
      </c>
      <c r="Q189" s="155">
        <f>P189*O189</f>
        <v>0.95040000000000002</v>
      </c>
      <c r="R189" s="158">
        <f t="shared" si="38"/>
        <v>1.5839999999999965E-2</v>
      </c>
      <c r="S189" s="159">
        <f>IF(ISERROR(R189/N189), "", R189/N189)</f>
        <v>1.6949152542372843E-2</v>
      </c>
      <c r="T189" s="112"/>
      <c r="U189" s="112"/>
    </row>
    <row r="190" spans="9:21" ht="25.5" x14ac:dyDescent="0.25">
      <c r="I190" s="150"/>
      <c r="J190" s="189" t="s">
        <v>120</v>
      </c>
      <c r="K190" s="152"/>
      <c r="L190" s="160">
        <v>5.1000000000000004E-3</v>
      </c>
      <c r="M190" s="175">
        <f t="shared" si="45"/>
        <v>158.4</v>
      </c>
      <c r="N190" s="155">
        <f>M190*L190</f>
        <v>0.80784000000000011</v>
      </c>
      <c r="O190" s="162">
        <v>5.1000000000000004E-3</v>
      </c>
      <c r="P190" s="175">
        <f t="shared" si="46"/>
        <v>158.4</v>
      </c>
      <c r="Q190" s="155">
        <f>P190*O190</f>
        <v>0.80784000000000011</v>
      </c>
      <c r="R190" s="158">
        <f t="shared" si="38"/>
        <v>0</v>
      </c>
      <c r="S190" s="159">
        <f>IF(ISERROR(R190/N190), "", R190/N190)</f>
        <v>0</v>
      </c>
      <c r="T190" s="112"/>
      <c r="U190" s="112"/>
    </row>
    <row r="191" spans="9:21" x14ac:dyDescent="0.25">
      <c r="I191" s="150"/>
      <c r="J191" s="181" t="s">
        <v>121</v>
      </c>
      <c r="K191" s="166"/>
      <c r="L191" s="183"/>
      <c r="M191" s="184"/>
      <c r="N191" s="185">
        <f>SUM(N188:N190)</f>
        <v>11.437544000000001</v>
      </c>
      <c r="O191" s="186"/>
      <c r="P191" s="171"/>
      <c r="Q191" s="185">
        <f>SUM(Q188:Q190)</f>
        <v>11.539156146657929</v>
      </c>
      <c r="R191" s="172">
        <f t="shared" si="38"/>
        <v>0.10161214665792784</v>
      </c>
      <c r="S191" s="173">
        <f>IF((N191)=0,"",(R191/N191))</f>
        <v>8.8840879351308136E-3</v>
      </c>
      <c r="T191" s="112"/>
      <c r="U191" s="112"/>
    </row>
    <row r="192" spans="9:21" x14ac:dyDescent="0.25">
      <c r="I192" s="150"/>
      <c r="J192" s="190" t="s">
        <v>122</v>
      </c>
      <c r="K192" s="152"/>
      <c r="L192" s="160">
        <v>3.6000000000000003E-3</v>
      </c>
      <c r="M192" s="175">
        <f>$K$168*$K$170</f>
        <v>158.4</v>
      </c>
      <c r="N192" s="191">
        <f t="shared" ref="N192:N199" si="47">M192*L192</f>
        <v>0.57024000000000008</v>
      </c>
      <c r="O192" s="162">
        <v>3.6000000000000003E-3</v>
      </c>
      <c r="P192" s="175">
        <f t="shared" ref="P192:P199" si="48">M192</f>
        <v>158.4</v>
      </c>
      <c r="Q192" s="191">
        <f t="shared" ref="Q192:Q199" si="49">P192*O192</f>
        <v>0.57024000000000008</v>
      </c>
      <c r="R192" s="158">
        <f t="shared" si="38"/>
        <v>0</v>
      </c>
      <c r="S192" s="159">
        <f t="shared" ref="S192:S199" si="50">IF(ISERROR(R192/N192), "", R192/N192)</f>
        <v>0</v>
      </c>
      <c r="T192" s="112"/>
      <c r="U192" s="112"/>
    </row>
    <row r="193" spans="9:21" x14ac:dyDescent="0.25">
      <c r="I193" s="150"/>
      <c r="J193" s="190" t="s">
        <v>123</v>
      </c>
      <c r="K193" s="152"/>
      <c r="L193" s="160">
        <f>'[1]17. Regulatory Charges'!$D$16</f>
        <v>2.9999999999999997E-4</v>
      </c>
      <c r="M193" s="175">
        <f>$K$168*$K$170</f>
        <v>158.4</v>
      </c>
      <c r="N193" s="191">
        <f t="shared" si="47"/>
        <v>4.752E-2</v>
      </c>
      <c r="O193" s="162">
        <v>2.9999999999999997E-4</v>
      </c>
      <c r="P193" s="175">
        <f t="shared" si="48"/>
        <v>158.4</v>
      </c>
      <c r="Q193" s="191">
        <f t="shared" si="49"/>
        <v>4.752E-2</v>
      </c>
      <c r="R193" s="158">
        <f t="shared" si="38"/>
        <v>0</v>
      </c>
      <c r="S193" s="159">
        <f t="shared" si="50"/>
        <v>0</v>
      </c>
      <c r="T193" s="112"/>
      <c r="U193" s="112"/>
    </row>
    <row r="194" spans="9:21" x14ac:dyDescent="0.25">
      <c r="I194" s="150"/>
      <c r="J194" s="193" t="s">
        <v>124</v>
      </c>
      <c r="K194" s="152"/>
      <c r="L194" s="179">
        <v>0.25</v>
      </c>
      <c r="M194" s="154">
        <v>1</v>
      </c>
      <c r="N194" s="191">
        <f t="shared" si="47"/>
        <v>0.25</v>
      </c>
      <c r="O194" s="180">
        <f>'[1]17. Regulatory Charges'!$D$17</f>
        <v>0.25</v>
      </c>
      <c r="P194" s="157">
        <f t="shared" si="48"/>
        <v>1</v>
      </c>
      <c r="Q194" s="191">
        <f t="shared" si="49"/>
        <v>0.25</v>
      </c>
      <c r="R194" s="158">
        <f t="shared" si="38"/>
        <v>0</v>
      </c>
      <c r="S194" s="159">
        <f t="shared" si="50"/>
        <v>0</v>
      </c>
      <c r="T194" s="112"/>
      <c r="U194" s="112"/>
    </row>
    <row r="195" spans="9:21" x14ac:dyDescent="0.25">
      <c r="I195" s="150"/>
      <c r="J195" s="193" t="s">
        <v>125</v>
      </c>
      <c r="K195" s="152"/>
      <c r="L195" s="160">
        <f>IF('[1]1. Information Sheet'!L243 = DATE(2016, 5, 1), (IF(ISERROR(FIND("RESIDENTIAL", UPPER(K166))), DRC, 0)), DRC)</f>
        <v>7.0000000000000001E-3</v>
      </c>
      <c r="M195" s="176">
        <f>$K$168</f>
        <v>150</v>
      </c>
      <c r="N195" s="191">
        <f t="shared" si="47"/>
        <v>1.05</v>
      </c>
      <c r="O195" s="233">
        <f>IF(ISERROR(FIND("RESIDENTIAL", UPPER(K166))),DRC, 0)</f>
        <v>7.0000000000000001E-3</v>
      </c>
      <c r="P195" s="176">
        <f t="shared" si="48"/>
        <v>150</v>
      </c>
      <c r="Q195" s="191">
        <f t="shared" si="49"/>
        <v>1.05</v>
      </c>
      <c r="R195" s="158">
        <f t="shared" si="38"/>
        <v>0</v>
      </c>
      <c r="S195" s="159">
        <f t="shared" si="50"/>
        <v>0</v>
      </c>
      <c r="T195" s="112"/>
      <c r="U195" s="112"/>
    </row>
    <row r="196" spans="9:21" ht="25.5" x14ac:dyDescent="0.25">
      <c r="I196" s="150"/>
      <c r="J196" s="190" t="s">
        <v>126</v>
      </c>
      <c r="K196" s="152"/>
      <c r="L196" s="160"/>
      <c r="M196" s="175"/>
      <c r="N196" s="191"/>
      <c r="O196" s="162"/>
      <c r="P196" s="175">
        <f t="shared" si="48"/>
        <v>0</v>
      </c>
      <c r="Q196" s="191"/>
      <c r="R196" s="158"/>
      <c r="S196" s="159"/>
      <c r="T196" s="112"/>
      <c r="U196" s="112"/>
    </row>
    <row r="197" spans="9:21" x14ac:dyDescent="0.25">
      <c r="I197" s="150"/>
      <c r="J197" s="200" t="s">
        <v>127</v>
      </c>
      <c r="K197" s="152"/>
      <c r="L197" s="201">
        <f>OffPeak</f>
        <v>6.5000000000000002E-2</v>
      </c>
      <c r="M197" s="202">
        <f>IF(AND(K168*12&gt;=150000),0.65*K168*K170,0.65*K168)</f>
        <v>97.5</v>
      </c>
      <c r="N197" s="191">
        <f t="shared" si="47"/>
        <v>6.3375000000000004</v>
      </c>
      <c r="O197" s="203">
        <f>OffPeak</f>
        <v>6.5000000000000002E-2</v>
      </c>
      <c r="P197" s="202">
        <f t="shared" si="48"/>
        <v>97.5</v>
      </c>
      <c r="Q197" s="191">
        <f t="shared" si="49"/>
        <v>6.3375000000000004</v>
      </c>
      <c r="R197" s="158">
        <f>Q197-N197</f>
        <v>0</v>
      </c>
      <c r="S197" s="159">
        <f t="shared" si="50"/>
        <v>0</v>
      </c>
      <c r="T197" s="112"/>
      <c r="U197" s="112"/>
    </row>
    <row r="198" spans="9:21" x14ac:dyDescent="0.25">
      <c r="I198" s="150"/>
      <c r="J198" s="200" t="s">
        <v>128</v>
      </c>
      <c r="K198" s="152"/>
      <c r="L198" s="201">
        <f>MidPeak</f>
        <v>9.5000000000000001E-2</v>
      </c>
      <c r="M198" s="202">
        <f>IF(AND(K168*12&gt;=150000),0.17*K168*K170,0.17*K168)</f>
        <v>25.500000000000004</v>
      </c>
      <c r="N198" s="191">
        <f t="shared" si="47"/>
        <v>2.4225000000000003</v>
      </c>
      <c r="O198" s="203">
        <f>MidPeak</f>
        <v>9.5000000000000001E-2</v>
      </c>
      <c r="P198" s="202">
        <f t="shared" si="48"/>
        <v>25.500000000000004</v>
      </c>
      <c r="Q198" s="191">
        <f t="shared" si="49"/>
        <v>2.4225000000000003</v>
      </c>
      <c r="R198" s="158">
        <f>Q198-N198</f>
        <v>0</v>
      </c>
      <c r="S198" s="159">
        <f t="shared" si="50"/>
        <v>0</v>
      </c>
      <c r="T198" s="112"/>
      <c r="U198" s="112"/>
    </row>
    <row r="199" spans="9:21" ht="16.5" thickBot="1" x14ac:dyDescent="0.3">
      <c r="I199" s="150"/>
      <c r="J199" s="134" t="s">
        <v>129</v>
      </c>
      <c r="K199" s="152"/>
      <c r="L199" s="201">
        <f>OnPeak</f>
        <v>0.13200000000000001</v>
      </c>
      <c r="M199" s="202">
        <f>IF(AND(K168*12&gt;=150000),0.18*K168*K170,0.18*K168)</f>
        <v>27</v>
      </c>
      <c r="N199" s="191">
        <f t="shared" si="47"/>
        <v>3.5640000000000001</v>
      </c>
      <c r="O199" s="203">
        <f>OnPeak</f>
        <v>0.13200000000000001</v>
      </c>
      <c r="P199" s="202">
        <f t="shared" si="48"/>
        <v>27</v>
      </c>
      <c r="Q199" s="191">
        <f t="shared" si="49"/>
        <v>3.5640000000000001</v>
      </c>
      <c r="R199" s="158">
        <f>Q199-N199</f>
        <v>0</v>
      </c>
      <c r="S199" s="159">
        <f t="shared" si="50"/>
        <v>0</v>
      </c>
      <c r="T199" s="112"/>
      <c r="U199" s="112"/>
    </row>
    <row r="200" spans="9:21" ht="16.5" thickBot="1" x14ac:dyDescent="0.3">
      <c r="I200" s="150"/>
      <c r="J200" s="204"/>
      <c r="K200" s="205"/>
      <c r="L200" s="206"/>
      <c r="M200" s="207"/>
      <c r="N200" s="208"/>
      <c r="O200" s="206"/>
      <c r="P200" s="209"/>
      <c r="Q200" s="208"/>
      <c r="R200" s="210"/>
      <c r="S200" s="211"/>
      <c r="T200" s="112"/>
      <c r="U200" s="112"/>
    </row>
    <row r="201" spans="9:21" x14ac:dyDescent="0.25">
      <c r="I201" s="150"/>
      <c r="J201" s="212" t="s">
        <v>130</v>
      </c>
      <c r="K201" s="213"/>
      <c r="L201" s="214"/>
      <c r="M201" s="215"/>
      <c r="N201" s="216">
        <f>SUM(N192:N199,N191)</f>
        <v>25.679304000000002</v>
      </c>
      <c r="O201" s="217"/>
      <c r="P201" s="217"/>
      <c r="Q201" s="216">
        <f>SUM(Q192:Q199,Q191)</f>
        <v>25.78091614665793</v>
      </c>
      <c r="R201" s="218">
        <f>Q201-N201</f>
        <v>0.10161214665792784</v>
      </c>
      <c r="S201" s="219">
        <f>IF((N201)=0,"",(R201/N201))</f>
        <v>3.9569665384205054E-3</v>
      </c>
      <c r="T201" s="112"/>
      <c r="U201" s="112"/>
    </row>
    <row r="202" spans="9:21" x14ac:dyDescent="0.25">
      <c r="I202" s="150"/>
      <c r="J202" s="220" t="s">
        <v>131</v>
      </c>
      <c r="K202" s="213"/>
      <c r="L202" s="214">
        <v>0.13</v>
      </c>
      <c r="M202" s="221"/>
      <c r="N202" s="222">
        <f>N201*L202</f>
        <v>3.3383095200000001</v>
      </c>
      <c r="O202" s="223">
        <v>0.13</v>
      </c>
      <c r="P202" s="154"/>
      <c r="Q202" s="222">
        <f>Q201*O202</f>
        <v>3.351519099065531</v>
      </c>
      <c r="R202" s="224">
        <f>Q202-N202</f>
        <v>1.3209579065530885E-2</v>
      </c>
      <c r="S202" s="225">
        <f>IF((N202)=0,"",(R202/N202))</f>
        <v>3.9569665384205852E-3</v>
      </c>
      <c r="T202" s="112"/>
      <c r="U202" s="112"/>
    </row>
    <row r="203" spans="9:21" x14ac:dyDescent="0.25">
      <c r="I203" s="150"/>
      <c r="J203" s="220" t="s">
        <v>132</v>
      </c>
      <c r="K203" s="213"/>
      <c r="L203" s="214">
        <v>0.08</v>
      </c>
      <c r="M203" s="221"/>
      <c r="N203" s="222">
        <v>0</v>
      </c>
      <c r="O203" s="214">
        <v>0.08</v>
      </c>
      <c r="P203" s="154"/>
      <c r="Q203" s="222">
        <v>0</v>
      </c>
      <c r="R203" s="224">
        <f>Q203-N203</f>
        <v>0</v>
      </c>
      <c r="S203" s="225"/>
      <c r="T203" s="112"/>
      <c r="U203" s="112"/>
    </row>
    <row r="204" spans="9:21" ht="16.5" thickBot="1" x14ac:dyDescent="0.3">
      <c r="I204" s="150"/>
      <c r="J204" s="260" t="s">
        <v>133</v>
      </c>
      <c r="K204" s="261"/>
      <c r="L204" s="234"/>
      <c r="M204" s="235"/>
      <c r="N204" s="236">
        <f>N201+N202+N203</f>
        <v>29.017613520000001</v>
      </c>
      <c r="O204" s="237"/>
      <c r="P204" s="237"/>
      <c r="Q204" s="238">
        <f>Q201+Q202+Q203</f>
        <v>29.13243524572346</v>
      </c>
      <c r="R204" s="239">
        <f>Q204-N204</f>
        <v>0.11482172572345917</v>
      </c>
      <c r="S204" s="240">
        <f>IF((N204)=0,"",(R204/N204))</f>
        <v>3.9569665384205296E-3</v>
      </c>
      <c r="T204" s="112"/>
      <c r="U204" s="112"/>
    </row>
    <row r="205" spans="9:21" ht="16.5" thickBot="1" x14ac:dyDescent="0.3">
      <c r="I205" s="150"/>
      <c r="J205" s="204"/>
      <c r="K205" s="205"/>
      <c r="L205" s="206"/>
      <c r="M205" s="207"/>
      <c r="N205" s="208"/>
      <c r="O205" s="206"/>
      <c r="P205" s="209"/>
      <c r="Q205" s="208"/>
      <c r="R205" s="210"/>
      <c r="S205" s="211"/>
      <c r="T205" s="112"/>
      <c r="U205" s="112"/>
    </row>
    <row r="206" spans="9:21" ht="16.5" thickBot="1" x14ac:dyDescent="0.3">
      <c r="I206" s="232"/>
      <c r="J206" s="255"/>
      <c r="K206" s="256"/>
      <c r="L206" s="256"/>
      <c r="M206" s="256"/>
      <c r="N206" s="256"/>
      <c r="O206" s="256"/>
      <c r="P206" s="256"/>
      <c r="Q206" s="256"/>
      <c r="R206" s="256"/>
      <c r="S206" s="257"/>
      <c r="T206" s="112"/>
      <c r="U206" s="112"/>
    </row>
    <row r="207" spans="9:21" x14ac:dyDescent="0.25">
      <c r="I207" s="232"/>
      <c r="J207" s="258"/>
      <c r="K207" s="114"/>
      <c r="L207" s="114"/>
      <c r="M207" s="114"/>
      <c r="N207" s="114"/>
      <c r="O207" s="114"/>
      <c r="P207" s="114"/>
      <c r="Q207" s="114"/>
      <c r="R207" s="114"/>
      <c r="S207" s="115"/>
      <c r="T207" s="112"/>
      <c r="U207" s="112"/>
    </row>
    <row r="208" spans="9:21" x14ac:dyDescent="0.25">
      <c r="I208" s="112"/>
      <c r="J208" s="120" t="s">
        <v>86</v>
      </c>
      <c r="K208" s="272" t="s">
        <v>142</v>
      </c>
      <c r="L208" s="272"/>
      <c r="M208" s="272"/>
      <c r="N208" s="272"/>
      <c r="O208" s="272"/>
      <c r="P208" s="272"/>
      <c r="Q208" s="122" t="e">
        <f>IF(#REF!="DEMAND - INTERVAL","RTSR - INTERVAL METERED","")</f>
        <v>#REF!</v>
      </c>
      <c r="R208" s="122"/>
      <c r="S208" s="123"/>
      <c r="T208" s="112"/>
      <c r="U208" s="112"/>
    </row>
    <row r="209" spans="9:21" x14ac:dyDescent="0.25">
      <c r="I209" s="112"/>
      <c r="J209" s="120" t="s">
        <v>88</v>
      </c>
      <c r="K209" s="273" t="s">
        <v>89</v>
      </c>
      <c r="L209" s="273"/>
      <c r="M209" s="273"/>
      <c r="N209" s="121"/>
      <c r="O209" s="121"/>
      <c r="P209" s="122"/>
      <c r="Q209" s="122"/>
      <c r="R209" s="122"/>
      <c r="S209" s="123"/>
      <c r="T209" s="112"/>
      <c r="U209" s="112"/>
    </row>
    <row r="210" spans="9:21" x14ac:dyDescent="0.25">
      <c r="I210" s="112"/>
      <c r="J210" s="120" t="s">
        <v>90</v>
      </c>
      <c r="K210" s="124">
        <v>650</v>
      </c>
      <c r="L210" s="125" t="s">
        <v>91</v>
      </c>
      <c r="M210" s="126"/>
      <c r="N210" s="122"/>
      <c r="O210" s="122"/>
      <c r="P210" s="127"/>
      <c r="Q210" s="127"/>
      <c r="R210" s="127"/>
      <c r="S210" s="128"/>
      <c r="T210" s="112"/>
      <c r="U210" s="112"/>
    </row>
    <row r="211" spans="9:21" x14ac:dyDescent="0.25">
      <c r="I211" s="112"/>
      <c r="J211" s="120" t="s">
        <v>92</v>
      </c>
      <c r="K211" s="124">
        <v>1</v>
      </c>
      <c r="L211" s="129" t="s">
        <v>93</v>
      </c>
      <c r="M211" s="130"/>
      <c r="N211" s="131"/>
      <c r="O211" s="131"/>
      <c r="P211" s="131"/>
      <c r="Q211" s="122"/>
      <c r="R211" s="122"/>
      <c r="S211" s="123"/>
      <c r="T211" s="112"/>
      <c r="U211" s="112"/>
    </row>
    <row r="212" spans="9:21" x14ac:dyDescent="0.25">
      <c r="I212" s="112"/>
      <c r="J212" s="120" t="s">
        <v>94</v>
      </c>
      <c r="K212" s="133">
        <v>1.056</v>
      </c>
      <c r="L212" s="122"/>
      <c r="M212" s="122"/>
      <c r="N212" s="122"/>
      <c r="O212" s="122"/>
      <c r="P212" s="122"/>
      <c r="Q212" s="122"/>
      <c r="R212" s="122"/>
      <c r="S212" s="123"/>
      <c r="T212" s="112"/>
      <c r="U212" s="112"/>
    </row>
    <row r="213" spans="9:21" x14ac:dyDescent="0.25">
      <c r="I213" s="112"/>
      <c r="J213" s="120" t="s">
        <v>95</v>
      </c>
      <c r="K213" s="133">
        <v>1.056</v>
      </c>
      <c r="L213" s="122"/>
      <c r="M213" s="122"/>
      <c r="N213" s="122"/>
      <c r="O213" s="122"/>
      <c r="P213" s="122"/>
      <c r="Q213" s="122"/>
      <c r="R213" s="122"/>
      <c r="S213" s="123"/>
      <c r="T213" s="112"/>
      <c r="U213" s="112"/>
    </row>
    <row r="214" spans="9:21" x14ac:dyDescent="0.25">
      <c r="I214" s="112"/>
      <c r="J214" s="134"/>
      <c r="K214" s="122"/>
      <c r="L214" s="122"/>
      <c r="M214" s="122"/>
      <c r="N214" s="122"/>
      <c r="O214" s="122"/>
      <c r="P214" s="122"/>
      <c r="Q214" s="122"/>
      <c r="R214" s="122"/>
      <c r="S214" s="123"/>
      <c r="T214" s="112"/>
      <c r="U214" s="112"/>
    </row>
    <row r="215" spans="9:21" x14ac:dyDescent="0.25">
      <c r="I215" s="112"/>
      <c r="J215" s="134"/>
      <c r="K215" s="139"/>
      <c r="L215" s="262" t="s">
        <v>96</v>
      </c>
      <c r="M215" s="263"/>
      <c r="N215" s="264"/>
      <c r="O215" s="262" t="s">
        <v>97</v>
      </c>
      <c r="P215" s="263"/>
      <c r="Q215" s="264"/>
      <c r="R215" s="262" t="s">
        <v>98</v>
      </c>
      <c r="S215" s="265"/>
      <c r="T215" s="112"/>
      <c r="U215" s="112"/>
    </row>
    <row r="216" spans="9:21" x14ac:dyDescent="0.25">
      <c r="I216" s="112"/>
      <c r="J216" s="134"/>
      <c r="K216" s="266"/>
      <c r="L216" s="144" t="s">
        <v>99</v>
      </c>
      <c r="M216" s="144" t="s">
        <v>100</v>
      </c>
      <c r="N216" s="145" t="s">
        <v>101</v>
      </c>
      <c r="O216" s="144" t="s">
        <v>99</v>
      </c>
      <c r="P216" s="146" t="s">
        <v>100</v>
      </c>
      <c r="Q216" s="145" t="s">
        <v>101</v>
      </c>
      <c r="R216" s="268" t="s">
        <v>102</v>
      </c>
      <c r="S216" s="270" t="s">
        <v>103</v>
      </c>
      <c r="T216" s="112"/>
      <c r="U216" s="112"/>
    </row>
    <row r="217" spans="9:21" x14ac:dyDescent="0.25">
      <c r="I217" s="112"/>
      <c r="J217" s="134"/>
      <c r="K217" s="267"/>
      <c r="L217" s="147" t="s">
        <v>104</v>
      </c>
      <c r="M217" s="147"/>
      <c r="N217" s="148" t="s">
        <v>104</v>
      </c>
      <c r="O217" s="147" t="s">
        <v>104</v>
      </c>
      <c r="P217" s="148"/>
      <c r="Q217" s="148" t="s">
        <v>104</v>
      </c>
      <c r="R217" s="269"/>
      <c r="S217" s="271"/>
      <c r="T217" s="112"/>
      <c r="U217" s="112"/>
    </row>
    <row r="218" spans="9:21" x14ac:dyDescent="0.25">
      <c r="I218" s="150"/>
      <c r="J218" s="151" t="s">
        <v>105</v>
      </c>
      <c r="K218" s="152"/>
      <c r="L218" s="153">
        <v>9.36</v>
      </c>
      <c r="M218" s="154">
        <v>1</v>
      </c>
      <c r="N218" s="155">
        <f>M218*L218</f>
        <v>9.36</v>
      </c>
      <c r="O218" s="156">
        <v>9.5399999999999991</v>
      </c>
      <c r="P218" s="157">
        <f>M218</f>
        <v>1</v>
      </c>
      <c r="Q218" s="155">
        <f>P218*O218</f>
        <v>9.5399999999999991</v>
      </c>
      <c r="R218" s="158">
        <f t="shared" ref="R218:R237" si="51">Q218-N218</f>
        <v>0.17999999999999972</v>
      </c>
      <c r="S218" s="159">
        <f>IF(ISERROR(R218/N218), "", R218/N218)</f>
        <v>1.9230769230769201E-2</v>
      </c>
      <c r="T218" s="112"/>
      <c r="U218" s="112"/>
    </row>
    <row r="219" spans="9:21" x14ac:dyDescent="0.25">
      <c r="I219" s="150"/>
      <c r="J219" s="151" t="s">
        <v>106</v>
      </c>
      <c r="K219" s="152"/>
      <c r="L219" s="160">
        <v>35.479199999999999</v>
      </c>
      <c r="M219" s="161">
        <f>$K$211</f>
        <v>1</v>
      </c>
      <c r="N219" s="155">
        <f t="shared" ref="N219:N227" si="52">M219*L219</f>
        <v>35.479199999999999</v>
      </c>
      <c r="O219" s="162">
        <v>36.153300000000002</v>
      </c>
      <c r="P219" s="157">
        <f t="shared" ref="P219:P221" si="53">M219</f>
        <v>1</v>
      </c>
      <c r="Q219" s="155">
        <f>P219*O219</f>
        <v>36.153300000000002</v>
      </c>
      <c r="R219" s="158">
        <f t="shared" si="51"/>
        <v>0.67410000000000281</v>
      </c>
      <c r="S219" s="159">
        <f t="shared" ref="S219:S227" si="54">IF(ISERROR(R219/N219), "", R219/N219)</f>
        <v>1.8999864709463653E-2</v>
      </c>
      <c r="T219" s="112"/>
      <c r="U219" s="112"/>
    </row>
    <row r="220" spans="9:21" x14ac:dyDescent="0.25">
      <c r="I220" s="150"/>
      <c r="J220" s="163" t="s">
        <v>108</v>
      </c>
      <c r="K220" s="152"/>
      <c r="L220" s="153">
        <v>0</v>
      </c>
      <c r="M220" s="154">
        <v>1</v>
      </c>
      <c r="N220" s="155">
        <f t="shared" si="52"/>
        <v>0</v>
      </c>
      <c r="O220" s="156">
        <f>F12</f>
        <v>0.17252253639135012</v>
      </c>
      <c r="P220" s="157">
        <f t="shared" si="53"/>
        <v>1</v>
      </c>
      <c r="Q220" s="155">
        <f t="shared" ref="Q220:Q227" si="55">P220*O220</f>
        <v>0.17252253639135012</v>
      </c>
      <c r="R220" s="158">
        <f t="shared" si="51"/>
        <v>0.17252253639135012</v>
      </c>
      <c r="S220" s="159" t="str">
        <f t="shared" si="54"/>
        <v/>
      </c>
      <c r="T220" s="112"/>
      <c r="U220" s="112"/>
    </row>
    <row r="221" spans="9:21" x14ac:dyDescent="0.25">
      <c r="I221" s="150"/>
      <c r="J221" s="151" t="s">
        <v>109</v>
      </c>
      <c r="K221" s="152"/>
      <c r="L221" s="160">
        <v>0</v>
      </c>
      <c r="M221" s="154">
        <f>$K$211</f>
        <v>1</v>
      </c>
      <c r="N221" s="155">
        <f t="shared" si="52"/>
        <v>0</v>
      </c>
      <c r="O221" s="162">
        <v>0</v>
      </c>
      <c r="P221" s="157">
        <f t="shared" si="53"/>
        <v>1</v>
      </c>
      <c r="Q221" s="155">
        <f t="shared" si="55"/>
        <v>0</v>
      </c>
      <c r="R221" s="158">
        <f t="shared" si="51"/>
        <v>0</v>
      </c>
      <c r="S221" s="159" t="str">
        <f t="shared" si="54"/>
        <v/>
      </c>
      <c r="T221" s="112"/>
      <c r="U221" s="112"/>
    </row>
    <row r="222" spans="9:21" x14ac:dyDescent="0.25">
      <c r="I222" s="150"/>
      <c r="J222" s="165" t="s">
        <v>110</v>
      </c>
      <c r="K222" s="166"/>
      <c r="L222" s="167"/>
      <c r="M222" s="168"/>
      <c r="N222" s="169">
        <f>SUM(N218:N221)</f>
        <v>44.839199999999998</v>
      </c>
      <c r="O222" s="170"/>
      <c r="P222" s="171"/>
      <c r="Q222" s="169">
        <f>SUM(Q218:Q221)</f>
        <v>45.865822536391349</v>
      </c>
      <c r="R222" s="172">
        <f t="shared" si="51"/>
        <v>1.0266225363913506</v>
      </c>
      <c r="S222" s="173">
        <f>IF((N222)=0,"",(R222/N222))</f>
        <v>2.2895647923944912E-2</v>
      </c>
      <c r="T222" s="112"/>
      <c r="U222" s="112"/>
    </row>
    <row r="223" spans="9:21" x14ac:dyDescent="0.25">
      <c r="I223" s="150"/>
      <c r="J223" s="174" t="s">
        <v>111</v>
      </c>
      <c r="K223" s="152"/>
      <c r="L223" s="160">
        <f>IF((K210*12&gt;=150000), 0, IF(K209="RPP",(L239*0.65+L240*0.17+L241*0.18),IF(K209="Non-RPP (Retailer)",#REF!,#REF!)))</f>
        <v>8.2160000000000011E-2</v>
      </c>
      <c r="M223" s="175">
        <f>IF(L223=0, 0, $K$210*$K$212-$K$210)</f>
        <v>36.399999999999977</v>
      </c>
      <c r="N223" s="155">
        <f>M223*L223</f>
        <v>2.9906239999999986</v>
      </c>
      <c r="O223" s="162">
        <f>IF((K210*12&gt;=150000), 0, IF(K209="RPP",(O239*0.65+O240*0.17+O241*0.18),IF(K209="Non-RPP (Retailer)",#REF!,#REF!)))</f>
        <v>8.2160000000000011E-2</v>
      </c>
      <c r="P223" s="175">
        <f t="shared" ref="P223:P229" si="56">M223</f>
        <v>36.399999999999977</v>
      </c>
      <c r="Q223" s="155">
        <f>P223*O223</f>
        <v>2.9906239999999986</v>
      </c>
      <c r="R223" s="158">
        <f>Q223-N223</f>
        <v>0</v>
      </c>
      <c r="S223" s="159">
        <f>IF(ISERROR(R223/N223), "", R223/N223)</f>
        <v>0</v>
      </c>
      <c r="T223" s="112"/>
      <c r="U223" s="112"/>
    </row>
    <row r="224" spans="9:21" ht="25.5" x14ac:dyDescent="0.25">
      <c r="I224" s="150"/>
      <c r="J224" s="174" t="s">
        <v>137</v>
      </c>
      <c r="K224" s="152"/>
      <c r="L224" s="160">
        <v>0.44069999999999998</v>
      </c>
      <c r="M224" s="176">
        <f>$K$211</f>
        <v>1</v>
      </c>
      <c r="N224" s="155">
        <f t="shared" si="52"/>
        <v>0.44069999999999998</v>
      </c>
      <c r="O224" s="162">
        <v>-0.47110000000000002</v>
      </c>
      <c r="P224" s="176">
        <f t="shared" si="56"/>
        <v>1</v>
      </c>
      <c r="Q224" s="155">
        <f t="shared" si="55"/>
        <v>-0.47110000000000002</v>
      </c>
      <c r="R224" s="158">
        <f t="shared" si="51"/>
        <v>-0.91179999999999994</v>
      </c>
      <c r="S224" s="159">
        <f t="shared" si="54"/>
        <v>-2.0689811663262989</v>
      </c>
      <c r="T224" s="112"/>
      <c r="U224" s="112"/>
    </row>
    <row r="225" spans="9:21" x14ac:dyDescent="0.25">
      <c r="I225" s="150"/>
      <c r="J225" s="174" t="s">
        <v>113</v>
      </c>
      <c r="K225" s="152"/>
      <c r="L225" s="160">
        <v>0</v>
      </c>
      <c r="M225" s="176">
        <f>$K$211</f>
        <v>1</v>
      </c>
      <c r="N225" s="155">
        <f>M225*L225</f>
        <v>0</v>
      </c>
      <c r="O225" s="162">
        <v>-2.98E-2</v>
      </c>
      <c r="P225" s="176">
        <f t="shared" si="56"/>
        <v>1</v>
      </c>
      <c r="Q225" s="155">
        <f>P225*O225</f>
        <v>-2.98E-2</v>
      </c>
      <c r="R225" s="158">
        <f t="shared" si="51"/>
        <v>-2.98E-2</v>
      </c>
      <c r="S225" s="159" t="str">
        <f t="shared" si="54"/>
        <v/>
      </c>
      <c r="T225" s="112"/>
      <c r="U225" s="112"/>
    </row>
    <row r="226" spans="9:21" x14ac:dyDescent="0.25">
      <c r="I226" s="150"/>
      <c r="J226" s="174" t="s">
        <v>114</v>
      </c>
      <c r="K226" s="152"/>
      <c r="L226" s="160">
        <v>0</v>
      </c>
      <c r="M226" s="176">
        <f>$K$210</f>
        <v>650</v>
      </c>
      <c r="N226" s="155">
        <f>M226*L226</f>
        <v>0</v>
      </c>
      <c r="O226" s="162">
        <v>0</v>
      </c>
      <c r="P226" s="176">
        <f t="shared" si="56"/>
        <v>650</v>
      </c>
      <c r="Q226" s="155">
        <f t="shared" si="55"/>
        <v>0</v>
      </c>
      <c r="R226" s="158">
        <f t="shared" si="51"/>
        <v>0</v>
      </c>
      <c r="S226" s="159" t="str">
        <f t="shared" si="54"/>
        <v/>
      </c>
      <c r="T226" s="112"/>
      <c r="U226" s="112"/>
    </row>
    <row r="227" spans="9:21" x14ac:dyDescent="0.25">
      <c r="I227" s="150"/>
      <c r="J227" s="177" t="s">
        <v>115</v>
      </c>
      <c r="K227" s="152"/>
      <c r="L227" s="160">
        <v>0.75470000000000004</v>
      </c>
      <c r="M227" s="176">
        <f>$K$211</f>
        <v>1</v>
      </c>
      <c r="N227" s="155">
        <f t="shared" si="52"/>
        <v>0.75470000000000004</v>
      </c>
      <c r="O227" s="162">
        <v>0.75470000000000004</v>
      </c>
      <c r="P227" s="176">
        <f t="shared" si="56"/>
        <v>1</v>
      </c>
      <c r="Q227" s="155">
        <f t="shared" si="55"/>
        <v>0.75470000000000004</v>
      </c>
      <c r="R227" s="158">
        <f t="shared" si="51"/>
        <v>0</v>
      </c>
      <c r="S227" s="159">
        <f t="shared" si="54"/>
        <v>0</v>
      </c>
      <c r="T227" s="112"/>
      <c r="U227" s="112"/>
    </row>
    <row r="228" spans="9:21" ht="38.25" x14ac:dyDescent="0.25">
      <c r="I228" s="150"/>
      <c r="J228" s="178" t="s">
        <v>116</v>
      </c>
      <c r="K228" s="152"/>
      <c r="L228" s="179">
        <v>0</v>
      </c>
      <c r="M228" s="154">
        <v>1</v>
      </c>
      <c r="N228" s="155">
        <f>M228*L228</f>
        <v>0</v>
      </c>
      <c r="O228" s="180">
        <v>0</v>
      </c>
      <c r="P228" s="154">
        <f t="shared" si="56"/>
        <v>1</v>
      </c>
      <c r="Q228" s="155">
        <f>P228*O228</f>
        <v>0</v>
      </c>
      <c r="R228" s="158">
        <f t="shared" si="51"/>
        <v>0</v>
      </c>
      <c r="S228" s="159" t="str">
        <f>IF(ISERROR(R228/N228), "", R228/N228)</f>
        <v/>
      </c>
      <c r="T228" s="112"/>
      <c r="U228" s="112"/>
    </row>
    <row r="229" spans="9:21" x14ac:dyDescent="0.25">
      <c r="I229" s="150"/>
      <c r="J229" s="177" t="s">
        <v>117</v>
      </c>
      <c r="K229" s="152"/>
      <c r="L229" s="160"/>
      <c r="M229" s="176">
        <f>$K$211</f>
        <v>1</v>
      </c>
      <c r="N229" s="155">
        <f>M229*L229</f>
        <v>0</v>
      </c>
      <c r="O229" s="162"/>
      <c r="P229" s="176">
        <f t="shared" si="56"/>
        <v>1</v>
      </c>
      <c r="Q229" s="155">
        <f>P229*O229</f>
        <v>0</v>
      </c>
      <c r="R229" s="158">
        <f t="shared" si="51"/>
        <v>0</v>
      </c>
      <c r="S229" s="159" t="str">
        <f>IF(ISERROR(R229/N229), "", R229/N229)</f>
        <v/>
      </c>
      <c r="T229" s="112"/>
      <c r="U229" s="112"/>
    </row>
    <row r="230" spans="9:21" x14ac:dyDescent="0.25">
      <c r="I230" s="150"/>
      <c r="J230" s="181" t="s">
        <v>118</v>
      </c>
      <c r="K230" s="182"/>
      <c r="L230" s="183"/>
      <c r="M230" s="184"/>
      <c r="N230" s="185">
        <f>SUM(N222:N229)</f>
        <v>49.025223999999994</v>
      </c>
      <c r="O230" s="186"/>
      <c r="P230" s="187"/>
      <c r="Q230" s="185">
        <f>SUM(Q222:Q229)</f>
        <v>49.110246536391344</v>
      </c>
      <c r="R230" s="172">
        <f t="shared" si="51"/>
        <v>8.502253639134949E-2</v>
      </c>
      <c r="S230" s="173">
        <f>IF((N230)=0,"",(R230/N230))</f>
        <v>1.7342610487888744E-3</v>
      </c>
      <c r="T230" s="112"/>
      <c r="U230" s="112"/>
    </row>
    <row r="231" spans="9:21" x14ac:dyDescent="0.25">
      <c r="I231" s="150"/>
      <c r="J231" s="188" t="s">
        <v>119</v>
      </c>
      <c r="K231" s="152"/>
      <c r="L231" s="160">
        <v>1.85</v>
      </c>
      <c r="M231" s="175">
        <f t="shared" ref="M231:M232" si="57">$K$211</f>
        <v>1</v>
      </c>
      <c r="N231" s="155">
        <f>M231*L231</f>
        <v>1.85</v>
      </c>
      <c r="O231" s="162">
        <v>1.8747</v>
      </c>
      <c r="P231" s="175">
        <f t="shared" ref="P231:P232" si="58">M231</f>
        <v>1</v>
      </c>
      <c r="Q231" s="155">
        <f>P231*O231</f>
        <v>1.8747</v>
      </c>
      <c r="R231" s="158">
        <f t="shared" si="51"/>
        <v>2.4699999999999944E-2</v>
      </c>
      <c r="S231" s="159">
        <f>IF(ISERROR(R231/N231), "", R231/N231)</f>
        <v>1.335135135135132E-2</v>
      </c>
      <c r="T231" s="112"/>
      <c r="U231" s="112"/>
    </row>
    <row r="232" spans="9:21" ht="25.5" x14ac:dyDescent="0.25">
      <c r="I232" s="150"/>
      <c r="J232" s="189" t="s">
        <v>120</v>
      </c>
      <c r="K232" s="152"/>
      <c r="L232" s="160">
        <v>1.5472999999999999</v>
      </c>
      <c r="M232" s="175">
        <f t="shared" si="57"/>
        <v>1</v>
      </c>
      <c r="N232" s="155">
        <f>M232*L232</f>
        <v>1.5472999999999999</v>
      </c>
      <c r="O232" s="162">
        <v>1.5541</v>
      </c>
      <c r="P232" s="175">
        <f t="shared" si="58"/>
        <v>1</v>
      </c>
      <c r="Q232" s="155">
        <f>P232*O232</f>
        <v>1.5541</v>
      </c>
      <c r="R232" s="158">
        <f t="shared" si="51"/>
        <v>6.8000000000001393E-3</v>
      </c>
      <c r="S232" s="159">
        <f>IF(ISERROR(R232/N232), "", R232/N232)</f>
        <v>4.3947521489046334E-3</v>
      </c>
      <c r="T232" s="112"/>
      <c r="U232" s="112"/>
    </row>
    <row r="233" spans="9:21" x14ac:dyDescent="0.25">
      <c r="I233" s="150"/>
      <c r="J233" s="181" t="s">
        <v>121</v>
      </c>
      <c r="K233" s="166"/>
      <c r="L233" s="183"/>
      <c r="M233" s="184"/>
      <c r="N233" s="185">
        <f>SUM(N230:N232)</f>
        <v>52.422523999999996</v>
      </c>
      <c r="O233" s="186"/>
      <c r="P233" s="171"/>
      <c r="Q233" s="185">
        <f>SUM(Q230:Q232)</f>
        <v>52.539046536391339</v>
      </c>
      <c r="R233" s="172">
        <f t="shared" si="51"/>
        <v>0.11652253639134358</v>
      </c>
      <c r="S233" s="173">
        <f>IF((N233)=0,"",(R233/N233))</f>
        <v>2.2227570803600299E-3</v>
      </c>
      <c r="T233" s="112"/>
      <c r="U233" s="112"/>
    </row>
    <row r="234" spans="9:21" x14ac:dyDescent="0.25">
      <c r="I234" s="150"/>
      <c r="J234" s="190" t="s">
        <v>122</v>
      </c>
      <c r="K234" s="152"/>
      <c r="L234" s="160">
        <v>3.6000000000000003E-3</v>
      </c>
      <c r="M234" s="175">
        <f>$K$210*$K$212</f>
        <v>686.4</v>
      </c>
      <c r="N234" s="191">
        <f t="shared" ref="N234:N241" si="59">M234*L234</f>
        <v>2.4710400000000003</v>
      </c>
      <c r="O234" s="162">
        <v>3.6000000000000003E-3</v>
      </c>
      <c r="P234" s="175">
        <f t="shared" ref="P234:P241" si="60">M234</f>
        <v>686.4</v>
      </c>
      <c r="Q234" s="191">
        <f t="shared" ref="Q234:Q241" si="61">P234*O234</f>
        <v>2.4710400000000003</v>
      </c>
      <c r="R234" s="158">
        <f t="shared" si="51"/>
        <v>0</v>
      </c>
      <c r="S234" s="159">
        <f t="shared" ref="S234:S241" si="62">IF(ISERROR(R234/N234), "", R234/N234)</f>
        <v>0</v>
      </c>
      <c r="T234" s="112"/>
      <c r="U234" s="112"/>
    </row>
    <row r="235" spans="9:21" x14ac:dyDescent="0.25">
      <c r="I235" s="150"/>
      <c r="J235" s="190" t="s">
        <v>123</v>
      </c>
      <c r="K235" s="152"/>
      <c r="L235" s="160">
        <f>'[1]17. Regulatory Charges'!$D$16</f>
        <v>2.9999999999999997E-4</v>
      </c>
      <c r="M235" s="175">
        <f>$K$210*$K$212</f>
        <v>686.4</v>
      </c>
      <c r="N235" s="191">
        <f t="shared" si="59"/>
        <v>0.20591999999999996</v>
      </c>
      <c r="O235" s="162">
        <v>2.9999999999999997E-4</v>
      </c>
      <c r="P235" s="175">
        <f t="shared" si="60"/>
        <v>686.4</v>
      </c>
      <c r="Q235" s="191">
        <f t="shared" si="61"/>
        <v>0.20591999999999996</v>
      </c>
      <c r="R235" s="158">
        <f t="shared" si="51"/>
        <v>0</v>
      </c>
      <c r="S235" s="159">
        <f t="shared" si="62"/>
        <v>0</v>
      </c>
      <c r="T235" s="112"/>
      <c r="U235" s="112"/>
    </row>
    <row r="236" spans="9:21" x14ac:dyDescent="0.25">
      <c r="I236" s="150"/>
      <c r="J236" s="193" t="s">
        <v>124</v>
      </c>
      <c r="K236" s="152"/>
      <c r="L236" s="179">
        <v>0.25</v>
      </c>
      <c r="M236" s="154">
        <v>1</v>
      </c>
      <c r="N236" s="191">
        <f t="shared" si="59"/>
        <v>0.25</v>
      </c>
      <c r="O236" s="180">
        <f>'[1]17. Regulatory Charges'!$D$17</f>
        <v>0.25</v>
      </c>
      <c r="P236" s="157">
        <f t="shared" si="60"/>
        <v>1</v>
      </c>
      <c r="Q236" s="191">
        <f t="shared" si="61"/>
        <v>0.25</v>
      </c>
      <c r="R236" s="158">
        <f t="shared" si="51"/>
        <v>0</v>
      </c>
      <c r="S236" s="159">
        <f t="shared" si="62"/>
        <v>0</v>
      </c>
      <c r="T236" s="112"/>
      <c r="U236" s="112"/>
    </row>
    <row r="237" spans="9:21" x14ac:dyDescent="0.25">
      <c r="I237" s="150"/>
      <c r="J237" s="193" t="s">
        <v>125</v>
      </c>
      <c r="K237" s="152"/>
      <c r="L237" s="160">
        <f>IF('[1]1. Information Sheet'!L297 = DATE(2016, 5, 1), (IF(ISERROR(FIND("RESIDENTIAL", UPPER(K208))), DRC, 0)), DRC)</f>
        <v>7.0000000000000001E-3</v>
      </c>
      <c r="M237" s="176">
        <f>$K$210</f>
        <v>650</v>
      </c>
      <c r="N237" s="191">
        <f t="shared" si="59"/>
        <v>4.55</v>
      </c>
      <c r="O237" s="233">
        <f>IF(ISERROR(FIND("RESIDENTIAL", UPPER(K208))),DRC, 0)</f>
        <v>7.0000000000000001E-3</v>
      </c>
      <c r="P237" s="176">
        <f t="shared" si="60"/>
        <v>650</v>
      </c>
      <c r="Q237" s="191">
        <f t="shared" si="61"/>
        <v>4.55</v>
      </c>
      <c r="R237" s="158">
        <f t="shared" si="51"/>
        <v>0</v>
      </c>
      <c r="S237" s="159">
        <f t="shared" si="62"/>
        <v>0</v>
      </c>
      <c r="T237" s="112"/>
      <c r="U237" s="112"/>
    </row>
    <row r="238" spans="9:21" ht="25.5" x14ac:dyDescent="0.25">
      <c r="I238" s="150"/>
      <c r="J238" s="190" t="s">
        <v>126</v>
      </c>
      <c r="K238" s="152"/>
      <c r="L238" s="160"/>
      <c r="M238" s="175"/>
      <c r="N238" s="191"/>
      <c r="O238" s="162"/>
      <c r="P238" s="175">
        <f t="shared" si="60"/>
        <v>0</v>
      </c>
      <c r="Q238" s="191"/>
      <c r="R238" s="158"/>
      <c r="S238" s="159"/>
      <c r="T238" s="112"/>
      <c r="U238" s="112"/>
    </row>
    <row r="239" spans="9:21" x14ac:dyDescent="0.25">
      <c r="I239" s="150"/>
      <c r="J239" s="200" t="s">
        <v>127</v>
      </c>
      <c r="K239" s="152"/>
      <c r="L239" s="201">
        <f>OffPeak</f>
        <v>6.5000000000000002E-2</v>
      </c>
      <c r="M239" s="202">
        <f>IF(AND(K210*12&gt;=150000),0.65*K210*K212,0.65*K210)</f>
        <v>422.5</v>
      </c>
      <c r="N239" s="191">
        <f t="shared" si="59"/>
        <v>27.462500000000002</v>
      </c>
      <c r="O239" s="203">
        <f>OffPeak</f>
        <v>6.5000000000000002E-2</v>
      </c>
      <c r="P239" s="202">
        <f t="shared" si="60"/>
        <v>422.5</v>
      </c>
      <c r="Q239" s="191">
        <f t="shared" si="61"/>
        <v>27.462500000000002</v>
      </c>
      <c r="R239" s="158">
        <f>Q239-N239</f>
        <v>0</v>
      </c>
      <c r="S239" s="159">
        <f t="shared" si="62"/>
        <v>0</v>
      </c>
      <c r="T239" s="112"/>
      <c r="U239" s="112"/>
    </row>
    <row r="240" spans="9:21" x14ac:dyDescent="0.25">
      <c r="I240" s="150"/>
      <c r="J240" s="200" t="s">
        <v>128</v>
      </c>
      <c r="K240" s="152"/>
      <c r="L240" s="201">
        <f>MidPeak</f>
        <v>9.5000000000000001E-2</v>
      </c>
      <c r="M240" s="202">
        <f>IF(AND(K210*12&gt;=150000),0.17*K210*K212,0.17*K210)</f>
        <v>110.50000000000001</v>
      </c>
      <c r="N240" s="191">
        <f t="shared" si="59"/>
        <v>10.497500000000002</v>
      </c>
      <c r="O240" s="203">
        <f>MidPeak</f>
        <v>9.5000000000000001E-2</v>
      </c>
      <c r="P240" s="202">
        <f t="shared" si="60"/>
        <v>110.50000000000001</v>
      </c>
      <c r="Q240" s="191">
        <f t="shared" si="61"/>
        <v>10.497500000000002</v>
      </c>
      <c r="R240" s="158">
        <f>Q240-N240</f>
        <v>0</v>
      </c>
      <c r="S240" s="159">
        <f t="shared" si="62"/>
        <v>0</v>
      </c>
      <c r="T240" s="112"/>
      <c r="U240" s="112"/>
    </row>
    <row r="241" spans="9:21" ht="16.5" thickBot="1" x14ac:dyDescent="0.3">
      <c r="I241" s="150"/>
      <c r="J241" s="134" t="s">
        <v>129</v>
      </c>
      <c r="K241" s="152"/>
      <c r="L241" s="201">
        <f>OnPeak</f>
        <v>0.13200000000000001</v>
      </c>
      <c r="M241" s="202">
        <f>IF(AND(K210*12&gt;=150000),0.18*K210*K212,0.18*K210)</f>
        <v>117</v>
      </c>
      <c r="N241" s="191">
        <f t="shared" si="59"/>
        <v>15.444000000000001</v>
      </c>
      <c r="O241" s="203">
        <f>OnPeak</f>
        <v>0.13200000000000001</v>
      </c>
      <c r="P241" s="202">
        <f t="shared" si="60"/>
        <v>117</v>
      </c>
      <c r="Q241" s="191">
        <f t="shared" si="61"/>
        <v>15.444000000000001</v>
      </c>
      <c r="R241" s="158">
        <f>Q241-N241</f>
        <v>0</v>
      </c>
      <c r="S241" s="159">
        <f t="shared" si="62"/>
        <v>0</v>
      </c>
      <c r="T241" s="112"/>
      <c r="U241" s="112"/>
    </row>
    <row r="242" spans="9:21" ht="16.5" thickBot="1" x14ac:dyDescent="0.3">
      <c r="I242" s="150"/>
      <c r="J242" s="204"/>
      <c r="K242" s="205"/>
      <c r="L242" s="206"/>
      <c r="M242" s="207"/>
      <c r="N242" s="208"/>
      <c r="O242" s="206"/>
      <c r="P242" s="209"/>
      <c r="Q242" s="208"/>
      <c r="R242" s="210"/>
      <c r="S242" s="211"/>
      <c r="T242" s="112"/>
      <c r="U242" s="112"/>
    </row>
    <row r="243" spans="9:21" x14ac:dyDescent="0.25">
      <c r="I243" s="150"/>
      <c r="J243" s="212" t="s">
        <v>130</v>
      </c>
      <c r="K243" s="213"/>
      <c r="L243" s="214"/>
      <c r="M243" s="215"/>
      <c r="N243" s="216">
        <f>SUM(N234:N241,N233)</f>
        <v>113.303484</v>
      </c>
      <c r="O243" s="217"/>
      <c r="P243" s="217"/>
      <c r="Q243" s="216">
        <f>SUM(Q234:Q241,Q233)</f>
        <v>113.42000653639136</v>
      </c>
      <c r="R243" s="218">
        <f>Q243-N243</f>
        <v>0.11652253639135779</v>
      </c>
      <c r="S243" s="219">
        <f>IF((N243)=0,"",(R243/N243))</f>
        <v>1.0284108862120937E-3</v>
      </c>
      <c r="T243" s="112"/>
      <c r="U243" s="112"/>
    </row>
    <row r="244" spans="9:21" x14ac:dyDescent="0.25">
      <c r="I244" s="150"/>
      <c r="J244" s="220" t="s">
        <v>131</v>
      </c>
      <c r="K244" s="213"/>
      <c r="L244" s="214">
        <v>0.13</v>
      </c>
      <c r="M244" s="221"/>
      <c r="N244" s="222">
        <f>N243*L244</f>
        <v>14.72945292</v>
      </c>
      <c r="O244" s="223">
        <v>0.13</v>
      </c>
      <c r="P244" s="154"/>
      <c r="Q244" s="222">
        <f>Q243*O244</f>
        <v>14.744600849730876</v>
      </c>
      <c r="R244" s="224">
        <f>Q244-N244</f>
        <v>1.5147929730876086E-2</v>
      </c>
      <c r="S244" s="225">
        <f>IF((N244)=0,"",(R244/N244))</f>
        <v>1.0284108862120649E-3</v>
      </c>
      <c r="T244" s="112"/>
      <c r="U244" s="112"/>
    </row>
    <row r="245" spans="9:21" x14ac:dyDescent="0.25">
      <c r="I245" s="150"/>
      <c r="J245" s="220" t="s">
        <v>132</v>
      </c>
      <c r="K245" s="213"/>
      <c r="L245" s="214">
        <v>0.08</v>
      </c>
      <c r="M245" s="221"/>
      <c r="N245" s="222">
        <v>0</v>
      </c>
      <c r="O245" s="214">
        <v>0.08</v>
      </c>
      <c r="P245" s="154"/>
      <c r="Q245" s="222">
        <v>0</v>
      </c>
      <c r="R245" s="224">
        <f>Q245-N245</f>
        <v>0</v>
      </c>
      <c r="S245" s="225"/>
      <c r="T245" s="112"/>
      <c r="U245" s="112"/>
    </row>
    <row r="246" spans="9:21" ht="16.5" thickBot="1" x14ac:dyDescent="0.3">
      <c r="I246" s="150"/>
      <c r="J246" s="260" t="s">
        <v>133</v>
      </c>
      <c r="K246" s="261"/>
      <c r="L246" s="234"/>
      <c r="M246" s="235"/>
      <c r="N246" s="236">
        <f>N243+N244+N245</f>
        <v>128.03293692</v>
      </c>
      <c r="O246" s="237"/>
      <c r="P246" s="237"/>
      <c r="Q246" s="238">
        <f>Q243+Q244+Q245</f>
        <v>128.16460738612224</v>
      </c>
      <c r="R246" s="239">
        <f>Q246-N246</f>
        <v>0.13167046612224453</v>
      </c>
      <c r="S246" s="240">
        <f>IF((N246)=0,"",(R246/N246))</f>
        <v>1.0284108862121737E-3</v>
      </c>
      <c r="T246" s="112"/>
      <c r="U246" s="112"/>
    </row>
    <row r="247" spans="9:21" ht="16.5" thickBot="1" x14ac:dyDescent="0.3">
      <c r="I247" s="150"/>
      <c r="J247" s="204"/>
      <c r="K247" s="205"/>
      <c r="L247" s="206"/>
      <c r="M247" s="207"/>
      <c r="N247" s="208"/>
      <c r="O247" s="206"/>
      <c r="P247" s="209"/>
      <c r="Q247" s="208"/>
      <c r="R247" s="210"/>
      <c r="S247" s="211"/>
      <c r="T247" s="112"/>
      <c r="U247" s="112"/>
    </row>
    <row r="248" spans="9:21" ht="16.5" thickBot="1" x14ac:dyDescent="0.3">
      <c r="I248" s="232"/>
      <c r="J248" s="255"/>
      <c r="K248" s="256"/>
      <c r="L248" s="256"/>
      <c r="M248" s="256"/>
      <c r="N248" s="256"/>
      <c r="O248" s="256"/>
      <c r="P248" s="256"/>
      <c r="Q248" s="256"/>
      <c r="R248" s="256"/>
      <c r="S248" s="257"/>
      <c r="T248" s="112"/>
      <c r="U248" s="112"/>
    </row>
    <row r="249" spans="9:21" x14ac:dyDescent="0.25">
      <c r="I249" s="232"/>
      <c r="J249" s="258"/>
      <c r="K249" s="114"/>
      <c r="L249" s="114"/>
      <c r="M249" s="114"/>
      <c r="N249" s="114"/>
      <c r="O249" s="114"/>
      <c r="P249" s="114"/>
      <c r="Q249" s="114"/>
      <c r="R249" s="114"/>
      <c r="S249" s="115"/>
      <c r="T249" s="112"/>
      <c r="U249" s="112"/>
    </row>
    <row r="250" spans="9:21" x14ac:dyDescent="0.25">
      <c r="I250" s="112"/>
      <c r="J250" s="120" t="s">
        <v>86</v>
      </c>
      <c r="K250" s="272" t="s">
        <v>143</v>
      </c>
      <c r="L250" s="272"/>
      <c r="M250" s="272"/>
      <c r="N250" s="272"/>
      <c r="O250" s="272"/>
      <c r="P250" s="272"/>
      <c r="Q250" s="122" t="e">
        <f>IF(#REF!="DEMAND - INTERVAL","RTSR - INTERVAL METERED","")</f>
        <v>#REF!</v>
      </c>
      <c r="R250" s="122"/>
      <c r="S250" s="123"/>
      <c r="T250" s="112"/>
      <c r="U250" s="112"/>
    </row>
    <row r="251" spans="9:21" x14ac:dyDescent="0.25">
      <c r="I251" s="112"/>
      <c r="J251" s="120" t="s">
        <v>88</v>
      </c>
      <c r="K251" s="273" t="s">
        <v>136</v>
      </c>
      <c r="L251" s="273"/>
      <c r="M251" s="273"/>
      <c r="N251" s="121"/>
      <c r="O251" s="121"/>
      <c r="P251" s="122"/>
      <c r="Q251" s="122"/>
      <c r="R251" s="122"/>
      <c r="S251" s="123"/>
      <c r="T251" s="112"/>
      <c r="U251" s="112"/>
    </row>
    <row r="252" spans="9:21" x14ac:dyDescent="0.25">
      <c r="I252" s="112"/>
      <c r="J252" s="120" t="s">
        <v>90</v>
      </c>
      <c r="K252" s="124">
        <v>152750</v>
      </c>
      <c r="L252" s="125" t="s">
        <v>91</v>
      </c>
      <c r="M252" s="126"/>
      <c r="N252" s="122"/>
      <c r="O252" s="122"/>
      <c r="P252" s="127"/>
      <c r="Q252" s="127"/>
      <c r="R252" s="127"/>
      <c r="S252" s="128"/>
      <c r="T252" s="112"/>
      <c r="U252" s="112"/>
    </row>
    <row r="253" spans="9:21" x14ac:dyDescent="0.25">
      <c r="I253" s="112"/>
      <c r="J253" s="120" t="s">
        <v>92</v>
      </c>
      <c r="K253" s="124">
        <v>252</v>
      </c>
      <c r="L253" s="129" t="s">
        <v>93</v>
      </c>
      <c r="M253" s="130"/>
      <c r="N253" s="131"/>
      <c r="O253" s="131"/>
      <c r="P253" s="131"/>
      <c r="Q253" s="122"/>
      <c r="R253" s="122"/>
      <c r="S253" s="123"/>
      <c r="T253" s="112"/>
      <c r="U253" s="112"/>
    </row>
    <row r="254" spans="9:21" x14ac:dyDescent="0.25">
      <c r="I254" s="112"/>
      <c r="J254" s="120" t="s">
        <v>94</v>
      </c>
      <c r="K254" s="133">
        <v>1.056</v>
      </c>
      <c r="L254" s="122"/>
      <c r="M254" s="122"/>
      <c r="N254" s="122"/>
      <c r="O254" s="122"/>
      <c r="P254" s="122"/>
      <c r="Q254" s="122"/>
      <c r="R254" s="122"/>
      <c r="S254" s="123"/>
      <c r="T254" s="112"/>
      <c r="U254" s="112"/>
    </row>
    <row r="255" spans="9:21" x14ac:dyDescent="0.25">
      <c r="I255" s="112"/>
      <c r="J255" s="120" t="s">
        <v>95</v>
      </c>
      <c r="K255" s="133">
        <v>1.056</v>
      </c>
      <c r="L255" s="122"/>
      <c r="M255" s="122"/>
      <c r="N255" s="122"/>
      <c r="O255" s="122"/>
      <c r="P255" s="122"/>
      <c r="Q255" s="122"/>
      <c r="R255" s="122"/>
      <c r="S255" s="123"/>
      <c r="T255" s="112"/>
      <c r="U255" s="112"/>
    </row>
    <row r="256" spans="9:21" x14ac:dyDescent="0.25">
      <c r="I256" s="112"/>
      <c r="J256" s="120" t="s">
        <v>144</v>
      </c>
      <c r="K256" s="122">
        <v>4674</v>
      </c>
      <c r="L256" s="122"/>
      <c r="M256" s="122"/>
      <c r="N256" s="122"/>
      <c r="O256" s="122"/>
      <c r="P256" s="122"/>
      <c r="Q256" s="122"/>
      <c r="R256" s="122"/>
      <c r="S256" s="123"/>
      <c r="T256" s="112"/>
      <c r="U256" s="112"/>
    </row>
    <row r="257" spans="9:21" x14ac:dyDescent="0.25">
      <c r="I257" s="112"/>
      <c r="J257" s="134"/>
      <c r="K257" s="139"/>
      <c r="L257" s="262" t="s">
        <v>96</v>
      </c>
      <c r="M257" s="263"/>
      <c r="N257" s="264"/>
      <c r="O257" s="262" t="s">
        <v>97</v>
      </c>
      <c r="P257" s="263"/>
      <c r="Q257" s="264"/>
      <c r="R257" s="262" t="s">
        <v>98</v>
      </c>
      <c r="S257" s="265"/>
      <c r="T257" s="112"/>
      <c r="U257" s="112"/>
    </row>
    <row r="258" spans="9:21" x14ac:dyDescent="0.25">
      <c r="I258" s="112"/>
      <c r="J258" s="134"/>
      <c r="K258" s="266"/>
      <c r="L258" s="144" t="s">
        <v>99</v>
      </c>
      <c r="M258" s="144" t="s">
        <v>100</v>
      </c>
      <c r="N258" s="145" t="s">
        <v>101</v>
      </c>
      <c r="O258" s="144" t="s">
        <v>99</v>
      </c>
      <c r="P258" s="146" t="s">
        <v>100</v>
      </c>
      <c r="Q258" s="145" t="s">
        <v>101</v>
      </c>
      <c r="R258" s="268" t="s">
        <v>102</v>
      </c>
      <c r="S258" s="270" t="s">
        <v>103</v>
      </c>
      <c r="T258" s="112"/>
      <c r="U258" s="112"/>
    </row>
    <row r="259" spans="9:21" x14ac:dyDescent="0.25">
      <c r="I259" s="112"/>
      <c r="J259" s="134"/>
      <c r="K259" s="267"/>
      <c r="L259" s="147" t="s">
        <v>104</v>
      </c>
      <c r="M259" s="147"/>
      <c r="N259" s="148" t="s">
        <v>104</v>
      </c>
      <c r="O259" s="147" t="s">
        <v>104</v>
      </c>
      <c r="P259" s="148"/>
      <c r="Q259" s="148" t="s">
        <v>104</v>
      </c>
      <c r="R259" s="269"/>
      <c r="S259" s="271"/>
      <c r="T259" s="112"/>
      <c r="U259" s="112"/>
    </row>
    <row r="260" spans="9:21" x14ac:dyDescent="0.25">
      <c r="I260" s="150"/>
      <c r="J260" s="151" t="s">
        <v>105</v>
      </c>
      <c r="K260" s="152"/>
      <c r="L260" s="153">
        <v>2.27</v>
      </c>
      <c r="M260" s="154">
        <f>$K$256</f>
        <v>4674</v>
      </c>
      <c r="N260" s="155">
        <f>M260*L260</f>
        <v>10609.98</v>
      </c>
      <c r="O260" s="156">
        <v>2.31</v>
      </c>
      <c r="P260" s="157">
        <f>M260</f>
        <v>4674</v>
      </c>
      <c r="Q260" s="155">
        <f>P260*O260</f>
        <v>10796.94</v>
      </c>
      <c r="R260" s="158">
        <f t="shared" ref="R260:R279" si="63">Q260-N260</f>
        <v>186.96000000000095</v>
      </c>
      <c r="S260" s="159">
        <f>IF(ISERROR(R260/N260), "", R260/N260)</f>
        <v>1.7621145374449428E-2</v>
      </c>
      <c r="T260" s="112"/>
      <c r="U260" s="112"/>
    </row>
    <row r="261" spans="9:21" x14ac:dyDescent="0.25">
      <c r="I261" s="150"/>
      <c r="J261" s="151" t="s">
        <v>106</v>
      </c>
      <c r="K261" s="152"/>
      <c r="L261" s="160">
        <v>1.5339</v>
      </c>
      <c r="M261" s="161">
        <f>$K$253</f>
        <v>252</v>
      </c>
      <c r="N261" s="155">
        <f t="shared" ref="N261:N269" si="64">M261*L261</f>
        <v>386.5428</v>
      </c>
      <c r="O261" s="162">
        <v>1.5629999999999999</v>
      </c>
      <c r="P261" s="157">
        <f t="shared" ref="P261:P263" si="65">M261</f>
        <v>252</v>
      </c>
      <c r="Q261" s="155">
        <f>P261*O261</f>
        <v>393.87599999999998</v>
      </c>
      <c r="R261" s="158">
        <f t="shared" si="63"/>
        <v>7.3331999999999766</v>
      </c>
      <c r="S261" s="159">
        <f t="shared" ref="S261:S269" si="66">IF(ISERROR(R261/N261), "", R261/N261)</f>
        <v>1.8971249755525072E-2</v>
      </c>
      <c r="T261" s="112"/>
      <c r="U261" s="112"/>
    </row>
    <row r="262" spans="9:21" x14ac:dyDescent="0.25">
      <c r="I262" s="150"/>
      <c r="J262" s="163" t="s">
        <v>108</v>
      </c>
      <c r="K262" s="152"/>
      <c r="L262" s="153">
        <v>0</v>
      </c>
      <c r="M262" s="154">
        <f>$K$256</f>
        <v>4674</v>
      </c>
      <c r="N262" s="155">
        <f t="shared" si="64"/>
        <v>0</v>
      </c>
      <c r="O262" s="156">
        <f>F13</f>
        <v>2.0292298991207026E-2</v>
      </c>
      <c r="P262" s="157">
        <f t="shared" si="65"/>
        <v>4674</v>
      </c>
      <c r="Q262" s="155">
        <f t="shared" ref="Q262:Q269" si="67">P262*O262</f>
        <v>94.846205484901645</v>
      </c>
      <c r="R262" s="158">
        <f t="shared" si="63"/>
        <v>94.846205484901645</v>
      </c>
      <c r="S262" s="159" t="str">
        <f t="shared" si="66"/>
        <v/>
      </c>
      <c r="T262" s="112"/>
      <c r="U262" s="112"/>
    </row>
    <row r="263" spans="9:21" x14ac:dyDescent="0.25">
      <c r="I263" s="150"/>
      <c r="J263" s="151" t="s">
        <v>109</v>
      </c>
      <c r="K263" s="152"/>
      <c r="L263" s="160">
        <v>0</v>
      </c>
      <c r="M263" s="154">
        <f>$K$253</f>
        <v>252</v>
      </c>
      <c r="N263" s="155">
        <f t="shared" si="64"/>
        <v>0</v>
      </c>
      <c r="O263" s="162">
        <v>0</v>
      </c>
      <c r="P263" s="157">
        <f t="shared" si="65"/>
        <v>252</v>
      </c>
      <c r="Q263" s="155">
        <f t="shared" si="67"/>
        <v>0</v>
      </c>
      <c r="R263" s="158">
        <f t="shared" si="63"/>
        <v>0</v>
      </c>
      <c r="S263" s="159" t="str">
        <f t="shared" si="66"/>
        <v/>
      </c>
      <c r="T263" s="112"/>
      <c r="U263" s="112"/>
    </row>
    <row r="264" spans="9:21" x14ac:dyDescent="0.25">
      <c r="I264" s="150"/>
      <c r="J264" s="165" t="s">
        <v>110</v>
      </c>
      <c r="K264" s="166"/>
      <c r="L264" s="167"/>
      <c r="M264" s="168"/>
      <c r="N264" s="169">
        <f>SUM(N260:N263)</f>
        <v>10996.522799999999</v>
      </c>
      <c r="O264" s="170"/>
      <c r="P264" s="171"/>
      <c r="Q264" s="169">
        <f>SUM(Q260:Q263)</f>
        <v>11285.662205484903</v>
      </c>
      <c r="R264" s="172">
        <f t="shared" si="63"/>
        <v>289.13940548490427</v>
      </c>
      <c r="S264" s="173">
        <f>IF((N264)=0,"",(R264/N264))</f>
        <v>2.6293712180081533E-2</v>
      </c>
      <c r="T264" s="112"/>
      <c r="U264" s="112"/>
    </row>
    <row r="265" spans="9:21" x14ac:dyDescent="0.25">
      <c r="I265" s="150"/>
      <c r="J265" s="174" t="s">
        <v>111</v>
      </c>
      <c r="K265" s="152"/>
      <c r="L265" s="160">
        <f>IF((K252*12&gt;=150000), 0, IF(K251="RPP",(#REF!*0.65+#REF!*0.17+#REF!*0.18),IF(K251="Non-RPP (Retailer)",#REF!,L281)))</f>
        <v>0</v>
      </c>
      <c r="M265" s="175">
        <f>IF(L265=0, 0, $E252*K254-K252)</f>
        <v>0</v>
      </c>
      <c r="N265" s="155">
        <f>M265*L265</f>
        <v>0</v>
      </c>
      <c r="O265" s="162">
        <f>IF((K252*12&gt;=150000), 0, IF(K251="RPP",(#REF!*0.65+#REF!*0.17+#REF!*0.18),IF(K251="Non-RPP (Retailer)",#REF!,O281)))</f>
        <v>0</v>
      </c>
      <c r="P265" s="175">
        <f t="shared" ref="P265:P271" si="68">M265</f>
        <v>0</v>
      </c>
      <c r="Q265" s="155">
        <f>P265*O265</f>
        <v>0</v>
      </c>
      <c r="R265" s="158">
        <f>Q265-N265</f>
        <v>0</v>
      </c>
      <c r="S265" s="159" t="str">
        <f>IF(ISERROR(R265/N265), "", R265/N265)</f>
        <v/>
      </c>
      <c r="T265" s="112"/>
      <c r="U265" s="112"/>
    </row>
    <row r="266" spans="9:21" ht="25.5" x14ac:dyDescent="0.25">
      <c r="I266" s="150"/>
      <c r="J266" s="174" t="s">
        <v>137</v>
      </c>
      <c r="K266" s="152"/>
      <c r="L266" s="160">
        <v>-1.8895</v>
      </c>
      <c r="M266" s="176">
        <f t="shared" ref="M266:M267" si="69">$K$253</f>
        <v>252</v>
      </c>
      <c r="N266" s="155">
        <f t="shared" si="64"/>
        <v>-476.154</v>
      </c>
      <c r="O266" s="162">
        <v>-0.97850000000000004</v>
      </c>
      <c r="P266" s="176">
        <f t="shared" si="68"/>
        <v>252</v>
      </c>
      <c r="Q266" s="155">
        <f t="shared" si="67"/>
        <v>-246.58200000000002</v>
      </c>
      <c r="R266" s="158">
        <f t="shared" si="63"/>
        <v>229.57199999999997</v>
      </c>
      <c r="S266" s="159">
        <f t="shared" si="66"/>
        <v>-0.48213813178089437</v>
      </c>
      <c r="T266" s="112"/>
      <c r="U266" s="112"/>
    </row>
    <row r="267" spans="9:21" x14ac:dyDescent="0.25">
      <c r="I267" s="150"/>
      <c r="J267" s="174" t="s">
        <v>113</v>
      </c>
      <c r="K267" s="152"/>
      <c r="L267" s="160">
        <v>0</v>
      </c>
      <c r="M267" s="176">
        <f t="shared" si="69"/>
        <v>252</v>
      </c>
      <c r="N267" s="155">
        <f>M267*L267</f>
        <v>0</v>
      </c>
      <c r="O267" s="162">
        <v>-2.8500000000000001E-2</v>
      </c>
      <c r="P267" s="176">
        <f t="shared" si="68"/>
        <v>252</v>
      </c>
      <c r="Q267" s="155">
        <f>P267*O267</f>
        <v>-7.1820000000000004</v>
      </c>
      <c r="R267" s="158">
        <f t="shared" si="63"/>
        <v>-7.1820000000000004</v>
      </c>
      <c r="S267" s="159" t="str">
        <f t="shared" si="66"/>
        <v/>
      </c>
      <c r="T267" s="112"/>
      <c r="U267" s="112"/>
    </row>
    <row r="268" spans="9:21" x14ac:dyDescent="0.25">
      <c r="I268" s="150"/>
      <c r="J268" s="174" t="s">
        <v>114</v>
      </c>
      <c r="K268" s="152"/>
      <c r="L268" s="160">
        <v>0</v>
      </c>
      <c r="M268" s="176">
        <f>$K$252</f>
        <v>152750</v>
      </c>
      <c r="N268" s="155">
        <f>M268*L268</f>
        <v>0</v>
      </c>
      <c r="O268" s="162">
        <v>-1E-3</v>
      </c>
      <c r="P268" s="176">
        <f t="shared" si="68"/>
        <v>152750</v>
      </c>
      <c r="Q268" s="155">
        <f t="shared" si="67"/>
        <v>-152.75</v>
      </c>
      <c r="R268" s="158">
        <f t="shared" si="63"/>
        <v>-152.75</v>
      </c>
      <c r="S268" s="159" t="str">
        <f t="shared" si="66"/>
        <v/>
      </c>
      <c r="T268" s="112"/>
      <c r="U268" s="112"/>
    </row>
    <row r="269" spans="9:21" x14ac:dyDescent="0.25">
      <c r="I269" s="150"/>
      <c r="J269" s="177" t="s">
        <v>115</v>
      </c>
      <c r="K269" s="152"/>
      <c r="L269" s="160">
        <v>0.73929999999999996</v>
      </c>
      <c r="M269" s="176">
        <f>$K$253</f>
        <v>252</v>
      </c>
      <c r="N269" s="155">
        <f t="shared" si="64"/>
        <v>186.30359999999999</v>
      </c>
      <c r="O269" s="162">
        <v>0.73929999999999996</v>
      </c>
      <c r="P269" s="176">
        <f t="shared" si="68"/>
        <v>252</v>
      </c>
      <c r="Q269" s="155">
        <f t="shared" si="67"/>
        <v>186.30359999999999</v>
      </c>
      <c r="R269" s="158">
        <f t="shared" si="63"/>
        <v>0</v>
      </c>
      <c r="S269" s="159">
        <f t="shared" si="66"/>
        <v>0</v>
      </c>
      <c r="T269" s="112"/>
      <c r="U269" s="112"/>
    </row>
    <row r="270" spans="9:21" ht="38.25" x14ac:dyDescent="0.25">
      <c r="I270" s="150"/>
      <c r="J270" s="178" t="s">
        <v>116</v>
      </c>
      <c r="K270" s="152"/>
      <c r="L270" s="179">
        <v>0</v>
      </c>
      <c r="M270" s="154">
        <v>1</v>
      </c>
      <c r="N270" s="155">
        <f>M270*L270</f>
        <v>0</v>
      </c>
      <c r="O270" s="180">
        <v>0</v>
      </c>
      <c r="P270" s="154">
        <f t="shared" si="68"/>
        <v>1</v>
      </c>
      <c r="Q270" s="155">
        <f>P270*O270</f>
        <v>0</v>
      </c>
      <c r="R270" s="158">
        <f t="shared" si="63"/>
        <v>0</v>
      </c>
      <c r="S270" s="159" t="str">
        <f>IF(ISERROR(R270/N270), "", R270/N270)</f>
        <v/>
      </c>
      <c r="T270" s="112"/>
      <c r="U270" s="112"/>
    </row>
    <row r="271" spans="9:21" x14ac:dyDescent="0.25">
      <c r="I271" s="150"/>
      <c r="J271" s="177" t="s">
        <v>117</v>
      </c>
      <c r="K271" s="152"/>
      <c r="L271" s="160"/>
      <c r="M271" s="176">
        <f>$K$253</f>
        <v>252</v>
      </c>
      <c r="N271" s="155">
        <f>M271*L271</f>
        <v>0</v>
      </c>
      <c r="O271" s="162"/>
      <c r="P271" s="176">
        <f t="shared" si="68"/>
        <v>252</v>
      </c>
      <c r="Q271" s="155">
        <f>P271*O271</f>
        <v>0</v>
      </c>
      <c r="R271" s="158">
        <f t="shared" si="63"/>
        <v>0</v>
      </c>
      <c r="S271" s="159" t="str">
        <f>IF(ISERROR(R271/N271), "", R271/N271)</f>
        <v/>
      </c>
      <c r="T271" s="112"/>
      <c r="U271" s="112"/>
    </row>
    <row r="272" spans="9:21" x14ac:dyDescent="0.25">
      <c r="I272" s="150"/>
      <c r="J272" s="181" t="s">
        <v>118</v>
      </c>
      <c r="K272" s="182"/>
      <c r="L272" s="183"/>
      <c r="M272" s="184"/>
      <c r="N272" s="185">
        <f>SUM(N264:N271)</f>
        <v>10706.672399999998</v>
      </c>
      <c r="O272" s="186"/>
      <c r="P272" s="187"/>
      <c r="Q272" s="185">
        <f>SUM(Q264:Q271)</f>
        <v>11065.451805484901</v>
      </c>
      <c r="R272" s="172">
        <f t="shared" si="63"/>
        <v>358.77940548490369</v>
      </c>
      <c r="S272" s="173">
        <f>IF((N272)=0,"",(R272/N272))</f>
        <v>3.3509889168263314E-2</v>
      </c>
      <c r="T272" s="112"/>
      <c r="U272" s="112"/>
    </row>
    <row r="273" spans="9:21" x14ac:dyDescent="0.25">
      <c r="I273" s="150"/>
      <c r="J273" s="188" t="s">
        <v>119</v>
      </c>
      <c r="K273" s="152"/>
      <c r="L273" s="160">
        <v>1.8413999999999999</v>
      </c>
      <c r="M273" s="175">
        <f t="shared" ref="M273:M274" si="70">$K$253</f>
        <v>252</v>
      </c>
      <c r="N273" s="155">
        <f>M273*L273</f>
        <v>464.03280000000001</v>
      </c>
      <c r="O273" s="162">
        <v>1.8660000000000001</v>
      </c>
      <c r="P273" s="175">
        <f t="shared" ref="P273:P274" si="71">M273</f>
        <v>252</v>
      </c>
      <c r="Q273" s="155">
        <f>P273*O273</f>
        <v>470.23200000000003</v>
      </c>
      <c r="R273" s="158">
        <f t="shared" si="63"/>
        <v>6.1992000000000189</v>
      </c>
      <c r="S273" s="159">
        <f>IF(ISERROR(R273/N273), "", R273/N273)</f>
        <v>1.335940045617469E-2</v>
      </c>
      <c r="T273" s="112"/>
      <c r="U273" s="112"/>
    </row>
    <row r="274" spans="9:21" ht="25.5" x14ac:dyDescent="0.25">
      <c r="I274" s="150"/>
      <c r="J274" s="189" t="s">
        <v>120</v>
      </c>
      <c r="K274" s="152"/>
      <c r="L274" s="160">
        <v>1.5157</v>
      </c>
      <c r="M274" s="175">
        <f t="shared" si="70"/>
        <v>252</v>
      </c>
      <c r="N274" s="155">
        <f>M274*L274</f>
        <v>381.95640000000003</v>
      </c>
      <c r="O274" s="162">
        <v>1.5223</v>
      </c>
      <c r="P274" s="175">
        <f t="shared" si="71"/>
        <v>252</v>
      </c>
      <c r="Q274" s="155">
        <f>P274*O274</f>
        <v>383.61959999999999</v>
      </c>
      <c r="R274" s="158">
        <f t="shared" si="63"/>
        <v>1.6631999999999607</v>
      </c>
      <c r="S274" s="159">
        <f>IF(ISERROR(R274/N274), "", R274/N274)</f>
        <v>4.3544236986209958E-3</v>
      </c>
      <c r="T274" s="112"/>
      <c r="U274" s="112"/>
    </row>
    <row r="275" spans="9:21" x14ac:dyDescent="0.25">
      <c r="I275" s="150"/>
      <c r="J275" s="181" t="s">
        <v>121</v>
      </c>
      <c r="K275" s="166"/>
      <c r="L275" s="183"/>
      <c r="M275" s="184"/>
      <c r="N275" s="185">
        <f>SUM(N272:N274)</f>
        <v>11552.661599999999</v>
      </c>
      <c r="O275" s="186"/>
      <c r="P275" s="171"/>
      <c r="Q275" s="185">
        <f>SUM(Q272:Q274)</f>
        <v>11919.303405484901</v>
      </c>
      <c r="R275" s="172">
        <f t="shared" si="63"/>
        <v>366.64180548490185</v>
      </c>
      <c r="S275" s="173">
        <f>IF((N275)=0,"",(R275/N275))</f>
        <v>3.173656583907053E-2</v>
      </c>
      <c r="T275" s="112"/>
      <c r="U275" s="112"/>
    </row>
    <row r="276" spans="9:21" x14ac:dyDescent="0.25">
      <c r="I276" s="150"/>
      <c r="J276" s="190" t="s">
        <v>122</v>
      </c>
      <c r="K276" s="152"/>
      <c r="L276" s="160">
        <v>3.6000000000000003E-3</v>
      </c>
      <c r="M276" s="175">
        <f>$K$252*$K$254</f>
        <v>161304</v>
      </c>
      <c r="N276" s="191">
        <f t="shared" ref="N276:N279" si="72">M276*L276</f>
        <v>580.69440000000009</v>
      </c>
      <c r="O276" s="162">
        <v>3.6000000000000003E-3</v>
      </c>
      <c r="P276" s="175">
        <f t="shared" ref="P276:P281" si="73">M276</f>
        <v>161304</v>
      </c>
      <c r="Q276" s="191">
        <f t="shared" ref="Q276:Q279" si="74">P276*O276</f>
        <v>580.69440000000009</v>
      </c>
      <c r="R276" s="158">
        <f t="shared" si="63"/>
        <v>0</v>
      </c>
      <c r="S276" s="159">
        <f t="shared" ref="S276:S281" si="75">IF(ISERROR(R276/N276), "", R276/N276)</f>
        <v>0</v>
      </c>
      <c r="T276" s="112"/>
      <c r="U276" s="112"/>
    </row>
    <row r="277" spans="9:21" x14ac:dyDescent="0.25">
      <c r="I277" s="150"/>
      <c r="J277" s="190" t="s">
        <v>123</v>
      </c>
      <c r="K277" s="152"/>
      <c r="L277" s="160">
        <f>'[1]17. Regulatory Charges'!$D$16</f>
        <v>2.9999999999999997E-4</v>
      </c>
      <c r="M277" s="175">
        <f>$K$252*$K$254</f>
        <v>161304</v>
      </c>
      <c r="N277" s="191">
        <f t="shared" si="72"/>
        <v>48.391199999999998</v>
      </c>
      <c r="O277" s="162">
        <v>2.9999999999999997E-4</v>
      </c>
      <c r="P277" s="175">
        <f t="shared" si="73"/>
        <v>161304</v>
      </c>
      <c r="Q277" s="191">
        <f t="shared" si="74"/>
        <v>48.391199999999998</v>
      </c>
      <c r="R277" s="158">
        <f t="shared" si="63"/>
        <v>0</v>
      </c>
      <c r="S277" s="159">
        <f t="shared" si="75"/>
        <v>0</v>
      </c>
      <c r="T277" s="112"/>
      <c r="U277" s="112"/>
    </row>
    <row r="278" spans="9:21" x14ac:dyDescent="0.25">
      <c r="I278" s="150"/>
      <c r="J278" s="193" t="s">
        <v>124</v>
      </c>
      <c r="K278" s="152"/>
      <c r="L278" s="179">
        <v>0.25</v>
      </c>
      <c r="M278" s="154">
        <v>1</v>
      </c>
      <c r="N278" s="191">
        <f t="shared" si="72"/>
        <v>0.25</v>
      </c>
      <c r="O278" s="180">
        <f>'[1]17. Regulatory Charges'!$D$17</f>
        <v>0.25</v>
      </c>
      <c r="P278" s="157">
        <f t="shared" si="73"/>
        <v>1</v>
      </c>
      <c r="Q278" s="191">
        <f t="shared" si="74"/>
        <v>0.25</v>
      </c>
      <c r="R278" s="158">
        <f t="shared" si="63"/>
        <v>0</v>
      </c>
      <c r="S278" s="159">
        <f t="shared" si="75"/>
        <v>0</v>
      </c>
      <c r="T278" s="112"/>
      <c r="U278" s="112"/>
    </row>
    <row r="279" spans="9:21" x14ac:dyDescent="0.25">
      <c r="I279" s="150"/>
      <c r="J279" s="193" t="s">
        <v>125</v>
      </c>
      <c r="K279" s="152"/>
      <c r="L279" s="160">
        <f>IF('[1]1. Information Sheet'!L351 = DATE(2016, 5, 1), (IF(ISERROR(FIND("RESIDENTIAL", UPPER(K250))), DRC, 0)), DRC)</f>
        <v>7.0000000000000001E-3</v>
      </c>
      <c r="M279" s="176">
        <f>$K$252</f>
        <v>152750</v>
      </c>
      <c r="N279" s="191">
        <f t="shared" si="72"/>
        <v>1069.25</v>
      </c>
      <c r="O279" s="233">
        <f>IF(ISERROR(FIND("RESIDENTIAL", UPPER(K250))),DRC, 0)</f>
        <v>7.0000000000000001E-3</v>
      </c>
      <c r="P279" s="176">
        <f t="shared" si="73"/>
        <v>152750</v>
      </c>
      <c r="Q279" s="191">
        <f t="shared" si="74"/>
        <v>1069.25</v>
      </c>
      <c r="R279" s="158">
        <f t="shared" si="63"/>
        <v>0</v>
      </c>
      <c r="S279" s="159">
        <f t="shared" si="75"/>
        <v>0</v>
      </c>
      <c r="T279" s="112"/>
      <c r="U279" s="112"/>
    </row>
    <row r="280" spans="9:21" ht="25.5" x14ac:dyDescent="0.25">
      <c r="I280" s="150"/>
      <c r="J280" s="190" t="s">
        <v>126</v>
      </c>
      <c r="K280" s="152"/>
      <c r="L280" s="160"/>
      <c r="M280" s="175"/>
      <c r="N280" s="191"/>
      <c r="O280" s="162"/>
      <c r="P280" s="175">
        <f t="shared" si="73"/>
        <v>0</v>
      </c>
      <c r="Q280" s="191"/>
      <c r="R280" s="158"/>
      <c r="S280" s="159"/>
      <c r="T280" s="112"/>
      <c r="U280" s="112"/>
    </row>
    <row r="281" spans="9:21" ht="16.5" thickBot="1" x14ac:dyDescent="0.3">
      <c r="I281" s="150"/>
      <c r="J281" s="200" t="s">
        <v>138</v>
      </c>
      <c r="K281" s="152"/>
      <c r="L281" s="242">
        <v>0.1101</v>
      </c>
      <c r="M281" s="202">
        <f>$K$252*$K$254</f>
        <v>161304</v>
      </c>
      <c r="N281" s="191">
        <f>M281*L281</f>
        <v>17759.570400000001</v>
      </c>
      <c r="O281" s="243">
        <f>L281</f>
        <v>0.1101</v>
      </c>
      <c r="P281" s="202">
        <f t="shared" si="73"/>
        <v>161304</v>
      </c>
      <c r="Q281" s="191">
        <f>P281*O281</f>
        <v>17759.570400000001</v>
      </c>
      <c r="R281" s="158">
        <f>Q281-N281</f>
        <v>0</v>
      </c>
      <c r="S281" s="159">
        <f t="shared" si="75"/>
        <v>0</v>
      </c>
      <c r="T281" s="112"/>
      <c r="U281" s="112"/>
    </row>
    <row r="282" spans="9:21" ht="16.5" thickBot="1" x14ac:dyDescent="0.3">
      <c r="I282" s="150"/>
      <c r="J282" s="204"/>
      <c r="K282" s="205"/>
      <c r="L282" s="206"/>
      <c r="M282" s="207"/>
      <c r="N282" s="208"/>
      <c r="O282" s="206"/>
      <c r="P282" s="209"/>
      <c r="Q282" s="208"/>
      <c r="R282" s="210"/>
      <c r="S282" s="211"/>
      <c r="T282" s="112"/>
      <c r="U282" s="112"/>
    </row>
    <row r="283" spans="9:21" x14ac:dyDescent="0.25">
      <c r="I283" s="150"/>
      <c r="J283" s="212" t="s">
        <v>139</v>
      </c>
      <c r="K283" s="213"/>
      <c r="L283" s="214"/>
      <c r="M283" s="215"/>
      <c r="N283" s="216">
        <f>SUM(N281,N276:N280,N275)</f>
        <v>31010.817599999998</v>
      </c>
      <c r="O283" s="217"/>
      <c r="P283" s="217"/>
      <c r="Q283" s="216">
        <f>SUM(Q281,Q276:Q280,Q275)</f>
        <v>31377.4594054849</v>
      </c>
      <c r="R283" s="218">
        <f>Q283-N283</f>
        <v>366.64180548490185</v>
      </c>
      <c r="S283" s="219">
        <f>IF((N283)=0,"",(R283/N283))</f>
        <v>1.1823029312355243E-2</v>
      </c>
      <c r="T283" s="112"/>
      <c r="U283" s="112"/>
    </row>
    <row r="284" spans="9:21" x14ac:dyDescent="0.25">
      <c r="I284" s="150"/>
      <c r="J284" s="220" t="s">
        <v>131</v>
      </c>
      <c r="K284" s="213"/>
      <c r="L284" s="214">
        <v>0.13</v>
      </c>
      <c r="M284" s="215"/>
      <c r="N284" s="222">
        <f>N283*L284</f>
        <v>4031.4062880000001</v>
      </c>
      <c r="O284" s="214">
        <v>0.13</v>
      </c>
      <c r="P284" s="223"/>
      <c r="Q284" s="222">
        <f>Q283*O284</f>
        <v>4079.0697227130372</v>
      </c>
      <c r="R284" s="224">
        <f>Q284-N284</f>
        <v>47.663434713037077</v>
      </c>
      <c r="S284" s="225">
        <f>IF((N284)=0,"",(R284/N284))</f>
        <v>1.1823029312355201E-2</v>
      </c>
      <c r="T284" s="112"/>
      <c r="U284" s="112"/>
    </row>
    <row r="285" spans="9:21" x14ac:dyDescent="0.25">
      <c r="I285" s="150"/>
      <c r="J285" s="220" t="s">
        <v>132</v>
      </c>
      <c r="K285" s="213"/>
      <c r="L285" s="214">
        <v>0.08</v>
      </c>
      <c r="M285" s="215"/>
      <c r="N285" s="222">
        <v>0</v>
      </c>
      <c r="O285" s="214">
        <v>0.08</v>
      </c>
      <c r="P285" s="223"/>
      <c r="Q285" s="222">
        <v>0</v>
      </c>
      <c r="R285" s="224"/>
      <c r="S285" s="225"/>
      <c r="T285" s="112"/>
      <c r="U285" s="112"/>
    </row>
    <row r="286" spans="9:21" ht="16.5" thickBot="1" x14ac:dyDescent="0.3">
      <c r="I286" s="150"/>
      <c r="J286" s="260" t="s">
        <v>139</v>
      </c>
      <c r="K286" s="261"/>
      <c r="L286" s="244"/>
      <c r="M286" s="245"/>
      <c r="N286" s="236">
        <f>SUM(N283,N284)</f>
        <v>35042.223888</v>
      </c>
      <c r="O286" s="246"/>
      <c r="P286" s="246"/>
      <c r="Q286" s="236">
        <f>SUM(Q283,Q284)</f>
        <v>35456.529128197937</v>
      </c>
      <c r="R286" s="247">
        <f>Q286-N286</f>
        <v>414.30524019793666</v>
      </c>
      <c r="S286" s="248">
        <f>IF((N286)=0,"",(R286/N286))</f>
        <v>1.1823029312355174E-2</v>
      </c>
      <c r="T286" s="112"/>
      <c r="U286" s="112"/>
    </row>
    <row r="287" spans="9:21" ht="16.5" thickBot="1" x14ac:dyDescent="0.3">
      <c r="I287" s="150"/>
      <c r="J287" s="204"/>
      <c r="K287" s="205"/>
      <c r="L287" s="249"/>
      <c r="M287" s="250"/>
      <c r="N287" s="251"/>
      <c r="O287" s="249"/>
      <c r="P287" s="252"/>
      <c r="Q287" s="251"/>
      <c r="R287" s="253"/>
      <c r="S287" s="254"/>
      <c r="T287" s="112"/>
      <c r="U287" s="112"/>
    </row>
    <row r="288" spans="9:21" ht="16.5" thickBot="1" x14ac:dyDescent="0.3">
      <c r="I288" s="232"/>
      <c r="J288" s="255"/>
      <c r="K288" s="256"/>
      <c r="L288" s="256"/>
      <c r="M288" s="256"/>
      <c r="N288" s="256"/>
      <c r="O288" s="256"/>
      <c r="P288" s="256"/>
      <c r="Q288" s="256"/>
      <c r="R288" s="256"/>
      <c r="S288" s="257"/>
      <c r="T288" s="112"/>
      <c r="U288" s="112"/>
    </row>
    <row r="289" spans="9:21" x14ac:dyDescent="0.25">
      <c r="I289" s="23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</row>
  </sheetData>
  <mergeCells count="63">
    <mergeCell ref="R51:S51"/>
    <mergeCell ref="K3:P3"/>
    <mergeCell ref="K4:M4"/>
    <mergeCell ref="L10:N10"/>
    <mergeCell ref="O10:Q10"/>
    <mergeCell ref="R10:S10"/>
    <mergeCell ref="K11:K12"/>
    <mergeCell ref="R11:R12"/>
    <mergeCell ref="S11:S12"/>
    <mergeCell ref="K87:M87"/>
    <mergeCell ref="J41:K41"/>
    <mergeCell ref="K44:P44"/>
    <mergeCell ref="K45:M45"/>
    <mergeCell ref="L51:N51"/>
    <mergeCell ref="O51:Q51"/>
    <mergeCell ref="K52:K53"/>
    <mergeCell ref="R52:R53"/>
    <mergeCell ref="S52:S53"/>
    <mergeCell ref="J82:K82"/>
    <mergeCell ref="K86:P86"/>
    <mergeCell ref="R133:S133"/>
    <mergeCell ref="L93:N93"/>
    <mergeCell ref="O93:Q93"/>
    <mergeCell ref="R93:S93"/>
    <mergeCell ref="K94:K95"/>
    <mergeCell ref="R94:R95"/>
    <mergeCell ref="S94:S95"/>
    <mergeCell ref="K167:M167"/>
    <mergeCell ref="J122:K122"/>
    <mergeCell ref="K126:P126"/>
    <mergeCell ref="K127:M127"/>
    <mergeCell ref="L133:N133"/>
    <mergeCell ref="O133:Q133"/>
    <mergeCell ref="K134:K135"/>
    <mergeCell ref="R134:R135"/>
    <mergeCell ref="S134:S135"/>
    <mergeCell ref="J162:K162"/>
    <mergeCell ref="K166:P166"/>
    <mergeCell ref="R215:S215"/>
    <mergeCell ref="L173:N173"/>
    <mergeCell ref="O173:Q173"/>
    <mergeCell ref="R173:S173"/>
    <mergeCell ref="K174:K175"/>
    <mergeCell ref="R174:R175"/>
    <mergeCell ref="S174:S175"/>
    <mergeCell ref="K251:M251"/>
    <mergeCell ref="J204:K204"/>
    <mergeCell ref="K208:P208"/>
    <mergeCell ref="K209:M209"/>
    <mergeCell ref="L215:N215"/>
    <mergeCell ref="O215:Q215"/>
    <mergeCell ref="K216:K217"/>
    <mergeCell ref="R216:R217"/>
    <mergeCell ref="S216:S217"/>
    <mergeCell ref="J246:K246"/>
    <mergeCell ref="K250:P250"/>
    <mergeCell ref="J286:K286"/>
    <mergeCell ref="L257:N257"/>
    <mergeCell ref="O257:Q257"/>
    <mergeCell ref="R257:S257"/>
    <mergeCell ref="K258:K259"/>
    <mergeCell ref="R258:R259"/>
    <mergeCell ref="S258:S259"/>
  </mergeCells>
  <dataValidations count="2">
    <dataValidation type="list" allowBlank="1" showInputMessage="1" showErrorMessage="1" sqref="B4:B10">
      <formula1>Units1</formula1>
    </dataValidation>
    <dataValidation type="list" allowBlank="1" showInputMessage="1" showErrorMessage="1" prompt="Select Charge Unit - monthly, per kWh, per kW" sqref="K37 K83 K78 K123 K118 K163 K158 K205 K200 K247 K242 K287 K282">
      <formula1>"Monthly, per kWh, per kW"</formula1>
    </dataValidation>
  </dataValidations>
  <pageMargins left="0.7" right="0.7" top="0.75" bottom="0.75" header="0.3" footer="0.3"/>
  <pageSetup scale="43" orientation="portrait" r:id="rId1"/>
  <rowBreaks count="3" manualBreakCount="3">
    <brk id="83" max="16383" man="1"/>
    <brk id="163" max="16383" man="1"/>
    <brk id="24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A2 - Deprec Rev Def</vt:lpstr>
      <vt:lpstr>A3 - Deprec Rev Requ</vt:lpstr>
      <vt:lpstr>B1 and B2 - Deprec RR and BI</vt:lpstr>
      <vt:lpstr>Pay Equity RR and 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Rehberg-Rawlingson</dc:creator>
  <cp:lastModifiedBy>Tracy Rehberg-Rawlingson</cp:lastModifiedBy>
  <dcterms:created xsi:type="dcterms:W3CDTF">2018-02-16T21:05:04Z</dcterms:created>
  <dcterms:modified xsi:type="dcterms:W3CDTF">2018-02-20T18:49:02Z</dcterms:modified>
</cp:coreProperties>
</file>