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Applications Department\Department Applications\Rates\2018 Electricity Rates\IRM\IRM Applications\Price Cap IR\Wasaga\Interrogatories\2nd Round Follow-up 20180221\"/>
    </mc:Choice>
  </mc:AlternateContent>
  <bookViews>
    <workbookView xWindow="0" yWindow="60" windowWidth="25200" windowHeight="11100" firstSheet="1" activeTab="1"/>
  </bookViews>
  <sheets>
    <sheet name="Wasaga Response" sheetId="1" state="hidden" r:id="rId1"/>
    <sheet name="updated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2" l="1"/>
  <c r="F6" i="2"/>
  <c r="H36" i="2" l="1"/>
  <c r="H39" i="2" s="1"/>
  <c r="I35" i="2"/>
  <c r="I39" i="2" s="1"/>
  <c r="H35" i="2"/>
  <c r="G35" i="2"/>
  <c r="F35" i="2"/>
  <c r="I34" i="2"/>
  <c r="H34" i="2"/>
  <c r="G34" i="2"/>
  <c r="G39" i="2" s="1"/>
  <c r="F34" i="2"/>
  <c r="F39" i="2" s="1"/>
  <c r="I28" i="2"/>
  <c r="H28" i="2"/>
  <c r="G28" i="2"/>
  <c r="F28" i="2"/>
  <c r="I27" i="2"/>
  <c r="H27" i="2"/>
  <c r="G27" i="2"/>
  <c r="F27" i="2"/>
  <c r="I26" i="2"/>
  <c r="H26" i="2"/>
  <c r="G26" i="2"/>
  <c r="F26" i="2"/>
  <c r="I25" i="2"/>
  <c r="H25" i="2"/>
  <c r="G25" i="2"/>
  <c r="F25" i="2"/>
  <c r="I24" i="2"/>
  <c r="I29" i="2" s="1"/>
  <c r="H24" i="2"/>
  <c r="G24" i="2"/>
  <c r="G29" i="2" s="1"/>
  <c r="F24" i="2"/>
  <c r="F29" i="2" s="1"/>
  <c r="G19" i="2"/>
  <c r="F19" i="2"/>
  <c r="E19" i="2"/>
  <c r="G18" i="2"/>
  <c r="F18" i="2"/>
  <c r="E18" i="2"/>
  <c r="G17" i="2"/>
  <c r="G20" i="2" s="1"/>
  <c r="F17" i="2"/>
  <c r="E17" i="2"/>
  <c r="G16" i="2"/>
  <c r="F16" i="2"/>
  <c r="E16" i="2"/>
  <c r="G15" i="2"/>
  <c r="F15" i="2"/>
  <c r="E15" i="2"/>
  <c r="G9" i="2"/>
  <c r="F9" i="2"/>
  <c r="E9" i="2"/>
  <c r="G8" i="2"/>
  <c r="F8" i="2"/>
  <c r="F10" i="2" s="1"/>
  <c r="E8" i="2"/>
  <c r="G7" i="2"/>
  <c r="F7" i="2"/>
  <c r="E7" i="2"/>
  <c r="E6" i="2"/>
  <c r="G5" i="2"/>
  <c r="F5" i="2"/>
  <c r="E5" i="2"/>
  <c r="G47" i="2"/>
  <c r="G48" i="2" s="1"/>
  <c r="G49" i="2" s="1"/>
  <c r="G46" i="2"/>
  <c r="G45" i="2"/>
  <c r="D39" i="2"/>
  <c r="D29" i="2"/>
  <c r="H20" i="2"/>
  <c r="F20" i="2"/>
  <c r="D10" i="2"/>
  <c r="H9" i="2"/>
  <c r="D19" i="2" s="1"/>
  <c r="H8" i="2"/>
  <c r="D18" i="2" s="1"/>
  <c r="I18" i="2" s="1"/>
  <c r="H6" i="2"/>
  <c r="D16" i="2" s="1"/>
  <c r="I16" i="2" s="1"/>
  <c r="G10" i="2"/>
  <c r="H5" i="2"/>
  <c r="H29" i="2" l="1"/>
  <c r="I19" i="2"/>
  <c r="E20" i="2"/>
  <c r="H7" i="2"/>
  <c r="D17" i="2" s="1"/>
  <c r="I17" i="2" s="1"/>
  <c r="D15" i="2"/>
  <c r="E10" i="2"/>
  <c r="I26" i="1"/>
  <c r="H36" i="1"/>
  <c r="H26" i="1"/>
  <c r="G26" i="1"/>
  <c r="F26" i="1"/>
  <c r="H10" i="2" l="1"/>
  <c r="D20" i="2"/>
  <c r="I15" i="2"/>
  <c r="I20" i="2" s="1"/>
  <c r="G47" i="1"/>
  <c r="G48" i="1" s="1"/>
  <c r="G46" i="1"/>
  <c r="G45" i="1"/>
  <c r="G49" i="1" s="1"/>
  <c r="G17" i="1"/>
  <c r="F17" i="1"/>
  <c r="E17" i="1"/>
  <c r="G7" i="1"/>
  <c r="E7" i="1"/>
  <c r="E35" i="2" l="1"/>
  <c r="J35" i="2" s="1"/>
  <c r="E28" i="2"/>
  <c r="J28" i="2" s="1"/>
  <c r="E24" i="2"/>
  <c r="E38" i="2"/>
  <c r="J38" i="2" s="1"/>
  <c r="E27" i="2"/>
  <c r="J27" i="2" s="1"/>
  <c r="E25" i="2"/>
  <c r="J25" i="2" s="1"/>
  <c r="E36" i="2"/>
  <c r="J36" i="2" s="1"/>
  <c r="E34" i="2"/>
  <c r="E37" i="2"/>
  <c r="J37" i="2" s="1"/>
  <c r="E26" i="2"/>
  <c r="J26" i="2" s="1"/>
  <c r="F34" i="1"/>
  <c r="D29" i="1"/>
  <c r="E29" i="2" l="1"/>
  <c r="J24" i="2"/>
  <c r="J29" i="2" s="1"/>
  <c r="J34" i="2"/>
  <c r="J39" i="2" s="1"/>
  <c r="E39" i="2"/>
  <c r="G34" i="1"/>
  <c r="H34" i="1"/>
  <c r="I34" i="1"/>
  <c r="F35" i="1"/>
  <c r="G35" i="1"/>
  <c r="H35" i="1"/>
  <c r="I35" i="1"/>
  <c r="E18" i="1"/>
  <c r="E16" i="1"/>
  <c r="E15" i="1"/>
  <c r="I28" i="1"/>
  <c r="H28" i="1"/>
  <c r="G28" i="1"/>
  <c r="F28" i="1"/>
  <c r="I27" i="1"/>
  <c r="I25" i="1"/>
  <c r="I24" i="1"/>
  <c r="H27" i="1"/>
  <c r="H25" i="1"/>
  <c r="H24" i="1"/>
  <c r="G27" i="1"/>
  <c r="G25" i="1"/>
  <c r="G24" i="1"/>
  <c r="F27" i="1"/>
  <c r="F25" i="1"/>
  <c r="F24" i="1"/>
  <c r="G19" i="1"/>
  <c r="G18" i="1"/>
  <c r="G16" i="1"/>
  <c r="G15" i="1"/>
  <c r="F19" i="1"/>
  <c r="F18" i="1"/>
  <c r="F16" i="1"/>
  <c r="F15" i="1"/>
  <c r="E19" i="1"/>
  <c r="G9" i="1"/>
  <c r="G8" i="1"/>
  <c r="G6" i="1"/>
  <c r="G5" i="1"/>
  <c r="F9" i="1"/>
  <c r="F8" i="1"/>
  <c r="F7" i="1"/>
  <c r="F6" i="1"/>
  <c r="F5" i="1"/>
  <c r="E9" i="1"/>
  <c r="E8" i="1"/>
  <c r="E6" i="1"/>
  <c r="E5" i="1"/>
  <c r="J44" i="2" l="1"/>
  <c r="H6" i="1"/>
  <c r="D16" i="1" s="1"/>
  <c r="H7" i="1"/>
  <c r="D17" i="1" s="1"/>
  <c r="H8" i="1"/>
  <c r="D18" i="1" s="1"/>
  <c r="H9" i="1"/>
  <c r="D19" i="1" s="1"/>
  <c r="I19" i="1" s="1"/>
  <c r="H5" i="1"/>
  <c r="D15" i="1" s="1"/>
  <c r="D39" i="1"/>
  <c r="D10" i="1"/>
  <c r="I17" i="1" l="1"/>
  <c r="I16" i="1"/>
  <c r="F20" i="1"/>
  <c r="I15" i="1"/>
  <c r="I18" i="1"/>
  <c r="G20" i="1"/>
  <c r="H20" i="1"/>
  <c r="E20" i="1"/>
  <c r="D20" i="1"/>
  <c r="E10" i="1"/>
  <c r="G10" i="1"/>
  <c r="F10" i="1"/>
  <c r="H10" i="1"/>
  <c r="I20" i="1" l="1"/>
  <c r="E38" i="1" l="1"/>
  <c r="E26" i="1"/>
  <c r="E37" i="1"/>
  <c r="E35" i="1"/>
  <c r="E34" i="1"/>
  <c r="J34" i="1" s="1"/>
  <c r="E27" i="1"/>
  <c r="E24" i="1"/>
  <c r="E36" i="1"/>
  <c r="E28" i="1"/>
  <c r="E25" i="1"/>
  <c r="J35" i="1" l="1"/>
  <c r="J37" i="1"/>
  <c r="J25" i="1"/>
  <c r="J27" i="1"/>
  <c r="J26" i="1"/>
  <c r="J36" i="1"/>
  <c r="J24" i="1"/>
  <c r="J28" i="1"/>
  <c r="F39" i="1"/>
  <c r="J38" i="1"/>
  <c r="E39" i="1"/>
  <c r="E29" i="1"/>
  <c r="J29" i="1" l="1"/>
  <c r="G29" i="1"/>
  <c r="G39" i="1"/>
  <c r="H29" i="1"/>
  <c r="I29" i="1"/>
  <c r="H39" i="1"/>
  <c r="F29" i="1"/>
  <c r="J39" i="1" l="1"/>
  <c r="J44" i="1" s="1"/>
  <c r="I39" i="1"/>
</calcChain>
</file>

<file path=xl/comments1.xml><?xml version="1.0" encoding="utf-8"?>
<comments xmlns="http://schemas.openxmlformats.org/spreadsheetml/2006/main">
  <authors>
    <author>Joanne Tackaberry</author>
  </authors>
  <commentList>
    <comment ref="G13" authorId="0" shapeId="0">
      <text>
        <r>
          <rPr>
            <b/>
            <sz val="9"/>
            <color indexed="81"/>
            <rFont val="Tahoma"/>
            <family val="2"/>
          </rPr>
          <t>Joanne Tackaberry:</t>
        </r>
        <r>
          <rPr>
            <sz val="9"/>
            <color indexed="81"/>
            <rFont val="Tahoma"/>
            <family val="2"/>
          </rPr>
          <t xml:space="preserve">
Rate Rider ends Apr 30/15)</t>
        </r>
      </text>
    </comment>
  </commentList>
</comments>
</file>

<file path=xl/comments2.xml><?xml version="1.0" encoding="utf-8"?>
<comments xmlns="http://schemas.openxmlformats.org/spreadsheetml/2006/main">
  <authors>
    <author>Joanne Tackaberry</author>
  </authors>
  <commentList>
    <comment ref="G13" authorId="0" shapeId="0">
      <text>
        <r>
          <rPr>
            <b/>
            <sz val="9"/>
            <color indexed="81"/>
            <rFont val="Tahoma"/>
            <family val="2"/>
          </rPr>
          <t>Joanne Tackaberry:</t>
        </r>
        <r>
          <rPr>
            <sz val="9"/>
            <color indexed="81"/>
            <rFont val="Tahoma"/>
            <family val="2"/>
          </rPr>
          <t xml:space="preserve">
Rate Rider ends Apr 30/15)</t>
        </r>
      </text>
    </comment>
  </commentList>
</comments>
</file>

<file path=xl/sharedStrings.xml><?xml version="1.0" encoding="utf-8"?>
<sst xmlns="http://schemas.openxmlformats.org/spreadsheetml/2006/main" count="230" uniqueCount="40">
  <si>
    <t>kWh</t>
  </si>
  <si>
    <t>kW</t>
  </si>
  <si>
    <t>Residential</t>
  </si>
  <si>
    <t>General Service Less Than 50 kW</t>
  </si>
  <si>
    <t>General Service 50 to 4,999 kW</t>
  </si>
  <si>
    <t>Unmetered Scattered Load</t>
  </si>
  <si>
    <t>Street Lighting</t>
  </si>
  <si>
    <t>Total Balance</t>
  </si>
  <si>
    <t>Jan 1 to April 30</t>
  </si>
  <si>
    <t>Total principal for disposition</t>
  </si>
  <si>
    <t>2011 OEB-Approved</t>
  </si>
  <si>
    <t>May 1 to Dec 31</t>
  </si>
  <si>
    <t>Jan 1 to Dec 31</t>
  </si>
  <si>
    <t xml:space="preserve">Jan 1 to April  30 </t>
  </si>
  <si>
    <t>Residual in 1595 (2011)</t>
  </si>
  <si>
    <t>$ Recovery in 2011</t>
  </si>
  <si>
    <t>$ Recovery in 2012</t>
  </si>
  <si>
    <t>$ Recovery in 2013</t>
  </si>
  <si>
    <t>$ Recovery in 2014</t>
  </si>
  <si>
    <t>$ Recovery in 2015</t>
  </si>
  <si>
    <t>$ Recovery in 2016</t>
  </si>
  <si>
    <t>Correct DVA Amount</t>
  </si>
  <si>
    <t>Correct GA Amount</t>
  </si>
  <si>
    <t>Adjusted DVA</t>
  </si>
  <si>
    <t>Adjusted GA</t>
  </si>
  <si>
    <t>Original DVA</t>
  </si>
  <si>
    <t>Reversal of the original DVA rate rider</t>
  </si>
  <si>
    <t>New DVA rate rider</t>
  </si>
  <si>
    <t>New GA rate rider</t>
  </si>
  <si>
    <t>Rates (May 01)</t>
  </si>
  <si>
    <t>***(effective until Apr 30/15)</t>
  </si>
  <si>
    <t>***(effective until Apr 30/16)</t>
  </si>
  <si>
    <t>Jan 1 to Apr 30</t>
  </si>
  <si>
    <t>***(effective until Apr 30/13)</t>
  </si>
  <si>
    <t>Total J29 + J39</t>
  </si>
  <si>
    <t>GS&gt;50</t>
  </si>
  <si>
    <t>Total principal for disposition in DVA</t>
  </si>
  <si>
    <t>(over refunded)</t>
  </si>
  <si>
    <t xml:space="preserve">(over recovered) </t>
  </si>
  <si>
    <t>Total Residual balance J29 + J39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</si>
</sst>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#,##0_);\(#,##0\ \)"/>
    <numFmt numFmtId="166" formatCode="_(* #,##0_);_(* \(#,##0\);_(* &quot;-&quot;??_);_(@_)"/>
    <numFmt numFmtId="167" formatCode="0.0000"/>
    <numFmt numFmtId="168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165" fontId="0" fillId="2" borderId="0" xfId="0" applyNumberFormat="1" applyFill="1" applyProtection="1"/>
    <xf numFmtId="165" fontId="0" fillId="2" borderId="1" xfId="0" applyNumberFormat="1" applyFill="1" applyBorder="1" applyProtection="1"/>
    <xf numFmtId="166" fontId="0" fillId="2" borderId="0" xfId="1" applyNumberFormat="1" applyFont="1" applyFill="1" applyProtection="1"/>
    <xf numFmtId="166" fontId="0" fillId="0" borderId="0" xfId="1" applyNumberFormat="1" applyFont="1"/>
    <xf numFmtId="10" fontId="0" fillId="0" borderId="0" xfId="2" applyNumberFormat="1" applyFont="1"/>
    <xf numFmtId="166" fontId="0" fillId="3" borderId="0" xfId="1" applyNumberFormat="1" applyFont="1" applyFill="1"/>
    <xf numFmtId="166" fontId="3" fillId="0" borderId="0" xfId="1" applyNumberFormat="1" applyFont="1" applyFill="1"/>
    <xf numFmtId="166" fontId="0" fillId="0" borderId="0" xfId="1" applyNumberFormat="1" applyFont="1" applyFill="1" applyProtection="1"/>
    <xf numFmtId="166" fontId="0" fillId="0" borderId="1" xfId="1" applyNumberFormat="1" applyFont="1" applyFill="1" applyBorder="1" applyProtection="1"/>
    <xf numFmtId="165" fontId="0" fillId="0" borderId="0" xfId="0" applyNumberFormat="1" applyFill="1" applyBorder="1" applyProtection="1"/>
    <xf numFmtId="0" fontId="0" fillId="0" borderId="0" xfId="0" applyFill="1"/>
    <xf numFmtId="165" fontId="0" fillId="0" borderId="1" xfId="0" applyNumberFormat="1" applyFill="1" applyBorder="1" applyProtection="1"/>
    <xf numFmtId="166" fontId="0" fillId="0" borderId="0" xfId="1" applyNumberFormat="1" applyFont="1" applyFill="1"/>
    <xf numFmtId="165" fontId="2" fillId="0" borderId="0" xfId="0" applyNumberFormat="1" applyFont="1" applyFill="1" applyAlignment="1" applyProtection="1">
      <alignment horizontal="center"/>
    </xf>
    <xf numFmtId="166" fontId="0" fillId="4" borderId="0" xfId="0" applyNumberFormat="1" applyFill="1"/>
    <xf numFmtId="165" fontId="0" fillId="4" borderId="1" xfId="0" applyNumberFormat="1" applyFill="1" applyBorder="1" applyProtection="1"/>
    <xf numFmtId="165" fontId="0" fillId="0" borderId="2" xfId="0" applyNumberFormat="1" applyBorder="1"/>
    <xf numFmtId="0" fontId="4" fillId="0" borderId="0" xfId="0" applyFont="1"/>
    <xf numFmtId="0" fontId="4" fillId="0" borderId="0" xfId="0" applyFont="1" applyFill="1" applyAlignment="1" applyProtection="1">
      <alignment horizontal="left"/>
    </xf>
    <xf numFmtId="0" fontId="4" fillId="0" borderId="0" xfId="0" applyFont="1" applyFill="1"/>
    <xf numFmtId="0" fontId="4" fillId="0" borderId="0" xfId="0" applyFont="1" applyBorder="1"/>
    <xf numFmtId="0" fontId="4" fillId="0" borderId="3" xfId="0" applyFont="1" applyBorder="1"/>
    <xf numFmtId="0" fontId="5" fillId="0" borderId="0" xfId="0" applyFont="1"/>
    <xf numFmtId="0" fontId="5" fillId="0" borderId="0" xfId="0" applyFont="1" applyFill="1"/>
    <xf numFmtId="167" fontId="0" fillId="0" borderId="0" xfId="0" applyNumberFormat="1"/>
    <xf numFmtId="0" fontId="4" fillId="0" borderId="0" xfId="0" applyFont="1" applyFill="1" applyBorder="1" applyAlignment="1">
      <alignment horizontal="center"/>
    </xf>
    <xf numFmtId="168" fontId="0" fillId="0" borderId="0" xfId="0" applyNumberFormat="1"/>
    <xf numFmtId="0" fontId="0" fillId="0" borderId="0" xfId="0" applyFont="1"/>
    <xf numFmtId="43" fontId="0" fillId="0" borderId="0" xfId="1" applyFont="1"/>
    <xf numFmtId="0" fontId="4" fillId="0" borderId="0" xfId="0" applyFont="1" applyAlignment="1">
      <alignment horizontal="center"/>
    </xf>
    <xf numFmtId="164" fontId="0" fillId="0" borderId="0" xfId="0" applyNumberFormat="1"/>
    <xf numFmtId="165" fontId="0" fillId="0" borderId="0" xfId="0" applyNumberFormat="1"/>
    <xf numFmtId="167" fontId="8" fillId="0" borderId="0" xfId="0" applyNumberFormat="1" applyFont="1"/>
    <xf numFmtId="43" fontId="0" fillId="0" borderId="0" xfId="0" applyNumberFormat="1"/>
    <xf numFmtId="43" fontId="0" fillId="0" borderId="3" xfId="1" applyFont="1" applyBorder="1"/>
    <xf numFmtId="4" fontId="0" fillId="0" borderId="0" xfId="0" applyNumberFormat="1"/>
    <xf numFmtId="165" fontId="0" fillId="3" borderId="4" xfId="0" applyNumberFormat="1" applyFill="1" applyBorder="1"/>
    <xf numFmtId="2" fontId="0" fillId="0" borderId="0" xfId="0" applyNumberFormat="1"/>
    <xf numFmtId="0" fontId="0" fillId="0" borderId="0" xfId="0" applyAlignment="1">
      <alignment horizontal="right"/>
    </xf>
    <xf numFmtId="165" fontId="0" fillId="4" borderId="4" xfId="0" applyNumberForma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3:O52"/>
  <sheetViews>
    <sheetView workbookViewId="0">
      <selection activeCell="D5" sqref="D5"/>
    </sheetView>
  </sheetViews>
  <sheetFormatPr defaultRowHeight="15" x14ac:dyDescent="0.25"/>
  <cols>
    <col min="1" max="1" width="3.5703125" customWidth="1"/>
    <col min="2" max="2" width="35.28515625" bestFit="1" customWidth="1"/>
    <col min="4" max="4" width="21.42578125" bestFit="1" customWidth="1"/>
    <col min="5" max="9" width="18" customWidth="1"/>
    <col min="10" max="11" width="15.5703125" customWidth="1"/>
    <col min="12" max="12" width="14.140625" bestFit="1" customWidth="1"/>
    <col min="15" max="15" width="13.28515625" bestFit="1" customWidth="1"/>
  </cols>
  <sheetData>
    <row r="3" spans="2:15" ht="15.75" x14ac:dyDescent="0.25">
      <c r="B3" s="23" t="s">
        <v>25</v>
      </c>
      <c r="D3" s="21"/>
      <c r="E3" s="21" t="s">
        <v>11</v>
      </c>
      <c r="F3" s="21" t="s">
        <v>12</v>
      </c>
      <c r="G3" s="21" t="s">
        <v>13</v>
      </c>
      <c r="H3" s="21"/>
    </row>
    <row r="4" spans="2:15" x14ac:dyDescent="0.25">
      <c r="B4" s="28" t="s">
        <v>33</v>
      </c>
      <c r="D4" s="22" t="s">
        <v>10</v>
      </c>
      <c r="E4" s="22" t="s">
        <v>15</v>
      </c>
      <c r="F4" s="22" t="s">
        <v>16</v>
      </c>
      <c r="G4" s="22" t="s">
        <v>17</v>
      </c>
      <c r="H4" s="22" t="s">
        <v>7</v>
      </c>
      <c r="J4" s="26" t="s">
        <v>29</v>
      </c>
    </row>
    <row r="5" spans="2:15" ht="15.75" x14ac:dyDescent="0.25">
      <c r="B5" s="19" t="s">
        <v>2</v>
      </c>
      <c r="C5" s="14" t="s">
        <v>0</v>
      </c>
      <c r="D5" s="3">
        <v>50478.491972573</v>
      </c>
      <c r="E5" s="6">
        <f>(81939538-31892355)*J5</f>
        <v>-15014.1549</v>
      </c>
      <c r="F5" s="6">
        <f>82563497*J5</f>
        <v>-24769.049099999997</v>
      </c>
      <c r="G5" s="6">
        <f>30148502*J5</f>
        <v>-9044.5505999999987</v>
      </c>
      <c r="H5" s="4">
        <f>SUM(D5:G5)</f>
        <v>1650.7373725730031</v>
      </c>
      <c r="J5">
        <v>-2.9999999999999997E-4</v>
      </c>
      <c r="K5" s="14" t="s">
        <v>0</v>
      </c>
    </row>
    <row r="6" spans="2:15" ht="15.75" x14ac:dyDescent="0.25">
      <c r="B6" s="19" t="s">
        <v>3</v>
      </c>
      <c r="C6" s="14" t="s">
        <v>0</v>
      </c>
      <c r="D6" s="3">
        <v>34229.229187440702</v>
      </c>
      <c r="E6" s="6">
        <f>(16444170-5686415)*J6</f>
        <v>-9681.9794999999995</v>
      </c>
      <c r="F6" s="6">
        <f>15999500*J6</f>
        <v>-14399.55</v>
      </c>
      <c r="G6" s="6">
        <f>5139215*J6</f>
        <v>-4625.2934999999998</v>
      </c>
      <c r="H6" s="4">
        <f t="shared" ref="H6:H9" si="0">SUM(D6:G6)</f>
        <v>5522.4061874407016</v>
      </c>
      <c r="J6">
        <v>-8.9999999999999998E-4</v>
      </c>
      <c r="K6" s="14" t="s">
        <v>0</v>
      </c>
    </row>
    <row r="7" spans="2:15" ht="15.75" x14ac:dyDescent="0.25">
      <c r="B7" s="19" t="s">
        <v>4</v>
      </c>
      <c r="C7" s="14" t="s">
        <v>1</v>
      </c>
      <c r="D7" s="3">
        <v>-249547.548925599</v>
      </c>
      <c r="E7" s="6">
        <f>(52755-13325-2134)*J7</f>
        <v>121588.6896</v>
      </c>
      <c r="F7" s="6">
        <f>54294*J7</f>
        <v>177003.8694</v>
      </c>
      <c r="G7" s="6">
        <f>(13887+1934)*J7</f>
        <v>51578.042099999999</v>
      </c>
      <c r="H7" s="4">
        <f t="shared" si="0"/>
        <v>100623.052174401</v>
      </c>
      <c r="J7">
        <v>3.2601</v>
      </c>
      <c r="K7" s="14" t="s">
        <v>1</v>
      </c>
    </row>
    <row r="8" spans="2:15" ht="15.75" x14ac:dyDescent="0.25">
      <c r="B8" s="19" t="s">
        <v>5</v>
      </c>
      <c r="C8" s="14" t="s">
        <v>0</v>
      </c>
      <c r="D8" s="3">
        <v>1004.4842665203601</v>
      </c>
      <c r="E8" s="6">
        <f>(308021-99788)*J8</f>
        <v>-416.46600000000001</v>
      </c>
      <c r="F8" s="6">
        <f>290952*J8</f>
        <v>-581.904</v>
      </c>
      <c r="G8" s="6">
        <f>88048*J8</f>
        <v>-176.096</v>
      </c>
      <c r="H8" s="4">
        <f t="shared" si="0"/>
        <v>-169.98173347963996</v>
      </c>
      <c r="J8" s="25">
        <v>-2E-3</v>
      </c>
      <c r="K8" s="14" t="s">
        <v>0</v>
      </c>
    </row>
    <row r="9" spans="2:15" ht="15.75" x14ac:dyDescent="0.25">
      <c r="B9" s="19" t="s">
        <v>6</v>
      </c>
      <c r="C9" s="14" t="s">
        <v>1</v>
      </c>
      <c r="D9" s="3">
        <v>9258.42964446509</v>
      </c>
      <c r="E9" s="6">
        <f>(5014-1671)*J9</f>
        <v>-2238.1385</v>
      </c>
      <c r="F9" s="6">
        <f>4889*J9</f>
        <v>-3273.1855</v>
      </c>
      <c r="G9" s="6">
        <f>1768*J9</f>
        <v>-1183.6759999999999</v>
      </c>
      <c r="H9" s="4">
        <f t="shared" si="0"/>
        <v>2563.42964446509</v>
      </c>
      <c r="J9">
        <v>-0.66949999999999998</v>
      </c>
      <c r="K9" s="14" t="s">
        <v>1</v>
      </c>
    </row>
    <row r="10" spans="2:15" ht="15.75" thickBot="1" x14ac:dyDescent="0.3">
      <c r="B10" s="20"/>
      <c r="C10" s="11"/>
      <c r="D10" s="9">
        <f>SUM(D5:D9)</f>
        <v>-154576.91385459984</v>
      </c>
      <c r="E10" s="9">
        <f t="shared" ref="E10:H10" si="1">SUM(E5:E9)</f>
        <v>94237.950700000001</v>
      </c>
      <c r="F10" s="9">
        <f t="shared" si="1"/>
        <v>133980.1808</v>
      </c>
      <c r="G10" s="9">
        <f t="shared" si="1"/>
        <v>36548.426000000007</v>
      </c>
      <c r="H10" s="9">
        <f t="shared" si="1"/>
        <v>110189.64364540015</v>
      </c>
    </row>
    <row r="11" spans="2:15" x14ac:dyDescent="0.25">
      <c r="B11" s="20"/>
      <c r="C11" s="11"/>
      <c r="D11" s="10"/>
      <c r="E11" s="11"/>
      <c r="F11" s="11"/>
      <c r="G11" s="11"/>
      <c r="H11" s="11"/>
    </row>
    <row r="12" spans="2:15" x14ac:dyDescent="0.25">
      <c r="B12" s="20"/>
      <c r="C12" s="11"/>
    </row>
    <row r="13" spans="2:15" ht="15.75" x14ac:dyDescent="0.25">
      <c r="B13" s="24" t="s">
        <v>26</v>
      </c>
      <c r="C13" s="11"/>
      <c r="D13" s="21"/>
      <c r="E13" s="21" t="s">
        <v>11</v>
      </c>
      <c r="F13" s="21" t="s">
        <v>12</v>
      </c>
      <c r="G13" s="21" t="s">
        <v>32</v>
      </c>
      <c r="H13" s="21" t="s">
        <v>8</v>
      </c>
      <c r="I13" s="21"/>
    </row>
    <row r="14" spans="2:15" x14ac:dyDescent="0.25">
      <c r="B14" t="s">
        <v>30</v>
      </c>
      <c r="C14" s="11"/>
      <c r="D14" s="22" t="s">
        <v>14</v>
      </c>
      <c r="E14" s="22" t="s">
        <v>17</v>
      </c>
      <c r="F14" s="22" t="s">
        <v>18</v>
      </c>
      <c r="G14" s="22" t="s">
        <v>19</v>
      </c>
      <c r="H14" s="22" t="s">
        <v>20</v>
      </c>
      <c r="I14" s="22" t="s">
        <v>7</v>
      </c>
      <c r="K14" s="26" t="s">
        <v>29</v>
      </c>
    </row>
    <row r="15" spans="2:15" ht="15.75" x14ac:dyDescent="0.25">
      <c r="B15" s="19" t="s">
        <v>2</v>
      </c>
      <c r="C15" s="14" t="s">
        <v>0</v>
      </c>
      <c r="D15" s="8">
        <f>+H5</f>
        <v>1650.7373725730031</v>
      </c>
      <c r="E15" s="6">
        <f>(82612676.6-30148502+2244008)*K15</f>
        <v>16412.454779999996</v>
      </c>
      <c r="F15" s="6">
        <f>(84722907.7+3027200.4)*K15</f>
        <v>26325.032429999999</v>
      </c>
      <c r="G15" s="6">
        <f>(33050399+1044876)*K15</f>
        <v>10228.582499999999</v>
      </c>
      <c r="H15" s="6">
        <v>0</v>
      </c>
      <c r="I15" s="4">
        <f>SUM(D15:H15)</f>
        <v>54616.807082572996</v>
      </c>
      <c r="J15" s="5"/>
      <c r="K15">
        <v>2.9999999999999997E-4</v>
      </c>
      <c r="L15" s="14" t="s">
        <v>0</v>
      </c>
    </row>
    <row r="16" spans="2:15" ht="15.75" x14ac:dyDescent="0.25">
      <c r="B16" s="19" t="s">
        <v>3</v>
      </c>
      <c r="C16" s="14" t="s">
        <v>0</v>
      </c>
      <c r="D16" s="8">
        <f t="shared" ref="D16:D19" si="2">+H6</f>
        <v>5522.4061874407016</v>
      </c>
      <c r="E16" s="6">
        <f>(14611565.2-5139215+1325158)*K16</f>
        <v>9717.7573799999991</v>
      </c>
      <c r="F16" s="6">
        <f>(14718736.9+2108189.1)*K16</f>
        <v>15144.233399999999</v>
      </c>
      <c r="G16" s="6">
        <f>(5705618+888967)*K16</f>
        <v>5935.1264999999994</v>
      </c>
      <c r="H16" s="6">
        <v>0</v>
      </c>
      <c r="I16" s="4">
        <f t="shared" ref="I16:I19" si="3">SUM(D16:H16)</f>
        <v>36319.523467440697</v>
      </c>
      <c r="J16" s="5"/>
      <c r="K16">
        <v>8.9999999999999998E-4</v>
      </c>
      <c r="L16" s="14" t="s">
        <v>0</v>
      </c>
      <c r="O16" s="29"/>
    </row>
    <row r="17" spans="2:15" ht="15.75" x14ac:dyDescent="0.25">
      <c r="B17" s="19" t="s">
        <v>4</v>
      </c>
      <c r="C17" s="14" t="s">
        <v>1</v>
      </c>
      <c r="D17" s="8">
        <f t="shared" si="2"/>
        <v>100623.052174401</v>
      </c>
      <c r="E17" s="6">
        <f>(58733.3-13887-1934)*K17</f>
        <v>-139898.38923</v>
      </c>
      <c r="F17" s="6">
        <f>(52069+6080)*K17</f>
        <v>-189571.55489999999</v>
      </c>
      <c r="G17" s="6">
        <f>(13977+1767)*K17</f>
        <v>-51327.0144</v>
      </c>
      <c r="H17" s="6">
        <v>0</v>
      </c>
      <c r="I17" s="4">
        <f t="shared" si="3"/>
        <v>-280173.906355599</v>
      </c>
      <c r="J17" s="5"/>
      <c r="K17">
        <v>-3.2601</v>
      </c>
      <c r="L17" s="14" t="s">
        <v>1</v>
      </c>
      <c r="O17" s="31"/>
    </row>
    <row r="18" spans="2:15" ht="15.75" x14ac:dyDescent="0.25">
      <c r="B18" s="19" t="s">
        <v>5</v>
      </c>
      <c r="C18" s="14" t="s">
        <v>0</v>
      </c>
      <c r="D18" s="8">
        <f t="shared" si="2"/>
        <v>-169.98173347963996</v>
      </c>
      <c r="E18" s="6">
        <f>(219649.3-88048+27023.56)*K18</f>
        <v>317.24971999999997</v>
      </c>
      <c r="F18" s="6">
        <f>(207463+42829.1)*K18</f>
        <v>500.58420000000001</v>
      </c>
      <c r="G18" s="6">
        <f>(87681+16111)*K18</f>
        <v>207.584</v>
      </c>
      <c r="H18" s="6">
        <v>0</v>
      </c>
      <c r="I18" s="4">
        <f t="shared" si="3"/>
        <v>855.43618652036002</v>
      </c>
      <c r="J18" s="5"/>
      <c r="K18" s="25">
        <v>2E-3</v>
      </c>
      <c r="L18" s="14" t="s">
        <v>0</v>
      </c>
    </row>
    <row r="19" spans="2:15" ht="15.75" x14ac:dyDescent="0.25">
      <c r="B19" s="19" t="s">
        <v>6</v>
      </c>
      <c r="C19" s="14" t="s">
        <v>1</v>
      </c>
      <c r="D19" s="8">
        <f t="shared" si="2"/>
        <v>2563.42964446509</v>
      </c>
      <c r="E19" s="6">
        <f>(5310.1-1768)*K19</f>
        <v>2371.43595</v>
      </c>
      <c r="F19" s="6">
        <f>5426.2*K19</f>
        <v>3632.8408999999997</v>
      </c>
      <c r="G19" s="6">
        <f>1818*K19</f>
        <v>1217.1510000000001</v>
      </c>
      <c r="H19" s="6"/>
      <c r="I19" s="4">
        <f t="shared" si="3"/>
        <v>9784.85749446509</v>
      </c>
      <c r="J19" s="5"/>
      <c r="K19">
        <v>0.66949999999999998</v>
      </c>
      <c r="L19" s="14" t="s">
        <v>1</v>
      </c>
    </row>
    <row r="20" spans="2:15" ht="15.75" thickBot="1" x14ac:dyDescent="0.3">
      <c r="B20" s="20"/>
      <c r="C20" s="11"/>
      <c r="D20" s="9">
        <f>SUM(D15:D19)</f>
        <v>110189.64364540015</v>
      </c>
      <c r="E20" s="9">
        <f t="shared" ref="E20" si="4">SUM(E15:E19)</f>
        <v>-111079.4914</v>
      </c>
      <c r="F20" s="9">
        <f t="shared" ref="F20" si="5">SUM(F15:F19)</f>
        <v>-143968.86396999998</v>
      </c>
      <c r="G20" s="9">
        <f t="shared" ref="G20:H20" si="6">SUM(G15:G19)</f>
        <v>-33738.570399999997</v>
      </c>
      <c r="H20" s="9">
        <f t="shared" si="6"/>
        <v>0</v>
      </c>
      <c r="I20" s="9">
        <f t="shared" ref="I20" si="7">SUM(I15:I19)</f>
        <v>-178597.28212459985</v>
      </c>
    </row>
    <row r="21" spans="2:15" x14ac:dyDescent="0.25">
      <c r="B21" s="20"/>
      <c r="C21" s="11"/>
    </row>
    <row r="22" spans="2:15" x14ac:dyDescent="0.25">
      <c r="B22" s="19" t="s">
        <v>27</v>
      </c>
      <c r="C22" s="11"/>
      <c r="F22" s="21" t="s">
        <v>11</v>
      </c>
      <c r="G22" s="21" t="s">
        <v>12</v>
      </c>
      <c r="H22" s="21" t="s">
        <v>12</v>
      </c>
      <c r="I22" s="21" t="s">
        <v>8</v>
      </c>
      <c r="J22" s="21"/>
    </row>
    <row r="23" spans="2:15" x14ac:dyDescent="0.25">
      <c r="B23" t="s">
        <v>31</v>
      </c>
      <c r="C23" s="11"/>
      <c r="D23" s="18" t="s">
        <v>21</v>
      </c>
      <c r="E23" s="18" t="s">
        <v>23</v>
      </c>
      <c r="F23" s="22" t="s">
        <v>17</v>
      </c>
      <c r="G23" s="22" t="s">
        <v>18</v>
      </c>
      <c r="H23" s="22" t="s">
        <v>19</v>
      </c>
      <c r="I23" s="22" t="s">
        <v>20</v>
      </c>
      <c r="J23" s="22" t="s">
        <v>7</v>
      </c>
      <c r="L23" s="26" t="s">
        <v>29</v>
      </c>
    </row>
    <row r="24" spans="2:15" ht="15.75" x14ac:dyDescent="0.25">
      <c r="B24" s="19" t="s">
        <v>2</v>
      </c>
      <c r="C24" s="14" t="s">
        <v>0</v>
      </c>
      <c r="D24" s="1">
        <v>402674.363492904</v>
      </c>
      <c r="E24" s="7">
        <f>+D24*($I$20/$D$10)</f>
        <v>465247.65637857752</v>
      </c>
      <c r="F24" s="6">
        <f>(82612676.6-30148502)*L24</f>
        <v>-104928.3492</v>
      </c>
      <c r="G24" s="6">
        <f>84722907.7*L24</f>
        <v>-169445.81540000002</v>
      </c>
      <c r="H24" s="6">
        <f>85509831.7*L24</f>
        <v>-171019.66340000002</v>
      </c>
      <c r="I24" s="6">
        <f>30998745*L24</f>
        <v>-61997.49</v>
      </c>
      <c r="J24" s="15">
        <f>SUM(E24:I24)</f>
        <v>-42143.661621422514</v>
      </c>
      <c r="L24" s="25">
        <v>-2E-3</v>
      </c>
      <c r="M24" s="14" t="s">
        <v>0</v>
      </c>
    </row>
    <row r="25" spans="2:15" ht="15.75" x14ac:dyDescent="0.25">
      <c r="B25" s="19" t="s">
        <v>3</v>
      </c>
      <c r="C25" s="14" t="s">
        <v>0</v>
      </c>
      <c r="D25" s="1">
        <v>77638.161149711101</v>
      </c>
      <c r="E25" s="7">
        <f t="shared" ref="E25:E28" si="8">+D25*($I$20/$D$10)</f>
        <v>89702.687320649231</v>
      </c>
      <c r="F25" s="6">
        <f>(14611565.2-5139215)*L25</f>
        <v>-18944.700399999998</v>
      </c>
      <c r="G25" s="6">
        <f>14718736.9*L25</f>
        <v>-29437.4738</v>
      </c>
      <c r="H25" s="6">
        <f>14120081.4*L25</f>
        <v>-28240.162800000002</v>
      </c>
      <c r="I25" s="6">
        <f>5510446*L25</f>
        <v>-11020.892</v>
      </c>
      <c r="J25" s="15">
        <f t="shared" ref="J25:J28" si="9">SUM(E25:I25)</f>
        <v>2059.458320649228</v>
      </c>
      <c r="L25" s="25">
        <v>-2E-3</v>
      </c>
      <c r="M25" s="14" t="s">
        <v>0</v>
      </c>
    </row>
    <row r="26" spans="2:15" ht="15.75" x14ac:dyDescent="0.25">
      <c r="B26" s="19" t="s">
        <v>4</v>
      </c>
      <c r="C26" s="14" t="s">
        <v>1</v>
      </c>
      <c r="D26" s="1">
        <v>92821.960099199103</v>
      </c>
      <c r="E26" s="7">
        <f t="shared" si="8"/>
        <v>107245.96177918646</v>
      </c>
      <c r="F26" s="6">
        <f>(58733.3-13887-1934)*L26</f>
        <v>-52039.746209999998</v>
      </c>
      <c r="G26" s="6">
        <f>(52069+6080)*L26</f>
        <v>-70517.292299999986</v>
      </c>
      <c r="H26" s="6">
        <f>-61150.5</f>
        <v>-61150.5</v>
      </c>
      <c r="I26" s="6">
        <f>(13553+1745)*L26</f>
        <v>-18551.884599999998</v>
      </c>
      <c r="J26" s="15">
        <f t="shared" si="9"/>
        <v>-95013.46133081353</v>
      </c>
      <c r="L26">
        <v>-1.2126999999999999</v>
      </c>
      <c r="M26" s="14" t="s">
        <v>1</v>
      </c>
    </row>
    <row r="27" spans="2:15" ht="15.75" x14ac:dyDescent="0.25">
      <c r="B27" s="19" t="s">
        <v>5</v>
      </c>
      <c r="C27" s="14" t="s">
        <v>0</v>
      </c>
      <c r="D27" s="1">
        <v>1004.4842665203601</v>
      </c>
      <c r="E27" s="7">
        <f t="shared" si="8"/>
        <v>1160.5753761276819</v>
      </c>
      <c r="F27" s="6">
        <f>(219649.3-88048)*L27</f>
        <v>-263.20259999999996</v>
      </c>
      <c r="G27" s="6">
        <f>207463*L27</f>
        <v>-414.92599999999999</v>
      </c>
      <c r="H27" s="6">
        <f>218571.6*L27</f>
        <v>-437.14320000000004</v>
      </c>
      <c r="I27" s="6">
        <f>77940*L27</f>
        <v>-155.88</v>
      </c>
      <c r="J27" s="15">
        <f t="shared" si="9"/>
        <v>-110.57642387231806</v>
      </c>
      <c r="L27" s="25">
        <v>-2E-3</v>
      </c>
      <c r="M27" s="14" t="s">
        <v>0</v>
      </c>
    </row>
    <row r="28" spans="2:15" ht="15.75" x14ac:dyDescent="0.25">
      <c r="B28" s="19" t="s">
        <v>6</v>
      </c>
      <c r="C28" s="14" t="s">
        <v>1</v>
      </c>
      <c r="D28" s="1">
        <v>9258.42964446509</v>
      </c>
      <c r="E28" s="7">
        <f t="shared" si="8"/>
        <v>10697.136655210077</v>
      </c>
      <c r="F28" s="6">
        <f>(5310.1-1768)*L28</f>
        <v>-2371.43595</v>
      </c>
      <c r="G28" s="6">
        <f>5426.2*L28</f>
        <v>-3632.8408999999997</v>
      </c>
      <c r="H28" s="6">
        <f>5382.5*L28</f>
        <v>-3603.5837499999998</v>
      </c>
      <c r="I28" s="6">
        <f>1272*L28</f>
        <v>-851.60399999999993</v>
      </c>
      <c r="J28" s="15">
        <f t="shared" si="9"/>
        <v>237.67205521007907</v>
      </c>
      <c r="L28" s="25">
        <v>-0.66949999999999998</v>
      </c>
      <c r="M28" s="14" t="s">
        <v>1</v>
      </c>
    </row>
    <row r="29" spans="2:15" ht="15.75" thickBot="1" x14ac:dyDescent="0.3">
      <c r="B29" s="20"/>
      <c r="C29" s="11"/>
      <c r="D29" s="2">
        <f>SUM(D24:D28)</f>
        <v>583397.39865279966</v>
      </c>
      <c r="E29" s="12">
        <f>SUM(E24:E28)</f>
        <v>674054.01750975102</v>
      </c>
      <c r="F29" s="12">
        <f t="shared" ref="F29:J29" si="10">SUM(F24:F28)</f>
        <v>-178547.43435999998</v>
      </c>
      <c r="G29" s="12">
        <f t="shared" si="10"/>
        <v>-273448.34840000002</v>
      </c>
      <c r="H29" s="12">
        <f t="shared" si="10"/>
        <v>-264451.05314999999</v>
      </c>
      <c r="I29" s="12">
        <f t="shared" si="10"/>
        <v>-92577.750600000014</v>
      </c>
      <c r="J29" s="16">
        <f t="shared" si="10"/>
        <v>-134970.56900024906</v>
      </c>
    </row>
    <row r="30" spans="2:15" x14ac:dyDescent="0.25">
      <c r="B30" s="20"/>
      <c r="C30" s="11"/>
      <c r="E30" s="11"/>
      <c r="F30" s="11"/>
      <c r="G30" s="11"/>
      <c r="H30" s="11"/>
      <c r="I30" s="11"/>
      <c r="J30" s="11"/>
    </row>
    <row r="31" spans="2:15" x14ac:dyDescent="0.25">
      <c r="B31" s="20"/>
      <c r="C31" s="11"/>
      <c r="E31" s="11"/>
      <c r="F31" s="11"/>
      <c r="G31" s="11"/>
      <c r="H31" s="11"/>
      <c r="I31" s="11"/>
      <c r="J31" s="11"/>
    </row>
    <row r="32" spans="2:15" x14ac:dyDescent="0.25">
      <c r="B32" s="19" t="s">
        <v>28</v>
      </c>
      <c r="C32" s="11"/>
      <c r="E32" s="11"/>
      <c r="F32" s="21" t="s">
        <v>11</v>
      </c>
      <c r="G32" s="21" t="s">
        <v>12</v>
      </c>
      <c r="H32" s="21" t="s">
        <v>12</v>
      </c>
      <c r="I32" s="21" t="s">
        <v>8</v>
      </c>
      <c r="J32" s="21"/>
    </row>
    <row r="33" spans="2:15" x14ac:dyDescent="0.25">
      <c r="B33" t="s">
        <v>31</v>
      </c>
      <c r="C33" s="11"/>
      <c r="D33" s="18" t="s">
        <v>22</v>
      </c>
      <c r="E33" s="20" t="s">
        <v>24</v>
      </c>
      <c r="F33" s="22" t="s">
        <v>17</v>
      </c>
      <c r="G33" s="22" t="s">
        <v>18</v>
      </c>
      <c r="H33" s="22" t="s">
        <v>19</v>
      </c>
      <c r="I33" s="22" t="s">
        <v>20</v>
      </c>
      <c r="J33" s="22" t="s">
        <v>7</v>
      </c>
      <c r="L33" s="26" t="s">
        <v>29</v>
      </c>
      <c r="O33" s="30"/>
    </row>
    <row r="34" spans="2:15" ht="15.75" x14ac:dyDescent="0.25">
      <c r="B34" s="19" t="s">
        <v>2</v>
      </c>
      <c r="C34" s="14" t="s">
        <v>0</v>
      </c>
      <c r="D34" s="1">
        <v>-352195.87152033101</v>
      </c>
      <c r="E34" s="13">
        <f>+D34*($I$20/$D$10)</f>
        <v>-406925.0954783769</v>
      </c>
      <c r="F34" s="6">
        <f>2244008.47*L34</f>
        <v>31640.519427000003</v>
      </c>
      <c r="G34" s="6">
        <f>3027200.4*L34</f>
        <v>42683.52564</v>
      </c>
      <c r="H34" s="6">
        <f>2703362.3*L34</f>
        <v>38117.408429999996</v>
      </c>
      <c r="I34" s="6">
        <f>868440.6*L34</f>
        <v>12245.01246</v>
      </c>
      <c r="J34" s="15">
        <f>SUM(E34:I34)</f>
        <v>-282238.62952137686</v>
      </c>
      <c r="L34">
        <v>1.41E-2</v>
      </c>
      <c r="M34" s="14" t="s">
        <v>0</v>
      </c>
    </row>
    <row r="35" spans="2:15" ht="15.75" x14ac:dyDescent="0.25">
      <c r="B35" s="19" t="s">
        <v>3</v>
      </c>
      <c r="C35" s="14" t="s">
        <v>0</v>
      </c>
      <c r="D35" s="1">
        <v>-43408.931962270399</v>
      </c>
      <c r="E35" s="13">
        <f t="shared" ref="E35:E38" si="11">+D35*($I$20/$D$10)</f>
        <v>-50154.431700490728</v>
      </c>
      <c r="F35" s="6">
        <f>1325158*L35</f>
        <v>18684.727800000001</v>
      </c>
      <c r="G35" s="6">
        <f>2108189.1*L35</f>
        <v>29725.46631</v>
      </c>
      <c r="H35" s="6">
        <f>2182771.6*L35</f>
        <v>30777.079560000002</v>
      </c>
      <c r="I35" s="6">
        <f>734822.6*L35</f>
        <v>10360.998659999999</v>
      </c>
      <c r="J35" s="15">
        <f t="shared" ref="J35:J38" si="12">SUM(E35:I35)</f>
        <v>39393.840629509272</v>
      </c>
      <c r="L35">
        <v>1.41E-2</v>
      </c>
      <c r="M35" s="14" t="s">
        <v>0</v>
      </c>
    </row>
    <row r="36" spans="2:15" ht="15.75" x14ac:dyDescent="0.25">
      <c r="B36" s="19" t="s">
        <v>4</v>
      </c>
      <c r="C36" s="14" t="s">
        <v>1</v>
      </c>
      <c r="D36" s="1">
        <v>-342369.509024798</v>
      </c>
      <c r="E36" s="13">
        <f t="shared" si="11"/>
        <v>-395571.77245548309</v>
      </c>
      <c r="F36" s="6">
        <v>288537.06</v>
      </c>
      <c r="G36" s="6">
        <v>445897.26000000007</v>
      </c>
      <c r="H36" s="6">
        <f>446535.6-10456.22</f>
        <v>436079.38</v>
      </c>
      <c r="I36" s="6">
        <v>164478.92999999993</v>
      </c>
      <c r="J36" s="15">
        <f t="shared" si="12"/>
        <v>939420.85754451691</v>
      </c>
      <c r="L36" s="33">
        <v>8.5730000000000004</v>
      </c>
      <c r="M36" s="14" t="s">
        <v>1</v>
      </c>
    </row>
    <row r="37" spans="2:15" ht="15.75" x14ac:dyDescent="0.25">
      <c r="B37" s="19" t="s">
        <v>5</v>
      </c>
      <c r="C37" s="14" t="s">
        <v>0</v>
      </c>
      <c r="D37" s="1">
        <v>0</v>
      </c>
      <c r="E37" s="13">
        <f t="shared" si="11"/>
        <v>0</v>
      </c>
      <c r="F37" s="6">
        <v>0</v>
      </c>
      <c r="G37" s="6">
        <v>0</v>
      </c>
      <c r="H37" s="6">
        <v>0</v>
      </c>
      <c r="I37" s="6">
        <v>0</v>
      </c>
      <c r="J37" s="15">
        <f t="shared" si="12"/>
        <v>0</v>
      </c>
      <c r="L37" s="27">
        <v>0</v>
      </c>
      <c r="M37" s="14" t="s">
        <v>0</v>
      </c>
    </row>
    <row r="38" spans="2:15" ht="15.75" x14ac:dyDescent="0.25">
      <c r="B38" s="19" t="s">
        <v>6</v>
      </c>
      <c r="C38" s="14" t="s">
        <v>1</v>
      </c>
      <c r="D38" s="1">
        <v>0</v>
      </c>
      <c r="E38" s="13">
        <f t="shared" si="11"/>
        <v>0</v>
      </c>
      <c r="F38" s="6">
        <v>0</v>
      </c>
      <c r="G38" s="6">
        <v>0</v>
      </c>
      <c r="H38" s="6">
        <v>0</v>
      </c>
      <c r="I38" s="6">
        <v>0</v>
      </c>
      <c r="J38" s="15">
        <f t="shared" si="12"/>
        <v>0</v>
      </c>
      <c r="L38" s="27">
        <v>0</v>
      </c>
      <c r="M38" s="14" t="s">
        <v>1</v>
      </c>
    </row>
    <row r="39" spans="2:15" ht="15.75" thickBot="1" x14ac:dyDescent="0.3">
      <c r="B39" s="18"/>
      <c r="D39" s="2">
        <f>SUM(D34:D38)</f>
        <v>-737974.31250739936</v>
      </c>
      <c r="E39" s="12">
        <f>SUM(E34:E38)</f>
        <v>-852651.2996343507</v>
      </c>
      <c r="F39" s="12">
        <f t="shared" ref="F39:J39" si="13">SUM(F34:F38)</f>
        <v>338862.30722700001</v>
      </c>
      <c r="G39" s="12">
        <f t="shared" si="13"/>
        <v>518306.25195000006</v>
      </c>
      <c r="H39" s="12">
        <f t="shared" si="13"/>
        <v>504973.86799</v>
      </c>
      <c r="I39" s="12">
        <f t="shared" si="13"/>
        <v>187084.94111999994</v>
      </c>
      <c r="J39" s="16">
        <f t="shared" si="13"/>
        <v>696576.06865264929</v>
      </c>
    </row>
    <row r="40" spans="2:15" x14ac:dyDescent="0.25">
      <c r="B40" s="18"/>
    </row>
    <row r="41" spans="2:15" ht="15.75" thickBot="1" x14ac:dyDescent="0.3">
      <c r="D41" s="32"/>
      <c r="H41" t="s">
        <v>9</v>
      </c>
      <c r="J41" s="17">
        <v>-561076</v>
      </c>
    </row>
    <row r="42" spans="2:15" ht="15.75" thickTop="1" x14ac:dyDescent="0.25">
      <c r="D42" s="18"/>
    </row>
    <row r="43" spans="2:15" ht="15.75" thickBot="1" x14ac:dyDescent="0.3">
      <c r="D43" s="18"/>
      <c r="J43" s="32"/>
    </row>
    <row r="44" spans="2:15" ht="15.75" thickBot="1" x14ac:dyDescent="0.3">
      <c r="I44" t="s">
        <v>34</v>
      </c>
      <c r="J44" s="37">
        <f>J39+J29</f>
        <v>561605.49965240026</v>
      </c>
    </row>
    <row r="45" spans="2:15" x14ac:dyDescent="0.25">
      <c r="E45" s="39" t="s">
        <v>35</v>
      </c>
      <c r="F45">
        <v>2013</v>
      </c>
      <c r="G45" s="29">
        <f>244248.25+7407.07+36881.74</f>
        <v>288537.06</v>
      </c>
    </row>
    <row r="46" spans="2:15" x14ac:dyDescent="0.25">
      <c r="F46">
        <v>2014</v>
      </c>
      <c r="G46" s="29">
        <f>3419.6+619295.75+21158.16+90560.81-288537.06</f>
        <v>445897.26000000007</v>
      </c>
    </row>
    <row r="47" spans="2:15" x14ac:dyDescent="0.25">
      <c r="F47">
        <v>2015</v>
      </c>
      <c r="G47" s="29">
        <f>5525.13+373776.29+14242.15+52992.03</f>
        <v>446535.6</v>
      </c>
    </row>
    <row r="48" spans="2:15" x14ac:dyDescent="0.25">
      <c r="F48">
        <v>2016</v>
      </c>
      <c r="G48" s="35">
        <f>10186.1+508359.19+20439.4+72029.84-G47</f>
        <v>164478.92999999993</v>
      </c>
    </row>
    <row r="49" spans="7:8" x14ac:dyDescent="0.25">
      <c r="G49" s="34">
        <f>SUM(G45:G48)</f>
        <v>1345448.8499999999</v>
      </c>
    </row>
    <row r="50" spans="7:8" x14ac:dyDescent="0.25">
      <c r="G50" s="31"/>
      <c r="H50" s="38"/>
    </row>
    <row r="51" spans="7:8" x14ac:dyDescent="0.25">
      <c r="G51" s="31"/>
    </row>
    <row r="52" spans="7:8" x14ac:dyDescent="0.25">
      <c r="G52" s="36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B3:O52"/>
  <sheetViews>
    <sheetView tabSelected="1" zoomScaleNormal="100" workbookViewId="0">
      <selection activeCell="Q26" sqref="Q26"/>
    </sheetView>
  </sheetViews>
  <sheetFormatPr defaultRowHeight="15" x14ac:dyDescent="0.25"/>
  <cols>
    <col min="1" max="1" width="3.5703125" customWidth="1"/>
    <col min="2" max="2" width="35.28515625" bestFit="1" customWidth="1"/>
    <col min="4" max="4" width="21.42578125" bestFit="1" customWidth="1"/>
    <col min="5" max="9" width="18" customWidth="1"/>
    <col min="10" max="11" width="15.5703125" customWidth="1"/>
    <col min="12" max="12" width="14.140625" bestFit="1" customWidth="1"/>
    <col min="15" max="15" width="13.28515625" bestFit="1" customWidth="1"/>
  </cols>
  <sheetData>
    <row r="3" spans="2:15" ht="15.75" x14ac:dyDescent="0.25">
      <c r="B3" s="23" t="s">
        <v>25</v>
      </c>
      <c r="D3" s="21"/>
      <c r="E3" s="21" t="s">
        <v>11</v>
      </c>
      <c r="F3" s="21" t="s">
        <v>12</v>
      </c>
      <c r="G3" s="21" t="s">
        <v>13</v>
      </c>
      <c r="H3" s="21"/>
    </row>
    <row r="4" spans="2:15" x14ac:dyDescent="0.25">
      <c r="B4" s="28" t="s">
        <v>33</v>
      </c>
      <c r="D4" s="22" t="s">
        <v>10</v>
      </c>
      <c r="E4" s="22" t="s">
        <v>15</v>
      </c>
      <c r="F4" s="22" t="s">
        <v>16</v>
      </c>
      <c r="G4" s="22" t="s">
        <v>17</v>
      </c>
      <c r="H4" s="22" t="s">
        <v>7</v>
      </c>
      <c r="J4" s="26" t="s">
        <v>29</v>
      </c>
    </row>
    <row r="5" spans="2:15" ht="15.75" x14ac:dyDescent="0.25">
      <c r="B5" s="19" t="s">
        <v>2</v>
      </c>
      <c r="C5" s="14" t="s">
        <v>0</v>
      </c>
      <c r="D5" s="3">
        <v>-50478.491972573</v>
      </c>
      <c r="E5" s="6">
        <f>-(81939538-31892355)*J5</f>
        <v>15014.1549</v>
      </c>
      <c r="F5" s="6">
        <f>-82563497*J5</f>
        <v>24769.049099999997</v>
      </c>
      <c r="G5" s="6">
        <f>-30148502*J5</f>
        <v>9044.5505999999987</v>
      </c>
      <c r="H5" s="4">
        <f>SUM(D5:G5)</f>
        <v>-1650.7373725730031</v>
      </c>
      <c r="J5">
        <v>-2.9999999999999997E-4</v>
      </c>
      <c r="K5" s="14" t="s">
        <v>0</v>
      </c>
    </row>
    <row r="6" spans="2:15" ht="15.75" x14ac:dyDescent="0.25">
      <c r="B6" s="19" t="s">
        <v>3</v>
      </c>
      <c r="C6" s="14" t="s">
        <v>0</v>
      </c>
      <c r="D6" s="3">
        <v>-34229.229187440702</v>
      </c>
      <c r="E6" s="6">
        <f>-(16444170-5686415)*J6</f>
        <v>9681.9794999999995</v>
      </c>
      <c r="F6" s="6">
        <f>-15999500*J6</f>
        <v>14399.55</v>
      </c>
      <c r="G6" s="6">
        <f>-5139215*J6</f>
        <v>4625.2934999999998</v>
      </c>
      <c r="H6" s="4">
        <f t="shared" ref="H6:H9" si="0">SUM(D6:G6)</f>
        <v>-5522.4061874407016</v>
      </c>
      <c r="J6">
        <v>-8.9999999999999998E-4</v>
      </c>
      <c r="K6" s="14" t="s">
        <v>0</v>
      </c>
    </row>
    <row r="7" spans="2:15" ht="15.75" x14ac:dyDescent="0.25">
      <c r="B7" s="19" t="s">
        <v>4</v>
      </c>
      <c r="C7" s="14" t="s">
        <v>1</v>
      </c>
      <c r="D7" s="3">
        <v>249547.548925599</v>
      </c>
      <c r="E7" s="6">
        <f>-(52755-13325-2134)*J7</f>
        <v>-121588.6896</v>
      </c>
      <c r="F7" s="6">
        <f>-54294*J7</f>
        <v>-177003.8694</v>
      </c>
      <c r="G7" s="6">
        <f>-(13887+1934)*J7</f>
        <v>-51578.042099999999</v>
      </c>
      <c r="H7" s="4">
        <f t="shared" si="0"/>
        <v>-100623.052174401</v>
      </c>
      <c r="J7">
        <v>3.2601</v>
      </c>
      <c r="K7" s="14" t="s">
        <v>1</v>
      </c>
    </row>
    <row r="8" spans="2:15" ht="15.75" x14ac:dyDescent="0.25">
      <c r="B8" s="19" t="s">
        <v>5</v>
      </c>
      <c r="C8" s="14" t="s">
        <v>0</v>
      </c>
      <c r="D8" s="3">
        <v>-1004.4842665203601</v>
      </c>
      <c r="E8" s="6">
        <f>-(308021-99788)*J8</f>
        <v>416.46600000000001</v>
      </c>
      <c r="F8" s="6">
        <f>-290952*J8</f>
        <v>581.904</v>
      </c>
      <c r="G8" s="6">
        <f>-88048*J8</f>
        <v>176.096</v>
      </c>
      <c r="H8" s="4">
        <f t="shared" si="0"/>
        <v>169.98173347963996</v>
      </c>
      <c r="J8" s="25">
        <v>-2E-3</v>
      </c>
      <c r="K8" s="14" t="s">
        <v>0</v>
      </c>
    </row>
    <row r="9" spans="2:15" ht="15.75" x14ac:dyDescent="0.25">
      <c r="B9" s="19" t="s">
        <v>6</v>
      </c>
      <c r="C9" s="14" t="s">
        <v>1</v>
      </c>
      <c r="D9" s="3">
        <v>-9258.42964446509</v>
      </c>
      <c r="E9" s="6">
        <f>-(5014-1671)*J9</f>
        <v>2238.1385</v>
      </c>
      <c r="F9" s="6">
        <f>-4889*J9</f>
        <v>3273.1855</v>
      </c>
      <c r="G9" s="6">
        <f>-1768*J9</f>
        <v>1183.6759999999999</v>
      </c>
      <c r="H9" s="4">
        <f t="shared" si="0"/>
        <v>-2563.42964446509</v>
      </c>
      <c r="J9">
        <v>-0.66949999999999998</v>
      </c>
      <c r="K9" s="14" t="s">
        <v>1</v>
      </c>
    </row>
    <row r="10" spans="2:15" ht="15.75" thickBot="1" x14ac:dyDescent="0.3">
      <c r="B10" s="20"/>
      <c r="C10" s="11"/>
      <c r="D10" s="9">
        <f>SUM(D5:D9)</f>
        <v>154576.91385459984</v>
      </c>
      <c r="E10" s="9">
        <f t="shared" ref="E10:H10" si="1">SUM(E5:E9)</f>
        <v>-94237.950700000001</v>
      </c>
      <c r="F10" s="9">
        <f t="shared" si="1"/>
        <v>-133980.1808</v>
      </c>
      <c r="G10" s="9">
        <f t="shared" si="1"/>
        <v>-36548.426000000007</v>
      </c>
      <c r="H10" s="9">
        <f t="shared" si="1"/>
        <v>-110189.64364540015</v>
      </c>
    </row>
    <row r="11" spans="2:15" x14ac:dyDescent="0.25">
      <c r="B11" s="20"/>
      <c r="C11" s="11"/>
      <c r="D11" s="10"/>
      <c r="E11" s="11"/>
      <c r="F11" s="11"/>
      <c r="G11" s="11"/>
      <c r="H11" s="11"/>
    </row>
    <row r="12" spans="2:15" x14ac:dyDescent="0.25">
      <c r="B12" s="20"/>
      <c r="C12" s="11"/>
    </row>
    <row r="13" spans="2:15" ht="15.75" x14ac:dyDescent="0.25">
      <c r="B13" s="24" t="s">
        <v>26</v>
      </c>
      <c r="C13" s="11"/>
      <c r="D13" s="21"/>
      <c r="E13" s="21" t="s">
        <v>11</v>
      </c>
      <c r="F13" s="21" t="s">
        <v>12</v>
      </c>
      <c r="G13" s="21" t="s">
        <v>32</v>
      </c>
      <c r="H13" s="21"/>
      <c r="I13" s="21"/>
    </row>
    <row r="14" spans="2:15" x14ac:dyDescent="0.25">
      <c r="B14" t="s">
        <v>30</v>
      </c>
      <c r="C14" s="11"/>
      <c r="D14" s="22" t="s">
        <v>14</v>
      </c>
      <c r="E14" s="22" t="s">
        <v>17</v>
      </c>
      <c r="F14" s="22" t="s">
        <v>18</v>
      </c>
      <c r="G14" s="22" t="s">
        <v>19</v>
      </c>
      <c r="H14" s="22"/>
      <c r="I14" s="22" t="s">
        <v>7</v>
      </c>
      <c r="K14" s="26" t="s">
        <v>29</v>
      </c>
    </row>
    <row r="15" spans="2:15" ht="15.75" x14ac:dyDescent="0.25">
      <c r="B15" s="19" t="s">
        <v>2</v>
      </c>
      <c r="C15" s="14" t="s">
        <v>0</v>
      </c>
      <c r="D15" s="8">
        <f>+H5</f>
        <v>-1650.7373725730031</v>
      </c>
      <c r="E15" s="6">
        <f>-(82612676.6-30148502+2244008)*K15</f>
        <v>-16412.454779999996</v>
      </c>
      <c r="F15" s="6">
        <f>-(84722907.7+3027200.4)*K15</f>
        <v>-26325.032429999999</v>
      </c>
      <c r="G15" s="6">
        <f>-(33050399+1044876)*K15</f>
        <v>-10228.582499999999</v>
      </c>
      <c r="H15" s="6">
        <v>0</v>
      </c>
      <c r="I15" s="4">
        <f>SUM(D15:H15)</f>
        <v>-54616.807082572996</v>
      </c>
      <c r="J15" s="5"/>
      <c r="K15">
        <v>2.9999999999999997E-4</v>
      </c>
      <c r="L15" s="14" t="s">
        <v>0</v>
      </c>
    </row>
    <row r="16" spans="2:15" ht="15.75" x14ac:dyDescent="0.25">
      <c r="B16" s="19" t="s">
        <v>3</v>
      </c>
      <c r="C16" s="14" t="s">
        <v>0</v>
      </c>
      <c r="D16" s="8">
        <f t="shared" ref="D16:D19" si="2">+H6</f>
        <v>-5522.4061874407016</v>
      </c>
      <c r="E16" s="6">
        <f>-(14611565.2-5139215+1325158)*K16</f>
        <v>-9717.7573799999991</v>
      </c>
      <c r="F16" s="6">
        <f>-(14718736.9+2108189.1)*K16</f>
        <v>-15144.233399999999</v>
      </c>
      <c r="G16" s="6">
        <f>-(5705618+888967)*K16</f>
        <v>-5935.1264999999994</v>
      </c>
      <c r="H16" s="6">
        <v>0</v>
      </c>
      <c r="I16" s="4">
        <f t="shared" ref="I16:I19" si="3">SUM(D16:H16)</f>
        <v>-36319.523467440697</v>
      </c>
      <c r="J16" s="5"/>
      <c r="K16">
        <v>8.9999999999999998E-4</v>
      </c>
      <c r="L16" s="14" t="s">
        <v>0</v>
      </c>
      <c r="O16" s="29"/>
    </row>
    <row r="17" spans="2:15" ht="15.75" x14ac:dyDescent="0.25">
      <c r="B17" s="19" t="s">
        <v>4</v>
      </c>
      <c r="C17" s="14" t="s">
        <v>1</v>
      </c>
      <c r="D17" s="8">
        <f t="shared" si="2"/>
        <v>-100623.052174401</v>
      </c>
      <c r="E17" s="6">
        <f>-(58733.3-13887-1934)*K17</f>
        <v>139898.38923</v>
      </c>
      <c r="F17" s="6">
        <f>-(52069+6080)*K17</f>
        <v>189571.55489999999</v>
      </c>
      <c r="G17" s="6">
        <f>-(13977+1767)*K17</f>
        <v>51327.0144</v>
      </c>
      <c r="H17" s="6">
        <v>0</v>
      </c>
      <c r="I17" s="4">
        <f t="shared" si="3"/>
        <v>280173.906355599</v>
      </c>
      <c r="J17" s="5"/>
      <c r="K17">
        <v>-3.2601</v>
      </c>
      <c r="L17" s="14" t="s">
        <v>1</v>
      </c>
      <c r="O17" s="31"/>
    </row>
    <row r="18" spans="2:15" ht="15.75" x14ac:dyDescent="0.25">
      <c r="B18" s="19" t="s">
        <v>5</v>
      </c>
      <c r="C18" s="14" t="s">
        <v>0</v>
      </c>
      <c r="D18" s="8">
        <f t="shared" si="2"/>
        <v>169.98173347963996</v>
      </c>
      <c r="E18" s="6">
        <f>-(219649.3-88048+27023.56)*K18</f>
        <v>-317.24971999999997</v>
      </c>
      <c r="F18" s="6">
        <f>-(207463+42829.1)*K18</f>
        <v>-500.58420000000001</v>
      </c>
      <c r="G18" s="6">
        <f>-(87681+16111)*K18</f>
        <v>-207.584</v>
      </c>
      <c r="H18" s="6">
        <v>0</v>
      </c>
      <c r="I18" s="4">
        <f t="shared" si="3"/>
        <v>-855.43618652036002</v>
      </c>
      <c r="J18" s="5"/>
      <c r="K18" s="25">
        <v>2E-3</v>
      </c>
      <c r="L18" s="14" t="s">
        <v>0</v>
      </c>
    </row>
    <row r="19" spans="2:15" ht="15.75" x14ac:dyDescent="0.25">
      <c r="B19" s="19" t="s">
        <v>6</v>
      </c>
      <c r="C19" s="14" t="s">
        <v>1</v>
      </c>
      <c r="D19" s="8">
        <f t="shared" si="2"/>
        <v>-2563.42964446509</v>
      </c>
      <c r="E19" s="6">
        <f>-(5310.1-1768)*K19</f>
        <v>-2371.43595</v>
      </c>
      <c r="F19" s="6">
        <f>-5426.2*K19</f>
        <v>-3632.8408999999997</v>
      </c>
      <c r="G19" s="6">
        <f>-1818*K19</f>
        <v>-1217.1510000000001</v>
      </c>
      <c r="H19" s="6"/>
      <c r="I19" s="4">
        <f t="shared" si="3"/>
        <v>-9784.85749446509</v>
      </c>
      <c r="J19" s="5"/>
      <c r="K19">
        <v>0.66949999999999998</v>
      </c>
      <c r="L19" s="14" t="s">
        <v>1</v>
      </c>
    </row>
    <row r="20" spans="2:15" ht="15.75" thickBot="1" x14ac:dyDescent="0.3">
      <c r="B20" s="20"/>
      <c r="C20" s="11"/>
      <c r="D20" s="9">
        <f>SUM(D15:D19)</f>
        <v>-110189.64364540015</v>
      </c>
      <c r="E20" s="9">
        <f t="shared" ref="E20:I20" si="4">SUM(E15:E19)</f>
        <v>111079.4914</v>
      </c>
      <c r="F20" s="9">
        <f t="shared" si="4"/>
        <v>143968.86396999998</v>
      </c>
      <c r="G20" s="9">
        <f t="shared" si="4"/>
        <v>33738.570399999997</v>
      </c>
      <c r="H20" s="9">
        <f t="shared" si="4"/>
        <v>0</v>
      </c>
      <c r="I20" s="9">
        <f t="shared" si="4"/>
        <v>178597.28212459985</v>
      </c>
    </row>
    <row r="21" spans="2:15" x14ac:dyDescent="0.25">
      <c r="B21" s="20"/>
      <c r="C21" s="11"/>
    </row>
    <row r="22" spans="2:15" x14ac:dyDescent="0.25">
      <c r="B22" s="19" t="s">
        <v>27</v>
      </c>
      <c r="C22" s="11"/>
      <c r="F22" s="21" t="s">
        <v>11</v>
      </c>
      <c r="G22" s="21" t="s">
        <v>12</v>
      </c>
      <c r="H22" s="21" t="s">
        <v>12</v>
      </c>
      <c r="I22" s="21" t="s">
        <v>8</v>
      </c>
      <c r="J22" s="21"/>
    </row>
    <row r="23" spans="2:15" x14ac:dyDescent="0.25">
      <c r="B23" t="s">
        <v>31</v>
      </c>
      <c r="C23" s="11"/>
      <c r="D23" s="18" t="s">
        <v>21</v>
      </c>
      <c r="E23" s="18" t="s">
        <v>23</v>
      </c>
      <c r="F23" s="22" t="s">
        <v>17</v>
      </c>
      <c r="G23" s="22" t="s">
        <v>18</v>
      </c>
      <c r="H23" s="22" t="s">
        <v>19</v>
      </c>
      <c r="I23" s="22" t="s">
        <v>20</v>
      </c>
      <c r="J23" s="22" t="s">
        <v>7</v>
      </c>
      <c r="L23" s="26" t="s">
        <v>29</v>
      </c>
    </row>
    <row r="24" spans="2:15" ht="15.75" x14ac:dyDescent="0.25">
      <c r="B24" s="19" t="s">
        <v>2</v>
      </c>
      <c r="C24" s="14" t="s">
        <v>0</v>
      </c>
      <c r="D24" s="1">
        <v>-402674.363492904</v>
      </c>
      <c r="E24" s="7">
        <f>+D24*($I$20/$D$10)</f>
        <v>-465247.65637857752</v>
      </c>
      <c r="F24" s="6">
        <f>-(82612676.6-30148502)*L24</f>
        <v>104928.3492</v>
      </c>
      <c r="G24" s="6">
        <f>-84722907.7*L24</f>
        <v>169445.81540000002</v>
      </c>
      <c r="H24" s="6">
        <f>-85509831.7*L24</f>
        <v>171019.66340000002</v>
      </c>
      <c r="I24" s="6">
        <f>-30998745*L24</f>
        <v>61997.49</v>
      </c>
      <c r="J24" s="15">
        <f>SUM(E24:I24)</f>
        <v>42143.661621422514</v>
      </c>
      <c r="L24" s="25">
        <v>-2E-3</v>
      </c>
      <c r="M24" s="14" t="s">
        <v>0</v>
      </c>
    </row>
    <row r="25" spans="2:15" ht="15.75" x14ac:dyDescent="0.25">
      <c r="B25" s="19" t="s">
        <v>3</v>
      </c>
      <c r="C25" s="14" t="s">
        <v>0</v>
      </c>
      <c r="D25" s="1">
        <v>-77638.161149711101</v>
      </c>
      <c r="E25" s="7">
        <f t="shared" ref="E25:E28" si="5">+D25*($I$20/$D$10)</f>
        <v>-89702.687320649231</v>
      </c>
      <c r="F25" s="6">
        <f>-(14611565.2-5139215)*L25</f>
        <v>18944.700399999998</v>
      </c>
      <c r="G25" s="6">
        <f>-14718736.9*L25</f>
        <v>29437.4738</v>
      </c>
      <c r="H25" s="6">
        <f>-14120081.4*L25</f>
        <v>28240.162800000002</v>
      </c>
      <c r="I25" s="6">
        <f>-5510446*L25</f>
        <v>11020.892</v>
      </c>
      <c r="J25" s="15">
        <f t="shared" ref="J25:J28" si="6">SUM(E25:I25)</f>
        <v>-2059.458320649228</v>
      </c>
      <c r="L25" s="25">
        <v>-2E-3</v>
      </c>
      <c r="M25" s="14" t="s">
        <v>0</v>
      </c>
    </row>
    <row r="26" spans="2:15" ht="15.75" x14ac:dyDescent="0.25">
      <c r="B26" s="19" t="s">
        <v>4</v>
      </c>
      <c r="C26" s="14" t="s">
        <v>1</v>
      </c>
      <c r="D26" s="1">
        <v>-92821.960099199103</v>
      </c>
      <c r="E26" s="7">
        <f t="shared" si="5"/>
        <v>-107245.96177918646</v>
      </c>
      <c r="F26" s="6">
        <f>-(58733.3-13887-1934)*L26</f>
        <v>52039.746209999998</v>
      </c>
      <c r="G26" s="6">
        <f>-(52069+6080)*L26</f>
        <v>70517.292299999986</v>
      </c>
      <c r="H26" s="6">
        <f>61150.5</f>
        <v>61150.5</v>
      </c>
      <c r="I26" s="6">
        <f>-(13553+1745)*L26</f>
        <v>18551.884599999998</v>
      </c>
      <c r="J26" s="15">
        <f t="shared" si="6"/>
        <v>95013.46133081353</v>
      </c>
      <c r="L26">
        <v>-1.2126999999999999</v>
      </c>
      <c r="M26" s="14" t="s">
        <v>1</v>
      </c>
    </row>
    <row r="27" spans="2:15" ht="15.75" x14ac:dyDescent="0.25">
      <c r="B27" s="19" t="s">
        <v>5</v>
      </c>
      <c r="C27" s="14" t="s">
        <v>0</v>
      </c>
      <c r="D27" s="1">
        <v>-1004.4842665203601</v>
      </c>
      <c r="E27" s="7">
        <f t="shared" si="5"/>
        <v>-1160.5753761276819</v>
      </c>
      <c r="F27" s="6">
        <f>-(219649.3-88048)*L27</f>
        <v>263.20259999999996</v>
      </c>
      <c r="G27" s="6">
        <f>-207463*L27</f>
        <v>414.92599999999999</v>
      </c>
      <c r="H27" s="6">
        <f>-218571.6*L27</f>
        <v>437.14320000000004</v>
      </c>
      <c r="I27" s="6">
        <f>-77940*L27</f>
        <v>155.88</v>
      </c>
      <c r="J27" s="15">
        <f t="shared" si="6"/>
        <v>110.57642387231806</v>
      </c>
      <c r="L27" s="25">
        <v>-2E-3</v>
      </c>
      <c r="M27" s="14" t="s">
        <v>0</v>
      </c>
    </row>
    <row r="28" spans="2:15" ht="15.75" x14ac:dyDescent="0.25">
      <c r="B28" s="19" t="s">
        <v>6</v>
      </c>
      <c r="C28" s="14" t="s">
        <v>1</v>
      </c>
      <c r="D28" s="1">
        <v>-9258.42964446509</v>
      </c>
      <c r="E28" s="7">
        <f t="shared" si="5"/>
        <v>-10697.136655210077</v>
      </c>
      <c r="F28" s="6">
        <f>-(5310.1-1768)*L28</f>
        <v>2371.43595</v>
      </c>
      <c r="G28" s="6">
        <f>-5426.2*L28</f>
        <v>3632.8408999999997</v>
      </c>
      <c r="H28" s="6">
        <f>-5382.5*L28</f>
        <v>3603.5837499999998</v>
      </c>
      <c r="I28" s="6">
        <f>-1272*L28</f>
        <v>851.60399999999993</v>
      </c>
      <c r="J28" s="15">
        <f t="shared" si="6"/>
        <v>-237.67205521007907</v>
      </c>
      <c r="L28" s="25">
        <v>-0.66949999999999998</v>
      </c>
      <c r="M28" s="14" t="s">
        <v>1</v>
      </c>
    </row>
    <row r="29" spans="2:15" ht="15.75" thickBot="1" x14ac:dyDescent="0.3">
      <c r="B29" s="20"/>
      <c r="C29" s="11"/>
      <c r="D29" s="2">
        <f>SUM(D24:D28)</f>
        <v>-583397.39865279966</v>
      </c>
      <c r="E29" s="12">
        <f>SUM(E24:E28)</f>
        <v>-674054.01750975102</v>
      </c>
      <c r="F29" s="12">
        <f t="shared" ref="F29:J29" si="7">SUM(F24:F28)</f>
        <v>178547.43435999998</v>
      </c>
      <c r="G29" s="12">
        <f t="shared" si="7"/>
        <v>273448.34840000002</v>
      </c>
      <c r="H29" s="12">
        <f t="shared" si="7"/>
        <v>264451.05314999999</v>
      </c>
      <c r="I29" s="12">
        <f t="shared" si="7"/>
        <v>92577.750600000014</v>
      </c>
      <c r="J29" s="16">
        <f t="shared" si="7"/>
        <v>134970.56900024906</v>
      </c>
      <c r="K29" t="s">
        <v>37</v>
      </c>
    </row>
    <row r="30" spans="2:15" x14ac:dyDescent="0.25">
      <c r="B30" s="20"/>
      <c r="C30" s="11"/>
      <c r="E30" s="11"/>
      <c r="F30" s="11"/>
      <c r="G30" s="11"/>
      <c r="H30" s="11"/>
      <c r="I30" s="11"/>
      <c r="J30" s="11"/>
    </row>
    <row r="31" spans="2:15" x14ac:dyDescent="0.25">
      <c r="B31" s="20"/>
      <c r="C31" s="11"/>
      <c r="E31" s="11"/>
      <c r="F31" s="11"/>
      <c r="G31" s="11"/>
      <c r="H31" s="11"/>
      <c r="I31" s="11"/>
      <c r="J31" s="11"/>
    </row>
    <row r="32" spans="2:15" x14ac:dyDescent="0.25">
      <c r="B32" s="19" t="s">
        <v>28</v>
      </c>
      <c r="C32" s="11"/>
      <c r="E32" s="11"/>
      <c r="F32" s="21" t="s">
        <v>11</v>
      </c>
      <c r="G32" s="21" t="s">
        <v>12</v>
      </c>
      <c r="H32" s="21" t="s">
        <v>12</v>
      </c>
      <c r="I32" s="21" t="s">
        <v>8</v>
      </c>
      <c r="J32" s="21"/>
    </row>
    <row r="33" spans="2:15" x14ac:dyDescent="0.25">
      <c r="B33" t="s">
        <v>31</v>
      </c>
      <c r="C33" s="11"/>
      <c r="D33" s="18" t="s">
        <v>22</v>
      </c>
      <c r="E33" s="20" t="s">
        <v>24</v>
      </c>
      <c r="F33" s="22" t="s">
        <v>17</v>
      </c>
      <c r="G33" s="22" t="s">
        <v>18</v>
      </c>
      <c r="H33" s="22" t="s">
        <v>19</v>
      </c>
      <c r="I33" s="22" t="s">
        <v>20</v>
      </c>
      <c r="J33" s="22" t="s">
        <v>7</v>
      </c>
      <c r="L33" s="26" t="s">
        <v>29</v>
      </c>
      <c r="O33" s="30"/>
    </row>
    <row r="34" spans="2:15" ht="15.75" x14ac:dyDescent="0.25">
      <c r="B34" s="19" t="s">
        <v>2</v>
      </c>
      <c r="C34" s="14" t="s">
        <v>0</v>
      </c>
      <c r="D34" s="1">
        <v>352195.87152033101</v>
      </c>
      <c r="E34" s="13">
        <f>+D34*($I$20/$D$10)</f>
        <v>406925.0954783769</v>
      </c>
      <c r="F34" s="6">
        <f>-2244008.47*L34</f>
        <v>-31640.519427000003</v>
      </c>
      <c r="G34" s="6">
        <f>-3027200.4*L34</f>
        <v>-42683.52564</v>
      </c>
      <c r="H34" s="6">
        <f>-2703362.3*L34</f>
        <v>-38117.408429999996</v>
      </c>
      <c r="I34" s="6">
        <f>-868440.6*L34</f>
        <v>-12245.01246</v>
      </c>
      <c r="J34" s="15">
        <f>SUM(E34:I34)</f>
        <v>282238.62952137686</v>
      </c>
      <c r="L34">
        <v>1.41E-2</v>
      </c>
      <c r="M34" s="14" t="s">
        <v>0</v>
      </c>
    </row>
    <row r="35" spans="2:15" ht="15.75" x14ac:dyDescent="0.25">
      <c r="B35" s="19" t="s">
        <v>3</v>
      </c>
      <c r="C35" s="14" t="s">
        <v>0</v>
      </c>
      <c r="D35" s="1">
        <v>43408.931962270399</v>
      </c>
      <c r="E35" s="13">
        <f t="shared" ref="E35:E38" si="8">+D35*($I$20/$D$10)</f>
        <v>50154.431700490728</v>
      </c>
      <c r="F35" s="6">
        <f>-1325158*L35</f>
        <v>-18684.727800000001</v>
      </c>
      <c r="G35" s="6">
        <f>-2108189.1*L35</f>
        <v>-29725.46631</v>
      </c>
      <c r="H35" s="6">
        <f>-2182771.6*L35</f>
        <v>-30777.079560000002</v>
      </c>
      <c r="I35" s="6">
        <f>-734822.6*L35</f>
        <v>-10360.998659999999</v>
      </c>
      <c r="J35" s="15">
        <f t="shared" ref="J35:J38" si="9">SUM(E35:I35)</f>
        <v>-39393.840629509272</v>
      </c>
      <c r="L35">
        <v>1.41E-2</v>
      </c>
      <c r="M35" s="14" t="s">
        <v>0</v>
      </c>
    </row>
    <row r="36" spans="2:15" ht="15.75" x14ac:dyDescent="0.25">
      <c r="B36" s="19" t="s">
        <v>4</v>
      </c>
      <c r="C36" s="14" t="s">
        <v>1</v>
      </c>
      <c r="D36" s="1">
        <v>342369.509024798</v>
      </c>
      <c r="E36" s="13">
        <f t="shared" si="8"/>
        <v>395571.77245548309</v>
      </c>
      <c r="F36" s="6">
        <v>-288537.06</v>
      </c>
      <c r="G36" s="6">
        <v>-445897.26</v>
      </c>
      <c r="H36" s="6">
        <f>-(446535.6-10456.22)</f>
        <v>-436079.38</v>
      </c>
      <c r="I36" s="6">
        <v>-164478.93</v>
      </c>
      <c r="J36" s="15">
        <f t="shared" si="9"/>
        <v>-939420.85754451691</v>
      </c>
      <c r="L36" s="33">
        <v>8.5730000000000004</v>
      </c>
      <c r="M36" s="14" t="s">
        <v>1</v>
      </c>
    </row>
    <row r="37" spans="2:15" ht="15.75" x14ac:dyDescent="0.25">
      <c r="B37" s="19" t="s">
        <v>5</v>
      </c>
      <c r="C37" s="14" t="s">
        <v>0</v>
      </c>
      <c r="D37" s="1">
        <v>0</v>
      </c>
      <c r="E37" s="13">
        <f t="shared" si="8"/>
        <v>0</v>
      </c>
      <c r="F37" s="6">
        <v>0</v>
      </c>
      <c r="G37" s="6">
        <v>0</v>
      </c>
      <c r="H37" s="6">
        <v>0</v>
      </c>
      <c r="I37" s="6">
        <v>0</v>
      </c>
      <c r="J37" s="15">
        <f t="shared" si="9"/>
        <v>0</v>
      </c>
      <c r="L37" s="27">
        <v>0</v>
      </c>
      <c r="M37" s="14" t="s">
        <v>0</v>
      </c>
    </row>
    <row r="38" spans="2:15" ht="15.75" x14ac:dyDescent="0.25">
      <c r="B38" s="19" t="s">
        <v>6</v>
      </c>
      <c r="C38" s="14" t="s">
        <v>1</v>
      </c>
      <c r="D38" s="1">
        <v>0</v>
      </c>
      <c r="E38" s="13">
        <f t="shared" si="8"/>
        <v>0</v>
      </c>
      <c r="F38" s="6">
        <v>0</v>
      </c>
      <c r="G38" s="6">
        <v>0</v>
      </c>
      <c r="H38" s="6">
        <v>0</v>
      </c>
      <c r="I38" s="6">
        <v>0</v>
      </c>
      <c r="J38" s="15">
        <f t="shared" si="9"/>
        <v>0</v>
      </c>
      <c r="L38" s="27">
        <v>0</v>
      </c>
      <c r="M38" s="14" t="s">
        <v>1</v>
      </c>
    </row>
    <row r="39" spans="2:15" ht="15.75" thickBot="1" x14ac:dyDescent="0.3">
      <c r="B39" s="18"/>
      <c r="D39" s="2">
        <f>SUM(D34:D38)</f>
        <v>737974.31250739936</v>
      </c>
      <c r="E39" s="12">
        <f>SUM(E34:E38)</f>
        <v>852651.2996343507</v>
      </c>
      <c r="F39" s="12">
        <f t="shared" ref="F39:J39" si="10">SUM(F34:F38)</f>
        <v>-338862.30722700001</v>
      </c>
      <c r="G39" s="12">
        <f t="shared" si="10"/>
        <v>-518306.25195000001</v>
      </c>
      <c r="H39" s="12">
        <f t="shared" si="10"/>
        <v>-504973.86799</v>
      </c>
      <c r="I39" s="12">
        <f t="shared" si="10"/>
        <v>-187084.94112</v>
      </c>
      <c r="J39" s="16">
        <f t="shared" si="10"/>
        <v>-696576.06865264929</v>
      </c>
      <c r="K39" t="s">
        <v>38</v>
      </c>
    </row>
    <row r="40" spans="2:15" x14ac:dyDescent="0.25">
      <c r="B40" s="18"/>
    </row>
    <row r="41" spans="2:15" ht="15.75" thickBot="1" x14ac:dyDescent="0.3">
      <c r="D41" s="32"/>
      <c r="H41" t="s">
        <v>36</v>
      </c>
      <c r="J41" s="17">
        <v>-561076</v>
      </c>
    </row>
    <row r="42" spans="2:15" ht="15.75" thickTop="1" x14ac:dyDescent="0.25">
      <c r="D42" s="18"/>
    </row>
    <row r="43" spans="2:15" ht="15.75" thickBot="1" x14ac:dyDescent="0.3">
      <c r="D43" s="18"/>
      <c r="J43" s="32"/>
    </row>
    <row r="44" spans="2:15" ht="15.75" thickBot="1" x14ac:dyDescent="0.3">
      <c r="I44" s="39" t="s">
        <v>39</v>
      </c>
      <c r="J44" s="40">
        <f>J39+J29</f>
        <v>-561605.49965240026</v>
      </c>
    </row>
    <row r="45" spans="2:15" x14ac:dyDescent="0.25">
      <c r="E45" s="39" t="s">
        <v>35</v>
      </c>
      <c r="F45">
        <v>2013</v>
      </c>
      <c r="G45" s="29">
        <f>244248.25+7407.07+36881.74</f>
        <v>288537.06</v>
      </c>
    </row>
    <row r="46" spans="2:15" x14ac:dyDescent="0.25">
      <c r="F46">
        <v>2014</v>
      </c>
      <c r="G46" s="29">
        <f>3419.6+619295.75+21158.16+90560.81-288537.06</f>
        <v>445897.26000000007</v>
      </c>
    </row>
    <row r="47" spans="2:15" x14ac:dyDescent="0.25">
      <c r="F47">
        <v>2015</v>
      </c>
      <c r="G47" s="29">
        <f>5525.13+373776.29+14242.15+52992.03</f>
        <v>446535.6</v>
      </c>
    </row>
    <row r="48" spans="2:15" x14ac:dyDescent="0.25">
      <c r="F48">
        <v>2016</v>
      </c>
      <c r="G48" s="35">
        <f>10186.1+508359.19+20439.4+72029.84-G47</f>
        <v>164478.92999999993</v>
      </c>
    </row>
    <row r="49" spans="7:8" x14ac:dyDescent="0.25">
      <c r="G49" s="34">
        <f>SUM(G45:G48)</f>
        <v>1345448.8499999999</v>
      </c>
    </row>
    <row r="50" spans="7:8" x14ac:dyDescent="0.25">
      <c r="G50" s="31"/>
      <c r="H50" s="38"/>
    </row>
    <row r="51" spans="7:8" x14ac:dyDescent="0.25">
      <c r="G51" s="31"/>
    </row>
    <row r="52" spans="7:8" x14ac:dyDescent="0.25">
      <c r="G52" s="36"/>
    </row>
  </sheetData>
  <pageMargins left="0.7" right="0.7" top="0.75" bottom="0.75" header="0.3" footer="0.3"/>
  <pageSetup scale="5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Wasaga Response</vt:lpstr>
      <vt:lpstr>updated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Gapic</dc:creator>
  <cp:lastModifiedBy>Katherine Wang</cp:lastModifiedBy>
  <cp:lastPrinted>2018-02-21T15:17:21Z</cp:lastPrinted>
  <dcterms:created xsi:type="dcterms:W3CDTF">2018-02-08T21:15:43Z</dcterms:created>
  <dcterms:modified xsi:type="dcterms:W3CDTF">2018-02-21T20:00:10Z</dcterms:modified>
</cp:coreProperties>
</file>