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GS &gt; 50 kW Analysis" sheetId="1" r:id="rId1"/>
    <sheet name="Rate Analysis" sheetId="4" r:id="rId2"/>
  </sheets>
  <calcPr calcId="145621" iterate="1"/>
</workbook>
</file>

<file path=xl/calcChain.xml><?xml version="1.0" encoding="utf-8"?>
<calcChain xmlns="http://schemas.openxmlformats.org/spreadsheetml/2006/main">
  <c r="G29" i="4" l="1"/>
  <c r="G31" i="4"/>
  <c r="I29" i="4" l="1"/>
  <c r="F29" i="4" l="1"/>
  <c r="F31" i="4" l="1"/>
  <c r="H8" i="1" l="1"/>
  <c r="H11" i="1" s="1"/>
  <c r="H12" i="1" s="1"/>
  <c r="H15" i="1" s="1"/>
  <c r="E19" i="4" s="1"/>
  <c r="F8" i="1" l="1"/>
  <c r="C14" i="4" s="1"/>
  <c r="D8" i="1"/>
  <c r="C13" i="4" s="1"/>
  <c r="E14" i="4" l="1"/>
  <c r="E13" i="4"/>
  <c r="E15" i="4" l="1"/>
  <c r="E3" i="4"/>
  <c r="C15" i="4"/>
  <c r="E5" i="4" l="1"/>
  <c r="E17" i="4"/>
  <c r="E6" i="4" l="1"/>
  <c r="E7" i="4" s="1"/>
  <c r="E9" i="4" l="1"/>
  <c r="E25" i="4" s="1"/>
  <c r="E27" i="4" s="1"/>
  <c r="E31" i="4" s="1"/>
  <c r="E21" i="4"/>
</calcChain>
</file>

<file path=xl/sharedStrings.xml><?xml version="1.0" encoding="utf-8"?>
<sst xmlns="http://schemas.openxmlformats.org/spreadsheetml/2006/main" count="47" uniqueCount="34">
  <si>
    <t>GS Greater Than 50 Non RPP Non Retailer</t>
  </si>
  <si>
    <t>May 1, 2013-April 30, 2014</t>
  </si>
  <si>
    <t>May 1, 2014-April 30, 2015</t>
  </si>
  <si>
    <t>GS&gt;50</t>
  </si>
  <si>
    <t>Bill Code</t>
  </si>
  <si>
    <t>E30</t>
  </si>
  <si>
    <t>E35</t>
  </si>
  <si>
    <t>E60</t>
  </si>
  <si>
    <t>KW</t>
  </si>
  <si>
    <t>$</t>
  </si>
  <si>
    <t>Principal</t>
  </si>
  <si>
    <t>Interest</t>
  </si>
  <si>
    <t>Total</t>
  </si>
  <si>
    <t>Account</t>
  </si>
  <si>
    <t>1595 Previous GA</t>
  </si>
  <si>
    <t>Amount by Year</t>
  </si>
  <si>
    <t>Total Metered kWh for Non-RPP Customers less Embedded Distibutor 
(2017 IRM Model)</t>
  </si>
  <si>
    <t xml:space="preserve">4.5 Year Recovery </t>
  </si>
  <si>
    <t>4.5 Year Recovery Rate Rider ($/kWh)</t>
  </si>
  <si>
    <t>Total Class</t>
  </si>
  <si>
    <t>Estimated test year kWh from 2017 IRM Model for GS &gt; 50 kW class for those customers that are Non-RPP and Non-Retailer</t>
  </si>
  <si>
    <t>1595 2011 balance not included in above amount</t>
  </si>
  <si>
    <t>10% discount on 1595 Previous GA adjusted</t>
  </si>
  <si>
    <t>1595 Previous GA adjusted for 2011 balance</t>
  </si>
  <si>
    <t xml:space="preserve">Total GA dispostion </t>
  </si>
  <si>
    <t>1595 Previous GA adjusted after discount</t>
  </si>
  <si>
    <t xml:space="preserve">GA previous amounts </t>
  </si>
  <si>
    <t>Billed Demand History Tab Jan 1 2015-Dec 31 2015 Did Pay</t>
  </si>
  <si>
    <t>Multi Residential Unit - RPP</t>
  </si>
  <si>
    <t>E50 - Charged commodity by the IESO</t>
  </si>
  <si>
    <t>Result</t>
  </si>
  <si>
    <t>Amount to substract from total</t>
  </si>
  <si>
    <t>Proposed Rate Rider associated with Section 4.2 (d) of the settlement proposal</t>
  </si>
  <si>
    <t>Proposed Rate Rider associated with section 4.2 (c) of the settlement proposal.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</si>
</sst>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#,##0;\(##,##0\)"/>
    <numFmt numFmtId="169" formatCode="0.0000"/>
    <numFmt numFmtId="170" formatCode="0.0%"/>
    <numFmt numFmtId="171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3" applyNumberFormat="0" applyAlignment="0" applyProtection="0"/>
    <xf numFmtId="0" fontId="14" fillId="6" borderId="14" applyNumberFormat="0" applyAlignment="0" applyProtection="0"/>
    <xf numFmtId="0" fontId="15" fillId="6" borderId="13" applyNumberFormat="0" applyAlignment="0" applyProtection="0"/>
    <xf numFmtId="0" fontId="16" fillId="0" borderId="15" applyNumberFormat="0" applyFill="0" applyAlignment="0" applyProtection="0"/>
    <xf numFmtId="0" fontId="17" fillId="7" borderId="16" applyNumberFormat="0" applyAlignment="0" applyProtection="0"/>
    <xf numFmtId="0" fontId="18" fillId="0" borderId="0" applyNumberFormat="0" applyFill="0" applyBorder="0" applyAlignment="0" applyProtection="0"/>
    <xf numFmtId="0" fontId="1" fillId="8" borderId="17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166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68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69" fontId="4" fillId="0" borderId="4" xfId="0" applyNumberFormat="1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4" fillId="0" borderId="9" xfId="0" applyFont="1" applyBorder="1" applyAlignment="1">
      <alignment horizontal="center"/>
    </xf>
    <xf numFmtId="166" fontId="1" fillId="0" borderId="4" xfId="1" applyFont="1" applyFill="1" applyBorder="1" applyAlignment="1">
      <alignment horizontal="center"/>
    </xf>
    <xf numFmtId="167" fontId="0" fillId="0" borderId="4" xfId="2" applyFont="1" applyFill="1" applyBorder="1"/>
    <xf numFmtId="166" fontId="0" fillId="0" borderId="4" xfId="1" applyFont="1" applyFill="1" applyBorder="1"/>
    <xf numFmtId="0" fontId="2" fillId="0" borderId="4" xfId="0" applyFont="1" applyFill="1" applyBorder="1" applyAlignment="1">
      <alignment horizontal="center"/>
    </xf>
    <xf numFmtId="166" fontId="3" fillId="0" borderId="4" xfId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166" fontId="0" fillId="0" borderId="4" xfId="0" applyNumberFormat="1" applyFill="1" applyBorder="1"/>
    <xf numFmtId="170" fontId="0" fillId="0" borderId="0" xfId="3" applyNumberFormat="1" applyFont="1" applyFill="1"/>
    <xf numFmtId="168" fontId="4" fillId="0" borderId="6" xfId="0" applyNumberFormat="1" applyFont="1" applyBorder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2" fillId="0" borderId="4" xfId="0" applyFont="1" applyFill="1" applyBorder="1" applyAlignment="1">
      <alignment horizontal="center" wrapText="1"/>
    </xf>
    <xf numFmtId="170" fontId="0" fillId="0" borderId="0" xfId="0" applyNumberFormat="1" applyFill="1"/>
    <xf numFmtId="166" fontId="3" fillId="0" borderId="0" xfId="1" applyFont="1" applyFill="1" applyBorder="1" applyAlignment="1">
      <alignment horizontal="center"/>
    </xf>
    <xf numFmtId="167" fontId="0" fillId="0" borderId="0" xfId="2" applyFont="1" applyFill="1" applyBorder="1"/>
    <xf numFmtId="166" fontId="0" fillId="0" borderId="0" xfId="0" applyNumberFormat="1"/>
    <xf numFmtId="166" fontId="0" fillId="0" borderId="4" xfId="0" applyNumberFormat="1" applyFill="1" applyBorder="1"/>
    <xf numFmtId="166" fontId="0" fillId="0" borderId="0" xfId="0" applyNumberFormat="1" applyFill="1"/>
    <xf numFmtId="9" fontId="4" fillId="0" borderId="0" xfId="0" applyNumberFormat="1" applyFont="1"/>
    <xf numFmtId="9" fontId="4" fillId="0" borderId="0" xfId="3" applyFont="1"/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33" borderId="0" xfId="0" applyFont="1" applyFill="1"/>
    <xf numFmtId="171" fontId="4" fillId="33" borderId="0" xfId="2" applyNumberFormat="1" applyFont="1" applyFill="1"/>
    <xf numFmtId="168" fontId="4" fillId="0" borderId="0" xfId="0" applyNumberFormat="1" applyFont="1" applyFill="1"/>
    <xf numFmtId="0" fontId="4" fillId="0" borderId="0" xfId="0" applyFont="1" applyFill="1"/>
    <xf numFmtId="169" fontId="4" fillId="0" borderId="0" xfId="0" applyNumberFormat="1" applyFont="1" applyFill="1"/>
  </cellXfs>
  <cellStyles count="46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5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C28" sqref="C28"/>
    </sheetView>
  </sheetViews>
  <sheetFormatPr defaultRowHeight="15" x14ac:dyDescent="0.25"/>
  <cols>
    <col min="1" max="1" width="10.7109375" style="10" customWidth="1"/>
    <col min="2" max="2" width="8.5703125" style="10" customWidth="1"/>
    <col min="3" max="3" width="10.5703125" style="10" bestFit="1" customWidth="1"/>
    <col min="4" max="4" width="12.5703125" style="10" bestFit="1" customWidth="1"/>
    <col min="5" max="5" width="10.5703125" style="10" bestFit="1" customWidth="1"/>
    <col min="6" max="6" width="12.5703125" style="10" bestFit="1" customWidth="1"/>
    <col min="7" max="7" width="10.28515625" bestFit="1" customWidth="1"/>
    <col min="8" max="8" width="12.28515625" style="10" customWidth="1"/>
    <col min="9" max="9" width="9.140625" style="10"/>
    <col min="10" max="10" width="14.28515625" style="10" customWidth="1"/>
    <col min="11" max="11" width="11.5703125" style="10" bestFit="1" customWidth="1"/>
    <col min="12" max="12" width="9.5703125" bestFit="1" customWidth="1"/>
    <col min="16" max="16384" width="9.140625" style="10"/>
  </cols>
  <sheetData>
    <row r="1" spans="1:12" x14ac:dyDescent="0.25">
      <c r="A1" s="11" t="s">
        <v>0</v>
      </c>
    </row>
    <row r="2" spans="1:12" x14ac:dyDescent="0.25">
      <c r="A2" s="11"/>
    </row>
    <row r="3" spans="1:12" ht="15.75" customHeight="1" x14ac:dyDescent="0.25">
      <c r="C3" s="37" t="s">
        <v>1</v>
      </c>
      <c r="D3" s="38"/>
      <c r="E3" s="36" t="s">
        <v>2</v>
      </c>
      <c r="F3" s="36"/>
    </row>
    <row r="4" spans="1:12" ht="90" x14ac:dyDescent="0.25">
      <c r="A4" s="8"/>
      <c r="B4" s="8" t="s">
        <v>4</v>
      </c>
      <c r="C4" s="16" t="s">
        <v>8</v>
      </c>
      <c r="D4" s="16" t="s">
        <v>9</v>
      </c>
      <c r="E4" s="16" t="s">
        <v>8</v>
      </c>
      <c r="F4" s="16" t="s">
        <v>9</v>
      </c>
      <c r="H4" s="27" t="s">
        <v>27</v>
      </c>
    </row>
    <row r="5" spans="1:12" x14ac:dyDescent="0.25">
      <c r="A5" s="8" t="s">
        <v>3</v>
      </c>
      <c r="B5" s="9" t="s">
        <v>5</v>
      </c>
      <c r="C5" s="13">
        <v>12133.7</v>
      </c>
      <c r="D5" s="14">
        <v>52139.519999999997</v>
      </c>
      <c r="E5" s="15">
        <v>11453</v>
      </c>
      <c r="F5" s="15">
        <v>50483.7</v>
      </c>
      <c r="H5" s="13">
        <v>6703.0600000000013</v>
      </c>
    </row>
    <row r="6" spans="1:12" x14ac:dyDescent="0.25">
      <c r="A6" s="8"/>
      <c r="B6" s="9" t="s">
        <v>6</v>
      </c>
      <c r="C6" s="13">
        <v>46454</v>
      </c>
      <c r="D6" s="14">
        <v>184076.09</v>
      </c>
      <c r="E6" s="15">
        <v>50994.3</v>
      </c>
      <c r="F6" s="15">
        <v>224662.53</v>
      </c>
      <c r="H6" s="13">
        <v>35130.130000000005</v>
      </c>
    </row>
    <row r="7" spans="1:12" x14ac:dyDescent="0.25">
      <c r="A7" s="8"/>
      <c r="B7" s="9" t="s">
        <v>7</v>
      </c>
      <c r="C7" s="13">
        <v>58345</v>
      </c>
      <c r="D7" s="14">
        <v>250714.18</v>
      </c>
      <c r="E7" s="15">
        <v>69426.899999999994</v>
      </c>
      <c r="F7" s="15">
        <v>305443.23</v>
      </c>
      <c r="H7" s="13"/>
    </row>
    <row r="8" spans="1:12" x14ac:dyDescent="0.25">
      <c r="C8" s="17"/>
      <c r="D8" s="14">
        <f>SUM(D5:D7)</f>
        <v>486929.79</v>
      </c>
      <c r="E8" s="17"/>
      <c r="F8" s="14">
        <f>SUM(F5:F7)</f>
        <v>580589.46</v>
      </c>
      <c r="H8" s="19">
        <f>SUM(H5:H7)</f>
        <v>41833.19</v>
      </c>
    </row>
    <row r="9" spans="1:12" x14ac:dyDescent="0.25">
      <c r="C9" s="29"/>
      <c r="D9" s="30"/>
      <c r="E9" s="29"/>
      <c r="F9" s="30"/>
      <c r="H9" s="32">
        <v>7303.3</v>
      </c>
      <c r="I9" s="10" t="s">
        <v>28</v>
      </c>
    </row>
    <row r="10" spans="1:12" x14ac:dyDescent="0.25">
      <c r="C10" s="29"/>
      <c r="D10" s="30"/>
      <c r="E10" s="29"/>
      <c r="F10" s="30"/>
      <c r="H10" s="32">
        <v>4971.7</v>
      </c>
      <c r="I10" s="10" t="s">
        <v>29</v>
      </c>
    </row>
    <row r="11" spans="1:12" x14ac:dyDescent="0.25">
      <c r="H11" s="19">
        <f>SUM(H8:H10)</f>
        <v>54108.19</v>
      </c>
      <c r="I11" s="10" t="s">
        <v>31</v>
      </c>
    </row>
    <row r="12" spans="1:12" x14ac:dyDescent="0.25">
      <c r="G12" s="10"/>
      <c r="H12" s="19">
        <f>H14-H11</f>
        <v>143488.9</v>
      </c>
      <c r="I12" s="28" t="s">
        <v>30</v>
      </c>
      <c r="L12" s="31"/>
    </row>
    <row r="13" spans="1:12" x14ac:dyDescent="0.25">
      <c r="G13" s="10"/>
    </row>
    <row r="14" spans="1:12" x14ac:dyDescent="0.25">
      <c r="G14" t="s">
        <v>19</v>
      </c>
      <c r="H14" s="19">
        <v>197597.09</v>
      </c>
    </row>
    <row r="15" spans="1:12" x14ac:dyDescent="0.25">
      <c r="G15" s="10"/>
      <c r="H15" s="20">
        <f>H12/H14</f>
        <v>0.72616909489912018</v>
      </c>
    </row>
    <row r="16" spans="1:12" x14ac:dyDescent="0.25">
      <c r="G16" s="10"/>
    </row>
    <row r="17" spans="7:8" x14ac:dyDescent="0.25">
      <c r="H17" s="33"/>
    </row>
    <row r="19" spans="7:8" x14ac:dyDescent="0.25">
      <c r="G19" s="10"/>
    </row>
    <row r="20" spans="7:8" x14ac:dyDescent="0.25">
      <c r="G20" s="10"/>
    </row>
  </sheetData>
  <mergeCells count="2">
    <mergeCell ref="E3:F3"/>
    <mergeCell ref="C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topLeftCell="A19" zoomScaleNormal="100" workbookViewId="0">
      <selection activeCell="C3" sqref="C3"/>
    </sheetView>
  </sheetViews>
  <sheetFormatPr defaultRowHeight="14.25" x14ac:dyDescent="0.2"/>
  <cols>
    <col min="1" max="1" width="9.140625" style="1"/>
    <col min="2" max="2" width="22.42578125" style="1" customWidth="1"/>
    <col min="3" max="3" width="14.7109375" style="1" bestFit="1" customWidth="1"/>
    <col min="4" max="4" width="15.140625" style="1" customWidth="1"/>
    <col min="5" max="5" width="13.7109375" style="2" bestFit="1" customWidth="1"/>
    <col min="6" max="6" width="11.85546875" style="1" bestFit="1" customWidth="1"/>
    <col min="7" max="7" width="10.140625" style="1" bestFit="1" customWidth="1"/>
    <col min="8" max="8" width="9.140625" style="1"/>
    <col min="9" max="9" width="12" style="1" customWidth="1"/>
    <col min="10" max="10" width="12.42578125" style="1" bestFit="1" customWidth="1"/>
    <col min="11" max="11" width="11.28515625" style="1" bestFit="1" customWidth="1"/>
    <col min="12" max="16384" width="9.140625" style="1"/>
  </cols>
  <sheetData>
    <row r="1" spans="2:10" ht="23.25" customHeight="1" x14ac:dyDescent="0.25">
      <c r="B1" s="41" t="s">
        <v>26</v>
      </c>
      <c r="C1" s="41"/>
      <c r="D1" s="41"/>
      <c r="E1" s="41"/>
    </row>
    <row r="2" spans="2:10" x14ac:dyDescent="0.2">
      <c r="B2" s="3" t="s">
        <v>13</v>
      </c>
      <c r="C2" s="3" t="s">
        <v>10</v>
      </c>
      <c r="D2" s="3" t="s">
        <v>11</v>
      </c>
      <c r="E2" s="3" t="s">
        <v>12</v>
      </c>
    </row>
    <row r="3" spans="2:10" x14ac:dyDescent="0.2">
      <c r="B3" s="4" t="s">
        <v>14</v>
      </c>
      <c r="C3" s="5">
        <v>2802006.01</v>
      </c>
      <c r="D3" s="5">
        <v>-16831</v>
      </c>
      <c r="E3" s="5">
        <f>(C3+D3)</f>
        <v>2785175.01</v>
      </c>
      <c r="I3" s="22"/>
      <c r="J3" s="23"/>
    </row>
    <row r="4" spans="2:10" x14ac:dyDescent="0.2">
      <c r="B4" s="39" t="s">
        <v>21</v>
      </c>
      <c r="C4" s="40"/>
      <c r="D4" s="45"/>
      <c r="E4" s="5">
        <v>-101092.01</v>
      </c>
      <c r="I4" s="22"/>
      <c r="J4" s="23"/>
    </row>
    <row r="5" spans="2:10" x14ac:dyDescent="0.2">
      <c r="B5" s="24" t="s">
        <v>23</v>
      </c>
      <c r="C5" s="25"/>
      <c r="D5" s="26"/>
      <c r="E5" s="5">
        <f>SUM(E3:E4)</f>
        <v>2684083</v>
      </c>
      <c r="I5" s="22"/>
      <c r="J5" s="23"/>
    </row>
    <row r="6" spans="2:10" x14ac:dyDescent="0.2">
      <c r="B6" s="18" t="s">
        <v>22</v>
      </c>
      <c r="C6" s="21"/>
      <c r="D6" s="21"/>
      <c r="E6" s="5">
        <f>-E5*0.1</f>
        <v>-268408.3</v>
      </c>
    </row>
    <row r="7" spans="2:10" x14ac:dyDescent="0.2">
      <c r="B7" s="24" t="s">
        <v>25</v>
      </c>
      <c r="C7" s="21"/>
      <c r="D7" s="21"/>
      <c r="E7" s="5">
        <f>E5+E6</f>
        <v>2415674.7000000002</v>
      </c>
    </row>
    <row r="8" spans="2:10" x14ac:dyDescent="0.2">
      <c r="B8" s="42"/>
      <c r="C8" s="43"/>
      <c r="D8" s="43"/>
      <c r="E8" s="44"/>
    </row>
    <row r="9" spans="2:10" x14ac:dyDescent="0.2">
      <c r="B9" s="39" t="s">
        <v>24</v>
      </c>
      <c r="C9" s="40"/>
      <c r="D9" s="40"/>
      <c r="E9" s="5">
        <f>E7</f>
        <v>2415674.7000000002</v>
      </c>
    </row>
    <row r="10" spans="2:10" ht="15.75" customHeight="1" x14ac:dyDescent="0.2">
      <c r="B10" s="43"/>
      <c r="C10" s="43"/>
      <c r="D10" s="43"/>
      <c r="E10" s="43"/>
    </row>
    <row r="11" spans="2:10" ht="74.25" customHeight="1" x14ac:dyDescent="0.25">
      <c r="B11" s="41" t="s">
        <v>33</v>
      </c>
      <c r="C11" s="41"/>
      <c r="D11" s="41"/>
      <c r="E11" s="41"/>
    </row>
    <row r="12" spans="2:10" x14ac:dyDescent="0.2">
      <c r="B12" s="3" t="s">
        <v>15</v>
      </c>
      <c r="C12" s="3" t="s">
        <v>10</v>
      </c>
      <c r="D12" s="3" t="s">
        <v>11</v>
      </c>
      <c r="E12" s="3" t="s">
        <v>12</v>
      </c>
    </row>
    <row r="13" spans="2:10" x14ac:dyDescent="0.2">
      <c r="B13" s="4">
        <v>2013</v>
      </c>
      <c r="C13" s="5">
        <f>'GS &gt; 50 kW Analysis'!D8</f>
        <v>486929.79</v>
      </c>
      <c r="D13" s="3"/>
      <c r="E13" s="5">
        <f>C13+D13</f>
        <v>486929.79</v>
      </c>
    </row>
    <row r="14" spans="2:10" x14ac:dyDescent="0.2">
      <c r="B14" s="4">
        <v>2014</v>
      </c>
      <c r="C14" s="5">
        <f>'GS &gt; 50 kW Analysis'!F8</f>
        <v>580589.46</v>
      </c>
      <c r="D14" s="5"/>
      <c r="E14" s="5">
        <f>C14+D14</f>
        <v>580589.46</v>
      </c>
    </row>
    <row r="15" spans="2:10" x14ac:dyDescent="0.2">
      <c r="B15" s="6" t="s">
        <v>12</v>
      </c>
      <c r="C15" s="5">
        <f>SUM(C13:C14)</f>
        <v>1067519.25</v>
      </c>
      <c r="D15" s="6"/>
      <c r="E15" s="5">
        <f>SUM(E13:E14)</f>
        <v>1067519.25</v>
      </c>
    </row>
    <row r="16" spans="2:10" x14ac:dyDescent="0.2">
      <c r="B16" s="42"/>
      <c r="C16" s="43"/>
      <c r="D16" s="43"/>
      <c r="E16" s="44"/>
    </row>
    <row r="17" spans="2:12" x14ac:dyDescent="0.2">
      <c r="B17" s="39" t="s">
        <v>17</v>
      </c>
      <c r="C17" s="40"/>
      <c r="D17" s="40"/>
      <c r="E17" s="5">
        <f>E15/4.5</f>
        <v>237226.5</v>
      </c>
    </row>
    <row r="18" spans="2:12" x14ac:dyDescent="0.2">
      <c r="B18" s="42"/>
      <c r="C18" s="43"/>
      <c r="D18" s="43"/>
      <c r="E18" s="44"/>
    </row>
    <row r="19" spans="2:12" ht="44.25" customHeight="1" x14ac:dyDescent="0.2">
      <c r="B19" s="46" t="s">
        <v>20</v>
      </c>
      <c r="C19" s="47"/>
      <c r="D19" s="47"/>
      <c r="E19" s="5">
        <f>58377148*'GS &gt; 50 kW Analysis'!H15</f>
        <v>42391680.725951985</v>
      </c>
    </row>
    <row r="20" spans="2:12" x14ac:dyDescent="0.2">
      <c r="B20" s="42"/>
      <c r="C20" s="43"/>
      <c r="D20" s="43"/>
      <c r="E20" s="44"/>
    </row>
    <row r="21" spans="2:12" x14ac:dyDescent="0.2">
      <c r="B21" s="39" t="s">
        <v>18</v>
      </c>
      <c r="C21" s="40"/>
      <c r="D21" s="40"/>
      <c r="E21" s="7">
        <f>E17/E19</f>
        <v>5.5960626221354575E-3</v>
      </c>
    </row>
    <row r="22" spans="2:12" ht="16.5" customHeight="1" thickBot="1" x14ac:dyDescent="0.25">
      <c r="B22" s="51"/>
      <c r="C22" s="51"/>
      <c r="D22" s="51"/>
      <c r="E22" s="51"/>
    </row>
    <row r="23" spans="2:12" ht="60" customHeight="1" thickBot="1" x14ac:dyDescent="0.3">
      <c r="B23" s="48" t="s">
        <v>32</v>
      </c>
      <c r="C23" s="49"/>
      <c r="D23" s="49"/>
      <c r="E23" s="50"/>
    </row>
    <row r="24" spans="2:12" x14ac:dyDescent="0.2">
      <c r="B24" s="12" t="s">
        <v>13</v>
      </c>
      <c r="C24" s="12" t="s">
        <v>10</v>
      </c>
      <c r="D24" s="12" t="s">
        <v>11</v>
      </c>
      <c r="E24" s="12" t="s">
        <v>12</v>
      </c>
    </row>
    <row r="25" spans="2:12" x14ac:dyDescent="0.2">
      <c r="B25" s="39" t="s">
        <v>12</v>
      </c>
      <c r="C25" s="40"/>
      <c r="D25" s="40"/>
      <c r="E25" s="5">
        <f>E9-E15</f>
        <v>1348155.4500000002</v>
      </c>
    </row>
    <row r="26" spans="2:12" x14ac:dyDescent="0.2">
      <c r="B26" s="42"/>
      <c r="C26" s="43"/>
      <c r="D26" s="43"/>
      <c r="E26" s="44"/>
    </row>
    <row r="27" spans="2:12" x14ac:dyDescent="0.2">
      <c r="B27" s="39" t="s">
        <v>17</v>
      </c>
      <c r="C27" s="40"/>
      <c r="D27" s="40"/>
      <c r="E27" s="5">
        <f>E25/4.5</f>
        <v>299590.10000000003</v>
      </c>
    </row>
    <row r="28" spans="2:12" x14ac:dyDescent="0.2">
      <c r="B28" s="42"/>
      <c r="C28" s="43"/>
      <c r="D28" s="43"/>
      <c r="E28" s="44"/>
      <c r="H28" s="34"/>
    </row>
    <row r="29" spans="2:12" ht="27.75" customHeight="1" x14ac:dyDescent="0.2">
      <c r="B29" s="46" t="s">
        <v>16</v>
      </c>
      <c r="C29" s="47"/>
      <c r="D29" s="47"/>
      <c r="E29" s="5">
        <v>67323003</v>
      </c>
      <c r="F29" s="54">
        <f>E29-G29</f>
        <v>65837124.545750737</v>
      </c>
      <c r="G29" s="54">
        <f>'GS &gt; 50 kW Analysis'!H10/'Rate Analysis'!G31</f>
        <v>1485878.4542492628</v>
      </c>
      <c r="H29" s="55"/>
      <c r="I29" s="53">
        <f>G29*E31</f>
        <v>6612.219521704671</v>
      </c>
      <c r="L29" s="35"/>
    </row>
    <row r="30" spans="2:12" x14ac:dyDescent="0.2">
      <c r="B30" s="42"/>
      <c r="C30" s="43"/>
      <c r="D30" s="43"/>
      <c r="E30" s="44"/>
      <c r="F30" s="55"/>
      <c r="G30" s="55"/>
      <c r="H30" s="55"/>
      <c r="I30" s="52"/>
    </row>
    <row r="31" spans="2:12" x14ac:dyDescent="0.2">
      <c r="B31" s="39" t="s">
        <v>18</v>
      </c>
      <c r="C31" s="40"/>
      <c r="D31" s="40"/>
      <c r="E31" s="7">
        <f>E27/E29</f>
        <v>4.4500406495533188E-3</v>
      </c>
      <c r="F31" s="56">
        <f>E27/F29</f>
        <v>4.5504736433592645E-3</v>
      </c>
      <c r="G31" s="55">
        <f>195328/58377148</f>
        <v>3.3459668156450534E-3</v>
      </c>
      <c r="H31" s="55"/>
      <c r="I31" s="52"/>
    </row>
  </sheetData>
  <mergeCells count="21">
    <mergeCell ref="B31:D31"/>
    <mergeCell ref="B23:E23"/>
    <mergeCell ref="B21:D21"/>
    <mergeCell ref="B29:D29"/>
    <mergeCell ref="B30:E30"/>
    <mergeCell ref="B22:E22"/>
    <mergeCell ref="B25:D25"/>
    <mergeCell ref="B28:E28"/>
    <mergeCell ref="B26:E26"/>
    <mergeCell ref="B27:D27"/>
    <mergeCell ref="B19:D19"/>
    <mergeCell ref="B10:E10"/>
    <mergeCell ref="B18:E18"/>
    <mergeCell ref="B20:E20"/>
    <mergeCell ref="B17:D17"/>
    <mergeCell ref="B9:D9"/>
    <mergeCell ref="B11:E11"/>
    <mergeCell ref="B16:E16"/>
    <mergeCell ref="B1:E1"/>
    <mergeCell ref="B4:D4"/>
    <mergeCell ref="B8:E8"/>
  </mergeCells>
  <pageMargins left="0.7" right="0.7" top="0.75" bottom="0.75" header="0.3" footer="0.3"/>
  <pageSetup orientation="portrait" r:id="rId1"/>
  <ignoredErrors>
    <ignoredError sqref="E27 E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 &gt; 50 kW Analysis</vt:lpstr>
      <vt:lpstr>Rate 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2017-10-05T20:29:16Z</dcterms:created>
  <dcterms:modified xsi:type="dcterms:W3CDTF">2018-03-02T15:21:30Z</dcterms:modified>
</cp:coreProperties>
</file>