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wilkinson\Desktop\Rates 2018\"/>
    </mc:Choice>
  </mc:AlternateContent>
  <bookViews>
    <workbookView xWindow="0" yWindow="0" windowWidth="19200" windowHeight="7755"/>
  </bookViews>
  <sheets>
    <sheet name="Instructions" sheetId="2" r:id="rId1"/>
    <sheet name="GA Analysis 2015  Final" sheetId="11" r:id="rId2"/>
    <sheet name="GA Analysis  2016 " sheetId="9" r:id="rId3"/>
  </sheets>
  <definedNames>
    <definedName name="GARate" localSheetId="2">#REF!</definedName>
    <definedName name="GARate" localSheetId="1">#REF!</definedName>
    <definedName name="GARate">#REF!</definedName>
    <definedName name="_xlnm.Print_Area" localSheetId="2">'GA Analysis  2016 '!$A$12:$K$107</definedName>
    <definedName name="_xlnm.Print_Area" localSheetId="1">'GA Analysis 2015  Final'!$A$12:$K$107</definedName>
    <definedName name="_xlnm.Print_Area" localSheetId="0">Instructions!$A$11:$C$83</definedName>
  </definedNames>
  <calcPr calcId="152511"/>
</workbook>
</file>

<file path=xl/calcChain.xml><?xml version="1.0" encoding="utf-8"?>
<calcChain xmlns="http://schemas.openxmlformats.org/spreadsheetml/2006/main">
  <c r="E89" i="11" l="1"/>
  <c r="E88" i="11"/>
  <c r="D26" i="11" l="1"/>
  <c r="E58" i="9" l="1"/>
  <c r="E57" i="9"/>
  <c r="D58" i="9" s="1"/>
  <c r="F58" i="9" s="1"/>
  <c r="E56" i="9"/>
  <c r="D57" i="9" s="1"/>
  <c r="E55" i="9"/>
  <c r="D56" i="9" s="1"/>
  <c r="F56" i="9" s="1"/>
  <c r="E54" i="9"/>
  <c r="D55" i="9" s="1"/>
  <c r="E53" i="9"/>
  <c r="D54" i="9" s="1"/>
  <c r="F54" i="9" s="1"/>
  <c r="E52" i="9"/>
  <c r="D53" i="9" s="1"/>
  <c r="F53" i="9" s="1"/>
  <c r="E51" i="9"/>
  <c r="D52" i="9" s="1"/>
  <c r="E50" i="9"/>
  <c r="E49" i="9"/>
  <c r="D50" i="9" s="1"/>
  <c r="F50" i="9" s="1"/>
  <c r="E48" i="9"/>
  <c r="D49" i="9"/>
  <c r="D51" i="9"/>
  <c r="D48" i="9"/>
  <c r="E47" i="9"/>
  <c r="D47" i="9"/>
  <c r="E58" i="11"/>
  <c r="E57" i="11"/>
  <c r="E56" i="11"/>
  <c r="E55" i="11"/>
  <c r="D56" i="11" s="1"/>
  <c r="F56" i="11" s="1"/>
  <c r="E54" i="11"/>
  <c r="E53" i="11"/>
  <c r="E52" i="11"/>
  <c r="E51" i="11"/>
  <c r="E50" i="11"/>
  <c r="D51" i="11" s="1"/>
  <c r="E49" i="11"/>
  <c r="E48" i="11"/>
  <c r="F48" i="11" s="1"/>
  <c r="F55" i="11"/>
  <c r="D50" i="11"/>
  <c r="F50" i="11" s="1"/>
  <c r="D52" i="11"/>
  <c r="F52" i="11" s="1"/>
  <c r="D53" i="11"/>
  <c r="F53" i="11" s="1"/>
  <c r="D54" i="11"/>
  <c r="F54" i="11" s="1"/>
  <c r="D55" i="11"/>
  <c r="D57" i="11"/>
  <c r="F57" i="11" s="1"/>
  <c r="D58" i="11"/>
  <c r="F58" i="11" s="1"/>
  <c r="D48" i="11"/>
  <c r="F47" i="11"/>
  <c r="F57" i="9" l="1"/>
  <c r="F47" i="9"/>
  <c r="F51" i="9"/>
  <c r="F55" i="9"/>
  <c r="F52" i="9"/>
  <c r="F49" i="9"/>
  <c r="F48" i="9"/>
  <c r="F51" i="11"/>
  <c r="D49" i="11"/>
  <c r="F49" i="11" s="1"/>
  <c r="G91" i="11" l="1"/>
  <c r="I91" i="11" s="1"/>
  <c r="F91" i="11"/>
  <c r="F90" i="11"/>
  <c r="G90" i="11" s="1"/>
  <c r="I90" i="11" s="1"/>
  <c r="E92" i="11"/>
  <c r="D89" i="11"/>
  <c r="D88" i="11"/>
  <c r="D79" i="11"/>
  <c r="AA62" i="11"/>
  <c r="Z62" i="11"/>
  <c r="AA61" i="11"/>
  <c r="AA63" i="11" s="1"/>
  <c r="Z61" i="11"/>
  <c r="C59" i="11"/>
  <c r="E59" i="11"/>
  <c r="H47" i="11"/>
  <c r="D92" i="11" l="1"/>
  <c r="F89" i="11"/>
  <c r="J50" i="11"/>
  <c r="H50" i="11"/>
  <c r="J58" i="11"/>
  <c r="H58" i="11"/>
  <c r="J55" i="11"/>
  <c r="H55" i="11"/>
  <c r="J52" i="11"/>
  <c r="H52" i="11"/>
  <c r="J56" i="11"/>
  <c r="H56" i="11"/>
  <c r="J54" i="11"/>
  <c r="H54" i="11"/>
  <c r="J53" i="11"/>
  <c r="H53" i="11"/>
  <c r="J57" i="11"/>
  <c r="H57" i="11"/>
  <c r="J47" i="11"/>
  <c r="F88" i="11"/>
  <c r="K57" i="11" l="1"/>
  <c r="K54" i="11"/>
  <c r="K52" i="11"/>
  <c r="J48" i="11"/>
  <c r="H48" i="11"/>
  <c r="F92" i="11"/>
  <c r="K58" i="11"/>
  <c r="J51" i="11"/>
  <c r="H51" i="11"/>
  <c r="F59" i="11"/>
  <c r="K53" i="11"/>
  <c r="K56" i="11"/>
  <c r="D59" i="11"/>
  <c r="K47" i="11"/>
  <c r="K55" i="11"/>
  <c r="K50" i="11"/>
  <c r="D24" i="11" l="1"/>
  <c r="K51" i="11"/>
  <c r="J49" i="11"/>
  <c r="H49" i="11"/>
  <c r="H59" i="11" s="1"/>
  <c r="K48" i="11"/>
  <c r="D22" i="11" l="1"/>
  <c r="F24" i="11"/>
  <c r="K49" i="11"/>
  <c r="K59" i="11" s="1"/>
  <c r="J59" i="11"/>
  <c r="H88" i="11" s="1"/>
  <c r="F25" i="11" l="1"/>
  <c r="F23" i="11"/>
  <c r="F26" i="11"/>
  <c r="C88" i="11"/>
  <c r="D80" i="11"/>
  <c r="D81" i="11" s="1"/>
  <c r="D82" i="11" s="1"/>
  <c r="E82" i="11" s="1"/>
  <c r="G88" i="11" l="1"/>
  <c r="I88" i="11" l="1"/>
  <c r="H92" i="9" l="1"/>
  <c r="E92" i="9"/>
  <c r="D92" i="9"/>
  <c r="C92" i="9"/>
  <c r="G91" i="9"/>
  <c r="I91" i="9" s="1"/>
  <c r="F91" i="9"/>
  <c r="F90" i="9"/>
  <c r="G90" i="9" s="1"/>
  <c r="I90" i="9" s="1"/>
  <c r="F89" i="9"/>
  <c r="G89" i="9" s="1"/>
  <c r="I89" i="9" s="1"/>
  <c r="F88" i="9"/>
  <c r="G88" i="9" s="1"/>
  <c r="D79" i="9"/>
  <c r="E59" i="9"/>
  <c r="D59" i="9"/>
  <c r="C59" i="9"/>
  <c r="J58" i="9"/>
  <c r="H58" i="9"/>
  <c r="J57" i="9"/>
  <c r="H57" i="9"/>
  <c r="J56" i="9"/>
  <c r="H56" i="9"/>
  <c r="J55" i="9"/>
  <c r="H55" i="9"/>
  <c r="J54" i="9"/>
  <c r="H54" i="9"/>
  <c r="J53" i="9"/>
  <c r="H53" i="9"/>
  <c r="J52" i="9"/>
  <c r="H52" i="9"/>
  <c r="J51" i="9"/>
  <c r="H51" i="9"/>
  <c r="J50" i="9"/>
  <c r="H50" i="9"/>
  <c r="J49" i="9"/>
  <c r="H49" i="9"/>
  <c r="J48" i="9"/>
  <c r="J47" i="9"/>
  <c r="D24" i="9"/>
  <c r="D22" i="9" s="1"/>
  <c r="K51" i="9" l="1"/>
  <c r="K49" i="9"/>
  <c r="K57" i="9"/>
  <c r="K50" i="9"/>
  <c r="K52" i="9"/>
  <c r="K54" i="9"/>
  <c r="K55" i="9"/>
  <c r="K58" i="9"/>
  <c r="K56" i="9"/>
  <c r="K53" i="9"/>
  <c r="F26" i="9"/>
  <c r="F23" i="9"/>
  <c r="F25" i="9"/>
  <c r="J59" i="9"/>
  <c r="G92" i="9"/>
  <c r="I88" i="9"/>
  <c r="F24" i="9"/>
  <c r="H47" i="9"/>
  <c r="H48" i="9"/>
  <c r="K48" i="9" s="1"/>
  <c r="F59" i="9"/>
  <c r="F92" i="9"/>
  <c r="H89" i="11" l="1"/>
  <c r="H92" i="11" s="1"/>
  <c r="H59" i="9"/>
  <c r="K47" i="9"/>
  <c r="K59" i="9" s="1"/>
  <c r="C89" i="11" l="1"/>
  <c r="D80" i="9"/>
  <c r="D81" i="9" s="1"/>
  <c r="D82" i="9" s="1"/>
  <c r="E82" i="9" s="1"/>
  <c r="G89" i="11" l="1"/>
  <c r="C92" i="11"/>
  <c r="I89" i="11" l="1"/>
  <c r="G92" i="11"/>
</calcChain>
</file>

<file path=xl/sharedStrings.xml><?xml version="1.0" encoding="utf-8"?>
<sst xmlns="http://schemas.openxmlformats.org/spreadsheetml/2006/main" count="330" uniqueCount="169">
  <si>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</si>
  <si>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</si>
  <si>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</si>
  <si>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</si>
  <si>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</si>
  <si>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</si>
  <si>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</si>
  <si>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</si>
  <si>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</si>
  <si>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</si>
  <si>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</si>
  <si>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</si>
  <si>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</si>
  <si>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</si>
  <si>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</si>
  <si>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</si>
  <si>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</si>
  <si>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</si>
  <si>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</si>
  <si>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</si>
  <si>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</si>
  <si>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</si>
  <si>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</si>
  <si>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</si>
  <si>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</si>
  <si>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</si>
  <si>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</si>
  <si>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</si>
  <si>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</si>
  <si>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</si>
  <si>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</si>
  <si>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</si>
  <si>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</si>
  <si>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</si>
  <si>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</si>
  <si>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</si>
  <si>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</si>
  <si>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</si>
  <si>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</si>
  <si>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</si>
  <si>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</si>
  <si>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</si>
  <si>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</si>
  <si>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</si>
  <si>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</si>
  <si>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</si>
  <si>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</si>
  <si>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</si>
  <si>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</si>
  <si>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</si>
  <si>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</si>
  <si>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</si>
  <si>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</si>
  <si>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</si>
  <si>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</si>
  <si>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</si>
  <si>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</si>
  <si>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</si>
  <si>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</si>
  <si>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</si>
  <si>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</si>
  <si>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</si>
  <si>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</si>
  <si>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</si>
  <si>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</si>
  <si>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</si>
  <si>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</si>
  <si>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</si>
  <si>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</si>
  <si>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</si>
  <si>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</si>
  <si>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</si>
  <si>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</si>
  <si>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</si>
  <si>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</si>
  <si>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</si>
  <si>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</si>
  <si>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</si>
  <si>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</si>
  <si>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</si>
  <si>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</si>
  <si>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</si>
  <si>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</si>
  <si>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</si>
  <si>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</si>
  <si>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</si>
  <si>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</si>
  <si>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</si>
  <si>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</si>
  <si>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</si>
  <si>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</si>
  <si>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</si>
  <si>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</si>
  <si>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</si>
  <si>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</si>
  <si>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</si>
  <si>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</si>
  <si>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</si>
  <si>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</si>
  <si>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</si>
  <si>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</si>
  <si>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</si>
  <si>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</si>
  <si>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</si>
  <si>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</si>
  <si>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</si>
  <si>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</si>
  <si>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</si>
  <si>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</si>
  <si>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</si>
  <si>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</si>
  <si>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</si>
  <si>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</si>
  <si>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</si>
  <si>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</si>
  <si>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</si>
  <si>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</si>
  <si>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</si>
  <si>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</si>
  <si>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</si>
  <si>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</si>
  <si>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</si>
  <si>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</si>
  <si>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</si>
  <si>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</si>
  <si>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</si>
  <si>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</si>
  <si>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</si>
  <si>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</si>
  <si>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</si>
  <si>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</si>
  <si>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</si>
  <si>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</si>
  <si>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</si>
  <si>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</si>
  <si>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</si>
  <si>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</si>
  <si>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</si>
  <si>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</si>
  <si>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</si>
  <si>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</si>
  <si>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</si>
  <si>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</si>
  <si>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</si>
  <si>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</si>
  <si>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</si>
  <si>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</si>
  <si>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</si>
  <si>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</si>
  <si>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</si>
  <si>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</si>
  <si>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</si>
  <si>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</si>
  <si>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</si>
  <si>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</si>
  <si>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</si>
  <si>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</si>
  <si>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</si>
  <si>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</si>
  <si>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</si>
  <si>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</si>
  <si>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</si>
  <si>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</si>
  <si>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From Statistic Report</t>
  </si>
  <si>
    <t>Y</t>
  </si>
  <si>
    <t>Billing adjustment in 2016 included in GL but not in the GA analysis</t>
  </si>
  <si>
    <t>Balance reflects 2014 LTLT amounts booked in 2015.  These amounts were not accrued for in 2014.</t>
  </si>
  <si>
    <t>Short Term Load Transfer</t>
  </si>
  <si>
    <t>RPP true up booked in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</si>
</sst>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
  </numFmts>
  <fonts count="1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sz val="9"/>
      <color theme="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2" fillId="0" borderId="0" xfId="0" applyNumberFormat="1" applyFont="1"/>
    <xf numFmtId="44" fontId="7" fillId="0" borderId="0" xfId="0" applyNumberFormat="1" applyFont="1" applyAlignment="1">
      <alignment horizontal="right"/>
    </xf>
    <xf numFmtId="170" fontId="2" fillId="0" borderId="0" xfId="4" applyNumberFormat="1" applyFont="1"/>
    <xf numFmtId="2" fontId="16" fillId="0" borderId="0" xfId="0" applyNumberFormat="1" applyFont="1" applyBorder="1"/>
    <xf numFmtId="2" fontId="2" fillId="0" borderId="0" xfId="0" applyNumberFormat="1" applyFont="1"/>
    <xf numFmtId="165" fontId="16" fillId="0" borderId="0" xfId="5" applyFont="1" applyBorder="1"/>
    <xf numFmtId="165" fontId="7" fillId="0" borderId="0" xfId="5" applyFont="1"/>
    <xf numFmtId="0" fontId="3" fillId="0" borderId="2" xfId="0" applyFont="1" applyBorder="1" applyAlignment="1">
      <alignment horizontal="center"/>
    </xf>
    <xf numFmtId="0" fontId="6" fillId="0" borderId="2" xfId="0"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center"/>
    </xf>
    <xf numFmtId="169" fontId="7" fillId="0" borderId="0" xfId="0"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3" fillId="0" borderId="2"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062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0681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7812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5439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202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65810" y="6055994"/>
          <a:ext cx="12451080" cy="128968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46760" y="21436965"/>
          <a:ext cx="12412980" cy="197929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00220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78180"/>
          <a:ext cx="876490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68709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10075545" y="417195"/>
          <a:ext cx="3169920" cy="8382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abSelected="1" topLeftCell="A55" zoomScaleNormal="100" zoomScaleSheetLayoutView="85" workbookViewId="0">
      <selection activeCell="C63" sqref="C63"/>
    </sheetView>
  </sheetViews>
  <sheetFormatPr defaultColWidth="9.140625" defaultRowHeight="15" x14ac:dyDescent="0.2"/>
  <cols>
    <col min="1" max="1" width="5.5703125" style="42" customWidth="1"/>
    <col min="2" max="2" width="16.140625" style="81" customWidth="1"/>
    <col min="3" max="3" width="164.5703125" style="40" customWidth="1"/>
    <col min="4" max="16384" width="9.140625" style="40"/>
  </cols>
  <sheetData>
    <row r="10" spans="1:3" ht="15.75" x14ac:dyDescent="0.25">
      <c r="C10" s="133" t="s">
        <v>161</v>
      </c>
    </row>
    <row r="11" spans="1:3" ht="15.75" x14ac:dyDescent="0.2">
      <c r="A11" s="43" t="s">
        <v>122</v>
      </c>
    </row>
    <row r="13" spans="1:3" ht="15.75" x14ac:dyDescent="0.2">
      <c r="A13" s="44" t="s">
        <v>31</v>
      </c>
    </row>
    <row r="14" spans="1:3" ht="34.5" customHeight="1" x14ac:dyDescent="0.2">
      <c r="A14" s="146" t="s">
        <v>154</v>
      </c>
      <c r="B14" s="146"/>
      <c r="C14" s="146"/>
    </row>
    <row r="16" spans="1:3" ht="15.75" x14ac:dyDescent="0.2">
      <c r="A16" s="44" t="s">
        <v>46</v>
      </c>
    </row>
    <row r="17" spans="1:26" x14ac:dyDescent="0.2">
      <c r="A17" s="42" t="s">
        <v>47</v>
      </c>
    </row>
    <row r="18" spans="1:26" ht="33" customHeight="1" x14ac:dyDescent="0.2">
      <c r="A18" s="147" t="s">
        <v>85</v>
      </c>
      <c r="B18" s="147"/>
      <c r="C18" s="147"/>
    </row>
    <row r="20" spans="1:26" x14ac:dyDescent="0.2">
      <c r="A20" s="42">
        <v>1</v>
      </c>
      <c r="B20" s="149" t="s">
        <v>140</v>
      </c>
      <c r="C20" s="149"/>
    </row>
    <row r="21" spans="1:26" x14ac:dyDescent="0.2">
      <c r="B21" s="129"/>
      <c r="C21" s="129"/>
    </row>
    <row r="23" spans="1:26" ht="31.5" customHeight="1" x14ac:dyDescent="0.2">
      <c r="A23" s="42">
        <v>2</v>
      </c>
      <c r="B23" s="146" t="s">
        <v>86</v>
      </c>
      <c r="C23" s="146"/>
    </row>
    <row r="24" spans="1:26" x14ac:dyDescent="0.2">
      <c r="B24" s="128"/>
      <c r="C24" s="128"/>
    </row>
    <row r="26" spans="1:26" x14ac:dyDescent="0.2">
      <c r="A26" s="42">
        <v>3</v>
      </c>
      <c r="B26" s="148" t="s">
        <v>109</v>
      </c>
      <c r="C26" s="148"/>
    </row>
    <row r="27" spans="1:26" ht="32.25" customHeight="1" x14ac:dyDescent="0.2">
      <c r="B27" s="146" t="s">
        <v>117</v>
      </c>
      <c r="C27" s="146"/>
    </row>
    <row r="28" spans="1:26" ht="63" customHeight="1" x14ac:dyDescent="0.2">
      <c r="B28" s="146" t="s">
        <v>129</v>
      </c>
      <c r="C28" s="146"/>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6" t="s">
        <v>118</v>
      </c>
      <c r="C29" s="146"/>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4" t="s">
        <v>43</v>
      </c>
    </row>
    <row r="31" spans="1:26" x14ac:dyDescent="0.2">
      <c r="B31" s="84"/>
    </row>
    <row r="32" spans="1:26" x14ac:dyDescent="0.2">
      <c r="B32" s="84"/>
    </row>
    <row r="33" spans="1:3" ht="35.25" customHeight="1" x14ac:dyDescent="0.2">
      <c r="A33" s="146" t="s">
        <v>155</v>
      </c>
      <c r="B33" s="146"/>
      <c r="C33" s="146"/>
    </row>
    <row r="34" spans="1:3" x14ac:dyDescent="0.2">
      <c r="B34" s="128"/>
      <c r="C34" s="128"/>
    </row>
    <row r="35" spans="1:3" x14ac:dyDescent="0.2">
      <c r="B35" s="83"/>
    </row>
    <row r="36" spans="1:3" x14ac:dyDescent="0.2">
      <c r="A36" s="42">
        <v>4</v>
      </c>
      <c r="B36" s="148" t="s">
        <v>141</v>
      </c>
      <c r="C36" s="148"/>
    </row>
    <row r="37" spans="1:3" ht="78.75" customHeight="1" x14ac:dyDescent="0.2">
      <c r="B37" s="146" t="s">
        <v>142</v>
      </c>
      <c r="C37" s="146"/>
    </row>
    <row r="38" spans="1:3" ht="65.25" customHeight="1" x14ac:dyDescent="0.2">
      <c r="B38" s="146" t="s">
        <v>124</v>
      </c>
      <c r="C38" s="146"/>
    </row>
    <row r="39" spans="1:3" ht="31.5" customHeight="1" x14ac:dyDescent="0.2">
      <c r="B39" s="146" t="s">
        <v>123</v>
      </c>
      <c r="C39" s="146"/>
    </row>
    <row r="40" spans="1:3" ht="30" customHeight="1" x14ac:dyDescent="0.2">
      <c r="B40" s="146" t="s">
        <v>125</v>
      </c>
      <c r="C40" s="146"/>
    </row>
    <row r="41" spans="1:3" x14ac:dyDescent="0.2">
      <c r="B41" s="128"/>
      <c r="C41" s="128"/>
    </row>
    <row r="42" spans="1:3" ht="47.25" customHeight="1" x14ac:dyDescent="0.2">
      <c r="B42" s="88" t="s">
        <v>110</v>
      </c>
      <c r="C42" s="41" t="s">
        <v>87</v>
      </c>
    </row>
    <row r="43" spans="1:3" ht="33.75" customHeight="1" x14ac:dyDescent="0.2">
      <c r="B43" s="88" t="s">
        <v>112</v>
      </c>
      <c r="C43" s="41" t="s">
        <v>111</v>
      </c>
    </row>
    <row r="44" spans="1:3" x14ac:dyDescent="0.2">
      <c r="B44" s="88" t="s">
        <v>115</v>
      </c>
      <c r="C44" s="41" t="s">
        <v>113</v>
      </c>
    </row>
    <row r="45" spans="1:3" x14ac:dyDescent="0.2">
      <c r="B45" s="89" t="s">
        <v>116</v>
      </c>
      <c r="C45" s="82" t="s">
        <v>114</v>
      </c>
    </row>
    <row r="46" spans="1:3" x14ac:dyDescent="0.2">
      <c r="B46" s="86"/>
      <c r="C46" s="82"/>
    </row>
    <row r="48" spans="1:3" x14ac:dyDescent="0.2">
      <c r="A48" s="42">
        <v>5</v>
      </c>
      <c r="B48" s="87" t="s">
        <v>119</v>
      </c>
    </row>
    <row r="49" spans="2:3" ht="29.25" customHeight="1" x14ac:dyDescent="0.2">
      <c r="B49" s="146" t="s">
        <v>135</v>
      </c>
      <c r="C49" s="146"/>
    </row>
    <row r="51" spans="2:3" ht="30" customHeight="1" x14ac:dyDescent="0.2">
      <c r="B51" s="146" t="s">
        <v>120</v>
      </c>
      <c r="C51" s="146"/>
    </row>
    <row r="52" spans="2:3" ht="30" customHeight="1" x14ac:dyDescent="0.2">
      <c r="B52" s="146" t="s">
        <v>88</v>
      </c>
      <c r="C52" s="146"/>
    </row>
    <row r="53" spans="2:3" x14ac:dyDescent="0.2">
      <c r="B53" s="128"/>
      <c r="C53" s="128"/>
    </row>
    <row r="54" spans="2:3" x14ac:dyDescent="0.2">
      <c r="B54" s="131" t="s">
        <v>89</v>
      </c>
    </row>
    <row r="55" spans="2:3" x14ac:dyDescent="0.2">
      <c r="B55" s="90" t="s">
        <v>90</v>
      </c>
      <c r="C55" s="41" t="s">
        <v>91</v>
      </c>
    </row>
    <row r="56" spans="2:3" ht="45" x14ac:dyDescent="0.2">
      <c r="B56" s="90"/>
      <c r="C56" s="41" t="s">
        <v>156</v>
      </c>
    </row>
    <row r="57" spans="2:3" x14ac:dyDescent="0.2">
      <c r="B57" s="90"/>
      <c r="C57" s="40" t="s">
        <v>92</v>
      </c>
    </row>
    <row r="58" spans="2:3" x14ac:dyDescent="0.2">
      <c r="B58" s="90"/>
      <c r="C58" s="40" t="s">
        <v>93</v>
      </c>
    </row>
    <row r="59" spans="2:3" ht="21" customHeight="1" x14ac:dyDescent="0.2">
      <c r="B59" s="91" t="s">
        <v>96</v>
      </c>
      <c r="C59" s="40" t="s">
        <v>95</v>
      </c>
    </row>
    <row r="60" spans="2:3" ht="18.75" customHeight="1" x14ac:dyDescent="0.2">
      <c r="B60" s="91"/>
      <c r="C60" s="41" t="s">
        <v>94</v>
      </c>
    </row>
    <row r="61" spans="2:3" x14ac:dyDescent="0.2">
      <c r="B61" s="91"/>
      <c r="C61" s="40" t="s">
        <v>97</v>
      </c>
    </row>
    <row r="62" spans="2:3" x14ac:dyDescent="0.2">
      <c r="B62" s="91"/>
      <c r="C62" s="40" t="s">
        <v>98</v>
      </c>
    </row>
    <row r="63" spans="2:3" x14ac:dyDescent="0.2">
      <c r="B63" s="91" t="s">
        <v>100</v>
      </c>
      <c r="C63" s="40" t="s">
        <v>99</v>
      </c>
    </row>
    <row r="64" spans="2:3" ht="45" x14ac:dyDescent="0.2">
      <c r="B64" s="91"/>
      <c r="C64" s="128" t="s">
        <v>101</v>
      </c>
    </row>
    <row r="65" spans="1:3" x14ac:dyDescent="0.2">
      <c r="B65" s="91"/>
      <c r="C65" s="40" t="s">
        <v>102</v>
      </c>
    </row>
    <row r="66" spans="1:3" x14ac:dyDescent="0.2">
      <c r="B66" s="91"/>
      <c r="C66" s="40" t="s">
        <v>126</v>
      </c>
    </row>
    <row r="67" spans="1:3" x14ac:dyDescent="0.2">
      <c r="B67" s="91" t="s">
        <v>104</v>
      </c>
      <c r="C67" s="40" t="s">
        <v>103</v>
      </c>
    </row>
    <row r="68" spans="1:3" ht="45" x14ac:dyDescent="0.2">
      <c r="B68" s="91"/>
      <c r="C68" s="128" t="s">
        <v>144</v>
      </c>
    </row>
    <row r="69" spans="1:3" ht="30" x14ac:dyDescent="0.2">
      <c r="B69" s="91"/>
      <c r="C69" s="128" t="s">
        <v>145</v>
      </c>
    </row>
    <row r="70" spans="1:3" x14ac:dyDescent="0.2">
      <c r="B70" s="91" t="s">
        <v>106</v>
      </c>
      <c r="C70" s="40" t="s">
        <v>105</v>
      </c>
    </row>
    <row r="71" spans="1:3" ht="30" x14ac:dyDescent="0.2">
      <c r="B71" s="91"/>
      <c r="C71" s="128" t="s">
        <v>107</v>
      </c>
    </row>
    <row r="72" spans="1:3" x14ac:dyDescent="0.2">
      <c r="B72" s="91" t="s">
        <v>146</v>
      </c>
      <c r="C72" s="128" t="s">
        <v>137</v>
      </c>
    </row>
    <row r="73" spans="1:3" ht="45" x14ac:dyDescent="0.2">
      <c r="B73" s="91"/>
      <c r="C73" s="128" t="s">
        <v>148</v>
      </c>
    </row>
    <row r="74" spans="1:3" x14ac:dyDescent="0.2">
      <c r="B74" s="91" t="s">
        <v>147</v>
      </c>
      <c r="C74" s="128" t="s">
        <v>149</v>
      </c>
    </row>
    <row r="75" spans="1:3" ht="30" x14ac:dyDescent="0.2">
      <c r="B75" s="91"/>
      <c r="C75" s="128" t="s">
        <v>127</v>
      </c>
    </row>
    <row r="76" spans="1:3" x14ac:dyDescent="0.2">
      <c r="B76" s="91"/>
      <c r="C76" s="128"/>
    </row>
    <row r="77" spans="1:3" x14ac:dyDescent="0.2">
      <c r="A77" s="42">
        <v>6</v>
      </c>
      <c r="B77" s="132" t="s">
        <v>151</v>
      </c>
      <c r="C77" s="128"/>
    </row>
    <row r="78" spans="1:3" ht="59.25" customHeight="1" x14ac:dyDescent="0.2">
      <c r="B78" s="147" t="s">
        <v>152</v>
      </c>
      <c r="C78" s="147"/>
    </row>
    <row r="79" spans="1:3" x14ac:dyDescent="0.2">
      <c r="B79" s="85"/>
      <c r="C79" s="128"/>
    </row>
    <row r="81" spans="1:3" ht="30.75" customHeight="1" x14ac:dyDescent="0.2">
      <c r="A81" s="42">
        <v>7</v>
      </c>
      <c r="B81" s="146" t="s">
        <v>153</v>
      </c>
      <c r="C81" s="146"/>
    </row>
    <row r="82" spans="1:3" x14ac:dyDescent="0.2">
      <c r="B82" s="128"/>
      <c r="C82" s="128"/>
    </row>
    <row r="83" spans="1:3" ht="15.75" customHeight="1" x14ac:dyDescent="0.2">
      <c r="B83" s="149" t="s">
        <v>108</v>
      </c>
      <c r="C83" s="149"/>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AE103"/>
  <sheetViews>
    <sheetView topLeftCell="A61" zoomScaleNormal="100" zoomScaleSheetLayoutView="100" workbookViewId="0">
      <selection activeCell="E90" sqref="E90"/>
    </sheetView>
  </sheetViews>
  <sheetFormatPr defaultColWidth="9.140625" defaultRowHeight="14.25" x14ac:dyDescent="0.2"/>
  <cols>
    <col min="1" max="1" width="10.28515625" style="1" customWidth="1"/>
    <col min="2" max="2" width="53.85546875" style="1" customWidth="1"/>
    <col min="3" max="3" width="27"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6" style="1" customWidth="1"/>
    <col min="10" max="10" width="17.28515625" style="1" customWidth="1"/>
    <col min="11" max="11" width="18.140625" style="1" customWidth="1"/>
    <col min="12" max="12" width="10.7109375" style="1" customWidth="1"/>
    <col min="13" max="13" width="11.85546875" style="1" customWidth="1"/>
    <col min="14" max="20" width="10.28515625" style="1" customWidth="1"/>
    <col min="21" max="21" width="11.85546875" style="1" customWidth="1"/>
    <col min="22" max="22" width="10.7109375" style="1" customWidth="1"/>
    <col min="23" max="23" width="10.28515625" style="1" customWidth="1"/>
    <col min="24" max="24" width="10.7109375" style="1" customWidth="1"/>
    <col min="25" max="25" width="10.5703125" style="1" customWidth="1"/>
    <col min="26" max="26" width="11" style="1" customWidth="1"/>
    <col min="27" max="27" width="13" style="1" customWidth="1"/>
    <col min="28" max="28" width="10.85546875" style="1" customWidth="1"/>
    <col min="29" max="29" width="11.28515625" style="1" customWidth="1"/>
    <col min="30" max="16384" width="9.140625" style="1"/>
  </cols>
  <sheetData>
    <row r="12" spans="1:31" ht="15" x14ac:dyDescent="0.25">
      <c r="A12" s="47" t="s">
        <v>48</v>
      </c>
      <c r="B12" s="4"/>
      <c r="C12" s="47"/>
    </row>
    <row r="13" spans="1:31" x14ac:dyDescent="0.2">
      <c r="A13" s="4"/>
      <c r="B13" s="4"/>
      <c r="C13" s="4"/>
    </row>
    <row r="14" spans="1:31" ht="15" x14ac:dyDescent="0.2">
      <c r="A14" s="4"/>
      <c r="B14" s="4" t="s">
        <v>32</v>
      </c>
      <c r="C14" s="23"/>
      <c r="D14" s="4"/>
      <c r="E14" s="4"/>
      <c r="F14" s="4"/>
      <c r="AE14" s="1">
        <v>2014</v>
      </c>
    </row>
    <row r="15" spans="1:31" ht="15" x14ac:dyDescent="0.2">
      <c r="A15" s="4"/>
      <c r="B15" s="4" t="s">
        <v>60</v>
      </c>
      <c r="C15" s="55"/>
      <c r="D15" s="4"/>
      <c r="E15" s="4"/>
      <c r="F15" s="4"/>
    </row>
    <row r="16" spans="1:31" ht="15" x14ac:dyDescent="0.2">
      <c r="A16" s="4"/>
      <c r="B16" s="14"/>
      <c r="C16" s="14"/>
      <c r="D16" s="4"/>
      <c r="E16" s="4"/>
      <c r="F16" s="4"/>
      <c r="AE16" s="1">
        <v>2015</v>
      </c>
    </row>
    <row r="17" spans="1:31" ht="15" x14ac:dyDescent="0.2">
      <c r="A17" s="4" t="s">
        <v>33</v>
      </c>
      <c r="B17" s="14" t="s">
        <v>130</v>
      </c>
      <c r="C17" s="24"/>
      <c r="D17" s="4"/>
      <c r="E17" s="4"/>
      <c r="F17" s="4"/>
      <c r="AE17" s="1">
        <v>2016</v>
      </c>
    </row>
    <row r="18" spans="1:31" ht="15" x14ac:dyDescent="0.2">
      <c r="A18" s="4"/>
      <c r="B18" s="14"/>
      <c r="C18" s="14"/>
      <c r="D18" s="4"/>
      <c r="E18" s="145"/>
      <c r="F18" s="4"/>
    </row>
    <row r="19" spans="1:31" ht="15" x14ac:dyDescent="0.2">
      <c r="A19" s="4"/>
      <c r="B19" s="14"/>
      <c r="C19" s="14"/>
      <c r="D19" s="4"/>
      <c r="E19" s="4"/>
      <c r="F19" s="4"/>
    </row>
    <row r="20" spans="1:31" ht="15" x14ac:dyDescent="0.2">
      <c r="A20" s="4" t="s">
        <v>34</v>
      </c>
      <c r="B20" s="22" t="s">
        <v>82</v>
      </c>
      <c r="C20" s="21"/>
      <c r="D20" s="21"/>
      <c r="E20" s="21"/>
      <c r="F20" s="21"/>
      <c r="I20" s="77"/>
      <c r="J20" s="77"/>
      <c r="K20" s="77"/>
      <c r="L20" s="77"/>
      <c r="M20" s="77"/>
      <c r="N20" s="77"/>
      <c r="O20" s="77"/>
      <c r="P20" s="77"/>
      <c r="Q20" s="77"/>
      <c r="R20" s="77"/>
      <c r="S20" s="77"/>
      <c r="T20" s="77"/>
      <c r="U20" s="77"/>
      <c r="V20" s="77"/>
      <c r="W20" s="77"/>
      <c r="X20" s="77"/>
      <c r="Y20" s="77"/>
      <c r="Z20" s="77"/>
    </row>
    <row r="21" spans="1:31" ht="15" x14ac:dyDescent="0.2">
      <c r="A21" s="4"/>
      <c r="B21" s="152" t="s">
        <v>25</v>
      </c>
      <c r="C21" s="152"/>
      <c r="D21" s="24">
        <v>2015</v>
      </c>
      <c r="E21" s="153"/>
      <c r="F21" s="154"/>
      <c r="G21" s="77"/>
      <c r="H21" s="77"/>
      <c r="I21" s="77"/>
      <c r="J21" s="77"/>
      <c r="K21" s="77"/>
      <c r="L21" s="77"/>
      <c r="M21" s="77"/>
      <c r="N21" s="77"/>
      <c r="O21" s="77"/>
      <c r="P21" s="77"/>
      <c r="Q21" s="77"/>
      <c r="R21" s="77"/>
      <c r="S21" s="77"/>
      <c r="T21" s="77"/>
      <c r="U21" s="77"/>
      <c r="V21" s="77"/>
      <c r="W21" s="77"/>
      <c r="X21" s="77"/>
    </row>
    <row r="22" spans="1:31" ht="15" thickBot="1" x14ac:dyDescent="0.25">
      <c r="A22" s="4"/>
      <c r="B22" s="5" t="s">
        <v>3</v>
      </c>
      <c r="C22" s="5" t="s">
        <v>2</v>
      </c>
      <c r="D22" s="112">
        <f>D23+D24</f>
        <v>184799465.56785369</v>
      </c>
      <c r="E22" s="6" t="s">
        <v>0</v>
      </c>
      <c r="F22" s="7">
        <v>1</v>
      </c>
      <c r="G22" s="77"/>
      <c r="H22" s="77"/>
      <c r="I22" s="77"/>
      <c r="J22" s="77"/>
      <c r="K22" s="77"/>
      <c r="L22" s="77"/>
      <c r="M22" s="77"/>
      <c r="N22" s="77"/>
      <c r="O22" s="77"/>
      <c r="P22" s="77"/>
      <c r="Q22" s="77"/>
      <c r="R22" s="77"/>
      <c r="S22" s="77"/>
      <c r="T22" s="77"/>
      <c r="U22" s="77"/>
      <c r="V22" s="77"/>
      <c r="W22" s="77"/>
      <c r="X22" s="77"/>
    </row>
    <row r="23" spans="1:31" x14ac:dyDescent="0.2">
      <c r="B23" s="5" t="s">
        <v>7</v>
      </c>
      <c r="C23" s="5" t="s">
        <v>1</v>
      </c>
      <c r="D23" s="113">
        <v>116430275</v>
      </c>
      <c r="E23" s="6" t="s">
        <v>0</v>
      </c>
      <c r="F23" s="8">
        <f>IFERROR(D23/$D$22,0)</f>
        <v>0.63003577765894425</v>
      </c>
    </row>
    <row r="24" spans="1:31" ht="15" thickBot="1" x14ac:dyDescent="0.25">
      <c r="B24" s="5" t="s">
        <v>8</v>
      </c>
      <c r="C24" s="5" t="s">
        <v>6</v>
      </c>
      <c r="D24" s="112">
        <f>D25+D26</f>
        <v>68369190.567853704</v>
      </c>
      <c r="E24" s="6" t="s">
        <v>0</v>
      </c>
      <c r="F24" s="8">
        <f>IFERROR(D24/$D$22,0)</f>
        <v>0.3699642223410558</v>
      </c>
    </row>
    <row r="25" spans="1:31" x14ac:dyDescent="0.2">
      <c r="B25" s="5" t="s">
        <v>9</v>
      </c>
      <c r="C25" s="5" t="s">
        <v>4</v>
      </c>
      <c r="D25" s="113">
        <v>0</v>
      </c>
      <c r="E25" s="6" t="s">
        <v>0</v>
      </c>
      <c r="F25" s="8">
        <f>IFERROR(D25/$D$22,0)</f>
        <v>0</v>
      </c>
    </row>
    <row r="26" spans="1:31" x14ac:dyDescent="0.2">
      <c r="B26" s="5" t="s">
        <v>61</v>
      </c>
      <c r="C26" s="5" t="s">
        <v>5</v>
      </c>
      <c r="D26" s="114">
        <f>+F59/1.039</f>
        <v>68369190.567853704</v>
      </c>
      <c r="E26" s="6" t="s">
        <v>0</v>
      </c>
      <c r="F26" s="8">
        <f>IFERROR(D26/$D$22,0)</f>
        <v>0.3699642223410558</v>
      </c>
      <c r="G26" s="29"/>
      <c r="H26" s="29"/>
    </row>
    <row r="27" spans="1:31" ht="34.5" customHeight="1" x14ac:dyDescent="0.2">
      <c r="B27" s="155" t="s">
        <v>77</v>
      </c>
      <c r="C27" s="155"/>
      <c r="D27" s="155"/>
      <c r="E27" s="155"/>
      <c r="F27" s="155"/>
      <c r="G27" s="156"/>
      <c r="H27" s="156"/>
    </row>
    <row r="28" spans="1:31" x14ac:dyDescent="0.2">
      <c r="D28" s="115"/>
      <c r="E28" s="35"/>
      <c r="F28" s="35"/>
      <c r="G28" s="35"/>
    </row>
    <row r="29" spans="1:31" ht="15" x14ac:dyDescent="0.25">
      <c r="A29" s="1" t="s">
        <v>35</v>
      </c>
      <c r="B29" s="3" t="s">
        <v>41</v>
      </c>
    </row>
    <row r="30" spans="1:31" ht="15" x14ac:dyDescent="0.25">
      <c r="B30" s="3"/>
    </row>
    <row r="31" spans="1:31" ht="15" x14ac:dyDescent="0.25">
      <c r="B31" s="2" t="s">
        <v>22</v>
      </c>
      <c r="C31" s="52" t="s">
        <v>162</v>
      </c>
      <c r="E31" s="77"/>
      <c r="F31" s="35"/>
      <c r="G31" s="35"/>
      <c r="H31" s="35"/>
      <c r="I31" s="35"/>
      <c r="J31" s="35"/>
      <c r="K31" s="35"/>
    </row>
    <row r="32" spans="1:31" x14ac:dyDescent="0.2">
      <c r="E32" s="77"/>
      <c r="F32" s="35"/>
      <c r="G32" s="35"/>
      <c r="H32" s="35"/>
      <c r="I32" s="35"/>
      <c r="J32" s="35"/>
      <c r="K32" s="35"/>
    </row>
    <row r="33" spans="1:30" ht="15" x14ac:dyDescent="0.25">
      <c r="B33" s="2" t="s">
        <v>42</v>
      </c>
    </row>
    <row r="34" spans="1:30" ht="15" customHeight="1" x14ac:dyDescent="0.25">
      <c r="B34" s="36"/>
      <c r="C34" s="36"/>
      <c r="D34" s="36"/>
      <c r="E34" s="36"/>
      <c r="F34" s="36"/>
      <c r="G34" s="36"/>
      <c r="H34" s="36"/>
    </row>
    <row r="35" spans="1:30" ht="15" customHeight="1" x14ac:dyDescent="0.25">
      <c r="B35" s="36"/>
      <c r="C35" s="36"/>
      <c r="D35" s="36"/>
      <c r="E35" s="36"/>
      <c r="F35" s="36"/>
      <c r="G35" s="36"/>
      <c r="H35" s="36"/>
    </row>
    <row r="36" spans="1:30" ht="15" customHeight="1" x14ac:dyDescent="0.25">
      <c r="B36" s="36"/>
      <c r="C36" s="36"/>
      <c r="D36" s="36"/>
      <c r="E36" s="36"/>
      <c r="F36" s="36"/>
      <c r="G36" s="36"/>
      <c r="H36" s="36"/>
    </row>
    <row r="37" spans="1:30" ht="15" customHeight="1" x14ac:dyDescent="0.25">
      <c r="B37" s="36"/>
      <c r="C37" s="36"/>
      <c r="D37" s="36"/>
      <c r="E37" s="36"/>
      <c r="F37" s="36"/>
      <c r="G37" s="36"/>
      <c r="H37" s="36"/>
    </row>
    <row r="38" spans="1:30" ht="14.25" customHeight="1" x14ac:dyDescent="0.25">
      <c r="B38" s="36"/>
      <c r="C38" s="36"/>
      <c r="D38" s="36"/>
      <c r="E38" s="36"/>
      <c r="F38" s="36"/>
      <c r="G38" s="36"/>
      <c r="H38" s="36"/>
    </row>
    <row r="39" spans="1:30" ht="14.25" customHeight="1" x14ac:dyDescent="0.25">
      <c r="B39" s="36"/>
      <c r="C39" s="36"/>
      <c r="D39" s="36"/>
      <c r="E39" s="36"/>
      <c r="F39" s="36"/>
      <c r="G39" s="36"/>
      <c r="H39" s="36"/>
    </row>
    <row r="40" spans="1:30" s="35" customFormat="1" ht="14.25" customHeight="1" x14ac:dyDescent="0.25">
      <c r="B40" s="36"/>
      <c r="C40" s="36"/>
      <c r="D40" s="36"/>
      <c r="E40" s="36"/>
      <c r="F40" s="36"/>
      <c r="G40" s="36"/>
      <c r="H40" s="36"/>
    </row>
    <row r="41" spans="1:30" s="35" customFormat="1" ht="14.25" customHeight="1" x14ac:dyDescent="0.25">
      <c r="B41" s="36"/>
      <c r="C41" s="36"/>
      <c r="D41" s="36"/>
      <c r="E41" s="36"/>
      <c r="F41" s="36"/>
      <c r="G41" s="36"/>
      <c r="H41" s="36"/>
    </row>
    <row r="42" spans="1:30" x14ac:dyDescent="0.2">
      <c r="F42" s="134"/>
    </row>
    <row r="43" spans="1:30" ht="15" x14ac:dyDescent="0.25">
      <c r="A43" s="1" t="s">
        <v>36</v>
      </c>
      <c r="B43" s="47" t="s">
        <v>141</v>
      </c>
      <c r="C43" s="3" t="s">
        <v>163</v>
      </c>
    </row>
    <row r="44" spans="1:30" ht="15.75" thickBot="1" x14ac:dyDescent="0.3">
      <c r="B44" s="2" t="s">
        <v>25</v>
      </c>
      <c r="C44" s="93">
        <v>2015</v>
      </c>
      <c r="D44" s="77"/>
      <c r="E44" s="77"/>
      <c r="F44" s="78"/>
      <c r="G44" s="33"/>
      <c r="H44" s="33"/>
      <c r="I44" s="33"/>
      <c r="J44" s="33"/>
      <c r="K44" s="33"/>
      <c r="U44" s="3" t="s">
        <v>29</v>
      </c>
    </row>
    <row r="45" spans="1:30" s="9" customFormat="1" ht="80.25" customHeight="1" thickBot="1" x14ac:dyDescent="0.3">
      <c r="B45" s="50" t="s">
        <v>39</v>
      </c>
      <c r="C45" s="61" t="s">
        <v>139</v>
      </c>
      <c r="D45" s="79" t="s">
        <v>83</v>
      </c>
      <c r="E45" s="80" t="s">
        <v>84</v>
      </c>
      <c r="F45" s="66" t="s">
        <v>128</v>
      </c>
      <c r="G45" s="26" t="s">
        <v>49</v>
      </c>
      <c r="H45" s="26" t="s">
        <v>23</v>
      </c>
      <c r="I45" s="26" t="s">
        <v>50</v>
      </c>
      <c r="J45" s="26" t="s">
        <v>76</v>
      </c>
      <c r="K45" s="67" t="s">
        <v>78</v>
      </c>
      <c r="U45" s="11"/>
      <c r="V45" s="150">
        <v>2016</v>
      </c>
      <c r="W45" s="150"/>
      <c r="X45" s="150"/>
      <c r="Y45" s="150">
        <v>2015</v>
      </c>
      <c r="Z45" s="150"/>
      <c r="AA45" s="150"/>
      <c r="AB45" s="150">
        <v>2014</v>
      </c>
      <c r="AC45" s="150"/>
      <c r="AD45" s="150"/>
    </row>
    <row r="46" spans="1:30" s="9" customFormat="1" ht="30" x14ac:dyDescent="0.25">
      <c r="B46" s="12"/>
      <c r="C46" s="62" t="s">
        <v>40</v>
      </c>
      <c r="D46" s="62" t="s">
        <v>38</v>
      </c>
      <c r="E46" s="63" t="s">
        <v>53</v>
      </c>
      <c r="F46" s="63" t="s">
        <v>54</v>
      </c>
      <c r="G46" s="63" t="s">
        <v>55</v>
      </c>
      <c r="H46" s="64" t="s">
        <v>56</v>
      </c>
      <c r="I46" s="63" t="s">
        <v>57</v>
      </c>
      <c r="J46" s="64" t="s">
        <v>58</v>
      </c>
      <c r="K46" s="65" t="s">
        <v>59</v>
      </c>
      <c r="U46" s="18" t="s">
        <v>30</v>
      </c>
      <c r="V46" s="98" t="s">
        <v>26</v>
      </c>
      <c r="W46" s="98" t="s">
        <v>27</v>
      </c>
      <c r="X46" s="98" t="s">
        <v>28</v>
      </c>
      <c r="Y46" s="98" t="s">
        <v>26</v>
      </c>
      <c r="Z46" s="98" t="s">
        <v>27</v>
      </c>
      <c r="AA46" s="98" t="s">
        <v>28</v>
      </c>
      <c r="AB46" s="98" t="s">
        <v>26</v>
      </c>
      <c r="AC46" s="98" t="s">
        <v>27</v>
      </c>
      <c r="AD46" s="98" t="s">
        <v>28</v>
      </c>
    </row>
    <row r="47" spans="1:30" x14ac:dyDescent="0.2">
      <c r="B47" s="13" t="s">
        <v>10</v>
      </c>
      <c r="C47" s="92">
        <v>6229131</v>
      </c>
      <c r="D47" s="92">
        <v>6202050</v>
      </c>
      <c r="E47" s="92">
        <v>6972392</v>
      </c>
      <c r="F47" s="51">
        <f>+C47-D47+E47</f>
        <v>6999473</v>
      </c>
      <c r="G47" s="106">
        <v>5.5490000000000005E-2</v>
      </c>
      <c r="H47" s="15">
        <f>F47*G47</f>
        <v>388400.75677000004</v>
      </c>
      <c r="I47" s="106">
        <v>5.0680000000000003E-2</v>
      </c>
      <c r="J47" s="17">
        <f>F47*I47</f>
        <v>354733.29164000001</v>
      </c>
      <c r="K47" s="16">
        <f>J47-H47</f>
        <v>-33667.465130000026</v>
      </c>
      <c r="U47" s="11" t="s">
        <v>10</v>
      </c>
      <c r="V47" s="19">
        <v>8.4229999999999999E-2</v>
      </c>
      <c r="W47" s="19">
        <v>9.214E-2</v>
      </c>
      <c r="X47" s="19">
        <v>9.1789999999999997E-2</v>
      </c>
      <c r="Y47" s="19">
        <v>5.5490000000000005E-2</v>
      </c>
      <c r="Z47" s="19">
        <v>6.1609999999999998E-2</v>
      </c>
      <c r="AA47" s="19">
        <v>5.0680000000000003E-2</v>
      </c>
      <c r="AB47" s="19">
        <v>3.6260000000000001E-2</v>
      </c>
      <c r="AC47" s="19">
        <v>1.806E-2</v>
      </c>
      <c r="AD47" s="19">
        <v>1.261E-2</v>
      </c>
    </row>
    <row r="48" spans="1:30" x14ac:dyDescent="0.2">
      <c r="B48" s="13" t="s">
        <v>11</v>
      </c>
      <c r="C48" s="92">
        <v>6505933</v>
      </c>
      <c r="D48" s="92">
        <f>+E47</f>
        <v>6972392</v>
      </c>
      <c r="E48" s="92">
        <f>6135983+466459</f>
        <v>6602442</v>
      </c>
      <c r="F48" s="51">
        <f>+C48-D48+E48</f>
        <v>6135983</v>
      </c>
      <c r="G48" s="106">
        <v>6.9809999999999997E-2</v>
      </c>
      <c r="H48" s="15">
        <f t="shared" ref="H48:H58" si="0">F48*G48</f>
        <v>428352.97323</v>
      </c>
      <c r="I48" s="106">
        <v>3.9609999999999999E-2</v>
      </c>
      <c r="J48" s="17">
        <f t="shared" ref="J48:J58" si="1">F48*I48</f>
        <v>243046.28662999999</v>
      </c>
      <c r="K48" s="16">
        <f t="shared" ref="K48:K58" si="2">J48-H48</f>
        <v>-185306.68660000002</v>
      </c>
      <c r="U48" s="11" t="s">
        <v>11</v>
      </c>
      <c r="V48" s="20">
        <v>0.10384</v>
      </c>
      <c r="W48" s="20">
        <v>9.6780000000000005E-2</v>
      </c>
      <c r="X48" s="20">
        <v>9.851E-2</v>
      </c>
      <c r="Y48" s="20">
        <v>6.9809999999999997E-2</v>
      </c>
      <c r="Z48" s="20">
        <v>4.095E-2</v>
      </c>
      <c r="AA48" s="20">
        <v>3.9609999999999999E-2</v>
      </c>
      <c r="AB48" s="20">
        <v>2.231E-2</v>
      </c>
      <c r="AC48" s="20">
        <v>1.1180000000000001E-2</v>
      </c>
      <c r="AD48" s="20">
        <v>1.3300000000000001E-2</v>
      </c>
    </row>
    <row r="49" spans="1:31" x14ac:dyDescent="0.2">
      <c r="B49" s="13" t="s">
        <v>12</v>
      </c>
      <c r="C49" s="92">
        <v>6751967</v>
      </c>
      <c r="D49" s="92">
        <f t="shared" ref="D49:D58" si="3">+E48</f>
        <v>6602442</v>
      </c>
      <c r="E49" s="92">
        <f>6298516-149525</f>
        <v>6148991</v>
      </c>
      <c r="F49" s="51">
        <f t="shared" ref="F49:F58" si="4">+C49-D49+E49</f>
        <v>6298516</v>
      </c>
      <c r="G49" s="106">
        <v>3.6040000000000003E-2</v>
      </c>
      <c r="H49" s="15">
        <f t="shared" si="0"/>
        <v>226998.51664000002</v>
      </c>
      <c r="I49" s="106">
        <v>6.2899999999999998E-2</v>
      </c>
      <c r="J49" s="17">
        <f t="shared" si="1"/>
        <v>396176.65639999998</v>
      </c>
      <c r="K49" s="16">
        <f t="shared" si="2"/>
        <v>169178.13975999996</v>
      </c>
      <c r="U49" s="11" t="s">
        <v>12</v>
      </c>
      <c r="V49" s="20">
        <v>9.0219999999999995E-2</v>
      </c>
      <c r="W49" s="20">
        <v>0.10299</v>
      </c>
      <c r="X49" s="20">
        <v>0.1061</v>
      </c>
      <c r="Y49" s="20">
        <v>3.6040000000000003E-2</v>
      </c>
      <c r="Z49" s="20">
        <v>5.74E-2</v>
      </c>
      <c r="AA49" s="20">
        <v>6.2899999999999998E-2</v>
      </c>
      <c r="AB49" s="20">
        <v>1.103E-2</v>
      </c>
      <c r="AC49" s="20">
        <v>-8.0000000000000002E-3</v>
      </c>
      <c r="AD49" s="20">
        <v>-2.7E-4</v>
      </c>
    </row>
    <row r="50" spans="1:31" x14ac:dyDescent="0.2">
      <c r="B50" s="13" t="s">
        <v>13</v>
      </c>
      <c r="C50" s="92">
        <v>6104700</v>
      </c>
      <c r="D50" s="92">
        <f t="shared" si="3"/>
        <v>6148991</v>
      </c>
      <c r="E50" s="92">
        <f>5413512+44291</f>
        <v>5457803</v>
      </c>
      <c r="F50" s="51">
        <f t="shared" si="4"/>
        <v>5413512</v>
      </c>
      <c r="G50" s="106">
        <v>6.7049999999999998E-2</v>
      </c>
      <c r="H50" s="15">
        <f t="shared" si="0"/>
        <v>362975.97960000002</v>
      </c>
      <c r="I50" s="106">
        <v>9.5590000000000008E-2</v>
      </c>
      <c r="J50" s="17">
        <f t="shared" si="1"/>
        <v>517477.61208000005</v>
      </c>
      <c r="K50" s="16">
        <f t="shared" si="2"/>
        <v>154501.63248000003</v>
      </c>
      <c r="U50" s="11" t="s">
        <v>13</v>
      </c>
      <c r="V50" s="20">
        <v>0.12114999999999999</v>
      </c>
      <c r="W50" s="20">
        <v>0.11176999999999999</v>
      </c>
      <c r="X50" s="20">
        <v>0.11132</v>
      </c>
      <c r="Y50" s="20">
        <v>6.7049999999999998E-2</v>
      </c>
      <c r="Z50" s="20">
        <v>9.2679999999999998E-2</v>
      </c>
      <c r="AA50" s="20">
        <v>9.5590000000000008E-2</v>
      </c>
      <c r="AB50" s="20">
        <v>-9.6500000000000006E-3</v>
      </c>
      <c r="AC50" s="20">
        <v>5.4530000000000002E-2</v>
      </c>
      <c r="AD50" s="20">
        <v>5.1979999999999998E-2</v>
      </c>
    </row>
    <row r="51" spans="1:31" x14ac:dyDescent="0.2">
      <c r="B51" s="13" t="s">
        <v>14</v>
      </c>
      <c r="C51" s="92">
        <v>5511686</v>
      </c>
      <c r="D51" s="92">
        <f t="shared" si="3"/>
        <v>5457803</v>
      </c>
      <c r="E51" s="92">
        <f>5354586-53883</f>
        <v>5300703</v>
      </c>
      <c r="F51" s="51">
        <f t="shared" si="4"/>
        <v>5354586</v>
      </c>
      <c r="G51" s="106">
        <v>9.4159999999999994E-2</v>
      </c>
      <c r="H51" s="15">
        <f t="shared" si="0"/>
        <v>504187.81775999995</v>
      </c>
      <c r="I51" s="106">
        <v>9.6680000000000002E-2</v>
      </c>
      <c r="J51" s="17">
        <f t="shared" si="1"/>
        <v>517681.37448</v>
      </c>
      <c r="K51" s="16">
        <f t="shared" si="2"/>
        <v>13493.556720000051</v>
      </c>
      <c r="U51" s="11" t="s">
        <v>14</v>
      </c>
      <c r="V51" s="20">
        <v>0.10405</v>
      </c>
      <c r="W51" s="20">
        <v>0.11493</v>
      </c>
      <c r="X51" s="20">
        <v>0.10749</v>
      </c>
      <c r="Y51" s="20">
        <v>9.4159999999999994E-2</v>
      </c>
      <c r="Z51" s="20">
        <v>9.7299999999999998E-2</v>
      </c>
      <c r="AA51" s="20">
        <v>9.6680000000000002E-2</v>
      </c>
      <c r="AB51" s="20">
        <v>5.3560000000000003E-2</v>
      </c>
      <c r="AC51" s="20">
        <v>7.3520000000000002E-2</v>
      </c>
      <c r="AD51" s="20">
        <v>7.1959999999999996E-2</v>
      </c>
    </row>
    <row r="52" spans="1:31" x14ac:dyDescent="0.2">
      <c r="B52" s="13" t="s">
        <v>15</v>
      </c>
      <c r="C52" s="92">
        <v>5402166</v>
      </c>
      <c r="D52" s="92">
        <f t="shared" si="3"/>
        <v>5300703</v>
      </c>
      <c r="E52" s="92">
        <f>5764917-101463</f>
        <v>5663454</v>
      </c>
      <c r="F52" s="51">
        <f t="shared" si="4"/>
        <v>5764917</v>
      </c>
      <c r="G52" s="106">
        <v>9.2280000000000001E-2</v>
      </c>
      <c r="H52" s="15">
        <f t="shared" si="0"/>
        <v>531986.54076</v>
      </c>
      <c r="I52" s="106">
        <v>9.5400000000000013E-2</v>
      </c>
      <c r="J52" s="17">
        <f t="shared" si="1"/>
        <v>549973.08180000004</v>
      </c>
      <c r="K52" s="16">
        <f t="shared" si="2"/>
        <v>17986.54104000004</v>
      </c>
      <c r="U52" s="11" t="s">
        <v>15</v>
      </c>
      <c r="V52" s="20">
        <v>0.11650000000000001</v>
      </c>
      <c r="W52" s="20">
        <v>9.3600000000000003E-2</v>
      </c>
      <c r="X52" s="20">
        <v>9.5449999999999993E-2</v>
      </c>
      <c r="Y52" s="20">
        <v>9.2280000000000001E-2</v>
      </c>
      <c r="Z52" s="20">
        <v>9.7680000000000003E-2</v>
      </c>
      <c r="AA52" s="20">
        <v>9.5400000000000013E-2</v>
      </c>
      <c r="AB52" s="20">
        <v>7.1900000000000006E-2</v>
      </c>
      <c r="AC52" s="20">
        <v>6.6640000000000005E-2</v>
      </c>
      <c r="AD52" s="20">
        <v>6.0249999999999998E-2</v>
      </c>
    </row>
    <row r="53" spans="1:31" x14ac:dyDescent="0.2">
      <c r="B53" s="13" t="s">
        <v>16</v>
      </c>
      <c r="C53" s="92">
        <v>5638118</v>
      </c>
      <c r="D53" s="92">
        <f t="shared" si="3"/>
        <v>5663454</v>
      </c>
      <c r="E53" s="92">
        <f>5884281+25336</f>
        <v>5909617</v>
      </c>
      <c r="F53" s="51">
        <f t="shared" si="4"/>
        <v>5884281</v>
      </c>
      <c r="G53" s="106">
        <v>8.8880000000000001E-2</v>
      </c>
      <c r="H53" s="15">
        <f t="shared" si="0"/>
        <v>522994.89528</v>
      </c>
      <c r="I53" s="106">
        <v>7.8829999999999997E-2</v>
      </c>
      <c r="J53" s="17">
        <f t="shared" si="1"/>
        <v>463857.87122999999</v>
      </c>
      <c r="K53" s="16">
        <f t="shared" si="2"/>
        <v>-59137.024050000007</v>
      </c>
      <c r="U53" s="11" t="s">
        <v>16</v>
      </c>
      <c r="V53" s="20">
        <v>7.6670000000000002E-2</v>
      </c>
      <c r="W53" s="20">
        <v>8.412E-2</v>
      </c>
      <c r="X53" s="20">
        <v>8.3059999999999995E-2</v>
      </c>
      <c r="Y53" s="20">
        <v>8.8880000000000001E-2</v>
      </c>
      <c r="Z53" s="20">
        <v>8.4129999999999996E-2</v>
      </c>
      <c r="AA53" s="20">
        <v>7.8829999999999997E-2</v>
      </c>
      <c r="AB53" s="20">
        <v>5.9760000000000001E-2</v>
      </c>
      <c r="AC53" s="20">
        <v>5.7529999999999998E-2</v>
      </c>
      <c r="AD53" s="20">
        <v>6.2560000000000004E-2</v>
      </c>
    </row>
    <row r="54" spans="1:31" x14ac:dyDescent="0.2">
      <c r="B54" s="13" t="s">
        <v>17</v>
      </c>
      <c r="C54" s="92">
        <v>5906322</v>
      </c>
      <c r="D54" s="92">
        <f t="shared" si="3"/>
        <v>5909617</v>
      </c>
      <c r="E54" s="92">
        <f>6141356+3295</f>
        <v>6144651</v>
      </c>
      <c r="F54" s="51">
        <f t="shared" si="4"/>
        <v>6141356</v>
      </c>
      <c r="G54" s="106">
        <v>8.8050000000000003E-2</v>
      </c>
      <c r="H54" s="15">
        <f t="shared" si="0"/>
        <v>540746.39580000006</v>
      </c>
      <c r="I54" s="106">
        <v>8.0099999999999991E-2</v>
      </c>
      <c r="J54" s="17">
        <f t="shared" si="1"/>
        <v>491922.61559999996</v>
      </c>
      <c r="K54" s="16">
        <f t="shared" si="2"/>
        <v>-48823.780200000096</v>
      </c>
      <c r="U54" s="11" t="s">
        <v>17</v>
      </c>
      <c r="V54" s="20">
        <v>8.5690000000000002E-2</v>
      </c>
      <c r="W54" s="20">
        <v>7.0499999999999993E-2</v>
      </c>
      <c r="X54" s="20">
        <v>7.1029999999999996E-2</v>
      </c>
      <c r="Y54" s="20">
        <v>8.8050000000000003E-2</v>
      </c>
      <c r="Z54" s="20">
        <v>7.3550000000000004E-2</v>
      </c>
      <c r="AA54" s="20">
        <v>8.0099999999999991E-2</v>
      </c>
      <c r="AB54" s="20">
        <v>6.1079999999999995E-2</v>
      </c>
      <c r="AC54" s="20">
        <v>6.8970000000000004E-2</v>
      </c>
      <c r="AD54" s="20">
        <v>6.7610000000000003E-2</v>
      </c>
    </row>
    <row r="55" spans="1:31" x14ac:dyDescent="0.2">
      <c r="B55" s="13" t="s">
        <v>18</v>
      </c>
      <c r="C55" s="92">
        <v>6102129</v>
      </c>
      <c r="D55" s="92">
        <f t="shared" si="3"/>
        <v>6144651</v>
      </c>
      <c r="E55" s="92">
        <f>5797888+42522</f>
        <v>5840410</v>
      </c>
      <c r="F55" s="51">
        <f t="shared" si="4"/>
        <v>5797888</v>
      </c>
      <c r="G55" s="106">
        <v>8.270000000000001E-2</v>
      </c>
      <c r="H55" s="15">
        <f t="shared" si="0"/>
        <v>479485.33760000003</v>
      </c>
      <c r="I55" s="106">
        <v>6.7030000000000006E-2</v>
      </c>
      <c r="J55" s="17">
        <f t="shared" si="1"/>
        <v>388632.43264000001</v>
      </c>
      <c r="K55" s="16">
        <f t="shared" si="2"/>
        <v>-90852.904960000014</v>
      </c>
      <c r="U55" s="11" t="s">
        <v>18</v>
      </c>
      <c r="V55" s="20">
        <v>7.0599999999999996E-2</v>
      </c>
      <c r="W55" s="20">
        <v>9.1480000000000006E-2</v>
      </c>
      <c r="X55" s="20">
        <v>9.5310000000000006E-2</v>
      </c>
      <c r="Y55" s="20">
        <v>8.270000000000001E-2</v>
      </c>
      <c r="Z55" s="20">
        <v>7.1910000000000002E-2</v>
      </c>
      <c r="AA55" s="20">
        <v>6.7030000000000006E-2</v>
      </c>
      <c r="AB55" s="20">
        <v>8.0489999999999992E-2</v>
      </c>
      <c r="AC55" s="20">
        <v>8.072E-2</v>
      </c>
      <c r="AD55" s="20">
        <v>7.9629999999999992E-2</v>
      </c>
    </row>
    <row r="56" spans="1:31" x14ac:dyDescent="0.2">
      <c r="B56" s="13" t="s">
        <v>19</v>
      </c>
      <c r="C56" s="92">
        <v>5924106</v>
      </c>
      <c r="D56" s="92">
        <f t="shared" si="3"/>
        <v>5840410</v>
      </c>
      <c r="E56" s="92">
        <f>5878092-83696</f>
        <v>5794396</v>
      </c>
      <c r="F56" s="51">
        <f t="shared" si="4"/>
        <v>5878092</v>
      </c>
      <c r="G56" s="106">
        <v>6.3710000000000003E-2</v>
      </c>
      <c r="H56" s="15">
        <f t="shared" si="0"/>
        <v>374493.24132000003</v>
      </c>
      <c r="I56" s="106">
        <v>7.5439999999999993E-2</v>
      </c>
      <c r="J56" s="17">
        <f t="shared" si="1"/>
        <v>443443.26047999994</v>
      </c>
      <c r="K56" s="16">
        <f t="shared" si="2"/>
        <v>68950.019159999909</v>
      </c>
      <c r="U56" s="11" t="s">
        <v>19</v>
      </c>
      <c r="V56" s="20">
        <v>9.7199999999999995E-2</v>
      </c>
      <c r="W56" s="20">
        <v>0.1178</v>
      </c>
      <c r="X56" s="20">
        <v>0.11226</v>
      </c>
      <c r="Y56" s="20">
        <v>6.3710000000000003E-2</v>
      </c>
      <c r="Z56" s="20">
        <v>7.1929999999999994E-2</v>
      </c>
      <c r="AA56" s="20">
        <v>7.5439999999999993E-2</v>
      </c>
      <c r="AB56" s="20">
        <v>7.492E-2</v>
      </c>
      <c r="AC56" s="20">
        <v>0.10135</v>
      </c>
      <c r="AD56" s="20">
        <v>0.10014000000000001</v>
      </c>
    </row>
    <row r="57" spans="1:31" x14ac:dyDescent="0.2">
      <c r="B57" s="13" t="s">
        <v>20</v>
      </c>
      <c r="C57" s="92">
        <v>5788131</v>
      </c>
      <c r="D57" s="92">
        <f t="shared" si="3"/>
        <v>5794396</v>
      </c>
      <c r="E57" s="92">
        <f>5506495+6265</f>
        <v>5512760</v>
      </c>
      <c r="F57" s="51">
        <f t="shared" si="4"/>
        <v>5506495</v>
      </c>
      <c r="G57" s="106">
        <v>7.6230000000000006E-2</v>
      </c>
      <c r="H57" s="15">
        <f t="shared" si="0"/>
        <v>419760.11385000002</v>
      </c>
      <c r="I57" s="106">
        <v>0.11320000000000001</v>
      </c>
      <c r="J57" s="17">
        <f t="shared" si="1"/>
        <v>623335.23400000005</v>
      </c>
      <c r="K57" s="16">
        <f t="shared" si="2"/>
        <v>203575.12015000003</v>
      </c>
      <c r="U57" s="11" t="s">
        <v>20</v>
      </c>
      <c r="V57" s="20">
        <v>0.12271</v>
      </c>
      <c r="W57" s="20">
        <v>0.115</v>
      </c>
      <c r="X57" s="20">
        <v>0.11108999999999999</v>
      </c>
      <c r="Y57" s="20">
        <v>7.6230000000000006E-2</v>
      </c>
      <c r="Z57" s="20">
        <v>0.12447999999999999</v>
      </c>
      <c r="AA57" s="20">
        <v>0.11320000000000001</v>
      </c>
      <c r="AB57" s="20">
        <v>9.9010000000000001E-2</v>
      </c>
      <c r="AC57" s="20">
        <v>8.5040000000000004E-2</v>
      </c>
      <c r="AD57" s="20">
        <v>8.231999999999999E-2</v>
      </c>
    </row>
    <row r="58" spans="1:31" x14ac:dyDescent="0.2">
      <c r="B58" s="13" t="s">
        <v>21</v>
      </c>
      <c r="C58" s="92">
        <v>5502721</v>
      </c>
      <c r="D58" s="92">
        <f t="shared" si="3"/>
        <v>5512760</v>
      </c>
      <c r="E58" s="92">
        <f>5860490+10039</f>
        <v>5870529</v>
      </c>
      <c r="F58" s="51">
        <f t="shared" si="4"/>
        <v>5860490</v>
      </c>
      <c r="G58" s="106">
        <v>0.11462</v>
      </c>
      <c r="H58" s="15">
        <f t="shared" si="0"/>
        <v>671729.36380000005</v>
      </c>
      <c r="I58" s="106">
        <v>9.4709999999999989E-2</v>
      </c>
      <c r="J58" s="17">
        <f t="shared" si="1"/>
        <v>555047.00789999997</v>
      </c>
      <c r="K58" s="16">
        <f t="shared" si="2"/>
        <v>-116682.35590000008</v>
      </c>
      <c r="U58" s="27" t="s">
        <v>21</v>
      </c>
      <c r="V58" s="28">
        <v>0.10594000000000001</v>
      </c>
      <c r="W58" s="28">
        <v>7.8719999999999998E-2</v>
      </c>
      <c r="X58" s="28">
        <v>8.7080000000000005E-2</v>
      </c>
      <c r="Y58" s="28">
        <v>0.11462</v>
      </c>
      <c r="Z58" s="28">
        <v>8.8090000000000002E-2</v>
      </c>
      <c r="AA58" s="28">
        <v>9.4709999999999989E-2</v>
      </c>
      <c r="AB58" s="28">
        <v>7.3180000000000009E-2</v>
      </c>
      <c r="AC58" s="28">
        <v>5.7889999999999997E-2</v>
      </c>
      <c r="AD58" s="28">
        <v>7.4439999999999992E-2</v>
      </c>
    </row>
    <row r="59" spans="1:31" ht="30.75" thickBot="1" x14ac:dyDescent="0.3">
      <c r="B59" s="123" t="s">
        <v>133</v>
      </c>
      <c r="C59" s="94">
        <f>SUM(C47:C58)</f>
        <v>71367110</v>
      </c>
      <c r="D59" s="94">
        <f>SUM(D47:D58)</f>
        <v>71549669</v>
      </c>
      <c r="E59" s="94">
        <f>SUM(E47:E58)</f>
        <v>71218148</v>
      </c>
      <c r="F59" s="94">
        <f>SUM(F47:F58)</f>
        <v>71035589</v>
      </c>
      <c r="G59" s="37"/>
      <c r="H59" s="38">
        <f>SUM(H47:H58)</f>
        <v>5452111.9324100008</v>
      </c>
      <c r="I59" s="37"/>
      <c r="J59" s="38">
        <f>SUM(J47:J58)</f>
        <v>5545326.7248799996</v>
      </c>
      <c r="K59" s="39">
        <f>SUM(K47:K58)</f>
        <v>93214.792469999782</v>
      </c>
      <c r="U59" s="31"/>
      <c r="V59" s="32"/>
      <c r="W59" s="32"/>
      <c r="X59" s="32"/>
      <c r="Y59" s="32"/>
      <c r="Z59" s="32"/>
      <c r="AA59" s="32"/>
      <c r="AB59" s="32"/>
      <c r="AC59" s="32"/>
      <c r="AD59" s="32"/>
    </row>
    <row r="60" spans="1:31" x14ac:dyDescent="0.2">
      <c r="C60" s="134"/>
      <c r="G60" s="4"/>
      <c r="H60" s="4"/>
      <c r="I60" s="4"/>
      <c r="J60" s="135"/>
      <c r="K60" s="121"/>
      <c r="U60" s="29"/>
      <c r="V60" s="30"/>
      <c r="W60" s="30"/>
      <c r="X60" s="30"/>
      <c r="Y60" s="30"/>
      <c r="Z60" s="139">
        <v>161328.93</v>
      </c>
      <c r="AA60" s="137">
        <v>6.4</v>
      </c>
      <c r="AB60" s="137">
        <v>21</v>
      </c>
      <c r="AC60" s="137">
        <v>30</v>
      </c>
      <c r="AD60" s="30"/>
    </row>
    <row r="61" spans="1:31" x14ac:dyDescent="0.2">
      <c r="I61" s="116"/>
      <c r="M61" s="116"/>
      <c r="N61" s="116"/>
      <c r="O61" s="116"/>
      <c r="P61" s="116"/>
      <c r="Q61" s="116"/>
      <c r="R61" s="116"/>
      <c r="S61" s="116"/>
      <c r="T61" s="116"/>
      <c r="U61" s="29"/>
      <c r="V61" s="30"/>
      <c r="W61" s="30"/>
      <c r="X61" s="30"/>
      <c r="Y61" s="30"/>
      <c r="Z61" s="139">
        <f>+Z60*AA60/AC60</f>
        <v>34416.838400000001</v>
      </c>
      <c r="AA61" s="137">
        <f>+Z61*AB58</f>
        <v>2518.6242341120005</v>
      </c>
      <c r="AB61" s="137"/>
      <c r="AC61" s="137"/>
      <c r="AD61" s="30"/>
    </row>
    <row r="62" spans="1:31" ht="15" x14ac:dyDescent="0.25">
      <c r="A62" s="1" t="s">
        <v>143</v>
      </c>
      <c r="B62" s="47" t="s">
        <v>136</v>
      </c>
      <c r="C62" s="2"/>
      <c r="H62" s="116"/>
      <c r="I62" s="110"/>
      <c r="J62" s="110"/>
      <c r="K62" s="110"/>
      <c r="U62" s="29"/>
      <c r="V62" s="30"/>
      <c r="W62" s="30"/>
      <c r="X62" s="30"/>
      <c r="Y62" s="30"/>
      <c r="Z62" s="139">
        <f>+Z60-Z61</f>
        <v>126912.09159999999</v>
      </c>
      <c r="AA62" s="137">
        <f>+Z62*Y47</f>
        <v>7042.3519628839995</v>
      </c>
      <c r="AB62" s="137"/>
      <c r="AC62" s="137"/>
      <c r="AD62" s="137"/>
      <c r="AE62" s="137"/>
    </row>
    <row r="63" spans="1:31" ht="15" x14ac:dyDescent="0.25">
      <c r="B63" s="3"/>
      <c r="C63" s="2"/>
      <c r="K63" s="118"/>
      <c r="M63" s="136"/>
      <c r="N63" s="136"/>
      <c r="O63" s="136"/>
      <c r="P63" s="136"/>
      <c r="Q63" s="136"/>
      <c r="R63" s="136"/>
      <c r="S63" s="136"/>
      <c r="T63" s="136"/>
      <c r="U63" s="29"/>
      <c r="V63" s="29"/>
      <c r="W63" s="29"/>
      <c r="X63" s="29"/>
      <c r="Y63" s="29"/>
      <c r="AA63" s="137">
        <f>+AA61+AA62</f>
        <v>9560.976196996</v>
      </c>
      <c r="AC63" s="138"/>
      <c r="AD63" s="137"/>
    </row>
    <row r="64" spans="1:31" ht="45" x14ac:dyDescent="0.25">
      <c r="A64" s="11"/>
      <c r="B64" s="143" t="s">
        <v>45</v>
      </c>
      <c r="C64" s="48" t="s">
        <v>67</v>
      </c>
      <c r="D64" s="48" t="s">
        <v>121</v>
      </c>
      <c r="E64" s="157" t="s">
        <v>44</v>
      </c>
      <c r="F64" s="157"/>
      <c r="G64" s="157"/>
      <c r="H64" s="157"/>
      <c r="I64" s="157"/>
      <c r="K64" s="116"/>
      <c r="V64" s="29"/>
      <c r="W64" s="29"/>
      <c r="X64" s="29"/>
      <c r="Y64" s="29"/>
      <c r="Z64" s="29"/>
      <c r="AA64" s="29"/>
      <c r="AB64" s="29"/>
      <c r="AC64" s="29"/>
      <c r="AD64" s="29"/>
      <c r="AE64" s="29"/>
    </row>
    <row r="65" spans="1:31" ht="30.75" customHeight="1" x14ac:dyDescent="0.25">
      <c r="A65" s="158" t="s">
        <v>134</v>
      </c>
      <c r="B65" s="159"/>
      <c r="C65" s="160"/>
      <c r="D65" s="122">
        <v>172233.2</v>
      </c>
      <c r="E65" s="161"/>
      <c r="F65" s="162"/>
      <c r="G65" s="162"/>
      <c r="H65" s="162"/>
      <c r="I65" s="163"/>
      <c r="K65" s="116"/>
      <c r="V65" s="29"/>
      <c r="W65" s="29"/>
      <c r="X65" s="29"/>
      <c r="Y65" s="29"/>
      <c r="Z65" s="29"/>
      <c r="AA65" s="29"/>
      <c r="AB65" s="29"/>
      <c r="AC65" s="29"/>
      <c r="AD65" s="29"/>
      <c r="AE65" s="29"/>
    </row>
    <row r="66" spans="1:31" ht="28.5" x14ac:dyDescent="0.2">
      <c r="A66" s="68" t="s">
        <v>51</v>
      </c>
      <c r="B66" s="49" t="s">
        <v>62</v>
      </c>
      <c r="C66" s="107"/>
      <c r="D66" s="95"/>
      <c r="E66" s="151"/>
      <c r="F66" s="151"/>
      <c r="G66" s="151"/>
      <c r="H66" s="151"/>
      <c r="I66" s="151"/>
      <c r="K66" s="116"/>
      <c r="V66" s="29"/>
      <c r="W66" s="29"/>
      <c r="X66" s="29"/>
      <c r="Y66" s="29"/>
      <c r="Z66" s="29"/>
      <c r="AA66" s="29"/>
      <c r="AB66" s="29"/>
      <c r="AC66" s="29"/>
      <c r="AD66" s="29"/>
      <c r="AE66" s="29"/>
    </row>
    <row r="67" spans="1:31" ht="28.5" x14ac:dyDescent="0.2">
      <c r="A67" s="68" t="s">
        <v>52</v>
      </c>
      <c r="B67" s="49" t="s">
        <v>79</v>
      </c>
      <c r="C67" s="108"/>
      <c r="D67" s="109"/>
      <c r="E67" s="164"/>
      <c r="F67" s="165"/>
      <c r="G67" s="165"/>
      <c r="H67" s="165"/>
      <c r="I67" s="166"/>
      <c r="J67" s="77"/>
      <c r="K67" s="117"/>
      <c r="L67" s="77"/>
      <c r="M67" s="77"/>
      <c r="N67" s="77"/>
      <c r="O67" s="77"/>
      <c r="P67" s="77"/>
      <c r="Q67" s="77"/>
      <c r="R67" s="77"/>
      <c r="S67" s="77"/>
      <c r="T67" s="77"/>
      <c r="U67" s="77"/>
      <c r="V67" s="77"/>
      <c r="W67" s="77"/>
      <c r="X67" s="77"/>
    </row>
    <row r="68" spans="1:31" ht="28.5" x14ac:dyDescent="0.2">
      <c r="A68" s="68" t="s">
        <v>65</v>
      </c>
      <c r="B68" s="49" t="s">
        <v>64</v>
      </c>
      <c r="C68" s="107" t="s">
        <v>164</v>
      </c>
      <c r="D68" s="109">
        <v>-49785</v>
      </c>
      <c r="E68" s="151"/>
      <c r="F68" s="151"/>
      <c r="G68" s="151"/>
      <c r="H68" s="151"/>
      <c r="I68" s="151"/>
      <c r="J68" s="77"/>
      <c r="K68" s="117"/>
      <c r="L68" s="77"/>
      <c r="M68" s="77"/>
      <c r="N68" s="77"/>
      <c r="O68" s="77"/>
      <c r="P68" s="77"/>
      <c r="Q68" s="77"/>
      <c r="R68" s="77"/>
      <c r="S68" s="77"/>
      <c r="T68" s="77"/>
      <c r="U68" s="77"/>
      <c r="V68" s="77"/>
      <c r="W68" s="77"/>
      <c r="X68" s="77"/>
    </row>
    <row r="69" spans="1:31" ht="28.5" x14ac:dyDescent="0.2">
      <c r="A69" s="68" t="s">
        <v>66</v>
      </c>
      <c r="B69" s="49" t="s">
        <v>63</v>
      </c>
      <c r="C69" s="108" t="s">
        <v>164</v>
      </c>
      <c r="D69" s="109">
        <v>22059</v>
      </c>
      <c r="E69" s="164"/>
      <c r="F69" s="165"/>
      <c r="G69" s="165"/>
      <c r="H69" s="165"/>
      <c r="I69" s="166"/>
      <c r="J69" s="77"/>
      <c r="K69" s="120"/>
      <c r="L69" s="77"/>
      <c r="M69" s="77"/>
      <c r="N69" s="77"/>
      <c r="O69" s="77"/>
      <c r="P69" s="77"/>
      <c r="Q69" s="77"/>
      <c r="R69" s="77"/>
      <c r="S69" s="77"/>
      <c r="T69" s="77"/>
      <c r="U69" s="77"/>
      <c r="V69" s="77"/>
      <c r="W69" s="77"/>
      <c r="X69" s="77"/>
    </row>
    <row r="70" spans="1:31" ht="28.5" x14ac:dyDescent="0.2">
      <c r="A70" s="68" t="s">
        <v>69</v>
      </c>
      <c r="B70" s="49" t="s">
        <v>71</v>
      </c>
      <c r="C70" s="107" t="s">
        <v>164</v>
      </c>
      <c r="D70" s="95">
        <v>-3855</v>
      </c>
      <c r="E70" s="151" t="s">
        <v>166</v>
      </c>
      <c r="F70" s="151"/>
      <c r="G70" s="151"/>
      <c r="H70" s="151"/>
      <c r="I70" s="151"/>
      <c r="J70" s="77"/>
      <c r="K70" s="120"/>
      <c r="L70" s="77"/>
      <c r="M70" s="77"/>
      <c r="N70" s="77"/>
      <c r="O70" s="77"/>
      <c r="P70" s="77"/>
      <c r="Q70" s="77"/>
      <c r="R70" s="77"/>
      <c r="S70" s="77"/>
      <c r="T70" s="77"/>
      <c r="U70" s="77"/>
      <c r="V70" s="77"/>
      <c r="W70" s="77"/>
      <c r="X70" s="77"/>
    </row>
    <row r="71" spans="1:31" ht="28.5" x14ac:dyDescent="0.2">
      <c r="A71" s="68" t="s">
        <v>70</v>
      </c>
      <c r="B71" s="49" t="s">
        <v>72</v>
      </c>
      <c r="C71" s="107"/>
      <c r="D71" s="95"/>
      <c r="E71" s="151"/>
      <c r="F71" s="151"/>
      <c r="G71" s="151"/>
      <c r="H71" s="151"/>
      <c r="I71" s="151"/>
      <c r="J71" s="77"/>
      <c r="K71" s="120"/>
      <c r="L71" s="77"/>
      <c r="M71" s="77"/>
      <c r="N71" s="77"/>
      <c r="O71" s="77"/>
      <c r="P71" s="77"/>
      <c r="Q71" s="77"/>
      <c r="R71" s="77"/>
      <c r="S71" s="77"/>
      <c r="T71" s="77"/>
      <c r="U71" s="77"/>
      <c r="V71" s="77"/>
      <c r="W71" s="77"/>
      <c r="X71" s="77"/>
    </row>
    <row r="72" spans="1:31" ht="33.75" customHeight="1" x14ac:dyDescent="0.2">
      <c r="A72" s="68">
        <v>4</v>
      </c>
      <c r="B72" s="49" t="s">
        <v>68</v>
      </c>
      <c r="C72" s="107"/>
      <c r="D72" s="95"/>
      <c r="E72" s="151"/>
      <c r="F72" s="151"/>
      <c r="G72" s="151"/>
      <c r="H72" s="151"/>
      <c r="I72" s="151"/>
      <c r="J72" s="77"/>
      <c r="K72" s="120"/>
      <c r="L72" s="77"/>
      <c r="M72" s="77"/>
      <c r="N72" s="77"/>
      <c r="O72" s="77"/>
      <c r="P72" s="77"/>
      <c r="Q72" s="77"/>
      <c r="R72" s="77"/>
      <c r="S72" s="77"/>
      <c r="T72" s="77"/>
      <c r="U72" s="77"/>
      <c r="V72" s="77"/>
      <c r="W72" s="77"/>
      <c r="X72" s="77"/>
    </row>
    <row r="73" spans="1:31" ht="42.75" x14ac:dyDescent="0.2">
      <c r="A73" s="68">
        <v>5</v>
      </c>
      <c r="B73" s="49" t="s">
        <v>81</v>
      </c>
      <c r="C73" s="107"/>
      <c r="D73" s="95"/>
      <c r="E73" s="151"/>
      <c r="F73" s="151"/>
      <c r="G73" s="151"/>
      <c r="H73" s="151"/>
      <c r="I73" s="151"/>
      <c r="J73" s="77"/>
      <c r="K73" s="120"/>
      <c r="L73" s="77"/>
      <c r="M73" s="77"/>
      <c r="N73" s="77"/>
      <c r="O73" s="77"/>
      <c r="P73" s="77"/>
      <c r="Q73" s="77"/>
      <c r="R73" s="77"/>
      <c r="S73" s="77"/>
      <c r="T73" s="77"/>
      <c r="U73" s="77"/>
      <c r="V73" s="77"/>
      <c r="W73" s="77"/>
      <c r="X73" s="77"/>
    </row>
    <row r="74" spans="1:31" ht="28.5" x14ac:dyDescent="0.2">
      <c r="A74" s="54">
        <v>6</v>
      </c>
      <c r="B74" s="124" t="s">
        <v>137</v>
      </c>
      <c r="C74" s="107"/>
      <c r="D74" s="95"/>
      <c r="E74" s="151"/>
      <c r="F74" s="151"/>
      <c r="G74" s="151"/>
      <c r="H74" s="151"/>
      <c r="I74" s="151"/>
      <c r="K74" s="29"/>
    </row>
    <row r="75" spans="1:31" x14ac:dyDescent="0.2">
      <c r="A75" s="54">
        <v>7</v>
      </c>
      <c r="B75" s="46"/>
      <c r="C75" s="107"/>
      <c r="D75" s="95"/>
      <c r="E75" s="151"/>
      <c r="F75" s="151"/>
      <c r="G75" s="151"/>
      <c r="H75" s="151"/>
      <c r="I75" s="151"/>
    </row>
    <row r="76" spans="1:31" x14ac:dyDescent="0.2">
      <c r="A76" s="54">
        <v>8</v>
      </c>
      <c r="B76" s="46"/>
      <c r="C76" s="10"/>
      <c r="D76" s="95"/>
      <c r="E76" s="151"/>
      <c r="F76" s="151"/>
      <c r="G76" s="151"/>
      <c r="H76" s="151"/>
      <c r="I76" s="151"/>
    </row>
    <row r="77" spans="1:31" x14ac:dyDescent="0.2">
      <c r="A77" s="54">
        <v>9</v>
      </c>
      <c r="B77" s="46"/>
      <c r="C77" s="10"/>
      <c r="D77" s="95"/>
      <c r="E77" s="164"/>
      <c r="F77" s="165"/>
      <c r="G77" s="165"/>
      <c r="H77" s="165"/>
      <c r="I77" s="166"/>
    </row>
    <row r="78" spans="1:31" x14ac:dyDescent="0.2">
      <c r="A78" s="54">
        <v>10</v>
      </c>
      <c r="B78" s="46"/>
      <c r="C78" s="10"/>
      <c r="D78" s="95"/>
      <c r="E78" s="151"/>
      <c r="F78" s="151"/>
      <c r="G78" s="151"/>
      <c r="H78" s="151"/>
      <c r="I78" s="151"/>
    </row>
    <row r="79" spans="1:31" ht="15" x14ac:dyDescent="0.25">
      <c r="A79" s="1" t="s">
        <v>150</v>
      </c>
      <c r="B79" s="2" t="s">
        <v>131</v>
      </c>
      <c r="C79" s="2"/>
      <c r="D79" s="96">
        <f>SUM(D65:D78)</f>
        <v>140652.20000000001</v>
      </c>
      <c r="E79" s="25"/>
      <c r="F79" s="25"/>
      <c r="G79" s="25"/>
      <c r="H79" s="25"/>
    </row>
    <row r="80" spans="1:31" ht="15" x14ac:dyDescent="0.25">
      <c r="B80" s="119" t="s">
        <v>132</v>
      </c>
      <c r="C80" s="69"/>
      <c r="D80" s="96">
        <f>K59</f>
        <v>93214.792469999782</v>
      </c>
      <c r="E80" s="25"/>
      <c r="F80" s="25"/>
      <c r="G80" s="25"/>
      <c r="H80" s="25"/>
    </row>
    <row r="81" spans="1:26" ht="15" x14ac:dyDescent="0.25">
      <c r="B81" s="69" t="s">
        <v>24</v>
      </c>
      <c r="C81" s="69"/>
      <c r="D81" s="97">
        <f>D79-D80</f>
        <v>47437.40753000023</v>
      </c>
    </row>
    <row r="82" spans="1:26" ht="15.75" thickBot="1" x14ac:dyDescent="0.3">
      <c r="B82" s="130" t="s">
        <v>73</v>
      </c>
      <c r="C82" s="70"/>
      <c r="D82" s="60">
        <f>IF(ISERROR(D81/J59),0,D81/J59)</f>
        <v>8.5544837813008694E-3</v>
      </c>
      <c r="E82" s="99" t="str">
        <f>IF(AND(D82&lt;0.01,D82&gt;-0.01),"","Unresolved differences of greater than + or - 1% should be explained")</f>
        <v/>
      </c>
      <c r="G82" s="77"/>
      <c r="H82" s="35"/>
      <c r="I82" s="35"/>
      <c r="J82" s="35"/>
      <c r="K82" s="35"/>
      <c r="L82" s="35"/>
    </row>
    <row r="83" spans="1:26" ht="15.75" thickTop="1" x14ac:dyDescent="0.25">
      <c r="B83" s="2"/>
      <c r="C83" s="56"/>
      <c r="D83" s="59"/>
      <c r="G83" s="77"/>
    </row>
    <row r="84" spans="1:26" ht="15" x14ac:dyDescent="0.25">
      <c r="B84" s="2"/>
      <c r="C84" s="56"/>
      <c r="D84" s="34"/>
    </row>
    <row r="85" spans="1:26" ht="15" x14ac:dyDescent="0.25">
      <c r="A85" s="1" t="s">
        <v>75</v>
      </c>
      <c r="B85" s="71" t="s">
        <v>138</v>
      </c>
      <c r="C85" s="58"/>
      <c r="D85" s="59"/>
    </row>
    <row r="86" spans="1:26" ht="15" x14ac:dyDescent="0.25">
      <c r="B86" s="57"/>
      <c r="C86" s="58"/>
      <c r="D86" s="59"/>
    </row>
    <row r="87" spans="1:26" ht="75" x14ac:dyDescent="0.25">
      <c r="B87" s="144" t="s">
        <v>25</v>
      </c>
      <c r="C87" s="48" t="s">
        <v>157</v>
      </c>
      <c r="D87" s="48" t="s">
        <v>158</v>
      </c>
      <c r="E87" s="48" t="s">
        <v>159</v>
      </c>
      <c r="F87" s="72" t="s">
        <v>131</v>
      </c>
      <c r="G87" s="48" t="s">
        <v>24</v>
      </c>
      <c r="H87" s="74" t="s">
        <v>160</v>
      </c>
      <c r="I87" s="48" t="s">
        <v>73</v>
      </c>
      <c r="J87" s="77"/>
      <c r="K87" s="77"/>
      <c r="L87" s="35"/>
      <c r="M87" s="35"/>
      <c r="N87" s="35"/>
      <c r="O87" s="35"/>
      <c r="P87" s="35"/>
      <c r="Q87" s="35"/>
      <c r="R87" s="35"/>
      <c r="S87" s="35"/>
      <c r="T87" s="35"/>
      <c r="U87" s="35"/>
      <c r="V87" s="35"/>
      <c r="W87" s="35"/>
      <c r="X87" s="35"/>
      <c r="Y87" s="35"/>
      <c r="Z87" s="35"/>
    </row>
    <row r="88" spans="1:26" x14ac:dyDescent="0.2">
      <c r="B88" s="111">
        <v>2015</v>
      </c>
      <c r="C88" s="102">
        <f>+K59</f>
        <v>93214.792469999782</v>
      </c>
      <c r="D88" s="102">
        <f>+D65</f>
        <v>172233.2</v>
      </c>
      <c r="E88" s="103">
        <f>SUM(D68:D70)</f>
        <v>-31581</v>
      </c>
      <c r="F88" s="126">
        <f>SUM(D88:E88)</f>
        <v>140652.20000000001</v>
      </c>
      <c r="G88" s="104">
        <f>F88-C88</f>
        <v>47437.40753000023</v>
      </c>
      <c r="H88" s="103">
        <f>+J59</f>
        <v>5545326.7248799996</v>
      </c>
      <c r="I88" s="100">
        <f>IF(ISERROR(G88/H88),0,G88/H88)</f>
        <v>8.5544837813008694E-3</v>
      </c>
      <c r="J88" s="77"/>
      <c r="K88" s="77"/>
      <c r="L88" s="35"/>
      <c r="M88" s="35"/>
      <c r="N88" s="35"/>
      <c r="O88" s="35"/>
      <c r="P88" s="35"/>
      <c r="Q88" s="35"/>
      <c r="R88" s="35"/>
      <c r="S88" s="35"/>
      <c r="T88" s="35"/>
      <c r="U88" s="35"/>
      <c r="V88" s="35"/>
      <c r="W88" s="35"/>
      <c r="X88" s="35"/>
      <c r="Y88" s="35"/>
      <c r="Z88" s="35"/>
    </row>
    <row r="89" spans="1:26" x14ac:dyDescent="0.2">
      <c r="B89" s="111">
        <v>2016</v>
      </c>
      <c r="C89" s="102">
        <f>+'GA Analysis  2016 '!K59</f>
        <v>-75705.940379999985</v>
      </c>
      <c r="D89" s="102">
        <f>+'GA Analysis  2016 '!D65</f>
        <v>284769.77</v>
      </c>
      <c r="E89" s="103">
        <f>SUM('GA Analysis  2016 '!D68:D76)</f>
        <v>-343672.28</v>
      </c>
      <c r="F89" s="126">
        <f t="shared" ref="F89:F91" si="5">SUM(D89:E89)</f>
        <v>-58902.510000000009</v>
      </c>
      <c r="G89" s="104">
        <f>F89-C89</f>
        <v>16803.430379999976</v>
      </c>
      <c r="H89" s="103">
        <f>+'GA Analysis  2016 '!J59</f>
        <v>6936190.6419799989</v>
      </c>
      <c r="I89" s="100">
        <f>IF(ISERROR(G89/H89),0,G89/H89)</f>
        <v>2.4225733183139966E-3</v>
      </c>
      <c r="J89" s="77"/>
      <c r="K89" s="77"/>
      <c r="L89" s="35"/>
      <c r="M89" s="35"/>
      <c r="N89" s="35"/>
      <c r="O89" s="35"/>
      <c r="P89" s="35"/>
      <c r="Q89" s="35"/>
      <c r="R89" s="35"/>
      <c r="S89" s="35"/>
      <c r="T89" s="35"/>
      <c r="U89" s="35"/>
      <c r="V89" s="35"/>
      <c r="W89" s="35"/>
      <c r="X89" s="35"/>
      <c r="Y89" s="35"/>
      <c r="Z89" s="35"/>
    </row>
    <row r="90" spans="1:26" x14ac:dyDescent="0.2">
      <c r="B90" s="111"/>
      <c r="C90" s="102"/>
      <c r="D90" s="102"/>
      <c r="E90" s="103"/>
      <c r="F90" s="126">
        <f t="shared" si="5"/>
        <v>0</v>
      </c>
      <c r="G90" s="104">
        <f>F90-C90</f>
        <v>0</v>
      </c>
      <c r="H90" s="103"/>
      <c r="I90" s="100">
        <f>IF(ISERROR(G90/H90),0,G90/H90)</f>
        <v>0</v>
      </c>
      <c r="J90" s="77"/>
      <c r="K90" s="77"/>
      <c r="L90" s="35"/>
      <c r="M90" s="35"/>
      <c r="N90" s="35"/>
      <c r="O90" s="35"/>
      <c r="P90" s="35"/>
      <c r="Q90" s="35"/>
      <c r="R90" s="35"/>
      <c r="S90" s="35"/>
      <c r="T90" s="35"/>
      <c r="U90" s="35"/>
      <c r="V90" s="35"/>
      <c r="W90" s="35"/>
      <c r="X90" s="35"/>
      <c r="Y90" s="35"/>
      <c r="Z90" s="35"/>
    </row>
    <row r="91" spans="1:26" ht="15" thickBot="1" x14ac:dyDescent="0.25">
      <c r="B91" s="111"/>
      <c r="C91" s="105"/>
      <c r="D91" s="105"/>
      <c r="E91" s="105"/>
      <c r="F91" s="126">
        <f t="shared" si="5"/>
        <v>0</v>
      </c>
      <c r="G91" s="104">
        <f>F91-C91</f>
        <v>0</v>
      </c>
      <c r="H91" s="105"/>
      <c r="I91" s="101">
        <f>IF(ISERROR(G91/H91),0,G91/H91)</f>
        <v>0</v>
      </c>
      <c r="J91" s="77"/>
      <c r="K91" s="77"/>
      <c r="L91" s="35"/>
      <c r="M91" s="35"/>
      <c r="N91" s="35"/>
      <c r="O91" s="35"/>
      <c r="P91" s="35"/>
      <c r="Q91" s="35"/>
      <c r="R91" s="35"/>
      <c r="S91" s="35"/>
      <c r="T91" s="35"/>
      <c r="U91" s="35"/>
      <c r="V91" s="35"/>
      <c r="W91" s="35"/>
      <c r="X91" s="35"/>
      <c r="Y91" s="35"/>
      <c r="Z91" s="35"/>
    </row>
    <row r="92" spans="1:26" ht="15.75" thickBot="1" x14ac:dyDescent="0.3">
      <c r="B92" s="73" t="s">
        <v>74</v>
      </c>
      <c r="C92" s="125">
        <f t="shared" ref="C92:H92" si="6">SUM(C88:C91)</f>
        <v>17508.852089999797</v>
      </c>
      <c r="D92" s="125">
        <f t="shared" si="6"/>
        <v>457002.97000000003</v>
      </c>
      <c r="E92" s="125">
        <f t="shared" si="6"/>
        <v>-375253.28</v>
      </c>
      <c r="F92" s="127">
        <f t="shared" si="6"/>
        <v>81749.69</v>
      </c>
      <c r="G92" s="125">
        <f>SUM(G88:G91)</f>
        <v>64240.837910000206</v>
      </c>
      <c r="H92" s="75">
        <f t="shared" si="6"/>
        <v>12481517.366859999</v>
      </c>
      <c r="I92" s="76" t="s">
        <v>80</v>
      </c>
      <c r="J92" s="77"/>
      <c r="K92" s="77"/>
      <c r="L92" s="35"/>
      <c r="M92" s="35"/>
      <c r="N92" s="35"/>
      <c r="O92" s="35"/>
      <c r="P92" s="35"/>
      <c r="Q92" s="35"/>
      <c r="R92" s="35"/>
      <c r="S92" s="35"/>
      <c r="T92" s="35"/>
      <c r="U92" s="35"/>
      <c r="V92" s="35"/>
      <c r="W92" s="35"/>
      <c r="X92" s="35"/>
      <c r="Y92" s="35"/>
      <c r="Z92" s="35"/>
    </row>
    <row r="93" spans="1:26" x14ac:dyDescent="0.2">
      <c r="B93" s="4"/>
      <c r="C93" s="4"/>
      <c r="D93" s="4"/>
      <c r="E93" s="4"/>
      <c r="F93" s="4"/>
      <c r="G93" s="4"/>
      <c r="J93" s="77"/>
      <c r="K93" s="77"/>
      <c r="L93" s="35"/>
      <c r="M93" s="35"/>
      <c r="N93" s="35"/>
      <c r="O93" s="35"/>
      <c r="P93" s="35"/>
      <c r="Q93" s="35"/>
      <c r="R93" s="35"/>
      <c r="S93" s="35"/>
      <c r="T93" s="35"/>
      <c r="U93" s="35"/>
      <c r="V93" s="35"/>
      <c r="W93" s="35"/>
      <c r="X93" s="35"/>
      <c r="Y93" s="35"/>
      <c r="Z93" s="35"/>
    </row>
    <row r="94" spans="1:26" x14ac:dyDescent="0.2">
      <c r="J94" s="77"/>
      <c r="K94" s="77"/>
      <c r="L94" s="35"/>
      <c r="M94" s="35"/>
      <c r="N94" s="35"/>
      <c r="O94" s="35"/>
      <c r="P94" s="35"/>
      <c r="Q94" s="35"/>
      <c r="R94" s="35"/>
      <c r="S94" s="35"/>
      <c r="T94" s="35"/>
      <c r="U94" s="35"/>
      <c r="V94" s="35"/>
      <c r="W94" s="35"/>
      <c r="X94" s="35"/>
      <c r="Y94" s="35"/>
      <c r="Z94" s="35"/>
    </row>
    <row r="95" spans="1:26" ht="15" x14ac:dyDescent="0.25">
      <c r="B95" s="3" t="s">
        <v>37</v>
      </c>
      <c r="J95" s="77"/>
      <c r="K95" s="77"/>
    </row>
    <row r="96" spans="1:26" x14ac:dyDescent="0.2">
      <c r="B96" s="53"/>
      <c r="C96" s="53"/>
      <c r="D96" s="53"/>
      <c r="E96" s="53"/>
      <c r="F96" s="53"/>
      <c r="G96" s="53"/>
      <c r="H96" s="53"/>
      <c r="J96" s="77"/>
      <c r="K96" s="77"/>
    </row>
    <row r="97" spans="2:11" x14ac:dyDescent="0.2">
      <c r="B97" s="53"/>
      <c r="C97" s="53"/>
      <c r="D97" s="53"/>
      <c r="E97" s="53"/>
      <c r="F97" s="53"/>
      <c r="G97" s="53"/>
      <c r="H97" s="53"/>
      <c r="J97" s="77"/>
      <c r="K97" s="77"/>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Y45:AA45"/>
    <mergeCell ref="AB45:AD45"/>
    <mergeCell ref="E68:I68"/>
    <mergeCell ref="B21:C21"/>
    <mergeCell ref="E21:F21"/>
    <mergeCell ref="B27:H27"/>
    <mergeCell ref="V45:X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opLeftCell="A64" zoomScaleNormal="100" zoomScaleSheetLayoutView="100" workbookViewId="0">
      <selection activeCell="B76" sqref="B76"/>
    </sheetView>
  </sheetViews>
  <sheetFormatPr defaultColWidth="9.140625" defaultRowHeight="14.25" x14ac:dyDescent="0.2"/>
  <cols>
    <col min="1" max="1" width="10.28515625" style="1" customWidth="1"/>
    <col min="2" max="2" width="53.85546875" style="1" customWidth="1"/>
    <col min="3" max="3" width="27"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7"/>
      <c r="J20" s="77"/>
      <c r="K20" s="77"/>
      <c r="L20" s="77"/>
      <c r="M20" s="77"/>
      <c r="N20" s="77"/>
      <c r="O20" s="77"/>
      <c r="P20" s="77"/>
      <c r="Q20" s="77"/>
      <c r="R20" s="77"/>
      <c r="S20" s="77"/>
    </row>
    <row r="21" spans="1:24" ht="15" x14ac:dyDescent="0.2">
      <c r="A21" s="4"/>
      <c r="B21" s="152" t="s">
        <v>25</v>
      </c>
      <c r="C21" s="152"/>
      <c r="D21" s="24">
        <v>2016</v>
      </c>
      <c r="E21" s="153"/>
      <c r="F21" s="154"/>
      <c r="G21" s="77"/>
      <c r="H21" s="77"/>
      <c r="I21" s="77"/>
      <c r="J21" s="77"/>
      <c r="K21" s="77"/>
      <c r="L21" s="77"/>
      <c r="M21" s="77"/>
      <c r="N21" s="77"/>
      <c r="O21" s="77"/>
      <c r="P21" s="77"/>
      <c r="Q21" s="77"/>
    </row>
    <row r="22" spans="1:24" ht="15" thickBot="1" x14ac:dyDescent="0.25">
      <c r="A22" s="4"/>
      <c r="B22" s="5" t="s">
        <v>3</v>
      </c>
      <c r="C22" s="5" t="s">
        <v>2</v>
      </c>
      <c r="D22" s="112">
        <f>D23+D24</f>
        <v>183317003</v>
      </c>
      <c r="E22" s="6" t="s">
        <v>0</v>
      </c>
      <c r="F22" s="7">
        <v>1</v>
      </c>
      <c r="G22" s="77"/>
      <c r="H22" s="77"/>
      <c r="I22" s="77"/>
      <c r="J22" s="77"/>
      <c r="K22" s="77"/>
      <c r="L22" s="77"/>
      <c r="M22" s="77"/>
      <c r="N22" s="77"/>
      <c r="O22" s="77"/>
      <c r="P22" s="77"/>
      <c r="Q22" s="77"/>
    </row>
    <row r="23" spans="1:24" x14ac:dyDescent="0.2">
      <c r="B23" s="5" t="s">
        <v>7</v>
      </c>
      <c r="C23" s="5" t="s">
        <v>1</v>
      </c>
      <c r="D23" s="113">
        <v>115480648</v>
      </c>
      <c r="E23" s="6" t="s">
        <v>0</v>
      </c>
      <c r="F23" s="8">
        <f>IFERROR(D23/$D$22,0)</f>
        <v>0.62995055619581564</v>
      </c>
    </row>
    <row r="24" spans="1:24" ht="15" thickBot="1" x14ac:dyDescent="0.25">
      <c r="B24" s="5" t="s">
        <v>8</v>
      </c>
      <c r="C24" s="5" t="s">
        <v>6</v>
      </c>
      <c r="D24" s="112">
        <f>D25+D26</f>
        <v>67836355</v>
      </c>
      <c r="E24" s="6" t="s">
        <v>0</v>
      </c>
      <c r="F24" s="8">
        <f>IFERROR(D24/$D$22,0)</f>
        <v>0.37004944380418436</v>
      </c>
    </row>
    <row r="25" spans="1:24" x14ac:dyDescent="0.2">
      <c r="B25" s="5" t="s">
        <v>9</v>
      </c>
      <c r="C25" s="5" t="s">
        <v>4</v>
      </c>
      <c r="D25" s="113">
        <v>0</v>
      </c>
      <c r="E25" s="6" t="s">
        <v>0</v>
      </c>
      <c r="F25" s="8">
        <f>IFERROR(D25/$D$22,0)</f>
        <v>0</v>
      </c>
    </row>
    <row r="26" spans="1:24" x14ac:dyDescent="0.2">
      <c r="B26" s="5" t="s">
        <v>61</v>
      </c>
      <c r="C26" s="5" t="s">
        <v>5</v>
      </c>
      <c r="D26" s="114">
        <v>67836355</v>
      </c>
      <c r="E26" s="6" t="s">
        <v>0</v>
      </c>
      <c r="F26" s="8">
        <f>IFERROR(D26/$D$22,0)</f>
        <v>0.37004944380418436</v>
      </c>
      <c r="G26" s="29"/>
      <c r="H26" s="29"/>
    </row>
    <row r="27" spans="1:24" ht="34.5" customHeight="1" x14ac:dyDescent="0.2">
      <c r="B27" s="155" t="s">
        <v>77</v>
      </c>
      <c r="C27" s="155"/>
      <c r="D27" s="155"/>
      <c r="E27" s="155"/>
      <c r="F27" s="155"/>
      <c r="G27" s="156"/>
      <c r="H27" s="156"/>
    </row>
    <row r="28" spans="1:24" x14ac:dyDescent="0.2">
      <c r="D28" s="115"/>
      <c r="E28" s="35"/>
      <c r="F28" s="35"/>
      <c r="G28" s="35"/>
    </row>
    <row r="29" spans="1:24" ht="15" x14ac:dyDescent="0.25">
      <c r="A29" s="1" t="s">
        <v>35</v>
      </c>
      <c r="B29" s="3" t="s">
        <v>41</v>
      </c>
    </row>
    <row r="30" spans="1:24" ht="15" x14ac:dyDescent="0.25">
      <c r="B30" s="3"/>
    </row>
    <row r="31" spans="1:24" ht="15" x14ac:dyDescent="0.25">
      <c r="B31" s="2" t="s">
        <v>22</v>
      </c>
      <c r="C31" s="52" t="s">
        <v>162</v>
      </c>
      <c r="E31" s="77"/>
      <c r="F31" s="35"/>
      <c r="G31" s="35"/>
      <c r="H31" s="35"/>
      <c r="I31" s="35"/>
      <c r="J31" s="35"/>
      <c r="K31" s="35"/>
    </row>
    <row r="32" spans="1:24" x14ac:dyDescent="0.2">
      <c r="E32" s="77"/>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t="s">
        <v>163</v>
      </c>
    </row>
    <row r="44" spans="1:23" ht="15.75" thickBot="1" x14ac:dyDescent="0.3">
      <c r="B44" s="2" t="s">
        <v>25</v>
      </c>
      <c r="C44" s="93">
        <v>2016</v>
      </c>
      <c r="D44" s="77"/>
      <c r="E44" s="77"/>
      <c r="F44" s="78"/>
      <c r="G44" s="33"/>
      <c r="H44" s="33"/>
      <c r="I44" s="33"/>
      <c r="J44" s="33"/>
      <c r="K44" s="33"/>
      <c r="N44" s="3" t="s">
        <v>29</v>
      </c>
    </row>
    <row r="45" spans="1:23" s="9" customFormat="1" ht="80.25" customHeight="1" thickBot="1" x14ac:dyDescent="0.3">
      <c r="B45" s="50" t="s">
        <v>39</v>
      </c>
      <c r="C45" s="61" t="s">
        <v>139</v>
      </c>
      <c r="D45" s="79" t="s">
        <v>83</v>
      </c>
      <c r="E45" s="80" t="s">
        <v>84</v>
      </c>
      <c r="F45" s="66" t="s">
        <v>128</v>
      </c>
      <c r="G45" s="26" t="s">
        <v>49</v>
      </c>
      <c r="H45" s="26" t="s">
        <v>23</v>
      </c>
      <c r="I45" s="26" t="s">
        <v>50</v>
      </c>
      <c r="J45" s="26" t="s">
        <v>76</v>
      </c>
      <c r="K45" s="67" t="s">
        <v>78</v>
      </c>
      <c r="N45" s="11"/>
      <c r="O45" s="150">
        <v>2016</v>
      </c>
      <c r="P45" s="150"/>
      <c r="Q45" s="150"/>
      <c r="R45" s="150">
        <v>2015</v>
      </c>
      <c r="S45" s="150"/>
      <c r="T45" s="150"/>
      <c r="U45" s="150">
        <v>2014</v>
      </c>
      <c r="V45" s="150"/>
      <c r="W45" s="150"/>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98" t="s">
        <v>26</v>
      </c>
      <c r="P46" s="98" t="s">
        <v>27</v>
      </c>
      <c r="Q46" s="98" t="s">
        <v>28</v>
      </c>
      <c r="R46" s="98" t="s">
        <v>26</v>
      </c>
      <c r="S46" s="98" t="s">
        <v>27</v>
      </c>
      <c r="T46" s="98" t="s">
        <v>28</v>
      </c>
      <c r="U46" s="98" t="s">
        <v>26</v>
      </c>
      <c r="V46" s="98" t="s">
        <v>27</v>
      </c>
      <c r="W46" s="98" t="s">
        <v>28</v>
      </c>
    </row>
    <row r="47" spans="1:23" x14ac:dyDescent="0.2">
      <c r="B47" s="13" t="s">
        <v>10</v>
      </c>
      <c r="C47" s="92">
        <v>5648596</v>
      </c>
      <c r="D47" s="92">
        <f>+'GA Analysis 2015  Final'!E58</f>
        <v>5870529</v>
      </c>
      <c r="E47" s="92">
        <f>6006490+221933</f>
        <v>6228423</v>
      </c>
      <c r="F47" s="51">
        <f>+C47-D47+E47</f>
        <v>6006490</v>
      </c>
      <c r="G47" s="106">
        <v>8.4229999999999999E-2</v>
      </c>
      <c r="H47" s="15">
        <f>F47*G47</f>
        <v>505926.65269999998</v>
      </c>
      <c r="I47" s="106">
        <v>9.1789999999999997E-2</v>
      </c>
      <c r="J47" s="17">
        <f>F47*I47</f>
        <v>551335.71710000001</v>
      </c>
      <c r="K47" s="16">
        <f>J47-H47</f>
        <v>45409.064400000032</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2">
        <v>5938235</v>
      </c>
      <c r="D48" s="92">
        <f>+E47</f>
        <v>6228423</v>
      </c>
      <c r="E48" s="92">
        <f>5847442+290188</f>
        <v>6137630</v>
      </c>
      <c r="F48" s="51">
        <f t="shared" ref="F48:F58" si="0">+C48-D48+E48</f>
        <v>5847442</v>
      </c>
      <c r="G48" s="106">
        <v>0.10384</v>
      </c>
      <c r="H48" s="15">
        <f t="shared" ref="H48:H58" si="1">F48*G48</f>
        <v>607198.37728000002</v>
      </c>
      <c r="I48" s="106">
        <v>9.851E-2</v>
      </c>
      <c r="J48" s="17">
        <f t="shared" ref="J48:J58" si="2">F48*I48</f>
        <v>576031.51142</v>
      </c>
      <c r="K48" s="16">
        <f t="shared" ref="K48:K58" si="3">J48-H48</f>
        <v>-31166.86586000002</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2">
        <v>6229109</v>
      </c>
      <c r="D49" s="92">
        <f t="shared" ref="D49:D58" si="4">+E48</f>
        <v>6137630</v>
      </c>
      <c r="E49" s="92">
        <f>5998838-91479</f>
        <v>5907359</v>
      </c>
      <c r="F49" s="51">
        <f t="shared" si="0"/>
        <v>5998838</v>
      </c>
      <c r="G49" s="106">
        <v>9.0219999999999995E-2</v>
      </c>
      <c r="H49" s="15">
        <f t="shared" si="1"/>
        <v>541215.16435999994</v>
      </c>
      <c r="I49" s="106">
        <v>0.1061</v>
      </c>
      <c r="J49" s="17">
        <f t="shared" si="2"/>
        <v>636476.71180000005</v>
      </c>
      <c r="K49" s="16">
        <f t="shared" si="3"/>
        <v>95261.547440000111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2">
        <v>5767603</v>
      </c>
      <c r="D50" s="92">
        <f t="shared" si="4"/>
        <v>5907359</v>
      </c>
      <c r="E50" s="92">
        <f>5213064+139756</f>
        <v>5352820</v>
      </c>
      <c r="F50" s="51">
        <f t="shared" si="0"/>
        <v>5213064</v>
      </c>
      <c r="G50" s="106">
        <v>0.12114999999999999</v>
      </c>
      <c r="H50" s="15">
        <f t="shared" si="1"/>
        <v>631562.70360000001</v>
      </c>
      <c r="I50" s="106">
        <v>0.11132</v>
      </c>
      <c r="J50" s="17">
        <f t="shared" si="2"/>
        <v>580318.28448000003</v>
      </c>
      <c r="K50" s="16">
        <f t="shared" si="3"/>
        <v>-51244.419119999977</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2">
        <v>5427643</v>
      </c>
      <c r="D51" s="92">
        <f t="shared" si="4"/>
        <v>5352820</v>
      </c>
      <c r="E51" s="92">
        <f>5257311-74823</f>
        <v>5182488</v>
      </c>
      <c r="F51" s="51">
        <f t="shared" si="0"/>
        <v>5257311</v>
      </c>
      <c r="G51" s="106">
        <v>0.10405</v>
      </c>
      <c r="H51" s="15">
        <f t="shared" si="1"/>
        <v>547023.20955000003</v>
      </c>
      <c r="I51" s="106">
        <v>0.10749</v>
      </c>
      <c r="J51" s="17">
        <f t="shared" si="2"/>
        <v>565108.35939</v>
      </c>
      <c r="K51" s="16">
        <f t="shared" si="3"/>
        <v>18085.149839999969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2">
        <v>5262976</v>
      </c>
      <c r="D52" s="92">
        <f t="shared" si="4"/>
        <v>5182488</v>
      </c>
      <c r="E52" s="92">
        <f>5544652-80488</f>
        <v>5464164</v>
      </c>
      <c r="F52" s="51">
        <f t="shared" si="0"/>
        <v>5544652</v>
      </c>
      <c r="G52" s="106">
        <v>0.11650000000000001</v>
      </c>
      <c r="H52" s="15">
        <f t="shared" si="1"/>
        <v>645951.95799999998</v>
      </c>
      <c r="I52" s="106">
        <v>9.5449999999999993E-2</v>
      </c>
      <c r="J52" s="17">
        <f t="shared" si="2"/>
        <v>529237.03339999996</v>
      </c>
      <c r="K52" s="16">
        <f t="shared" si="3"/>
        <v>-116714.92460000003</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2">
        <v>5425625</v>
      </c>
      <c r="D53" s="92">
        <f t="shared" si="4"/>
        <v>5464164</v>
      </c>
      <c r="E53" s="92">
        <f>6026917+38539</f>
        <v>6065456</v>
      </c>
      <c r="F53" s="51">
        <f t="shared" si="0"/>
        <v>6026917</v>
      </c>
      <c r="G53" s="106">
        <v>7.6670000000000002E-2</v>
      </c>
      <c r="H53" s="15">
        <f t="shared" si="1"/>
        <v>462083.72639000003</v>
      </c>
      <c r="I53" s="106">
        <v>8.3059999999999995E-2</v>
      </c>
      <c r="J53" s="17">
        <f t="shared" si="2"/>
        <v>500595.72601999994</v>
      </c>
      <c r="K53" s="16">
        <f t="shared" si="3"/>
        <v>38511.999629999918</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2">
        <v>5967194</v>
      </c>
      <c r="D54" s="92">
        <f t="shared" si="4"/>
        <v>6065456</v>
      </c>
      <c r="E54" s="92">
        <f>6818352+98262</f>
        <v>6916614</v>
      </c>
      <c r="F54" s="51">
        <f t="shared" si="0"/>
        <v>6818352</v>
      </c>
      <c r="G54" s="106">
        <v>8.5690000000000002E-2</v>
      </c>
      <c r="H54" s="15">
        <f t="shared" si="1"/>
        <v>584264.58288</v>
      </c>
      <c r="I54" s="106">
        <v>7.1029999999999996E-2</v>
      </c>
      <c r="J54" s="17">
        <f t="shared" si="2"/>
        <v>484307.54255999997</v>
      </c>
      <c r="K54" s="16">
        <f t="shared" si="3"/>
        <v>-99957.040320000029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2">
        <v>6968506</v>
      </c>
      <c r="D55" s="92">
        <f t="shared" si="4"/>
        <v>6916614</v>
      </c>
      <c r="E55" s="92">
        <f>5564355-51892</f>
        <v>5512463</v>
      </c>
      <c r="F55" s="51">
        <f t="shared" si="0"/>
        <v>5564355</v>
      </c>
      <c r="G55" s="106">
        <v>7.0599999999999996E-2</v>
      </c>
      <c r="H55" s="15">
        <f t="shared" si="1"/>
        <v>392843.46299999999</v>
      </c>
      <c r="I55" s="106">
        <v>9.5310000000000006E-2</v>
      </c>
      <c r="J55" s="17">
        <f t="shared" si="2"/>
        <v>530338.67505000008</v>
      </c>
      <c r="K55" s="16">
        <f t="shared" si="3"/>
        <v>137495.21205000009</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2">
        <v>5837381</v>
      </c>
      <c r="D56" s="92">
        <f t="shared" si="4"/>
        <v>5512463</v>
      </c>
      <c r="E56" s="92">
        <f>5949552-324918</f>
        <v>5624634</v>
      </c>
      <c r="F56" s="51">
        <f t="shared" si="0"/>
        <v>5949552</v>
      </c>
      <c r="G56" s="106">
        <v>9.7199999999999995E-2</v>
      </c>
      <c r="H56" s="15">
        <f t="shared" si="1"/>
        <v>578296.45439999993</v>
      </c>
      <c r="I56" s="106">
        <v>0.11226</v>
      </c>
      <c r="J56" s="17">
        <f t="shared" si="2"/>
        <v>667896.70751999994</v>
      </c>
      <c r="K56" s="16">
        <f t="shared" si="3"/>
        <v>89600.253120000008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2">
        <v>4512724</v>
      </c>
      <c r="D57" s="92">
        <f t="shared" si="4"/>
        <v>5624634</v>
      </c>
      <c r="E57" s="92">
        <f>6729932+1111910</f>
        <v>7841842</v>
      </c>
      <c r="F57" s="51">
        <f t="shared" si="0"/>
        <v>6729932</v>
      </c>
      <c r="G57" s="106">
        <v>0.12271</v>
      </c>
      <c r="H57" s="15">
        <f t="shared" si="1"/>
        <v>825829.95571999997</v>
      </c>
      <c r="I57" s="106">
        <v>0.11108999999999999</v>
      </c>
      <c r="J57" s="17">
        <f t="shared" si="2"/>
        <v>747628.14587999997</v>
      </c>
      <c r="K57" s="16">
        <f t="shared" si="3"/>
        <v>-78201.809840000002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2">
        <v>6710731</v>
      </c>
      <c r="D58" s="92">
        <f t="shared" si="4"/>
        <v>7841842</v>
      </c>
      <c r="E58" s="92">
        <f>6510292+1131111</f>
        <v>7641403</v>
      </c>
      <c r="F58" s="51">
        <f t="shared" si="0"/>
        <v>6510292</v>
      </c>
      <c r="G58" s="106">
        <v>0.10594000000000001</v>
      </c>
      <c r="H58" s="15">
        <f t="shared" si="1"/>
        <v>689700.33448000008</v>
      </c>
      <c r="I58" s="106">
        <v>8.7080000000000005E-2</v>
      </c>
      <c r="J58" s="17">
        <f t="shared" si="2"/>
        <v>566916.22736000002</v>
      </c>
      <c r="K58" s="16">
        <f t="shared" si="3"/>
        <v>-122784.10712000006</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3" t="s">
        <v>133</v>
      </c>
      <c r="C59" s="94">
        <f>SUM(C47:C58)</f>
        <v>69696323</v>
      </c>
      <c r="D59" s="94">
        <f>SUM(D47:D58)</f>
        <v>72104422</v>
      </c>
      <c r="E59" s="94">
        <f>SUM(E47:E58)</f>
        <v>73875296</v>
      </c>
      <c r="F59" s="94">
        <f>SUM(F47:F58)</f>
        <v>71467197</v>
      </c>
      <c r="G59" s="37"/>
      <c r="H59" s="38">
        <f>SUM(H47:H58)</f>
        <v>7011896.5823599994</v>
      </c>
      <c r="I59" s="37"/>
      <c r="J59" s="38">
        <f>SUM(J47:J58)</f>
        <v>6936190.6419799989</v>
      </c>
      <c r="K59" s="39">
        <f>SUM(K47:K58)</f>
        <v>-75705.940379999985</v>
      </c>
      <c r="N59" s="31"/>
      <c r="O59" s="32"/>
      <c r="P59" s="32"/>
      <c r="Q59" s="32"/>
      <c r="R59" s="32"/>
      <c r="S59" s="32"/>
      <c r="T59" s="32"/>
      <c r="U59" s="32"/>
      <c r="V59" s="32"/>
      <c r="W59" s="32"/>
    </row>
    <row r="60" spans="1:24" x14ac:dyDescent="0.2">
      <c r="C60" s="134"/>
      <c r="G60" s="4"/>
      <c r="H60" s="140"/>
      <c r="I60" s="4"/>
      <c r="J60" s="135"/>
      <c r="K60" s="121"/>
      <c r="N60" s="29"/>
      <c r="O60" s="30"/>
      <c r="P60" s="30"/>
      <c r="Q60" s="30"/>
      <c r="R60" s="30"/>
      <c r="S60" s="30"/>
      <c r="T60" s="30"/>
      <c r="U60" s="30"/>
      <c r="V60" s="30"/>
      <c r="W60" s="30"/>
    </row>
    <row r="61" spans="1:24" x14ac:dyDescent="0.2">
      <c r="H61" s="116"/>
      <c r="M61" s="116"/>
      <c r="N61" s="29"/>
      <c r="O61" s="30"/>
      <c r="P61" s="30"/>
      <c r="Q61" s="30"/>
      <c r="R61" s="30"/>
      <c r="S61" s="30"/>
      <c r="T61" s="30"/>
      <c r="U61" s="30"/>
      <c r="V61" s="30"/>
      <c r="W61" s="30"/>
    </row>
    <row r="62" spans="1:24" ht="15" x14ac:dyDescent="0.25">
      <c r="A62" s="1" t="s">
        <v>143</v>
      </c>
      <c r="B62" s="47" t="s">
        <v>136</v>
      </c>
      <c r="C62" s="2"/>
      <c r="H62" s="116"/>
      <c r="I62" s="116"/>
      <c r="K62" s="110"/>
      <c r="N62" s="29"/>
      <c r="O62" s="30"/>
      <c r="P62" s="30"/>
      <c r="Q62" s="30"/>
      <c r="R62" s="30"/>
      <c r="S62" s="30"/>
      <c r="T62" s="30"/>
      <c r="U62" s="30"/>
      <c r="V62" s="30"/>
      <c r="W62" s="30"/>
    </row>
    <row r="63" spans="1:24" ht="15" x14ac:dyDescent="0.25">
      <c r="B63" s="3"/>
      <c r="C63" s="2"/>
      <c r="K63" s="118"/>
      <c r="M63" s="136"/>
      <c r="N63" s="29"/>
      <c r="O63" s="29"/>
      <c r="P63" s="29"/>
      <c r="Q63" s="29"/>
      <c r="R63" s="29"/>
      <c r="S63" s="29"/>
      <c r="T63" s="29"/>
      <c r="U63" s="29"/>
      <c r="V63" s="29"/>
      <c r="W63" s="29"/>
    </row>
    <row r="64" spans="1:24" ht="45" x14ac:dyDescent="0.25">
      <c r="A64" s="11"/>
      <c r="B64" s="141" t="s">
        <v>45</v>
      </c>
      <c r="C64" s="48" t="s">
        <v>67</v>
      </c>
      <c r="D64" s="48" t="s">
        <v>121</v>
      </c>
      <c r="E64" s="157" t="s">
        <v>44</v>
      </c>
      <c r="F64" s="157"/>
      <c r="G64" s="157"/>
      <c r="H64" s="157"/>
      <c r="I64" s="157"/>
      <c r="K64" s="116"/>
      <c r="O64" s="29"/>
      <c r="P64" s="29"/>
      <c r="Q64" s="29"/>
      <c r="R64" s="29"/>
      <c r="S64" s="29"/>
      <c r="T64" s="29"/>
      <c r="U64" s="29"/>
      <c r="V64" s="29"/>
      <c r="W64" s="29"/>
      <c r="X64" s="29"/>
    </row>
    <row r="65" spans="1:24" ht="30.75" customHeight="1" x14ac:dyDescent="0.25">
      <c r="A65" s="158" t="s">
        <v>134</v>
      </c>
      <c r="B65" s="159"/>
      <c r="C65" s="160"/>
      <c r="D65" s="122">
        <v>284769.77</v>
      </c>
      <c r="E65" s="161"/>
      <c r="F65" s="162"/>
      <c r="G65" s="162"/>
      <c r="H65" s="162"/>
      <c r="I65" s="163"/>
      <c r="K65" s="116"/>
      <c r="O65" s="29"/>
      <c r="P65" s="29"/>
      <c r="Q65" s="29"/>
      <c r="R65" s="29"/>
      <c r="S65" s="29"/>
      <c r="T65" s="29"/>
      <c r="U65" s="29"/>
      <c r="V65" s="29"/>
      <c r="W65" s="29"/>
      <c r="X65" s="29"/>
    </row>
    <row r="66" spans="1:24" ht="28.5" x14ac:dyDescent="0.2">
      <c r="A66" s="68" t="s">
        <v>51</v>
      </c>
      <c r="B66" s="49" t="s">
        <v>62</v>
      </c>
      <c r="C66" s="107"/>
      <c r="D66" s="95"/>
      <c r="E66" s="151"/>
      <c r="F66" s="151"/>
      <c r="G66" s="151"/>
      <c r="H66" s="151"/>
      <c r="I66" s="151"/>
      <c r="K66" s="116"/>
      <c r="O66" s="29"/>
      <c r="P66" s="29"/>
      <c r="Q66" s="29"/>
      <c r="R66" s="29"/>
      <c r="S66" s="29"/>
      <c r="T66" s="29"/>
      <c r="U66" s="29"/>
      <c r="V66" s="29"/>
      <c r="W66" s="29"/>
      <c r="X66" s="29"/>
    </row>
    <row r="67" spans="1:24" ht="28.5" x14ac:dyDescent="0.2">
      <c r="A67" s="68" t="s">
        <v>52</v>
      </c>
      <c r="B67" s="49" t="s">
        <v>79</v>
      </c>
      <c r="C67" s="108"/>
      <c r="D67" s="109"/>
      <c r="E67" s="164"/>
      <c r="F67" s="165"/>
      <c r="G67" s="165"/>
      <c r="H67" s="165"/>
      <c r="I67" s="166"/>
      <c r="J67" s="77"/>
      <c r="K67" s="117"/>
      <c r="L67" s="77"/>
      <c r="M67" s="77"/>
      <c r="N67" s="77"/>
      <c r="O67" s="77"/>
      <c r="P67" s="77"/>
      <c r="Q67" s="77"/>
    </row>
    <row r="68" spans="1:24" ht="28.5" x14ac:dyDescent="0.2">
      <c r="A68" s="68" t="s">
        <v>65</v>
      </c>
      <c r="B68" s="49" t="s">
        <v>64</v>
      </c>
      <c r="C68" s="107"/>
      <c r="D68" s="109">
        <v>-22059</v>
      </c>
      <c r="E68" s="151"/>
      <c r="F68" s="151"/>
      <c r="G68" s="151"/>
      <c r="H68" s="151"/>
      <c r="I68" s="151"/>
      <c r="J68" s="77"/>
      <c r="K68" s="117"/>
      <c r="L68" s="77"/>
      <c r="M68" s="77"/>
      <c r="N68" s="77"/>
      <c r="O68" s="77"/>
      <c r="P68" s="77"/>
      <c r="Q68" s="77"/>
    </row>
    <row r="69" spans="1:24" ht="28.5" x14ac:dyDescent="0.2">
      <c r="A69" s="68" t="s">
        <v>66</v>
      </c>
      <c r="B69" s="49" t="s">
        <v>63</v>
      </c>
      <c r="C69" s="108"/>
      <c r="D69" s="109">
        <v>90235.92</v>
      </c>
      <c r="E69" s="164"/>
      <c r="F69" s="165"/>
      <c r="G69" s="165"/>
      <c r="H69" s="165"/>
      <c r="I69" s="166"/>
      <c r="J69" s="77"/>
      <c r="K69" s="120"/>
      <c r="L69" s="77"/>
      <c r="M69" s="77"/>
      <c r="N69" s="77"/>
      <c r="O69" s="77"/>
      <c r="P69" s="77"/>
      <c r="Q69" s="77"/>
    </row>
    <row r="70" spans="1:24" ht="28.5" customHeight="1" x14ac:dyDescent="0.2">
      <c r="A70" s="68" t="s">
        <v>69</v>
      </c>
      <c r="B70" s="49" t="s">
        <v>71</v>
      </c>
      <c r="C70" s="107" t="s">
        <v>164</v>
      </c>
      <c r="D70" s="95">
        <v>-727</v>
      </c>
      <c r="E70" s="151"/>
      <c r="F70" s="151"/>
      <c r="G70" s="151"/>
      <c r="H70" s="151"/>
      <c r="I70" s="151"/>
      <c r="J70" s="77"/>
      <c r="K70" s="120"/>
      <c r="L70" s="77"/>
      <c r="M70" s="77"/>
      <c r="N70" s="77"/>
      <c r="O70" s="77"/>
      <c r="P70" s="77"/>
      <c r="Q70" s="77"/>
    </row>
    <row r="71" spans="1:24" ht="28.5" x14ac:dyDescent="0.2">
      <c r="A71" s="68" t="s">
        <v>70</v>
      </c>
      <c r="B71" s="49" t="s">
        <v>72</v>
      </c>
      <c r="C71" s="107"/>
      <c r="D71" s="95"/>
      <c r="E71" s="151"/>
      <c r="F71" s="151"/>
      <c r="G71" s="151"/>
      <c r="H71" s="151"/>
      <c r="I71" s="151"/>
      <c r="J71" s="77"/>
      <c r="K71" s="120"/>
      <c r="L71" s="77"/>
      <c r="M71" s="77"/>
      <c r="N71" s="77"/>
      <c r="O71" s="77"/>
      <c r="P71" s="77"/>
      <c r="Q71" s="77"/>
    </row>
    <row r="72" spans="1:24" ht="33.75" customHeight="1" x14ac:dyDescent="0.2">
      <c r="A72" s="68">
        <v>4</v>
      </c>
      <c r="B72" s="49" t="s">
        <v>68</v>
      </c>
      <c r="C72" s="107"/>
      <c r="D72" s="95"/>
      <c r="E72" s="151"/>
      <c r="F72" s="151"/>
      <c r="G72" s="151"/>
      <c r="H72" s="151"/>
      <c r="I72" s="151"/>
      <c r="J72" s="77"/>
      <c r="K72" s="120"/>
      <c r="L72" s="77"/>
      <c r="M72" s="77"/>
      <c r="N72" s="77"/>
      <c r="O72" s="77"/>
      <c r="P72" s="77"/>
      <c r="Q72" s="77"/>
    </row>
    <row r="73" spans="1:24" ht="42.75" x14ac:dyDescent="0.2">
      <c r="A73" s="68">
        <v>5</v>
      </c>
      <c r="B73" s="49" t="s">
        <v>81</v>
      </c>
      <c r="C73" s="107"/>
      <c r="D73" s="95">
        <v>-59952</v>
      </c>
      <c r="E73" s="151" t="s">
        <v>165</v>
      </c>
      <c r="F73" s="151"/>
      <c r="G73" s="151"/>
      <c r="H73" s="151"/>
      <c r="I73" s="151"/>
      <c r="J73" s="77"/>
      <c r="K73" s="120"/>
      <c r="L73" s="77"/>
      <c r="M73" s="77"/>
      <c r="N73" s="77"/>
      <c r="O73" s="77"/>
      <c r="P73" s="77"/>
      <c r="Q73" s="77"/>
    </row>
    <row r="74" spans="1:24" ht="28.5" x14ac:dyDescent="0.2">
      <c r="A74" s="54">
        <v>6</v>
      </c>
      <c r="B74" s="124" t="s">
        <v>137</v>
      </c>
      <c r="C74" s="107"/>
      <c r="D74" s="95"/>
      <c r="E74" s="151"/>
      <c r="F74" s="151"/>
      <c r="G74" s="151"/>
      <c r="H74" s="151"/>
      <c r="I74" s="151"/>
      <c r="K74" s="29"/>
    </row>
    <row r="75" spans="1:24" x14ac:dyDescent="0.2">
      <c r="A75" s="54">
        <v>7</v>
      </c>
      <c r="B75" s="46" t="s">
        <v>167</v>
      </c>
      <c r="C75" s="107" t="s">
        <v>164</v>
      </c>
      <c r="D75" s="95">
        <v>-176621.61</v>
      </c>
      <c r="E75" s="151"/>
      <c r="F75" s="151"/>
      <c r="G75" s="151"/>
      <c r="H75" s="151"/>
      <c r="I75" s="151"/>
    </row>
    <row r="76" spans="1:24" x14ac:dyDescent="0.2">
      <c r="A76" s="54">
        <v>8</v>
      </c>
      <c r="B76" s="46" t="s">
        <v>168</v>
      </c>
      <c r="C76" s="10"/>
      <c r="D76" s="95">
        <v>-174548.59</v>
      </c>
      <c r="E76" s="151"/>
      <c r="F76" s="151"/>
      <c r="G76" s="151"/>
      <c r="H76" s="151"/>
      <c r="I76" s="151"/>
    </row>
    <row r="77" spans="1:24" x14ac:dyDescent="0.2">
      <c r="A77" s="54">
        <v>9</v>
      </c>
      <c r="B77" s="46"/>
      <c r="C77" s="10"/>
      <c r="D77" s="95"/>
      <c r="E77" s="164"/>
      <c r="F77" s="165"/>
      <c r="G77" s="165"/>
      <c r="H77" s="165"/>
      <c r="I77" s="166"/>
    </row>
    <row r="78" spans="1:24" x14ac:dyDescent="0.2">
      <c r="A78" s="54">
        <v>10</v>
      </c>
      <c r="B78" s="46"/>
      <c r="C78" s="10"/>
      <c r="D78" s="95"/>
      <c r="E78" s="151"/>
      <c r="F78" s="151"/>
      <c r="G78" s="151"/>
      <c r="H78" s="151"/>
      <c r="I78" s="151"/>
    </row>
    <row r="79" spans="1:24" ht="15" x14ac:dyDescent="0.25">
      <c r="A79" s="1" t="s">
        <v>150</v>
      </c>
      <c r="B79" s="2" t="s">
        <v>131</v>
      </c>
      <c r="C79" s="2"/>
      <c r="D79" s="96">
        <f>SUM(D65:D78)</f>
        <v>-58902.50999999998</v>
      </c>
      <c r="E79" s="25"/>
      <c r="F79" s="25"/>
      <c r="G79" s="25"/>
      <c r="H79" s="25"/>
    </row>
    <row r="80" spans="1:24" ht="15" x14ac:dyDescent="0.25">
      <c r="B80" s="119" t="s">
        <v>132</v>
      </c>
      <c r="C80" s="69"/>
      <c r="D80" s="96">
        <f>K59</f>
        <v>-75705.940379999985</v>
      </c>
      <c r="E80" s="25"/>
      <c r="F80" s="25"/>
      <c r="G80" s="25"/>
      <c r="H80" s="25"/>
    </row>
    <row r="81" spans="1:19" ht="15" x14ac:dyDescent="0.25">
      <c r="B81" s="69" t="s">
        <v>24</v>
      </c>
      <c r="C81" s="69"/>
      <c r="D81" s="97">
        <f>D79-D80</f>
        <v>16803.430380000005</v>
      </c>
    </row>
    <row r="82" spans="1:19" ht="15.75" thickBot="1" x14ac:dyDescent="0.3">
      <c r="B82" s="130" t="s">
        <v>73</v>
      </c>
      <c r="C82" s="70"/>
      <c r="D82" s="60">
        <f>IF(ISERROR(D81/J59),0,D81/J59)</f>
        <v>2.4225733183140009E-3</v>
      </c>
      <c r="E82" s="99" t="str">
        <f>IF(AND(D82&lt;0.01,D82&gt;-0.01),"","Unresolved differences of greater than + or - 1% should be explained")</f>
        <v/>
      </c>
      <c r="G82" s="77"/>
      <c r="H82" s="35"/>
      <c r="I82" s="35"/>
      <c r="J82" s="35"/>
      <c r="K82" s="35"/>
      <c r="L82" s="35"/>
    </row>
    <row r="83" spans="1:19" ht="15.75" thickTop="1" x14ac:dyDescent="0.25">
      <c r="B83" s="2"/>
      <c r="C83" s="56"/>
      <c r="D83" s="59"/>
      <c r="G83" s="77"/>
    </row>
    <row r="84" spans="1:19" ht="15" x14ac:dyDescent="0.25">
      <c r="B84" s="2"/>
      <c r="C84" s="56"/>
      <c r="D84" s="34"/>
    </row>
    <row r="85" spans="1:19" ht="15" x14ac:dyDescent="0.25">
      <c r="A85" s="1" t="s">
        <v>75</v>
      </c>
      <c r="B85" s="71" t="s">
        <v>138</v>
      </c>
      <c r="C85" s="58"/>
      <c r="D85" s="59"/>
    </row>
    <row r="86" spans="1:19" ht="15" x14ac:dyDescent="0.25">
      <c r="B86" s="57"/>
      <c r="C86" s="58"/>
      <c r="D86" s="59"/>
    </row>
    <row r="87" spans="1:19" ht="75" x14ac:dyDescent="0.25">
      <c r="B87" s="142" t="s">
        <v>25</v>
      </c>
      <c r="C87" s="48" t="s">
        <v>157</v>
      </c>
      <c r="D87" s="48" t="s">
        <v>158</v>
      </c>
      <c r="E87" s="48" t="s">
        <v>159</v>
      </c>
      <c r="F87" s="72" t="s">
        <v>131</v>
      </c>
      <c r="G87" s="48" t="s">
        <v>24</v>
      </c>
      <c r="H87" s="74" t="s">
        <v>160</v>
      </c>
      <c r="I87" s="48" t="s">
        <v>73</v>
      </c>
      <c r="J87" s="77"/>
      <c r="K87" s="77"/>
      <c r="L87" s="35"/>
      <c r="M87" s="35"/>
      <c r="N87" s="35"/>
      <c r="O87" s="35"/>
      <c r="P87" s="35"/>
      <c r="Q87" s="35"/>
      <c r="R87" s="35"/>
      <c r="S87" s="35"/>
    </row>
    <row r="88" spans="1:19" x14ac:dyDescent="0.2">
      <c r="B88" s="111"/>
      <c r="C88" s="102"/>
      <c r="D88" s="102"/>
      <c r="E88" s="103"/>
      <c r="F88" s="126">
        <f>SUM(D88:E88)</f>
        <v>0</v>
      </c>
      <c r="G88" s="104">
        <f>F88-C88</f>
        <v>0</v>
      </c>
      <c r="H88" s="103"/>
      <c r="I88" s="100">
        <f>IF(ISERROR(G88/H88),0,G88/H88)</f>
        <v>0</v>
      </c>
      <c r="J88" s="77"/>
      <c r="K88" s="77"/>
      <c r="L88" s="35"/>
      <c r="M88" s="35"/>
      <c r="N88" s="35"/>
      <c r="O88" s="35"/>
      <c r="P88" s="35"/>
      <c r="Q88" s="35"/>
      <c r="R88" s="35"/>
      <c r="S88" s="35"/>
    </row>
    <row r="89" spans="1:19" x14ac:dyDescent="0.2">
      <c r="B89" s="111"/>
      <c r="C89" s="102"/>
      <c r="D89" s="102"/>
      <c r="E89" s="103"/>
      <c r="F89" s="126">
        <f t="shared" ref="F89:F91" si="5">SUM(D89:E89)</f>
        <v>0</v>
      </c>
      <c r="G89" s="104">
        <f>F89-C89</f>
        <v>0</v>
      </c>
      <c r="H89" s="103"/>
      <c r="I89" s="100">
        <f>IF(ISERROR(G89/H89),0,G89/H89)</f>
        <v>0</v>
      </c>
      <c r="J89" s="77"/>
      <c r="K89" s="77"/>
      <c r="L89" s="35"/>
      <c r="M89" s="35"/>
      <c r="N89" s="35"/>
      <c r="O89" s="35"/>
      <c r="P89" s="35"/>
      <c r="Q89" s="35"/>
      <c r="R89" s="35"/>
      <c r="S89" s="35"/>
    </row>
    <row r="90" spans="1:19" x14ac:dyDescent="0.2">
      <c r="B90" s="111"/>
      <c r="C90" s="102"/>
      <c r="D90" s="102"/>
      <c r="E90" s="103"/>
      <c r="F90" s="126">
        <f t="shared" si="5"/>
        <v>0</v>
      </c>
      <c r="G90" s="104">
        <f>F90-C90</f>
        <v>0</v>
      </c>
      <c r="H90" s="103"/>
      <c r="I90" s="100">
        <f>IF(ISERROR(G90/H90),0,G90/H90)</f>
        <v>0</v>
      </c>
      <c r="J90" s="77"/>
      <c r="K90" s="77"/>
      <c r="L90" s="35"/>
      <c r="M90" s="35"/>
      <c r="N90" s="35"/>
      <c r="O90" s="35"/>
      <c r="P90" s="35"/>
      <c r="Q90" s="35"/>
      <c r="R90" s="35"/>
      <c r="S90" s="35"/>
    </row>
    <row r="91" spans="1:19" ht="15" thickBot="1" x14ac:dyDescent="0.25">
      <c r="B91" s="111"/>
      <c r="C91" s="105"/>
      <c r="D91" s="105"/>
      <c r="E91" s="105"/>
      <c r="F91" s="126">
        <f t="shared" si="5"/>
        <v>0</v>
      </c>
      <c r="G91" s="104">
        <f>F91-C91</f>
        <v>0</v>
      </c>
      <c r="H91" s="105"/>
      <c r="I91" s="101">
        <f>IF(ISERROR(G91/H91),0,G91/H91)</f>
        <v>0</v>
      </c>
      <c r="J91" s="77"/>
      <c r="K91" s="77"/>
      <c r="L91" s="35"/>
      <c r="M91" s="35"/>
      <c r="N91" s="35"/>
      <c r="O91" s="35"/>
      <c r="P91" s="35"/>
      <c r="Q91" s="35"/>
      <c r="R91" s="35"/>
      <c r="S91" s="35"/>
    </row>
    <row r="92" spans="1:19" ht="15.75" thickBot="1" x14ac:dyDescent="0.3">
      <c r="B92" s="73" t="s">
        <v>74</v>
      </c>
      <c r="C92" s="125">
        <f t="shared" ref="C92:H92" si="6">SUM(C88:C91)</f>
        <v>0</v>
      </c>
      <c r="D92" s="125">
        <f t="shared" si="6"/>
        <v>0</v>
      </c>
      <c r="E92" s="125">
        <f t="shared" si="6"/>
        <v>0</v>
      </c>
      <c r="F92" s="127">
        <f t="shared" si="6"/>
        <v>0</v>
      </c>
      <c r="G92" s="125">
        <f>SUM(G88:G91)</f>
        <v>0</v>
      </c>
      <c r="H92" s="75">
        <f t="shared" si="6"/>
        <v>0</v>
      </c>
      <c r="I92" s="76" t="s">
        <v>80</v>
      </c>
      <c r="J92" s="77"/>
      <c r="K92" s="77"/>
      <c r="L92" s="35"/>
      <c r="M92" s="35"/>
      <c r="N92" s="35"/>
      <c r="O92" s="35"/>
      <c r="P92" s="35"/>
      <c r="Q92" s="35"/>
      <c r="R92" s="35"/>
      <c r="S92" s="35"/>
    </row>
    <row r="93" spans="1:19" x14ac:dyDescent="0.2">
      <c r="B93" s="4"/>
      <c r="C93" s="4"/>
      <c r="D93" s="4"/>
      <c r="E93" s="4"/>
      <c r="F93" s="4"/>
      <c r="G93" s="4"/>
      <c r="J93" s="77"/>
      <c r="K93" s="77"/>
      <c r="L93" s="35"/>
      <c r="M93" s="35"/>
      <c r="N93" s="35"/>
      <c r="O93" s="35"/>
      <c r="P93" s="35"/>
      <c r="Q93" s="35"/>
      <c r="R93" s="35"/>
      <c r="S93" s="35"/>
    </row>
    <row r="94" spans="1:19" x14ac:dyDescent="0.2">
      <c r="J94" s="77"/>
      <c r="K94" s="77"/>
      <c r="L94" s="35"/>
      <c r="M94" s="35"/>
      <c r="N94" s="35"/>
      <c r="O94" s="35"/>
      <c r="P94" s="35"/>
      <c r="Q94" s="35"/>
      <c r="R94" s="35"/>
      <c r="S94" s="35"/>
    </row>
    <row r="95" spans="1:19" ht="15" x14ac:dyDescent="0.25">
      <c r="B95" s="3" t="s">
        <v>37</v>
      </c>
      <c r="J95" s="77"/>
      <c r="K95" s="77"/>
    </row>
    <row r="96" spans="1:19" x14ac:dyDescent="0.2">
      <c r="B96" s="53"/>
      <c r="C96" s="53"/>
      <c r="D96" s="53"/>
      <c r="E96" s="53"/>
      <c r="F96" s="53"/>
      <c r="G96" s="53"/>
      <c r="H96" s="53"/>
      <c r="J96" s="77"/>
      <c r="K96" s="77"/>
    </row>
    <row r="97" spans="2:11" x14ac:dyDescent="0.2">
      <c r="B97" s="53"/>
      <c r="C97" s="53"/>
      <c r="D97" s="53"/>
      <c r="E97" s="53"/>
      <c r="F97" s="53"/>
      <c r="G97" s="53"/>
      <c r="H97" s="53"/>
      <c r="J97" s="77"/>
      <c r="K97" s="77"/>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2015  Final</vt:lpstr>
      <vt:lpstr>GA Analysis  2016 </vt:lpstr>
      <vt:lpstr>'GA Analysis  2016 '!Print_Area</vt:lpstr>
      <vt:lpstr>'GA Analysis 2015  Final'!Print_Area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Jane Donnelly</cp:lastModifiedBy>
  <cp:lastPrinted>2017-07-19T17:11:44Z</cp:lastPrinted>
  <dcterms:created xsi:type="dcterms:W3CDTF">2017-05-01T19:29:01Z</dcterms:created>
  <dcterms:modified xsi:type="dcterms:W3CDTF">2018-03-07T14:50:48Z</dcterms:modified>
</cp:coreProperties>
</file>