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embeddings/oleObject3.bin" ContentType="application/vnd.openxmlformats-officedocument.oleObject"/>
  <Override PartName="/xl/drawings/drawing3.xml" ContentType="application/vnd.openxmlformats-officedocument.drawing+xml"/>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6405" yWindow="-225" windowWidth="15255" windowHeight="11220" activeTab="6"/>
  </bookViews>
  <sheets>
    <sheet name="Capital Price--&gt;" sheetId="13" r:id="rId1"/>
    <sheet name="Capital Price Calculation" sheetId="22" r:id="rId2"/>
    <sheet name="All Variables" sheetId="23" r:id="rId3"/>
    <sheet name="Expected Inflation (i)" sheetId="21" r:id="rId4"/>
    <sheet name="Enbridge Ratings and Yields" sheetId="18" r:id="rId5"/>
    <sheet name="Capital Stock--&gt;" sheetId="11" r:id="rId6"/>
    <sheet name="Capital Stock Calculation" sheetId="8" r:id="rId7"/>
    <sheet name="Calendar Year Conversion" sheetId="24" r:id="rId8"/>
    <sheet name="Capital Stock Data--&gt;" sheetId="7" r:id="rId9"/>
    <sheet name="Capital" sheetId="2" r:id="rId10"/>
    <sheet name="Handy-Whitman Index" sheetId="9" r:id="rId11"/>
    <sheet name="Handy-Whitman Triangularized" sheetId="10" r:id="rId12"/>
    <sheet name="Capital Price Data--&gt;" sheetId="14" r:id="rId13"/>
    <sheet name="Monthly Average Bond Yields" sheetId="16" r:id="rId14"/>
    <sheet name="Alberta Yields" sheetId="25" r:id="rId15"/>
    <sheet name="Enbridge Bond Ratings" sheetId="17" r:id="rId16"/>
    <sheet name="Canadian CPI" sheetId="19" r:id="rId17"/>
    <sheet name="Canadian 10 Year Bond Yield" sheetId="20" r:id="rId18"/>
  </sheets>
  <calcPr calcId="145621"/>
</workbook>
</file>

<file path=xl/calcChain.xml><?xml version="1.0" encoding="utf-8"?>
<calcChain xmlns="http://schemas.openxmlformats.org/spreadsheetml/2006/main">
  <c r="E15" i="18" l="1"/>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BL15" i="18"/>
  <c r="BM15" i="18"/>
  <c r="BN15" i="18"/>
  <c r="BO15" i="18"/>
  <c r="BP15" i="18"/>
  <c r="BQ15" i="18"/>
  <c r="BR15" i="18"/>
  <c r="BS15" i="18"/>
  <c r="BT15" i="18"/>
  <c r="BU15" i="18"/>
  <c r="BV15" i="18"/>
  <c r="BW15" i="18"/>
  <c r="BX15" i="18"/>
  <c r="BY15" i="18"/>
  <c r="BZ15" i="18"/>
  <c r="CA15" i="18"/>
  <c r="CB15" i="18"/>
  <c r="CC15" i="18"/>
  <c r="CD15" i="18"/>
  <c r="CE15" i="18"/>
  <c r="CF15" i="18"/>
  <c r="CG15" i="18"/>
  <c r="CH15" i="18"/>
  <c r="CI15" i="18"/>
  <c r="CJ15" i="18"/>
  <c r="CK15" i="18"/>
  <c r="CL15" i="18"/>
  <c r="CM15" i="18"/>
  <c r="CN15" i="18"/>
  <c r="CO15" i="18"/>
  <c r="CP15" i="18"/>
  <c r="CQ15" i="18"/>
  <c r="CR15" i="18"/>
  <c r="CS15" i="18"/>
  <c r="CT15" i="18"/>
  <c r="CU15" i="18"/>
  <c r="CV15" i="18"/>
  <c r="CW15" i="18"/>
  <c r="CX15" i="18"/>
  <c r="CY15" i="18"/>
  <c r="CZ15" i="18"/>
  <c r="DA15" i="18"/>
  <c r="DB15" i="18"/>
  <c r="DC15" i="18"/>
  <c r="DD15" i="18"/>
  <c r="DE15" i="18"/>
  <c r="DF15" i="18"/>
  <c r="DG15" i="18"/>
  <c r="DH15" i="18"/>
  <c r="DI15" i="18"/>
  <c r="DJ15" i="18"/>
  <c r="DK15" i="18"/>
  <c r="DL15" i="18"/>
  <c r="DM15" i="18"/>
  <c r="DN15" i="18"/>
  <c r="DO15" i="18"/>
  <c r="DP15" i="18"/>
  <c r="DQ15" i="18"/>
  <c r="DR15" i="18"/>
  <c r="DS15" i="18"/>
  <c r="DT15" i="18"/>
  <c r="DU15" i="18"/>
  <c r="DV15" i="18"/>
  <c r="DW15" i="18"/>
  <c r="DX15" i="18"/>
  <c r="DY15" i="18"/>
  <c r="DZ15" i="18"/>
  <c r="EA15" i="18"/>
  <c r="EB15" i="18"/>
  <c r="EC15" i="18"/>
  <c r="ED15" i="18"/>
  <c r="EE15" i="18"/>
  <c r="EF15" i="18"/>
  <c r="EG15" i="18"/>
  <c r="EH15" i="18"/>
  <c r="EI15" i="18"/>
  <c r="EJ15" i="18"/>
  <c r="EK15" i="18"/>
  <c r="EL15" i="18"/>
  <c r="EM15" i="18"/>
  <c r="EN15" i="18"/>
  <c r="EO15" i="18"/>
  <c r="EP15" i="18"/>
  <c r="EQ15" i="18"/>
  <c r="ER15" i="18"/>
  <c r="ES15" i="18"/>
  <c r="ET15" i="18"/>
  <c r="EU15" i="18"/>
  <c r="EV15" i="18"/>
  <c r="EW15" i="18"/>
  <c r="EX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A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HA15" i="18"/>
  <c r="HB15" i="18"/>
  <c r="HC15" i="18"/>
  <c r="HD15" i="18"/>
  <c r="HE15" i="18"/>
  <c r="HF15" i="18"/>
  <c r="HG15" i="18"/>
  <c r="HH15" i="18"/>
  <c r="HI15" i="18"/>
  <c r="HJ15" i="18"/>
  <c r="HK15" i="18"/>
  <c r="HL15" i="18"/>
  <c r="HM15" i="18"/>
  <c r="HN15" i="18"/>
  <c r="HO15" i="18"/>
  <c r="HP15" i="18"/>
  <c r="HQ15" i="18"/>
  <c r="HR15" i="18"/>
  <c r="HS15" i="18"/>
  <c r="HT15" i="18"/>
  <c r="HU15" i="18"/>
  <c r="HV15" i="18"/>
  <c r="HW15" i="18"/>
  <c r="HX15" i="18"/>
  <c r="HY15" i="18"/>
  <c r="HZ15" i="18"/>
  <c r="IA15" i="18"/>
  <c r="IB15" i="18"/>
  <c r="IC15" i="18"/>
  <c r="ID15" i="18"/>
  <c r="IE15" i="18"/>
  <c r="IF15" i="18"/>
  <c r="IG15" i="18"/>
  <c r="IH15" i="18"/>
  <c r="II15" i="18"/>
  <c r="IJ15" i="18"/>
  <c r="IK15" i="18"/>
  <c r="IL15" i="18"/>
  <c r="IM15" i="18"/>
  <c r="IN15" i="18"/>
  <c r="IO15" i="18"/>
  <c r="IP15" i="18"/>
  <c r="IQ15" i="18"/>
  <c r="IR15" i="18"/>
  <c r="IS15" i="18"/>
  <c r="IT15" i="18"/>
  <c r="IU15" i="18"/>
  <c r="IV15" i="18"/>
  <c r="IW15" i="18"/>
  <c r="IX15" i="18"/>
  <c r="IY15" i="18"/>
  <c r="IZ15" i="18"/>
  <c r="JA15" i="18"/>
  <c r="JB15" i="18"/>
  <c r="JC15" i="18"/>
  <c r="JD15" i="18"/>
  <c r="JE15" i="18"/>
  <c r="JF15" i="18"/>
  <c r="JG15" i="18"/>
  <c r="JH15" i="18"/>
  <c r="JI15" i="18"/>
  <c r="JJ15" i="18"/>
  <c r="JK15" i="18"/>
  <c r="JL15" i="18"/>
  <c r="JM15" i="18"/>
  <c r="JN15" i="18"/>
  <c r="JO15" i="18"/>
  <c r="JP15" i="18"/>
  <c r="JQ15" i="18"/>
  <c r="JR15" i="18"/>
  <c r="JS15" i="18"/>
  <c r="JT15" i="18"/>
  <c r="JU15" i="18"/>
  <c r="JV15" i="18"/>
  <c r="JW15" i="18"/>
  <c r="JX15" i="18"/>
  <c r="JY15" i="18"/>
  <c r="JZ15" i="18"/>
  <c r="KA15" i="18"/>
  <c r="KB15" i="18"/>
  <c r="KC15" i="18"/>
  <c r="KD15" i="18"/>
  <c r="KE15" i="18"/>
  <c r="KF15" i="18"/>
  <c r="KG15" i="18"/>
  <c r="KH15" i="18"/>
  <c r="KI15" i="18"/>
  <c r="KJ15" i="18"/>
  <c r="KK15" i="18"/>
  <c r="KL15" i="18"/>
  <c r="KM15" i="18"/>
  <c r="KN15" i="18"/>
  <c r="KO15" i="18"/>
  <c r="KP15" i="18"/>
  <c r="KQ15" i="18"/>
  <c r="D15" i="18"/>
  <c r="G26" i="8" l="1"/>
  <c r="G27" i="8"/>
  <c r="G28" i="8"/>
  <c r="G29" i="8"/>
  <c r="G30" i="8"/>
  <c r="G31" i="8"/>
  <c r="G32" i="8"/>
  <c r="G33" i="8"/>
  <c r="G34" i="8"/>
  <c r="G35" i="8"/>
  <c r="G36" i="8"/>
  <c r="G37" i="8"/>
  <c r="G38" i="8"/>
  <c r="G39" i="8"/>
  <c r="G40" i="8"/>
  <c r="G41" i="8"/>
  <c r="G42" i="8"/>
  <c r="G43" i="8"/>
  <c r="G44" i="8"/>
  <c r="G45" i="8"/>
  <c r="G46" i="8"/>
  <c r="G47" i="8"/>
  <c r="G48" i="8"/>
  <c r="G49" i="8"/>
  <c r="G25" i="8"/>
  <c r="F26" i="8"/>
  <c r="F27" i="8"/>
  <c r="F28" i="8"/>
  <c r="F29" i="8"/>
  <c r="F30" i="8"/>
  <c r="F31" i="8"/>
  <c r="F32" i="8"/>
  <c r="F33" i="8"/>
  <c r="F34" i="8"/>
  <c r="F35" i="8"/>
  <c r="F36" i="8"/>
  <c r="F37" i="8"/>
  <c r="F38" i="8"/>
  <c r="F39" i="8"/>
  <c r="F40" i="8"/>
  <c r="F41" i="8"/>
  <c r="F42" i="8"/>
  <c r="F43" i="8"/>
  <c r="F44" i="8"/>
  <c r="F45" i="8"/>
  <c r="F46" i="8"/>
  <c r="F47" i="8"/>
  <c r="F48" i="8"/>
  <c r="F49" i="8"/>
  <c r="F25" i="8"/>
  <c r="J15" i="8"/>
  <c r="D29" i="25" l="1"/>
  <c r="D28" i="25"/>
  <c r="D27" i="25"/>
  <c r="D26" i="25"/>
  <c r="D25" i="25"/>
  <c r="D24" i="25"/>
  <c r="D23" i="25"/>
  <c r="D22" i="25"/>
  <c r="D21" i="25"/>
  <c r="D20" i="25"/>
  <c r="D19" i="25"/>
  <c r="D18" i="25"/>
  <c r="D17" i="25"/>
  <c r="D16" i="25"/>
  <c r="D15" i="25"/>
  <c r="D14" i="25"/>
  <c r="D13" i="25"/>
  <c r="D12" i="25"/>
  <c r="D11" i="25"/>
  <c r="D10" i="25"/>
  <c r="D9" i="25"/>
  <c r="D8" i="25"/>
  <c r="D7" i="25"/>
  <c r="C29" i="25"/>
  <c r="C28" i="25"/>
  <c r="C27" i="25"/>
  <c r="C26" i="25"/>
  <c r="C25" i="25"/>
  <c r="C24" i="25"/>
  <c r="C23" i="25"/>
  <c r="C22" i="25"/>
  <c r="C21" i="25"/>
  <c r="C20" i="25"/>
  <c r="C19" i="25"/>
  <c r="C18" i="25"/>
  <c r="C17" i="25"/>
  <c r="C16" i="25"/>
  <c r="C15" i="25"/>
  <c r="C14" i="25"/>
  <c r="C13" i="25"/>
  <c r="C12" i="25"/>
  <c r="C11" i="25"/>
  <c r="C10" i="25"/>
  <c r="C9" i="25"/>
  <c r="C8" i="25"/>
  <c r="C7" i="25"/>
  <c r="B29" i="25"/>
  <c r="B28" i="25"/>
  <c r="B27" i="25"/>
  <c r="B26" i="25"/>
  <c r="B25" i="25"/>
  <c r="B24" i="25"/>
  <c r="B23" i="25"/>
  <c r="B22" i="25"/>
  <c r="B21" i="25"/>
  <c r="B20" i="25"/>
  <c r="B19" i="25"/>
  <c r="B18" i="25"/>
  <c r="B17" i="25"/>
  <c r="B16" i="25"/>
  <c r="B15" i="25"/>
  <c r="B14" i="25"/>
  <c r="B13" i="25"/>
  <c r="B12" i="25"/>
  <c r="B11" i="25"/>
  <c r="B10" i="25"/>
  <c r="B9" i="25"/>
  <c r="B8" i="25"/>
  <c r="B7" i="25"/>
  <c r="E13" i="24" l="1"/>
  <c r="F13" i="24"/>
  <c r="G13" i="24"/>
  <c r="H13" i="24"/>
  <c r="I13" i="24"/>
  <c r="J13" i="24"/>
  <c r="K13" i="24"/>
  <c r="L13" i="24"/>
  <c r="M13" i="24"/>
  <c r="N13" i="24"/>
  <c r="O13" i="24"/>
  <c r="P13" i="24"/>
  <c r="Q13" i="24"/>
  <c r="R13" i="24"/>
  <c r="S13" i="24"/>
  <c r="T13" i="24"/>
  <c r="U13" i="24"/>
  <c r="D13" i="24"/>
  <c r="C14" i="24" l="1"/>
  <c r="B2" i="24"/>
  <c r="D14" i="24" l="1"/>
  <c r="L14" i="24"/>
  <c r="T14" i="24"/>
  <c r="G14" i="24"/>
  <c r="E14" i="24"/>
  <c r="M14" i="24"/>
  <c r="U14" i="24"/>
  <c r="K15" i="8" s="1"/>
  <c r="O14" i="24"/>
  <c r="F14" i="24"/>
  <c r="N14" i="24"/>
  <c r="H14" i="24"/>
  <c r="P14" i="24"/>
  <c r="I14" i="24"/>
  <c r="Q14" i="24"/>
  <c r="J14" i="24"/>
  <c r="R14" i="24"/>
  <c r="S14" i="24"/>
  <c r="K14" i="24"/>
  <c r="H15" i="8" a="1"/>
  <c r="H15" i="8" s="1"/>
  <c r="G15" i="8" a="1"/>
  <c r="G15" i="8" s="1"/>
  <c r="F15" i="8" a="1"/>
  <c r="F15" i="8" s="1"/>
  <c r="C15" i="24"/>
  <c r="J15" i="24" l="1"/>
  <c r="R15" i="24"/>
  <c r="M15" i="24"/>
  <c r="K15" i="24"/>
  <c r="S15" i="24"/>
  <c r="U15" i="24"/>
  <c r="D15" i="24"/>
  <c r="L15" i="24"/>
  <c r="T15" i="24"/>
  <c r="E15" i="24"/>
  <c r="F15" i="24"/>
  <c r="N15" i="24"/>
  <c r="G15" i="24"/>
  <c r="O15" i="24"/>
  <c r="H15" i="24"/>
  <c r="I15" i="24"/>
  <c r="P15" i="24"/>
  <c r="Q15" i="24"/>
  <c r="C16" i="24"/>
  <c r="H16" i="24" l="1"/>
  <c r="P16" i="24"/>
  <c r="K16" i="24"/>
  <c r="I16" i="24"/>
  <c r="Q16" i="24"/>
  <c r="J16" i="24"/>
  <c r="R16" i="24"/>
  <c r="S16" i="24"/>
  <c r="D16" i="24"/>
  <c r="L16" i="24"/>
  <c r="T16" i="24"/>
  <c r="E16" i="24"/>
  <c r="M16" i="24"/>
  <c r="U16" i="24"/>
  <c r="F16" i="24"/>
  <c r="G16" i="24"/>
  <c r="N16" i="24"/>
  <c r="O16" i="24"/>
  <c r="C17" i="24"/>
  <c r="F17" i="24" l="1"/>
  <c r="N17" i="24"/>
  <c r="Q17" i="24"/>
  <c r="G17" i="24"/>
  <c r="O17" i="24"/>
  <c r="I17" i="24"/>
  <c r="H17" i="24"/>
  <c r="P17" i="24"/>
  <c r="J17" i="24"/>
  <c r="R17" i="24"/>
  <c r="K17" i="24"/>
  <c r="S17" i="24"/>
  <c r="T17" i="24"/>
  <c r="U17" i="24"/>
  <c r="D17" i="24"/>
  <c r="E17" i="24"/>
  <c r="L17" i="24"/>
  <c r="M17" i="24"/>
  <c r="C18" i="24"/>
  <c r="D18" i="24" l="1"/>
  <c r="L18" i="24"/>
  <c r="T18" i="24"/>
  <c r="G18" i="24"/>
  <c r="E18" i="24"/>
  <c r="M18" i="24"/>
  <c r="U18" i="24"/>
  <c r="O18" i="24"/>
  <c r="F18" i="24"/>
  <c r="N18" i="24"/>
  <c r="H18" i="24"/>
  <c r="P18" i="24"/>
  <c r="I18" i="24"/>
  <c r="Q18" i="24"/>
  <c r="J18" i="24"/>
  <c r="K18" i="24"/>
  <c r="R18" i="24"/>
  <c r="S18" i="24"/>
  <c r="C19" i="24"/>
  <c r="J19" i="24" l="1"/>
  <c r="R19" i="24"/>
  <c r="M19" i="24"/>
  <c r="K19" i="24"/>
  <c r="S19" i="24"/>
  <c r="D19" i="24"/>
  <c r="L19" i="24"/>
  <c r="T19" i="24"/>
  <c r="E19" i="24"/>
  <c r="U19" i="24"/>
  <c r="F19" i="24"/>
  <c r="N19" i="24"/>
  <c r="G19" i="24"/>
  <c r="O19" i="24"/>
  <c r="P19" i="24"/>
  <c r="Q19" i="24"/>
  <c r="H19" i="24"/>
  <c r="I19" i="24"/>
  <c r="C20" i="24"/>
  <c r="H20" i="24" l="1"/>
  <c r="P20" i="24"/>
  <c r="S20" i="24"/>
  <c r="I20" i="24"/>
  <c r="Q20" i="24"/>
  <c r="K20" i="24"/>
  <c r="J20" i="24"/>
  <c r="R20" i="24"/>
  <c r="D20" i="24"/>
  <c r="L20" i="24"/>
  <c r="T20" i="24"/>
  <c r="E20" i="24"/>
  <c r="M20" i="24"/>
  <c r="U20" i="24"/>
  <c r="F20" i="24"/>
  <c r="G20" i="24"/>
  <c r="N20" i="24"/>
  <c r="O20" i="24"/>
  <c r="C21" i="24"/>
  <c r="F21" i="24" l="1"/>
  <c r="N21" i="24"/>
  <c r="G21" i="24"/>
  <c r="O21" i="24"/>
  <c r="I21" i="24"/>
  <c r="H21" i="24"/>
  <c r="P21" i="24"/>
  <c r="Q21" i="24"/>
  <c r="J21" i="24"/>
  <c r="R21" i="24"/>
  <c r="K21" i="24"/>
  <c r="S21" i="24"/>
  <c r="L21" i="24"/>
  <c r="T21" i="24"/>
  <c r="U21" i="24"/>
  <c r="D21" i="24"/>
  <c r="M21" i="24"/>
  <c r="E21" i="24"/>
  <c r="C22" i="24"/>
  <c r="D22" i="24" l="1"/>
  <c r="L22" i="24"/>
  <c r="T22" i="24"/>
  <c r="G22" i="24"/>
  <c r="E22" i="24"/>
  <c r="M22" i="24"/>
  <c r="U22" i="24"/>
  <c r="O22" i="24"/>
  <c r="F22" i="24"/>
  <c r="N22" i="24"/>
  <c r="H22" i="24"/>
  <c r="P22" i="24"/>
  <c r="I22" i="24"/>
  <c r="Q22" i="24"/>
  <c r="J22" i="24"/>
  <c r="K22" i="24"/>
  <c r="R22" i="24"/>
  <c r="S22" i="24"/>
  <c r="C23" i="24"/>
  <c r="J23" i="24" l="1"/>
  <c r="R23" i="24"/>
  <c r="M23" i="24"/>
  <c r="K23" i="24"/>
  <c r="S23" i="24"/>
  <c r="U23" i="24"/>
  <c r="D23" i="24"/>
  <c r="L23" i="24"/>
  <c r="T23" i="24"/>
  <c r="E23" i="24"/>
  <c r="F23" i="24"/>
  <c r="N23" i="24"/>
  <c r="G23" i="24"/>
  <c r="O23" i="24"/>
  <c r="H23" i="24"/>
  <c r="I23" i="24"/>
  <c r="P23" i="24"/>
  <c r="Q23" i="24"/>
  <c r="C24" i="24"/>
  <c r="H24" i="24" l="1"/>
  <c r="P24" i="24"/>
  <c r="K24" i="24"/>
  <c r="I24" i="24"/>
  <c r="Q24" i="24"/>
  <c r="J24" i="24"/>
  <c r="R24" i="24"/>
  <c r="S24" i="24"/>
  <c r="D24" i="24"/>
  <c r="L24" i="24"/>
  <c r="T24" i="24"/>
  <c r="E24" i="24"/>
  <c r="M24" i="24"/>
  <c r="U24" i="24"/>
  <c r="N24" i="24"/>
  <c r="F24" i="24"/>
  <c r="G24" i="24"/>
  <c r="O24" i="24"/>
  <c r="C25" i="24"/>
  <c r="F25" i="24" l="1"/>
  <c r="N25" i="24"/>
  <c r="I25" i="24"/>
  <c r="G25" i="24"/>
  <c r="O25" i="24"/>
  <c r="Q25" i="24"/>
  <c r="H25" i="24"/>
  <c r="P25" i="24"/>
  <c r="J25" i="24"/>
  <c r="R25" i="24"/>
  <c r="K25" i="24"/>
  <c r="S25" i="24"/>
  <c r="D25" i="24"/>
  <c r="L25" i="24"/>
  <c r="M25" i="24"/>
  <c r="E25" i="24"/>
  <c r="T25" i="24"/>
  <c r="U25" i="24"/>
  <c r="C26" i="24"/>
  <c r="D26" i="24" l="1"/>
  <c r="L26" i="24"/>
  <c r="T26" i="24"/>
  <c r="O26" i="24"/>
  <c r="E26" i="24"/>
  <c r="M26" i="24"/>
  <c r="U26" i="24"/>
  <c r="F26" i="24"/>
  <c r="N26" i="24"/>
  <c r="G26" i="24"/>
  <c r="H26" i="24"/>
  <c r="P26" i="24"/>
  <c r="I26" i="24"/>
  <c r="Q26" i="24"/>
  <c r="R26" i="24"/>
  <c r="S26" i="24"/>
  <c r="J26" i="24"/>
  <c r="K26" i="24"/>
  <c r="C27" i="24"/>
  <c r="J27" i="24" l="1"/>
  <c r="R27" i="24"/>
  <c r="U27" i="24"/>
  <c r="K27" i="24"/>
  <c r="S27" i="24"/>
  <c r="M27" i="24"/>
  <c r="D27" i="24"/>
  <c r="L27" i="24"/>
  <c r="T27" i="24"/>
  <c r="E27" i="24"/>
  <c r="F27" i="24"/>
  <c r="N27" i="24"/>
  <c r="G27" i="24"/>
  <c r="P27" i="24"/>
  <c r="H27" i="24"/>
  <c r="Q27" i="24"/>
  <c r="I27" i="24"/>
  <c r="O27" i="24"/>
  <c r="C28" i="24"/>
  <c r="H28" i="24" l="1"/>
  <c r="P28" i="24"/>
  <c r="S28" i="24"/>
  <c r="I28" i="24"/>
  <c r="Q28" i="24"/>
  <c r="J28" i="24"/>
  <c r="R28" i="24"/>
  <c r="K28" i="24"/>
  <c r="D28" i="24"/>
  <c r="L28" i="24"/>
  <c r="T28" i="24"/>
  <c r="E28" i="24"/>
  <c r="M28" i="24"/>
  <c r="F28" i="24"/>
  <c r="G28" i="24"/>
  <c r="N28" i="24"/>
  <c r="O28" i="24"/>
  <c r="U28" i="24"/>
  <c r="C29" i="24"/>
  <c r="F29" i="24" l="1"/>
  <c r="N29" i="24"/>
  <c r="G29" i="24"/>
  <c r="O29" i="24"/>
  <c r="I29" i="24"/>
  <c r="H29" i="24"/>
  <c r="P29" i="24"/>
  <c r="Q29" i="24"/>
  <c r="J29" i="24"/>
  <c r="R29" i="24"/>
  <c r="E29" i="24"/>
  <c r="L29" i="24"/>
  <c r="U29" i="24"/>
  <c r="K29" i="24"/>
  <c r="M29" i="24"/>
  <c r="S29" i="24"/>
  <c r="T29" i="24"/>
  <c r="D29" i="24"/>
  <c r="C30" i="24"/>
  <c r="D30" i="24" l="1"/>
  <c r="L30" i="24"/>
  <c r="T30" i="24"/>
  <c r="G30" i="24"/>
  <c r="E30" i="24"/>
  <c r="M30" i="24"/>
  <c r="U30" i="24"/>
  <c r="F30" i="24"/>
  <c r="N30" i="24"/>
  <c r="O30" i="24"/>
  <c r="H30" i="24"/>
  <c r="P30" i="24"/>
  <c r="J30" i="24"/>
  <c r="R30" i="24"/>
  <c r="K30" i="24"/>
  <c r="Q30" i="24"/>
  <c r="S30" i="24"/>
  <c r="I30" i="24"/>
  <c r="C31" i="24"/>
  <c r="J31" i="24" l="1"/>
  <c r="R31" i="24"/>
  <c r="M31" i="24"/>
  <c r="K31" i="24"/>
  <c r="S31" i="24"/>
  <c r="E31" i="24"/>
  <c r="D31" i="24"/>
  <c r="L31" i="24"/>
  <c r="T31" i="24"/>
  <c r="U31" i="24"/>
  <c r="F31" i="24"/>
  <c r="N31" i="24"/>
  <c r="O31" i="24"/>
  <c r="Q31" i="24"/>
  <c r="P31" i="24"/>
  <c r="G31" i="24"/>
  <c r="H31" i="24"/>
  <c r="I31" i="24"/>
  <c r="C32" i="24"/>
  <c r="H32" i="24" l="1"/>
  <c r="P32" i="24"/>
  <c r="I32" i="24"/>
  <c r="Q32" i="24"/>
  <c r="K32" i="24"/>
  <c r="J32" i="24"/>
  <c r="R32" i="24"/>
  <c r="S32" i="24"/>
  <c r="D32" i="24"/>
  <c r="L32" i="24"/>
  <c r="T32" i="24"/>
  <c r="O32" i="24"/>
  <c r="M32" i="24"/>
  <c r="U32" i="24"/>
  <c r="E32" i="24"/>
  <c r="F32" i="24"/>
  <c r="G32" i="24"/>
  <c r="N32" i="24"/>
  <c r="C33" i="24"/>
  <c r="F33" i="24" l="1"/>
  <c r="N33" i="24"/>
  <c r="I33" i="24"/>
  <c r="G33" i="24"/>
  <c r="O33" i="24"/>
  <c r="Q33" i="24"/>
  <c r="H33" i="24"/>
  <c r="P33" i="24"/>
  <c r="J33" i="24"/>
  <c r="R33" i="24"/>
  <c r="T33" i="24"/>
  <c r="E33" i="24"/>
  <c r="U33" i="24"/>
  <c r="D33" i="24"/>
  <c r="S33" i="24"/>
  <c r="K33" i="24"/>
  <c r="L33" i="24"/>
  <c r="M33" i="24"/>
  <c r="C34" i="24"/>
  <c r="D34" i="24" l="1"/>
  <c r="L34" i="24"/>
  <c r="T34" i="24"/>
  <c r="O34" i="24"/>
  <c r="E34" i="24"/>
  <c r="M34" i="24"/>
  <c r="U34" i="24"/>
  <c r="F34" i="24"/>
  <c r="N34" i="24"/>
  <c r="G34" i="24"/>
  <c r="H34" i="24"/>
  <c r="P34" i="24"/>
  <c r="I34" i="24"/>
  <c r="J34" i="24"/>
  <c r="K34" i="24"/>
  <c r="Q34" i="24"/>
  <c r="R34" i="24"/>
  <c r="S34" i="24"/>
  <c r="C35" i="24"/>
  <c r="J35" i="24" l="1"/>
  <c r="R35" i="24"/>
  <c r="K35" i="24"/>
  <c r="S35" i="24"/>
  <c r="E35" i="24"/>
  <c r="D35" i="24"/>
  <c r="L35" i="24"/>
  <c r="T35" i="24"/>
  <c r="M35" i="24"/>
  <c r="F35" i="24"/>
  <c r="N35" i="24"/>
  <c r="G35" i="24"/>
  <c r="I35" i="24"/>
  <c r="O35" i="24"/>
  <c r="H35" i="24"/>
  <c r="P35" i="24"/>
  <c r="Q35" i="24"/>
  <c r="U35" i="24"/>
  <c r="C36" i="24"/>
  <c r="H36" i="24" l="1"/>
  <c r="P36" i="24"/>
  <c r="I36" i="24"/>
  <c r="Q36" i="24"/>
  <c r="J36" i="24"/>
  <c r="R36" i="24"/>
  <c r="D36" i="24"/>
  <c r="L36" i="24"/>
  <c r="T36" i="24"/>
  <c r="F36" i="24"/>
  <c r="G36" i="24"/>
  <c r="K36" i="24"/>
  <c r="M36" i="24"/>
  <c r="E36" i="24"/>
  <c r="N36" i="24"/>
  <c r="O36" i="24"/>
  <c r="S36" i="24"/>
  <c r="U36" i="24"/>
  <c r="C37" i="24"/>
  <c r="F37" i="24" l="1"/>
  <c r="N37" i="24"/>
  <c r="G37" i="24"/>
  <c r="O37" i="24"/>
  <c r="H37" i="24"/>
  <c r="P37" i="24"/>
  <c r="J37" i="24"/>
  <c r="R37" i="24"/>
  <c r="D37" i="24"/>
  <c r="T37" i="24"/>
  <c r="K37" i="24"/>
  <c r="E37" i="24"/>
  <c r="U37" i="24"/>
  <c r="I37" i="24"/>
  <c r="S37" i="24"/>
  <c r="L37" i="24"/>
  <c r="M37" i="24"/>
  <c r="Q37" i="24"/>
  <c r="C38" i="24"/>
  <c r="D38" i="24" l="1"/>
  <c r="L38" i="24"/>
  <c r="T38" i="24"/>
  <c r="E38" i="24"/>
  <c r="M38" i="24"/>
  <c r="U38" i="24"/>
  <c r="F38" i="24"/>
  <c r="N38" i="24"/>
  <c r="H38" i="24"/>
  <c r="P38" i="24"/>
  <c r="R38" i="24"/>
  <c r="G38" i="24"/>
  <c r="S38" i="24"/>
  <c r="I38" i="24"/>
  <c r="J38" i="24"/>
  <c r="K38" i="24"/>
  <c r="O38" i="24"/>
  <c r="Q38" i="24"/>
  <c r="B26" i="8"/>
  <c r="B27" i="8"/>
  <c r="B28" i="8"/>
  <c r="B29" i="8" s="1"/>
  <c r="B30" i="8" s="1"/>
  <c r="B31" i="8" s="1"/>
  <c r="B32" i="8" s="1"/>
  <c r="B33" i="8" s="1"/>
  <c r="B34" i="8" s="1"/>
  <c r="B35" i="8" s="1"/>
  <c r="B36" i="8" s="1"/>
  <c r="B37" i="8" s="1"/>
  <c r="B38" i="8" s="1"/>
  <c r="B39" i="8" s="1"/>
  <c r="B40" i="8" s="1"/>
  <c r="B41" i="8" s="1"/>
  <c r="B42" i="8" s="1"/>
  <c r="B43" i="8" s="1"/>
  <c r="B44" i="8" s="1"/>
  <c r="B45" i="8" s="1"/>
  <c r="B46" i="8" s="1"/>
  <c r="B47" i="8" s="1"/>
  <c r="B48" i="8" s="1"/>
  <c r="B49" i="8" s="1"/>
  <c r="B15" i="21"/>
  <c r="B16" i="21" s="1"/>
  <c r="B17" i="21" s="1"/>
  <c r="B18" i="21" s="1"/>
  <c r="B19" i="21" s="1"/>
  <c r="B20" i="21" s="1"/>
  <c r="B21" i="21" s="1"/>
  <c r="B22" i="21" s="1"/>
  <c r="B23" i="21" s="1"/>
  <c r="B24" i="21" s="1"/>
  <c r="B25" i="21" s="1"/>
  <c r="B26" i="21" s="1"/>
  <c r="B27" i="21" s="1"/>
  <c r="B28" i="21" s="1"/>
  <c r="B29" i="21" s="1"/>
  <c r="B30" i="21" s="1"/>
  <c r="B31" i="21" s="1"/>
  <c r="B32" i="21" s="1"/>
  <c r="B33" i="21" s="1"/>
  <c r="B34" i="21" s="1"/>
  <c r="B35" i="21" s="1"/>
  <c r="B36" i="21" s="1"/>
  <c r="B37" i="21" s="1"/>
  <c r="B38" i="21" s="1"/>
  <c r="B39" i="21" s="1"/>
  <c r="B14" i="23"/>
  <c r="B15" i="23" s="1"/>
  <c r="B16" i="23" s="1"/>
  <c r="B17" i="23" s="1"/>
  <c r="B18" i="23" s="1"/>
  <c r="B19" i="23" s="1"/>
  <c r="B20" i="23" s="1"/>
  <c r="B21" i="23" s="1"/>
  <c r="B22" i="23" s="1"/>
  <c r="B23" i="23" s="1"/>
  <c r="B24" i="23" s="1"/>
  <c r="B25" i="23" s="1"/>
  <c r="B26" i="23" s="1"/>
  <c r="B27" i="23" s="1"/>
  <c r="B28" i="23" s="1"/>
  <c r="B29" i="23" s="1"/>
  <c r="B30" i="23" s="1"/>
  <c r="B31" i="23" s="1"/>
  <c r="B32" i="23" s="1"/>
  <c r="B33" i="23" s="1"/>
  <c r="B34" i="23" s="1"/>
  <c r="B35" i="23" s="1"/>
  <c r="B36" i="23" s="1"/>
  <c r="B37" i="23" s="1"/>
  <c r="B15" i="22"/>
  <c r="B16" i="22" s="1"/>
  <c r="B17" i="22" s="1"/>
  <c r="B18" i="22" s="1"/>
  <c r="B19" i="22" s="1"/>
  <c r="B20" i="22" s="1"/>
  <c r="B21" i="22" s="1"/>
  <c r="B22" i="22" s="1"/>
  <c r="B23" i="22" s="1"/>
  <c r="B24" i="22" s="1"/>
  <c r="B25" i="22" s="1"/>
  <c r="B26" i="22" s="1"/>
  <c r="B27" i="22" s="1"/>
  <c r="B28" i="22" s="1"/>
  <c r="B29" i="22" s="1"/>
  <c r="B30" i="22" s="1"/>
  <c r="B31" i="22" s="1"/>
  <c r="B32" i="22" s="1"/>
  <c r="B33" i="22" s="1"/>
  <c r="B34" i="22" s="1"/>
  <c r="B35" i="22" s="1"/>
  <c r="B36" i="22" s="1"/>
  <c r="B37" i="22" s="1"/>
  <c r="B38" i="22" s="1"/>
  <c r="K14" i="22" l="1"/>
  <c r="K15" i="22"/>
  <c r="K16" i="22"/>
  <c r="K17" i="22"/>
  <c r="K18" i="22"/>
  <c r="K19" i="22"/>
  <c r="K20" i="22"/>
  <c r="K21" i="22"/>
  <c r="K22" i="22"/>
  <c r="K23" i="22"/>
  <c r="K24" i="22"/>
  <c r="K25" i="22"/>
  <c r="K26" i="22"/>
  <c r="K27" i="22"/>
  <c r="K28" i="22"/>
  <c r="K29" i="22"/>
  <c r="K30" i="22"/>
  <c r="K31" i="22"/>
  <c r="K32" i="22"/>
  <c r="K33" i="22"/>
  <c r="K34" i="22"/>
  <c r="K35" i="22"/>
  <c r="K36" i="22"/>
  <c r="K37" i="22"/>
  <c r="K38" i="22"/>
  <c r="G14" i="22"/>
  <c r="G15" i="22"/>
  <c r="G16" i="22"/>
  <c r="G17" i="22"/>
  <c r="G18" i="22"/>
  <c r="G19" i="22"/>
  <c r="G20" i="22"/>
  <c r="G21" i="22"/>
  <c r="G22" i="22"/>
  <c r="G23" i="22"/>
  <c r="G24" i="22"/>
  <c r="G25" i="22"/>
  <c r="G26" i="22"/>
  <c r="G27" i="22"/>
  <c r="G28" i="22"/>
  <c r="G29" i="22"/>
  <c r="G30" i="22"/>
  <c r="G31" i="22"/>
  <c r="G32" i="22"/>
  <c r="G33" i="22"/>
  <c r="G34" i="22"/>
  <c r="G35" i="22"/>
  <c r="G36" i="22"/>
  <c r="G37" i="22"/>
  <c r="G38" i="22"/>
  <c r="F14" i="22"/>
  <c r="F15" i="22"/>
  <c r="F16" i="22"/>
  <c r="F17" i="22"/>
  <c r="F18" i="22"/>
  <c r="F19" i="22"/>
  <c r="F20" i="22"/>
  <c r="F21" i="22"/>
  <c r="F22" i="22"/>
  <c r="F23" i="22"/>
  <c r="F24" i="22"/>
  <c r="F25" i="22"/>
  <c r="F26" i="22"/>
  <c r="F27" i="22"/>
  <c r="F28" i="22"/>
  <c r="F29" i="22"/>
  <c r="F30" i="22"/>
  <c r="F31" i="22"/>
  <c r="F32" i="22"/>
  <c r="F33" i="22"/>
  <c r="F34" i="22"/>
  <c r="F35" i="22"/>
  <c r="F36" i="22"/>
  <c r="F37" i="22"/>
  <c r="F38" i="22"/>
  <c r="H17" i="22" a="1"/>
  <c r="H17" i="22" s="1"/>
  <c r="H35" i="22" a="1"/>
  <c r="H35" i="22" s="1"/>
  <c r="J37" i="23"/>
  <c r="H38" i="22" s="1" a="1"/>
  <c r="H38" i="22" s="1"/>
  <c r="J36" i="23"/>
  <c r="H37" i="22" s="1" a="1"/>
  <c r="H37" i="22" s="1"/>
  <c r="J35" i="23"/>
  <c r="H36" i="22" s="1" a="1"/>
  <c r="H36" i="22" s="1"/>
  <c r="J34" i="23"/>
  <c r="J33" i="23"/>
  <c r="H34" i="22" s="1" a="1"/>
  <c r="H34" i="22" s="1"/>
  <c r="J32" i="23"/>
  <c r="H33" i="22" s="1" a="1"/>
  <c r="H33" i="22" s="1"/>
  <c r="J31" i="23"/>
  <c r="H32" i="22" s="1" a="1"/>
  <c r="H32" i="22" s="1"/>
  <c r="J30" i="23"/>
  <c r="H31" i="22" s="1" a="1"/>
  <c r="H31" i="22" s="1"/>
  <c r="J29" i="23"/>
  <c r="H30" i="22" s="1" a="1"/>
  <c r="H30" i="22" s="1"/>
  <c r="J28" i="23"/>
  <c r="H29" i="22" s="1" a="1"/>
  <c r="H29" i="22" s="1"/>
  <c r="J27" i="23"/>
  <c r="H28" i="22" s="1" a="1"/>
  <c r="H28" i="22" s="1"/>
  <c r="J26" i="23"/>
  <c r="H27" i="22" s="1" a="1"/>
  <c r="H27" i="22" s="1"/>
  <c r="J25" i="23"/>
  <c r="H26" i="22" s="1" a="1"/>
  <c r="H26" i="22" s="1"/>
  <c r="J24" i="23"/>
  <c r="H25" i="22" s="1" a="1"/>
  <c r="H25" i="22" s="1"/>
  <c r="J23" i="23"/>
  <c r="H24" i="22" s="1" a="1"/>
  <c r="H24" i="22" s="1"/>
  <c r="J22" i="23"/>
  <c r="H23" i="22" s="1" a="1"/>
  <c r="H23" i="22" s="1"/>
  <c r="J21" i="23"/>
  <c r="H22" i="22" s="1" a="1"/>
  <c r="H22" i="22" s="1"/>
  <c r="J20" i="23"/>
  <c r="H21" i="22" s="1" a="1"/>
  <c r="H21" i="22" s="1"/>
  <c r="J19" i="23"/>
  <c r="H20" i="22" s="1" a="1"/>
  <c r="H20" i="22" s="1"/>
  <c r="J18" i="23"/>
  <c r="H19" i="22" s="1" a="1"/>
  <c r="H19" i="22" s="1"/>
  <c r="J17" i="23"/>
  <c r="H18" i="22" s="1" a="1"/>
  <c r="H18" i="22" s="1"/>
  <c r="J16" i="23"/>
  <c r="J15" i="23"/>
  <c r="H16" i="22" s="1" a="1"/>
  <c r="H16" i="22" s="1"/>
  <c r="J14" i="23"/>
  <c r="H15" i="22" s="1" a="1"/>
  <c r="H15" i="22" s="1"/>
  <c r="J13" i="23"/>
  <c r="H14" i="22" s="1" a="1"/>
  <c r="H14" i="22" s="1"/>
  <c r="B2" i="23"/>
  <c r="L14" i="22"/>
  <c r="M14" i="22" s="1"/>
  <c r="L15" i="22"/>
  <c r="M15" i="22" s="1"/>
  <c r="L16" i="22"/>
  <c r="M16" i="22" s="1"/>
  <c r="L17" i="22"/>
  <c r="M17" i="22" s="1"/>
  <c r="L18" i="22"/>
  <c r="M18" i="22" s="1"/>
  <c r="L19" i="22"/>
  <c r="M19" i="22" s="1"/>
  <c r="L20" i="22"/>
  <c r="M20" i="22" s="1"/>
  <c r="L21" i="22"/>
  <c r="M21" i="22" s="1"/>
  <c r="L22" i="22"/>
  <c r="M22" i="22" s="1"/>
  <c r="L23" i="22"/>
  <c r="M23" i="22" s="1"/>
  <c r="L24" i="22"/>
  <c r="M24" i="22" s="1"/>
  <c r="L25" i="22"/>
  <c r="M25" i="22" s="1"/>
  <c r="L26" i="22"/>
  <c r="M26" i="22" s="1"/>
  <c r="L27" i="22"/>
  <c r="M27" i="22" s="1"/>
  <c r="L28" i="22"/>
  <c r="M28" i="22" s="1"/>
  <c r="L29" i="22"/>
  <c r="M29" i="22" s="1"/>
  <c r="L30" i="22"/>
  <c r="M30" i="22" s="1"/>
  <c r="L31" i="22"/>
  <c r="M31" i="22" s="1"/>
  <c r="L32" i="22"/>
  <c r="M32" i="22" s="1"/>
  <c r="L33" i="22"/>
  <c r="M33" i="22" s="1"/>
  <c r="L34" i="22"/>
  <c r="M34" i="22" s="1"/>
  <c r="L35" i="22"/>
  <c r="M35" i="22" s="1"/>
  <c r="L36" i="22"/>
  <c r="M36" i="22" s="1"/>
  <c r="L37" i="22"/>
  <c r="M37" i="22" s="1"/>
  <c r="L38" i="22"/>
  <c r="M38" i="22" s="1"/>
  <c r="B2" i="22"/>
  <c r="E39" i="21" l="1"/>
  <c r="E38" i="21"/>
  <c r="E37" i="21"/>
  <c r="E36" i="21"/>
  <c r="E35" i="21"/>
  <c r="E34" i="21"/>
  <c r="E33" i="21"/>
  <c r="E32" i="21"/>
  <c r="E31" i="21"/>
  <c r="E30" i="21"/>
  <c r="E29" i="21"/>
  <c r="E28" i="21"/>
  <c r="E27" i="21"/>
  <c r="E26" i="21"/>
  <c r="E25" i="21"/>
  <c r="E24" i="21"/>
  <c r="E23" i="21"/>
  <c r="E22" i="21"/>
  <c r="E21" i="21"/>
  <c r="E20" i="21"/>
  <c r="E19" i="21"/>
  <c r="E18" i="21"/>
  <c r="E17" i="21"/>
  <c r="E16" i="21"/>
  <c r="E15" i="21"/>
  <c r="E14" i="21"/>
  <c r="B1248" i="19"/>
  <c r="B1247" i="19"/>
  <c r="B1246" i="19"/>
  <c r="B1245" i="19"/>
  <c r="B1244" i="19"/>
  <c r="B1243" i="19"/>
  <c r="B1242" i="19"/>
  <c r="B1241" i="19"/>
  <c r="B1240" i="19"/>
  <c r="B1239" i="19"/>
  <c r="B1238" i="19"/>
  <c r="B1237" i="19"/>
  <c r="B1236" i="19"/>
  <c r="B1235" i="19"/>
  <c r="B1234" i="19"/>
  <c r="B1233" i="19"/>
  <c r="B1232" i="19"/>
  <c r="B1231" i="19"/>
  <c r="B1230" i="19"/>
  <c r="B1229" i="19"/>
  <c r="B1228" i="19"/>
  <c r="B1227" i="19"/>
  <c r="B1226" i="19"/>
  <c r="B1225" i="19"/>
  <c r="B1224" i="19"/>
  <c r="B1223" i="19"/>
  <c r="B1222" i="19"/>
  <c r="B1221" i="19"/>
  <c r="B1220" i="19"/>
  <c r="B1219" i="19"/>
  <c r="B1218" i="19"/>
  <c r="B1217" i="19"/>
  <c r="B1216" i="19"/>
  <c r="B1215" i="19"/>
  <c r="B1214" i="19"/>
  <c r="B1213" i="19"/>
  <c r="B1212" i="19"/>
  <c r="B1211" i="19"/>
  <c r="B1210" i="19"/>
  <c r="B1209" i="19"/>
  <c r="B1208" i="19"/>
  <c r="B1207" i="19"/>
  <c r="B1206" i="19"/>
  <c r="B1205" i="19"/>
  <c r="B1204" i="19"/>
  <c r="B1203" i="19"/>
  <c r="B1202" i="19"/>
  <c r="B1201" i="19"/>
  <c r="B1200" i="19"/>
  <c r="B1199" i="19"/>
  <c r="B1198" i="19"/>
  <c r="B1197" i="19"/>
  <c r="B1196" i="19"/>
  <c r="B1195" i="19"/>
  <c r="B1194" i="19"/>
  <c r="B1193" i="19"/>
  <c r="B1192" i="19"/>
  <c r="B1191" i="19"/>
  <c r="B1190" i="19"/>
  <c r="B1189" i="19"/>
  <c r="B1188" i="19"/>
  <c r="B1187" i="19"/>
  <c r="B1186" i="19"/>
  <c r="B1185" i="19"/>
  <c r="B1184" i="19"/>
  <c r="B1183" i="19"/>
  <c r="B1182" i="19"/>
  <c r="B1181" i="19"/>
  <c r="B1180" i="19"/>
  <c r="B1179" i="19"/>
  <c r="B1178" i="19"/>
  <c r="B1177" i="19"/>
  <c r="B1176" i="19"/>
  <c r="B1175" i="19"/>
  <c r="B1174" i="19"/>
  <c r="B1173" i="19"/>
  <c r="B1172" i="19"/>
  <c r="B1171" i="19"/>
  <c r="B1170" i="19"/>
  <c r="B1169" i="19"/>
  <c r="B1168" i="19"/>
  <c r="B1167" i="19"/>
  <c r="B1166" i="19"/>
  <c r="B1165" i="19"/>
  <c r="B1164" i="19"/>
  <c r="B1163" i="19"/>
  <c r="B1162" i="19"/>
  <c r="B1161" i="19"/>
  <c r="B1160" i="19"/>
  <c r="B1159" i="19"/>
  <c r="B1158" i="19"/>
  <c r="B1157" i="19"/>
  <c r="B1156" i="19"/>
  <c r="B1155" i="19"/>
  <c r="B1154" i="19"/>
  <c r="B1153" i="19"/>
  <c r="B1152" i="19"/>
  <c r="B1151" i="19"/>
  <c r="B1150" i="19"/>
  <c r="B1149" i="19"/>
  <c r="B1148" i="19"/>
  <c r="B1147" i="19"/>
  <c r="B1146" i="19"/>
  <c r="B1145" i="19"/>
  <c r="B1144" i="19"/>
  <c r="B1143" i="19"/>
  <c r="B1142" i="19"/>
  <c r="B1141" i="19"/>
  <c r="B1140" i="19"/>
  <c r="B1139" i="19"/>
  <c r="B1138" i="19"/>
  <c r="B1137" i="19"/>
  <c r="B1136" i="19"/>
  <c r="B1135" i="19"/>
  <c r="B1134" i="19"/>
  <c r="B1133" i="19"/>
  <c r="B1132" i="19"/>
  <c r="B1131" i="19"/>
  <c r="B1130" i="19"/>
  <c r="B1129" i="19"/>
  <c r="B1128" i="19"/>
  <c r="B1127" i="19"/>
  <c r="B1126" i="19"/>
  <c r="B1125" i="19"/>
  <c r="B1124" i="19"/>
  <c r="B1123" i="19"/>
  <c r="B1122" i="19"/>
  <c r="B1121" i="19"/>
  <c r="B1120" i="19"/>
  <c r="B1119" i="19"/>
  <c r="B1118" i="19"/>
  <c r="B1117" i="19"/>
  <c r="B1116" i="19"/>
  <c r="B1115" i="19"/>
  <c r="B1114" i="19"/>
  <c r="B1113" i="19"/>
  <c r="B1112" i="19"/>
  <c r="B1111" i="19"/>
  <c r="B1110" i="19"/>
  <c r="B1109" i="19"/>
  <c r="B1108" i="19"/>
  <c r="B1107" i="19"/>
  <c r="B1106" i="19"/>
  <c r="B1105" i="19"/>
  <c r="B1104" i="19"/>
  <c r="B1103" i="19"/>
  <c r="B1102" i="19"/>
  <c r="B1101" i="19"/>
  <c r="B1100" i="19"/>
  <c r="B1099" i="19"/>
  <c r="B1098" i="19"/>
  <c r="B1097" i="19"/>
  <c r="B1096" i="19"/>
  <c r="B1095" i="19"/>
  <c r="B1094" i="19"/>
  <c r="B1093" i="19"/>
  <c r="B1092" i="19"/>
  <c r="B1091" i="19"/>
  <c r="B1090" i="19"/>
  <c r="B1089" i="19"/>
  <c r="B1088" i="19"/>
  <c r="B1087" i="19"/>
  <c r="B1086" i="19"/>
  <c r="B1085" i="19"/>
  <c r="B1084" i="19"/>
  <c r="B1083" i="19"/>
  <c r="B1082" i="19"/>
  <c r="B1081" i="19"/>
  <c r="B1080" i="19"/>
  <c r="B1079" i="19"/>
  <c r="B1078" i="19"/>
  <c r="B1077" i="19"/>
  <c r="B1076" i="19"/>
  <c r="B1075" i="19"/>
  <c r="B1074" i="19"/>
  <c r="B1073" i="19"/>
  <c r="B1072" i="19"/>
  <c r="B1071" i="19"/>
  <c r="B1070" i="19"/>
  <c r="B1069" i="19"/>
  <c r="B1068" i="19"/>
  <c r="B1067" i="19"/>
  <c r="B1066" i="19"/>
  <c r="B1065" i="19"/>
  <c r="B1064" i="19"/>
  <c r="B1063" i="19"/>
  <c r="B1062" i="19"/>
  <c r="B1061" i="19"/>
  <c r="B1060" i="19"/>
  <c r="B1059" i="19"/>
  <c r="B1058" i="19"/>
  <c r="B1057" i="19"/>
  <c r="B1056" i="19"/>
  <c r="B1055" i="19"/>
  <c r="B1054" i="19"/>
  <c r="B1053" i="19"/>
  <c r="B1052" i="19"/>
  <c r="B1051" i="19"/>
  <c r="B1050" i="19"/>
  <c r="B1049" i="19"/>
  <c r="B1048" i="19"/>
  <c r="B1047" i="19"/>
  <c r="B1046" i="19"/>
  <c r="B1045" i="19"/>
  <c r="B1044" i="19"/>
  <c r="B1043" i="19"/>
  <c r="B1042" i="19"/>
  <c r="B1041" i="19"/>
  <c r="B1040" i="19"/>
  <c r="B1039" i="19"/>
  <c r="B1038" i="19"/>
  <c r="B1037" i="19"/>
  <c r="B1036" i="19"/>
  <c r="B1035" i="19"/>
  <c r="B1034" i="19"/>
  <c r="B1033" i="19"/>
  <c r="B1032" i="19"/>
  <c r="B1031" i="19"/>
  <c r="B1030" i="19"/>
  <c r="B1029" i="19"/>
  <c r="B1028" i="19"/>
  <c r="B1027" i="19"/>
  <c r="B1026" i="19"/>
  <c r="B1025" i="19"/>
  <c r="B1024" i="19"/>
  <c r="B1023" i="19"/>
  <c r="B1022" i="19"/>
  <c r="B1021" i="19"/>
  <c r="B1020" i="19"/>
  <c r="B1019" i="19"/>
  <c r="B1018" i="19"/>
  <c r="B1017" i="19"/>
  <c r="B1016" i="19"/>
  <c r="B1015" i="19"/>
  <c r="B1014" i="19"/>
  <c r="B1013" i="19"/>
  <c r="B1012" i="19"/>
  <c r="B1011" i="19"/>
  <c r="B1010" i="19"/>
  <c r="B1009" i="19"/>
  <c r="B1008" i="19"/>
  <c r="B1007" i="19"/>
  <c r="B1006" i="19"/>
  <c r="B1005" i="19"/>
  <c r="B1004" i="19"/>
  <c r="B1003" i="19"/>
  <c r="B1002" i="19"/>
  <c r="B1001" i="19"/>
  <c r="B1000" i="19"/>
  <c r="B999" i="19"/>
  <c r="B998" i="19"/>
  <c r="B997" i="19"/>
  <c r="B996" i="19"/>
  <c r="B995" i="19"/>
  <c r="B994" i="19"/>
  <c r="B993" i="19"/>
  <c r="B992" i="19"/>
  <c r="B991" i="19"/>
  <c r="B990" i="19"/>
  <c r="B989" i="19"/>
  <c r="B988" i="19"/>
  <c r="B987" i="19"/>
  <c r="B986" i="19"/>
  <c r="B985" i="19"/>
  <c r="B984" i="19"/>
  <c r="B983" i="19"/>
  <c r="B982" i="19"/>
  <c r="B981" i="19"/>
  <c r="B980" i="19"/>
  <c r="B979" i="19"/>
  <c r="B978" i="19"/>
  <c r="B977" i="19"/>
  <c r="B976" i="19"/>
  <c r="B975" i="19"/>
  <c r="B974" i="19"/>
  <c r="B973" i="19"/>
  <c r="B972" i="19"/>
  <c r="B971" i="19"/>
  <c r="B970" i="19"/>
  <c r="B969" i="19"/>
  <c r="B968" i="19"/>
  <c r="B967" i="19"/>
  <c r="B966" i="19"/>
  <c r="B965" i="19"/>
  <c r="B964" i="19"/>
  <c r="B963" i="19"/>
  <c r="B962" i="19"/>
  <c r="B961" i="19"/>
  <c r="B960" i="19"/>
  <c r="B959" i="19"/>
  <c r="B958" i="19"/>
  <c r="B957" i="19"/>
  <c r="B956" i="19"/>
  <c r="B955" i="19"/>
  <c r="B954" i="19"/>
  <c r="B953" i="19"/>
  <c r="B952" i="19"/>
  <c r="B951" i="19"/>
  <c r="B950" i="19"/>
  <c r="B949" i="19"/>
  <c r="B948" i="19"/>
  <c r="B947" i="19"/>
  <c r="B946" i="19"/>
  <c r="B945" i="19"/>
  <c r="B944" i="19"/>
  <c r="B943" i="19"/>
  <c r="B942" i="19"/>
  <c r="B941" i="19"/>
  <c r="B940" i="19"/>
  <c r="B939" i="19"/>
  <c r="B938" i="19"/>
  <c r="B937" i="19"/>
  <c r="B936" i="19"/>
  <c r="B935" i="19"/>
  <c r="B934" i="19"/>
  <c r="B933" i="19"/>
  <c r="B932" i="19"/>
  <c r="B931" i="19"/>
  <c r="B930" i="19"/>
  <c r="B929" i="19"/>
  <c r="B928" i="19"/>
  <c r="B927" i="19"/>
  <c r="B926" i="19"/>
  <c r="B925" i="19"/>
  <c r="B924" i="19"/>
  <c r="B923" i="19"/>
  <c r="B922" i="19"/>
  <c r="B921" i="19"/>
  <c r="B920" i="19"/>
  <c r="B919" i="19"/>
  <c r="B918" i="19"/>
  <c r="B917" i="19"/>
  <c r="B916" i="19"/>
  <c r="B915" i="19"/>
  <c r="B914" i="19"/>
  <c r="B913" i="19"/>
  <c r="B912" i="19"/>
  <c r="B911" i="19"/>
  <c r="B910" i="19"/>
  <c r="B909" i="19"/>
  <c r="B908" i="19"/>
  <c r="B907" i="19"/>
  <c r="B906" i="19"/>
  <c r="B905" i="19"/>
  <c r="B904" i="19"/>
  <c r="B903" i="19"/>
  <c r="B902" i="19"/>
  <c r="B901" i="19"/>
  <c r="B900" i="19"/>
  <c r="B899" i="19"/>
  <c r="B898" i="19"/>
  <c r="B897" i="19"/>
  <c r="B896" i="19"/>
  <c r="B895" i="19"/>
  <c r="B894" i="19"/>
  <c r="B893" i="19"/>
  <c r="B892" i="19"/>
  <c r="B891" i="19"/>
  <c r="B890" i="19"/>
  <c r="B889" i="19"/>
  <c r="B888" i="19"/>
  <c r="B887" i="19"/>
  <c r="B886" i="19"/>
  <c r="B885" i="19"/>
  <c r="B884" i="19"/>
  <c r="B883" i="19"/>
  <c r="B882" i="19"/>
  <c r="B881" i="19"/>
  <c r="B880" i="19"/>
  <c r="B879" i="19"/>
  <c r="B878" i="19"/>
  <c r="B877" i="19"/>
  <c r="B876" i="19"/>
  <c r="B875" i="19"/>
  <c r="B874" i="19"/>
  <c r="B873" i="19"/>
  <c r="B872" i="19"/>
  <c r="B871" i="19"/>
  <c r="B870" i="19"/>
  <c r="B869" i="19"/>
  <c r="B868" i="19"/>
  <c r="B867" i="19"/>
  <c r="B866" i="19"/>
  <c r="B865" i="19"/>
  <c r="B864" i="19"/>
  <c r="B863" i="19"/>
  <c r="B862" i="19"/>
  <c r="B861" i="19"/>
  <c r="B860" i="19"/>
  <c r="B859" i="19"/>
  <c r="B858" i="19"/>
  <c r="B857" i="19"/>
  <c r="B856" i="19"/>
  <c r="B855" i="19"/>
  <c r="B854" i="19"/>
  <c r="B853" i="19"/>
  <c r="B852" i="19"/>
  <c r="B851" i="19"/>
  <c r="B850" i="19"/>
  <c r="B849" i="19"/>
  <c r="B848" i="19"/>
  <c r="B847" i="19"/>
  <c r="B846" i="19"/>
  <c r="B845" i="19"/>
  <c r="B844" i="19"/>
  <c r="B843" i="19"/>
  <c r="B842" i="19"/>
  <c r="B841" i="19"/>
  <c r="B840" i="19"/>
  <c r="B839" i="19"/>
  <c r="B838" i="19"/>
  <c r="B837" i="19"/>
  <c r="B836" i="19"/>
  <c r="B835" i="19"/>
  <c r="B834" i="19"/>
  <c r="B833" i="19"/>
  <c r="B832" i="19"/>
  <c r="B831" i="19"/>
  <c r="B830" i="19"/>
  <c r="B829" i="19"/>
  <c r="B828" i="19"/>
  <c r="B827" i="19"/>
  <c r="B826" i="19"/>
  <c r="B825" i="19"/>
  <c r="B824" i="19"/>
  <c r="B823" i="19"/>
  <c r="B822" i="19"/>
  <c r="B821" i="19"/>
  <c r="B820" i="19"/>
  <c r="B819" i="19"/>
  <c r="B818" i="19"/>
  <c r="B817" i="19"/>
  <c r="B816" i="19"/>
  <c r="B815" i="19"/>
  <c r="B814" i="19"/>
  <c r="B813" i="19"/>
  <c r="B812" i="19"/>
  <c r="B811" i="19"/>
  <c r="B810" i="19"/>
  <c r="B809" i="19"/>
  <c r="B808" i="19"/>
  <c r="B807" i="19"/>
  <c r="B806" i="19"/>
  <c r="B805" i="19"/>
  <c r="B804" i="19"/>
  <c r="B803" i="19"/>
  <c r="B802" i="19"/>
  <c r="B801" i="19"/>
  <c r="B800" i="19"/>
  <c r="B799" i="19"/>
  <c r="B798" i="19"/>
  <c r="B797" i="19"/>
  <c r="B796" i="19"/>
  <c r="B795" i="19"/>
  <c r="B794" i="19"/>
  <c r="B793" i="19"/>
  <c r="B792" i="19"/>
  <c r="B791" i="19"/>
  <c r="B790" i="19"/>
  <c r="B789" i="19"/>
  <c r="B788" i="19"/>
  <c r="B787" i="19"/>
  <c r="B786" i="19"/>
  <c r="B785" i="19"/>
  <c r="B784" i="19"/>
  <c r="B783" i="19"/>
  <c r="B782" i="19"/>
  <c r="B781" i="19"/>
  <c r="B780" i="19"/>
  <c r="B779" i="19"/>
  <c r="B778" i="19"/>
  <c r="B777" i="19"/>
  <c r="B776" i="19"/>
  <c r="B775" i="19"/>
  <c r="B774" i="19"/>
  <c r="B773" i="19"/>
  <c r="B772" i="19"/>
  <c r="B771" i="19"/>
  <c r="B770" i="19"/>
  <c r="B769" i="19"/>
  <c r="B768" i="19"/>
  <c r="B767" i="19"/>
  <c r="B766" i="19"/>
  <c r="B765" i="19"/>
  <c r="B764" i="19"/>
  <c r="B763" i="19"/>
  <c r="B762" i="19"/>
  <c r="B761" i="19"/>
  <c r="B760" i="19"/>
  <c r="B759" i="19"/>
  <c r="B758" i="19"/>
  <c r="B757" i="19"/>
  <c r="B756" i="19"/>
  <c r="B755" i="19"/>
  <c r="B754" i="19"/>
  <c r="B753" i="19"/>
  <c r="B752" i="19"/>
  <c r="B751" i="19"/>
  <c r="B750" i="19"/>
  <c r="B749" i="19"/>
  <c r="B748" i="19"/>
  <c r="B747" i="19"/>
  <c r="B746" i="19"/>
  <c r="B745" i="19"/>
  <c r="B744" i="19"/>
  <c r="B743" i="19"/>
  <c r="B742" i="19"/>
  <c r="B741" i="19"/>
  <c r="B740" i="19"/>
  <c r="B739" i="19"/>
  <c r="B738" i="19"/>
  <c r="B737" i="19"/>
  <c r="B736" i="19"/>
  <c r="B735" i="19"/>
  <c r="B734" i="19"/>
  <c r="B733" i="19"/>
  <c r="B732" i="19"/>
  <c r="B731" i="19"/>
  <c r="B730" i="19"/>
  <c r="B729" i="19"/>
  <c r="B728" i="19"/>
  <c r="B727" i="19"/>
  <c r="B726" i="19"/>
  <c r="B725" i="19"/>
  <c r="B724" i="19"/>
  <c r="B723" i="19"/>
  <c r="B722" i="19"/>
  <c r="B721" i="19"/>
  <c r="B720" i="19"/>
  <c r="B719" i="19"/>
  <c r="B718" i="19"/>
  <c r="B717" i="19"/>
  <c r="B716" i="19"/>
  <c r="B715" i="19"/>
  <c r="B714" i="19"/>
  <c r="B713" i="19"/>
  <c r="B712" i="19"/>
  <c r="B711" i="19"/>
  <c r="B710" i="19"/>
  <c r="B709" i="19"/>
  <c r="B708" i="19"/>
  <c r="B707" i="19"/>
  <c r="B706" i="19"/>
  <c r="B705" i="19"/>
  <c r="B704" i="19"/>
  <c r="B703" i="19"/>
  <c r="B702" i="19"/>
  <c r="B701" i="19"/>
  <c r="B700" i="19"/>
  <c r="B699" i="19"/>
  <c r="B698" i="19"/>
  <c r="B697" i="19"/>
  <c r="B696" i="19"/>
  <c r="B695" i="19"/>
  <c r="B694" i="19"/>
  <c r="B693" i="19"/>
  <c r="B692" i="19"/>
  <c r="B691" i="19"/>
  <c r="B690" i="19"/>
  <c r="B689" i="19"/>
  <c r="B688" i="19"/>
  <c r="B687" i="19"/>
  <c r="B686" i="19"/>
  <c r="B685" i="19"/>
  <c r="B684" i="19"/>
  <c r="B683" i="19"/>
  <c r="B682" i="19"/>
  <c r="B681" i="19"/>
  <c r="B680" i="19"/>
  <c r="B679" i="19"/>
  <c r="B678" i="19"/>
  <c r="B677" i="19"/>
  <c r="B676" i="19"/>
  <c r="B675" i="19"/>
  <c r="B674" i="19"/>
  <c r="B673" i="19"/>
  <c r="B672" i="19"/>
  <c r="B671" i="19"/>
  <c r="B670" i="19"/>
  <c r="B669" i="19"/>
  <c r="B668" i="19"/>
  <c r="B667" i="19"/>
  <c r="B666" i="19"/>
  <c r="B665" i="19"/>
  <c r="B664" i="19"/>
  <c r="B663" i="19"/>
  <c r="B662" i="19"/>
  <c r="B661" i="19"/>
  <c r="B660" i="19"/>
  <c r="B659" i="19"/>
  <c r="B658" i="19"/>
  <c r="B657" i="19"/>
  <c r="B656" i="19"/>
  <c r="B655" i="19"/>
  <c r="B654" i="19"/>
  <c r="B653" i="19"/>
  <c r="B652" i="19"/>
  <c r="B651" i="19"/>
  <c r="B650" i="19"/>
  <c r="B649" i="19"/>
  <c r="B648" i="19"/>
  <c r="B647" i="19"/>
  <c r="B646" i="19"/>
  <c r="B645" i="19"/>
  <c r="B644" i="19"/>
  <c r="B643" i="19"/>
  <c r="B642" i="19"/>
  <c r="B641" i="19"/>
  <c r="B640" i="19"/>
  <c r="B639" i="19"/>
  <c r="B638" i="19"/>
  <c r="B637" i="19"/>
  <c r="B636" i="19"/>
  <c r="B635" i="19"/>
  <c r="B634" i="19"/>
  <c r="B633" i="19"/>
  <c r="B632" i="19"/>
  <c r="B631" i="19"/>
  <c r="B630" i="19"/>
  <c r="B629" i="19"/>
  <c r="B628" i="19"/>
  <c r="B627" i="19"/>
  <c r="B626" i="19"/>
  <c r="B625" i="19"/>
  <c r="B624" i="19"/>
  <c r="B623" i="19"/>
  <c r="B622" i="19"/>
  <c r="B621" i="19"/>
  <c r="B620" i="19"/>
  <c r="B619" i="19"/>
  <c r="B618" i="19"/>
  <c r="B617" i="19"/>
  <c r="B616" i="19"/>
  <c r="B615" i="19"/>
  <c r="B614" i="19"/>
  <c r="B613" i="19"/>
  <c r="B612" i="19"/>
  <c r="B611" i="19"/>
  <c r="B610" i="19"/>
  <c r="B609" i="19"/>
  <c r="B608" i="19"/>
  <c r="B607" i="19"/>
  <c r="B606" i="19"/>
  <c r="B605" i="19"/>
  <c r="B604" i="19"/>
  <c r="B603" i="19"/>
  <c r="B602" i="19"/>
  <c r="B601" i="19"/>
  <c r="B600" i="19"/>
  <c r="B599" i="19"/>
  <c r="B598" i="19"/>
  <c r="B597" i="19"/>
  <c r="B596" i="19"/>
  <c r="B595" i="19"/>
  <c r="B594" i="19"/>
  <c r="B593" i="19"/>
  <c r="B592" i="19"/>
  <c r="B591" i="19"/>
  <c r="B590" i="19"/>
  <c r="B589" i="19"/>
  <c r="B588" i="19"/>
  <c r="B587" i="19"/>
  <c r="B586" i="19"/>
  <c r="B585" i="19"/>
  <c r="B584" i="19"/>
  <c r="B583" i="19"/>
  <c r="B582" i="19"/>
  <c r="B581" i="19"/>
  <c r="B580" i="19"/>
  <c r="B579" i="19"/>
  <c r="B578" i="19"/>
  <c r="B577" i="19"/>
  <c r="B576" i="19"/>
  <c r="B575" i="19"/>
  <c r="B574" i="19"/>
  <c r="B573" i="19"/>
  <c r="B572" i="19"/>
  <c r="B571" i="19"/>
  <c r="B570" i="19"/>
  <c r="B569" i="19"/>
  <c r="B568" i="19"/>
  <c r="B567" i="19"/>
  <c r="B566" i="19"/>
  <c r="B565" i="19"/>
  <c r="B564" i="19"/>
  <c r="B563" i="19"/>
  <c r="B562" i="19"/>
  <c r="B561" i="19"/>
  <c r="B560" i="19"/>
  <c r="B559" i="19"/>
  <c r="B558" i="19"/>
  <c r="B557" i="19"/>
  <c r="B556" i="19"/>
  <c r="B555" i="19"/>
  <c r="B554" i="19"/>
  <c r="B553" i="19"/>
  <c r="B552" i="19"/>
  <c r="B551" i="19"/>
  <c r="B550" i="19"/>
  <c r="B549" i="19"/>
  <c r="B548" i="19"/>
  <c r="B547" i="19"/>
  <c r="B546" i="19"/>
  <c r="B545" i="19"/>
  <c r="B544" i="19"/>
  <c r="B543" i="19"/>
  <c r="B542" i="19"/>
  <c r="B541" i="19"/>
  <c r="B540" i="19"/>
  <c r="B539" i="19"/>
  <c r="B538" i="19"/>
  <c r="B537" i="19"/>
  <c r="B536" i="19"/>
  <c r="B535" i="19"/>
  <c r="B534" i="19"/>
  <c r="B533" i="19"/>
  <c r="B532" i="19"/>
  <c r="B531" i="19"/>
  <c r="B530" i="19"/>
  <c r="B529" i="19"/>
  <c r="B528" i="19"/>
  <c r="B527" i="19"/>
  <c r="B526" i="19"/>
  <c r="B525" i="19"/>
  <c r="B524" i="19"/>
  <c r="B523" i="19"/>
  <c r="B522" i="19"/>
  <c r="B521" i="19"/>
  <c r="B520" i="19"/>
  <c r="B519" i="19"/>
  <c r="B518" i="19"/>
  <c r="B517" i="19"/>
  <c r="B516" i="19"/>
  <c r="B515" i="19"/>
  <c r="B514" i="19"/>
  <c r="B513" i="19"/>
  <c r="B512" i="19"/>
  <c r="B511" i="19"/>
  <c r="B510" i="19"/>
  <c r="B509" i="19"/>
  <c r="B508" i="19"/>
  <c r="B507" i="19"/>
  <c r="B506" i="19"/>
  <c r="B505" i="19"/>
  <c r="B504" i="19"/>
  <c r="B503" i="19"/>
  <c r="B502" i="19"/>
  <c r="B501" i="19"/>
  <c r="B500" i="19"/>
  <c r="B499" i="19"/>
  <c r="B498" i="19"/>
  <c r="B497" i="19"/>
  <c r="B496" i="19"/>
  <c r="B495" i="19"/>
  <c r="B494" i="19"/>
  <c r="B493" i="19"/>
  <c r="B492" i="19"/>
  <c r="B491" i="19"/>
  <c r="B490" i="19"/>
  <c r="B489" i="19"/>
  <c r="B488" i="19"/>
  <c r="B487" i="19"/>
  <c r="B486" i="19"/>
  <c r="B485" i="19"/>
  <c r="B484" i="19"/>
  <c r="B483" i="19"/>
  <c r="B482" i="19"/>
  <c r="B481" i="19"/>
  <c r="B480" i="19"/>
  <c r="B479" i="19"/>
  <c r="B478" i="19"/>
  <c r="B477" i="19"/>
  <c r="B476" i="19"/>
  <c r="B475" i="19"/>
  <c r="B474" i="19"/>
  <c r="B473" i="19"/>
  <c r="B472" i="19"/>
  <c r="B471" i="19"/>
  <c r="B470" i="19"/>
  <c r="B469" i="19"/>
  <c r="B468" i="19"/>
  <c r="B467" i="19"/>
  <c r="B466" i="19"/>
  <c r="B465" i="19"/>
  <c r="B464" i="19"/>
  <c r="B463" i="19"/>
  <c r="B462" i="19"/>
  <c r="B461" i="19"/>
  <c r="B460" i="19"/>
  <c r="B459" i="19"/>
  <c r="B458" i="19"/>
  <c r="B457" i="19"/>
  <c r="B456" i="19"/>
  <c r="B455" i="19"/>
  <c r="B454" i="19"/>
  <c r="B453" i="19"/>
  <c r="B452" i="19"/>
  <c r="B451" i="19"/>
  <c r="B450" i="19"/>
  <c r="B449" i="19"/>
  <c r="B448" i="19"/>
  <c r="B447" i="19"/>
  <c r="B446" i="19"/>
  <c r="B445" i="19"/>
  <c r="B444" i="19"/>
  <c r="B443" i="19"/>
  <c r="B442" i="19"/>
  <c r="B441" i="19"/>
  <c r="B440" i="19"/>
  <c r="B439" i="19"/>
  <c r="B438" i="19"/>
  <c r="B437" i="19"/>
  <c r="B436" i="19"/>
  <c r="B435" i="19"/>
  <c r="B434" i="19"/>
  <c r="B433" i="19"/>
  <c r="B432" i="19"/>
  <c r="B431" i="19"/>
  <c r="B430" i="19"/>
  <c r="B429" i="19"/>
  <c r="B428" i="19"/>
  <c r="B427" i="19"/>
  <c r="B426" i="19"/>
  <c r="B425" i="19"/>
  <c r="B424" i="19"/>
  <c r="B423" i="19"/>
  <c r="B422" i="19"/>
  <c r="B421" i="19"/>
  <c r="B420" i="19"/>
  <c r="B419" i="19"/>
  <c r="B418" i="19"/>
  <c r="B417" i="19"/>
  <c r="B416" i="19"/>
  <c r="B415" i="19"/>
  <c r="B414" i="19"/>
  <c r="B413" i="19"/>
  <c r="B412" i="19"/>
  <c r="B411" i="19"/>
  <c r="B410" i="19"/>
  <c r="B409" i="19"/>
  <c r="B408" i="19"/>
  <c r="B407" i="19"/>
  <c r="B406" i="19"/>
  <c r="B405" i="19"/>
  <c r="B404" i="19"/>
  <c r="B403" i="19"/>
  <c r="B402" i="19"/>
  <c r="B401" i="19"/>
  <c r="B400" i="19"/>
  <c r="B399" i="19"/>
  <c r="B398" i="19"/>
  <c r="B397" i="19"/>
  <c r="B396" i="19"/>
  <c r="B395" i="19"/>
  <c r="B394" i="19"/>
  <c r="B393" i="19"/>
  <c r="B392" i="19"/>
  <c r="B391" i="19"/>
  <c r="B390" i="19"/>
  <c r="B389" i="19"/>
  <c r="B388" i="19"/>
  <c r="B387" i="19"/>
  <c r="B386" i="19"/>
  <c r="B385" i="19"/>
  <c r="B384" i="19"/>
  <c r="B383" i="19"/>
  <c r="B382" i="19"/>
  <c r="B381" i="19"/>
  <c r="B380" i="19"/>
  <c r="B379" i="19"/>
  <c r="B378" i="19"/>
  <c r="B377" i="19"/>
  <c r="B376" i="19"/>
  <c r="B375" i="19"/>
  <c r="B374" i="19"/>
  <c r="B373" i="19"/>
  <c r="B372" i="19"/>
  <c r="B371" i="19"/>
  <c r="B370" i="19"/>
  <c r="B369" i="19"/>
  <c r="B368" i="19"/>
  <c r="B367" i="19"/>
  <c r="B366" i="19"/>
  <c r="B365" i="19"/>
  <c r="B364" i="19"/>
  <c r="B363" i="19"/>
  <c r="B362" i="19"/>
  <c r="B361" i="19"/>
  <c r="B360" i="19"/>
  <c r="B359" i="19"/>
  <c r="B358" i="19"/>
  <c r="B357" i="19"/>
  <c r="B356" i="19"/>
  <c r="B355" i="19"/>
  <c r="B354" i="19"/>
  <c r="B353" i="19"/>
  <c r="B352" i="19"/>
  <c r="B351" i="19"/>
  <c r="B350" i="19"/>
  <c r="B349" i="19"/>
  <c r="B348" i="19"/>
  <c r="B347" i="19"/>
  <c r="B346" i="19"/>
  <c r="B345" i="19"/>
  <c r="B344" i="19"/>
  <c r="B343" i="19"/>
  <c r="B342" i="19"/>
  <c r="B341" i="19"/>
  <c r="B340" i="19"/>
  <c r="B339" i="19"/>
  <c r="B338" i="19"/>
  <c r="B337" i="19"/>
  <c r="B336" i="19"/>
  <c r="B335" i="19"/>
  <c r="B334" i="19"/>
  <c r="B333" i="19"/>
  <c r="B332" i="19"/>
  <c r="B331" i="19"/>
  <c r="B330" i="19"/>
  <c r="B329" i="19"/>
  <c r="B328" i="19"/>
  <c r="B327" i="19"/>
  <c r="B326" i="19"/>
  <c r="B325" i="19"/>
  <c r="B324" i="19"/>
  <c r="B323" i="19"/>
  <c r="B322" i="19"/>
  <c r="B321" i="19"/>
  <c r="B320" i="19"/>
  <c r="B319" i="19"/>
  <c r="B318" i="19"/>
  <c r="B317" i="19"/>
  <c r="B316" i="19"/>
  <c r="B315" i="19"/>
  <c r="B314" i="19"/>
  <c r="B313" i="19"/>
  <c r="B312" i="19"/>
  <c r="B311" i="19"/>
  <c r="B310" i="19"/>
  <c r="B309" i="19"/>
  <c r="B308" i="19"/>
  <c r="B307" i="19"/>
  <c r="B306" i="19"/>
  <c r="B305" i="19"/>
  <c r="B304" i="19"/>
  <c r="B303" i="19"/>
  <c r="B302" i="19"/>
  <c r="B301" i="19"/>
  <c r="B300" i="19"/>
  <c r="B299" i="19"/>
  <c r="B298" i="19"/>
  <c r="B297" i="19"/>
  <c r="B296" i="19"/>
  <c r="B295" i="19"/>
  <c r="B294" i="19"/>
  <c r="B293" i="19"/>
  <c r="B292" i="19"/>
  <c r="B291" i="19"/>
  <c r="B290" i="19"/>
  <c r="B289" i="19"/>
  <c r="B288" i="19"/>
  <c r="B287" i="19"/>
  <c r="B286" i="19"/>
  <c r="B285" i="19"/>
  <c r="B284" i="19"/>
  <c r="B283" i="19"/>
  <c r="B282" i="19"/>
  <c r="B281" i="19"/>
  <c r="B280" i="19"/>
  <c r="B279" i="19"/>
  <c r="B278" i="19"/>
  <c r="B277" i="19"/>
  <c r="B276" i="19"/>
  <c r="B275" i="19"/>
  <c r="B274" i="19"/>
  <c r="B273" i="19"/>
  <c r="B272" i="19"/>
  <c r="B271" i="19"/>
  <c r="B270" i="19"/>
  <c r="B269" i="19"/>
  <c r="B268" i="19"/>
  <c r="B267" i="19"/>
  <c r="B266" i="19"/>
  <c r="B265" i="19"/>
  <c r="B264" i="19"/>
  <c r="B263" i="19"/>
  <c r="B262" i="19"/>
  <c r="B261" i="19"/>
  <c r="B260" i="19"/>
  <c r="B259" i="19"/>
  <c r="B258" i="19"/>
  <c r="B257" i="19"/>
  <c r="B256" i="19"/>
  <c r="B255" i="19"/>
  <c r="B254" i="19"/>
  <c r="B253" i="19"/>
  <c r="B252" i="19"/>
  <c r="B251" i="19"/>
  <c r="B250" i="19"/>
  <c r="B249" i="19"/>
  <c r="B248" i="19"/>
  <c r="B247" i="19"/>
  <c r="B246" i="19"/>
  <c r="B245" i="19"/>
  <c r="B244" i="19"/>
  <c r="B243" i="19"/>
  <c r="B242" i="19"/>
  <c r="B241" i="19"/>
  <c r="B240" i="19"/>
  <c r="B239" i="19"/>
  <c r="B238" i="19"/>
  <c r="B237" i="19"/>
  <c r="B236" i="19"/>
  <c r="B235" i="19"/>
  <c r="B234" i="19"/>
  <c r="B233" i="19"/>
  <c r="B232" i="19"/>
  <c r="B231" i="19"/>
  <c r="B230" i="19"/>
  <c r="B229" i="19"/>
  <c r="B228" i="19"/>
  <c r="B227" i="19"/>
  <c r="B226" i="19"/>
  <c r="B225" i="19"/>
  <c r="B224" i="19"/>
  <c r="B223" i="19"/>
  <c r="B222" i="19"/>
  <c r="B221" i="19"/>
  <c r="B220" i="19"/>
  <c r="B219" i="19"/>
  <c r="B218" i="19"/>
  <c r="B217" i="19"/>
  <c r="B216" i="19"/>
  <c r="B215" i="19"/>
  <c r="B214" i="19"/>
  <c r="B213" i="19"/>
  <c r="B212" i="19"/>
  <c r="B211" i="19"/>
  <c r="B210" i="19"/>
  <c r="B209" i="19"/>
  <c r="B208" i="19"/>
  <c r="B207" i="19"/>
  <c r="B206" i="19"/>
  <c r="B205" i="19"/>
  <c r="B204" i="19"/>
  <c r="B203" i="19"/>
  <c r="B202" i="19"/>
  <c r="B201" i="19"/>
  <c r="B200" i="19"/>
  <c r="B199" i="19"/>
  <c r="B198" i="19"/>
  <c r="B197" i="19"/>
  <c r="B196" i="19"/>
  <c r="B195" i="19"/>
  <c r="B194" i="19"/>
  <c r="B193" i="19"/>
  <c r="B192" i="19"/>
  <c r="B191" i="19"/>
  <c r="B190" i="19"/>
  <c r="B189" i="19"/>
  <c r="B188" i="19"/>
  <c r="B187" i="19"/>
  <c r="B186" i="19"/>
  <c r="B185" i="19"/>
  <c r="B184" i="19"/>
  <c r="B183" i="19"/>
  <c r="B182" i="19"/>
  <c r="B181" i="19"/>
  <c r="B180" i="19"/>
  <c r="B179" i="19"/>
  <c r="B178" i="19"/>
  <c r="B177" i="19"/>
  <c r="B176" i="19"/>
  <c r="B175" i="19"/>
  <c r="B174" i="19"/>
  <c r="B173" i="19"/>
  <c r="B172" i="19"/>
  <c r="B171" i="19"/>
  <c r="B170" i="19"/>
  <c r="B169" i="19"/>
  <c r="B168" i="19"/>
  <c r="B167" i="19"/>
  <c r="B166" i="19"/>
  <c r="B165" i="19"/>
  <c r="B164" i="19"/>
  <c r="B163" i="19"/>
  <c r="B162" i="19"/>
  <c r="B161" i="19"/>
  <c r="B160" i="19"/>
  <c r="B159" i="19"/>
  <c r="B158" i="19"/>
  <c r="B157" i="19"/>
  <c r="B156" i="19"/>
  <c r="B155" i="19"/>
  <c r="B154" i="19"/>
  <c r="B153" i="19"/>
  <c r="B152" i="19"/>
  <c r="B151" i="19"/>
  <c r="B150" i="19"/>
  <c r="B149" i="19"/>
  <c r="B148" i="19"/>
  <c r="B147" i="19"/>
  <c r="B146" i="19"/>
  <c r="B145" i="19"/>
  <c r="B144" i="19"/>
  <c r="B143" i="19"/>
  <c r="B142" i="19"/>
  <c r="B141" i="19"/>
  <c r="B140" i="19"/>
  <c r="B139" i="19"/>
  <c r="B138" i="19"/>
  <c r="B137" i="19"/>
  <c r="B136" i="19"/>
  <c r="B135" i="19"/>
  <c r="B134" i="19"/>
  <c r="B133" i="19"/>
  <c r="B132" i="19"/>
  <c r="B131" i="19"/>
  <c r="B130" i="19"/>
  <c r="B129" i="19"/>
  <c r="B128" i="19"/>
  <c r="B127" i="19"/>
  <c r="B126" i="19"/>
  <c r="B125" i="19"/>
  <c r="B124" i="19"/>
  <c r="B123" i="19"/>
  <c r="B122" i="19"/>
  <c r="B121" i="19"/>
  <c r="B120" i="19"/>
  <c r="B119" i="19"/>
  <c r="B118" i="19"/>
  <c r="B117" i="19"/>
  <c r="B116" i="19"/>
  <c r="B115" i="19"/>
  <c r="B114" i="19"/>
  <c r="B113" i="19"/>
  <c r="B112" i="19"/>
  <c r="B111" i="19"/>
  <c r="B110" i="19"/>
  <c r="B109" i="19"/>
  <c r="B108" i="19"/>
  <c r="B107" i="19"/>
  <c r="B106" i="19"/>
  <c r="B105" i="19"/>
  <c r="B104" i="19"/>
  <c r="B103" i="19"/>
  <c r="B102" i="19"/>
  <c r="B101" i="19"/>
  <c r="B100" i="19"/>
  <c r="B99" i="19"/>
  <c r="B98" i="19"/>
  <c r="B97" i="19"/>
  <c r="B96" i="19"/>
  <c r="B95" i="19"/>
  <c r="B94" i="19"/>
  <c r="B93" i="19"/>
  <c r="B92" i="19"/>
  <c r="B91" i="19"/>
  <c r="B90" i="19"/>
  <c r="B89" i="19"/>
  <c r="B88" i="19"/>
  <c r="B87" i="19"/>
  <c r="B86" i="19"/>
  <c r="B85" i="19"/>
  <c r="B84" i="19"/>
  <c r="B83" i="19"/>
  <c r="B82" i="19"/>
  <c r="B81" i="19"/>
  <c r="B80" i="19"/>
  <c r="B79" i="19"/>
  <c r="B78" i="19"/>
  <c r="B77" i="19"/>
  <c r="B76" i="19"/>
  <c r="B75" i="19"/>
  <c r="B74" i="19"/>
  <c r="B73" i="19"/>
  <c r="B72" i="19"/>
  <c r="B71" i="19"/>
  <c r="B70" i="19"/>
  <c r="B69" i="19"/>
  <c r="B68" i="19"/>
  <c r="B67" i="19"/>
  <c r="B66" i="19"/>
  <c r="B65" i="19"/>
  <c r="B64" i="19"/>
  <c r="B63" i="19"/>
  <c r="B62" i="19"/>
  <c r="B61" i="19"/>
  <c r="B60" i="19"/>
  <c r="B59" i="19"/>
  <c r="B58" i="19"/>
  <c r="B57" i="19"/>
  <c r="B56" i="19"/>
  <c r="B55" i="19"/>
  <c r="B54" i="19"/>
  <c r="B53" i="19"/>
  <c r="B52" i="19"/>
  <c r="B51" i="19"/>
  <c r="B50" i="19"/>
  <c r="B49" i="19"/>
  <c r="B48" i="19"/>
  <c r="B47" i="19"/>
  <c r="B46" i="19"/>
  <c r="B45" i="19"/>
  <c r="B44" i="19"/>
  <c r="B43" i="19"/>
  <c r="B42" i="19"/>
  <c r="B41" i="19"/>
  <c r="B40" i="19"/>
  <c r="B39" i="19"/>
  <c r="B38" i="19"/>
  <c r="B37" i="19"/>
  <c r="B36" i="19"/>
  <c r="B35" i="19"/>
  <c r="B34" i="19"/>
  <c r="B33" i="19"/>
  <c r="B32" i="19"/>
  <c r="B31" i="19"/>
  <c r="B30" i="19"/>
  <c r="B29" i="19"/>
  <c r="B28" i="19"/>
  <c r="B27" i="19"/>
  <c r="B26" i="19"/>
  <c r="B25" i="19"/>
  <c r="B24" i="19"/>
  <c r="B23" i="19"/>
  <c r="B22" i="19"/>
  <c r="B21" i="19"/>
  <c r="B20" i="19"/>
  <c r="B19" i="19"/>
  <c r="B18" i="19"/>
  <c r="B17" i="19"/>
  <c r="B16" i="19"/>
  <c r="B15" i="19"/>
  <c r="B14" i="19"/>
  <c r="B13" i="19"/>
  <c r="B12" i="19"/>
  <c r="B11" i="19"/>
  <c r="B10" i="19"/>
  <c r="B9" i="19"/>
  <c r="B8" i="19"/>
  <c r="B7" i="19"/>
  <c r="D39" i="21"/>
  <c r="D38" i="21"/>
  <c r="D37" i="21"/>
  <c r="D36" i="21"/>
  <c r="D35" i="21"/>
  <c r="D34" i="21"/>
  <c r="D33" i="21"/>
  <c r="D32" i="21"/>
  <c r="D31" i="21"/>
  <c r="D30" i="21"/>
  <c r="D29" i="21"/>
  <c r="D28" i="21"/>
  <c r="D27" i="21"/>
  <c r="D26" i="21"/>
  <c r="D25" i="21"/>
  <c r="D24" i="21"/>
  <c r="D23" i="21"/>
  <c r="D22" i="21"/>
  <c r="D21" i="21"/>
  <c r="D20" i="21"/>
  <c r="D19" i="21"/>
  <c r="D18" i="21"/>
  <c r="D17" i="21"/>
  <c r="D16" i="21"/>
  <c r="D15" i="21"/>
  <c r="D14" i="21"/>
  <c r="B701" i="20"/>
  <c r="B700" i="20"/>
  <c r="B699" i="20"/>
  <c r="B698" i="20"/>
  <c r="B697" i="20"/>
  <c r="B696" i="20"/>
  <c r="B695" i="20"/>
  <c r="B694" i="20"/>
  <c r="B693" i="20"/>
  <c r="B692" i="20"/>
  <c r="B691" i="20"/>
  <c r="B690" i="20"/>
  <c r="B689" i="20"/>
  <c r="B688" i="20"/>
  <c r="B687" i="20"/>
  <c r="B686" i="20"/>
  <c r="B685" i="20"/>
  <c r="B684" i="20"/>
  <c r="B683" i="20"/>
  <c r="B682" i="20"/>
  <c r="B681" i="20"/>
  <c r="B680" i="20"/>
  <c r="B679" i="20"/>
  <c r="B678" i="20"/>
  <c r="B677" i="20"/>
  <c r="B676" i="20"/>
  <c r="B675" i="20"/>
  <c r="B674" i="20"/>
  <c r="B673" i="20"/>
  <c r="B672" i="20"/>
  <c r="B671" i="20"/>
  <c r="B670" i="20"/>
  <c r="B669" i="20"/>
  <c r="B668" i="20"/>
  <c r="B667" i="20"/>
  <c r="B666" i="20"/>
  <c r="B665" i="20"/>
  <c r="B664" i="20"/>
  <c r="B663" i="20"/>
  <c r="B662" i="20"/>
  <c r="B661" i="20"/>
  <c r="B660" i="20"/>
  <c r="B659" i="20"/>
  <c r="B658" i="20"/>
  <c r="B657" i="20"/>
  <c r="B656" i="20"/>
  <c r="B655" i="20"/>
  <c r="B654" i="20"/>
  <c r="B653" i="20"/>
  <c r="B652" i="20"/>
  <c r="B651" i="20"/>
  <c r="B650" i="20"/>
  <c r="B649" i="20"/>
  <c r="B648" i="20"/>
  <c r="B647" i="20"/>
  <c r="B646" i="20"/>
  <c r="B645" i="20"/>
  <c r="B644" i="20"/>
  <c r="B643" i="20"/>
  <c r="B642" i="20"/>
  <c r="B641" i="20"/>
  <c r="B640" i="20"/>
  <c r="B639" i="20"/>
  <c r="B638" i="20"/>
  <c r="B637" i="20"/>
  <c r="B636" i="20"/>
  <c r="B635" i="20"/>
  <c r="B634" i="20"/>
  <c r="B633" i="20"/>
  <c r="B632" i="20"/>
  <c r="B631" i="20"/>
  <c r="B630" i="20"/>
  <c r="B629" i="20"/>
  <c r="B628" i="20"/>
  <c r="B627" i="20"/>
  <c r="B626" i="20"/>
  <c r="B625" i="20"/>
  <c r="B624" i="20"/>
  <c r="B623" i="20"/>
  <c r="B622" i="20"/>
  <c r="B621" i="20"/>
  <c r="B620" i="20"/>
  <c r="B619" i="20"/>
  <c r="B618" i="20"/>
  <c r="B617" i="20"/>
  <c r="B616" i="20"/>
  <c r="B615" i="20"/>
  <c r="B614" i="20"/>
  <c r="B613" i="20"/>
  <c r="B612" i="20"/>
  <c r="B611" i="20"/>
  <c r="B610" i="20"/>
  <c r="B609" i="20"/>
  <c r="B608" i="20"/>
  <c r="B607" i="20"/>
  <c r="B606" i="20"/>
  <c r="B605" i="20"/>
  <c r="B604" i="20"/>
  <c r="B603" i="20"/>
  <c r="B602" i="20"/>
  <c r="B601" i="20"/>
  <c r="B600" i="20"/>
  <c r="B599" i="20"/>
  <c r="B598" i="20"/>
  <c r="B597" i="20"/>
  <c r="B596" i="20"/>
  <c r="B595" i="20"/>
  <c r="B594" i="20"/>
  <c r="B593" i="20"/>
  <c r="B592" i="20"/>
  <c r="B591" i="20"/>
  <c r="B590" i="20"/>
  <c r="B589" i="20"/>
  <c r="B588" i="20"/>
  <c r="B587" i="20"/>
  <c r="B586" i="20"/>
  <c r="B585" i="20"/>
  <c r="B584" i="20"/>
  <c r="B583" i="20"/>
  <c r="B582" i="20"/>
  <c r="B581" i="20"/>
  <c r="B580" i="20"/>
  <c r="B579" i="20"/>
  <c r="B578" i="20"/>
  <c r="B577" i="20"/>
  <c r="B576" i="20"/>
  <c r="B575" i="20"/>
  <c r="B574" i="20"/>
  <c r="B573" i="20"/>
  <c r="B572" i="20"/>
  <c r="B571" i="20"/>
  <c r="B570" i="20"/>
  <c r="B569" i="20"/>
  <c r="B568" i="20"/>
  <c r="B567" i="20"/>
  <c r="B566" i="20"/>
  <c r="B565" i="20"/>
  <c r="B564" i="20"/>
  <c r="B563" i="20"/>
  <c r="B562" i="20"/>
  <c r="B561" i="20"/>
  <c r="B560" i="20"/>
  <c r="B559" i="20"/>
  <c r="B558" i="20"/>
  <c r="B557" i="20"/>
  <c r="B556" i="20"/>
  <c r="B555" i="20"/>
  <c r="B554" i="20"/>
  <c r="B553" i="20"/>
  <c r="B552" i="20"/>
  <c r="B551" i="20"/>
  <c r="B550" i="20"/>
  <c r="B549" i="20"/>
  <c r="B548" i="20"/>
  <c r="B547" i="20"/>
  <c r="B546" i="20"/>
  <c r="B545" i="20"/>
  <c r="B544" i="20"/>
  <c r="B543" i="20"/>
  <c r="B542" i="20"/>
  <c r="B541" i="20"/>
  <c r="B540" i="20"/>
  <c r="B539" i="20"/>
  <c r="B538" i="20"/>
  <c r="B537" i="20"/>
  <c r="B536" i="20"/>
  <c r="B535" i="20"/>
  <c r="B534" i="20"/>
  <c r="B533" i="20"/>
  <c r="B532" i="20"/>
  <c r="B531" i="20"/>
  <c r="B530" i="20"/>
  <c r="B529" i="20"/>
  <c r="B528" i="20"/>
  <c r="B527" i="20"/>
  <c r="B526" i="20"/>
  <c r="B525" i="20"/>
  <c r="B524" i="20"/>
  <c r="B523" i="20"/>
  <c r="B522" i="20"/>
  <c r="B521" i="20"/>
  <c r="B520" i="20"/>
  <c r="B519" i="20"/>
  <c r="B518" i="20"/>
  <c r="B517" i="20"/>
  <c r="B516" i="20"/>
  <c r="B515" i="20"/>
  <c r="B514" i="20"/>
  <c r="B513" i="20"/>
  <c r="B512" i="20"/>
  <c r="B511" i="20"/>
  <c r="B510" i="20"/>
  <c r="B509" i="20"/>
  <c r="B508" i="20"/>
  <c r="B507" i="20"/>
  <c r="B506" i="20"/>
  <c r="B505" i="20"/>
  <c r="B504" i="20"/>
  <c r="B503" i="20"/>
  <c r="B502" i="20"/>
  <c r="B501" i="20"/>
  <c r="B500" i="20"/>
  <c r="B499" i="20"/>
  <c r="B498" i="20"/>
  <c r="B497" i="20"/>
  <c r="B496" i="20"/>
  <c r="B495" i="20"/>
  <c r="B494" i="20"/>
  <c r="B493" i="20"/>
  <c r="B492" i="20"/>
  <c r="B491" i="20"/>
  <c r="B490" i="20"/>
  <c r="B489" i="20"/>
  <c r="B488" i="20"/>
  <c r="B487" i="20"/>
  <c r="B486" i="20"/>
  <c r="B485" i="20"/>
  <c r="B484" i="20"/>
  <c r="B483" i="20"/>
  <c r="B482" i="20"/>
  <c r="B481" i="20"/>
  <c r="B480" i="20"/>
  <c r="B479" i="20"/>
  <c r="B478" i="20"/>
  <c r="B477" i="20"/>
  <c r="B476" i="20"/>
  <c r="B475" i="20"/>
  <c r="B474" i="20"/>
  <c r="B473" i="20"/>
  <c r="B472" i="20"/>
  <c r="B471" i="20"/>
  <c r="B470" i="20"/>
  <c r="B469" i="20"/>
  <c r="B468" i="20"/>
  <c r="B467" i="20"/>
  <c r="B466" i="20"/>
  <c r="B465" i="20"/>
  <c r="B464" i="20"/>
  <c r="B463" i="20"/>
  <c r="B462" i="20"/>
  <c r="B461" i="20"/>
  <c r="B460" i="20"/>
  <c r="B459" i="20"/>
  <c r="B458" i="20"/>
  <c r="B457" i="20"/>
  <c r="B456" i="20"/>
  <c r="B455" i="20"/>
  <c r="B454" i="20"/>
  <c r="B453" i="20"/>
  <c r="B452" i="20"/>
  <c r="B451" i="20"/>
  <c r="B450" i="20"/>
  <c r="B449" i="20"/>
  <c r="B448" i="20"/>
  <c r="B447" i="20"/>
  <c r="B446" i="20"/>
  <c r="B445" i="20"/>
  <c r="B444" i="20"/>
  <c r="B443" i="20"/>
  <c r="B442" i="20"/>
  <c r="B441" i="20"/>
  <c r="B440" i="20"/>
  <c r="B439" i="20"/>
  <c r="B438" i="20"/>
  <c r="B437" i="20"/>
  <c r="B436" i="20"/>
  <c r="B435" i="20"/>
  <c r="B434" i="20"/>
  <c r="B433" i="20"/>
  <c r="B432" i="20"/>
  <c r="B431" i="20"/>
  <c r="B430" i="20"/>
  <c r="B429" i="20"/>
  <c r="B428" i="20"/>
  <c r="B427" i="20"/>
  <c r="B426" i="20"/>
  <c r="B425" i="20"/>
  <c r="B424" i="20"/>
  <c r="B423" i="20"/>
  <c r="B422" i="20"/>
  <c r="B421" i="20"/>
  <c r="B420" i="20"/>
  <c r="B419" i="20"/>
  <c r="B418" i="20"/>
  <c r="B417" i="20"/>
  <c r="B416" i="20"/>
  <c r="B415" i="20"/>
  <c r="B414" i="20"/>
  <c r="B413" i="20"/>
  <c r="B412" i="20"/>
  <c r="B411" i="20"/>
  <c r="B410" i="20"/>
  <c r="B409" i="20"/>
  <c r="B408" i="20"/>
  <c r="B407" i="20"/>
  <c r="B406" i="20"/>
  <c r="B405" i="20"/>
  <c r="B404" i="20"/>
  <c r="B403" i="20"/>
  <c r="B402" i="20"/>
  <c r="B401" i="20"/>
  <c r="B400" i="20"/>
  <c r="B399" i="20"/>
  <c r="B398" i="20"/>
  <c r="B397" i="20"/>
  <c r="B396" i="20"/>
  <c r="B395" i="20"/>
  <c r="B394" i="20"/>
  <c r="B393" i="20"/>
  <c r="B392" i="20"/>
  <c r="B391" i="20"/>
  <c r="B390" i="20"/>
  <c r="B389" i="20"/>
  <c r="B388" i="20"/>
  <c r="B387" i="20"/>
  <c r="B386" i="20"/>
  <c r="B385" i="20"/>
  <c r="B384" i="20"/>
  <c r="B383" i="20"/>
  <c r="B382" i="20"/>
  <c r="B381" i="20"/>
  <c r="B380" i="20"/>
  <c r="B379" i="20"/>
  <c r="B378" i="20"/>
  <c r="B377" i="20"/>
  <c r="B376" i="20"/>
  <c r="B375" i="20"/>
  <c r="B374" i="20"/>
  <c r="B373" i="20"/>
  <c r="B372" i="20"/>
  <c r="B371" i="20"/>
  <c r="B370" i="20"/>
  <c r="B369" i="20"/>
  <c r="B368" i="20"/>
  <c r="B367" i="20"/>
  <c r="B366" i="20"/>
  <c r="B365" i="20"/>
  <c r="B364" i="20"/>
  <c r="B363" i="20"/>
  <c r="B362" i="20"/>
  <c r="B361" i="20"/>
  <c r="B360" i="20"/>
  <c r="B359" i="20"/>
  <c r="B358" i="20"/>
  <c r="B357" i="20"/>
  <c r="B356" i="20"/>
  <c r="B355" i="20"/>
  <c r="B354" i="20"/>
  <c r="B353" i="20"/>
  <c r="B352" i="20"/>
  <c r="B351" i="20"/>
  <c r="B350" i="20"/>
  <c r="B349" i="20"/>
  <c r="B348" i="20"/>
  <c r="B347" i="20"/>
  <c r="B346" i="20"/>
  <c r="B345" i="20"/>
  <c r="B344" i="20"/>
  <c r="B343" i="20"/>
  <c r="B342" i="20"/>
  <c r="B341" i="20"/>
  <c r="B340" i="20"/>
  <c r="B339" i="20"/>
  <c r="B338" i="20"/>
  <c r="B337" i="20"/>
  <c r="B336" i="20"/>
  <c r="B335" i="20"/>
  <c r="B334" i="20"/>
  <c r="B333" i="20"/>
  <c r="B332" i="20"/>
  <c r="B331" i="20"/>
  <c r="B330" i="20"/>
  <c r="B329" i="20"/>
  <c r="B328" i="20"/>
  <c r="B327" i="20"/>
  <c r="B326" i="20"/>
  <c r="B325" i="20"/>
  <c r="B324" i="20"/>
  <c r="B323" i="20"/>
  <c r="B322" i="20"/>
  <c r="B321" i="20"/>
  <c r="B320" i="20"/>
  <c r="B319" i="20"/>
  <c r="B318" i="20"/>
  <c r="B317" i="20"/>
  <c r="B316" i="20"/>
  <c r="B315" i="20"/>
  <c r="B314" i="20"/>
  <c r="B313" i="20"/>
  <c r="B312" i="20"/>
  <c r="B311" i="20"/>
  <c r="B310" i="20"/>
  <c r="B309" i="20"/>
  <c r="B308" i="20"/>
  <c r="B307" i="20"/>
  <c r="B306" i="20"/>
  <c r="B305" i="20"/>
  <c r="B304" i="20"/>
  <c r="B303" i="20"/>
  <c r="B302" i="20"/>
  <c r="B301" i="20"/>
  <c r="B300" i="20"/>
  <c r="B299" i="20"/>
  <c r="B298" i="20"/>
  <c r="B297" i="20"/>
  <c r="B296" i="20"/>
  <c r="B295" i="20"/>
  <c r="B294" i="20"/>
  <c r="B293" i="20"/>
  <c r="B292" i="20"/>
  <c r="B291" i="20"/>
  <c r="B290" i="20"/>
  <c r="B289" i="20"/>
  <c r="B288" i="20"/>
  <c r="B287" i="20"/>
  <c r="B286" i="20"/>
  <c r="B285" i="20"/>
  <c r="B284" i="20"/>
  <c r="B283" i="20"/>
  <c r="B282" i="20"/>
  <c r="B281" i="20"/>
  <c r="B280" i="20"/>
  <c r="B279" i="20"/>
  <c r="B278" i="20"/>
  <c r="B277" i="20"/>
  <c r="B276" i="20"/>
  <c r="B275" i="20"/>
  <c r="B274" i="20"/>
  <c r="B273" i="20"/>
  <c r="B272" i="20"/>
  <c r="B271" i="20"/>
  <c r="B270" i="20"/>
  <c r="B269" i="20"/>
  <c r="B268" i="20"/>
  <c r="B267" i="20"/>
  <c r="B266" i="20"/>
  <c r="B265" i="20"/>
  <c r="B264" i="20"/>
  <c r="B263" i="20"/>
  <c r="B262" i="20"/>
  <c r="B261" i="20"/>
  <c r="B260" i="20"/>
  <c r="B259" i="20"/>
  <c r="B258" i="20"/>
  <c r="B257" i="20"/>
  <c r="B256" i="20"/>
  <c r="B255" i="20"/>
  <c r="B254" i="20"/>
  <c r="B253" i="20"/>
  <c r="B252" i="20"/>
  <c r="B251" i="20"/>
  <c r="B250" i="20"/>
  <c r="B249" i="20"/>
  <c r="B248" i="20"/>
  <c r="B247" i="20"/>
  <c r="B246" i="20"/>
  <c r="B245" i="20"/>
  <c r="B244" i="20"/>
  <c r="B243" i="20"/>
  <c r="B242" i="20"/>
  <c r="B241" i="20"/>
  <c r="B240" i="20"/>
  <c r="B239" i="20"/>
  <c r="B238" i="20"/>
  <c r="B237" i="20"/>
  <c r="B236" i="20"/>
  <c r="B235" i="20"/>
  <c r="B234" i="20"/>
  <c r="B233" i="20"/>
  <c r="B232" i="20"/>
  <c r="B231" i="20"/>
  <c r="B230" i="20"/>
  <c r="B229" i="20"/>
  <c r="B228" i="20"/>
  <c r="B227" i="20"/>
  <c r="B226" i="20"/>
  <c r="B225" i="20"/>
  <c r="B224" i="20"/>
  <c r="B223" i="20"/>
  <c r="B222" i="20"/>
  <c r="B221" i="20"/>
  <c r="B220" i="20"/>
  <c r="B219" i="20"/>
  <c r="B218" i="20"/>
  <c r="B217" i="20"/>
  <c r="B216" i="20"/>
  <c r="B215" i="20"/>
  <c r="B214" i="20"/>
  <c r="B213" i="20"/>
  <c r="B212" i="20"/>
  <c r="B211" i="20"/>
  <c r="B210" i="20"/>
  <c r="B209" i="20"/>
  <c r="B208" i="20"/>
  <c r="B207" i="20"/>
  <c r="B206" i="20"/>
  <c r="B205" i="20"/>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5" i="20"/>
  <c r="B154"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B130" i="20"/>
  <c r="B129" i="20"/>
  <c r="B128" i="20"/>
  <c r="B127" i="20"/>
  <c r="B126" i="20"/>
  <c r="B125" i="20"/>
  <c r="B124" i="20"/>
  <c r="B123" i="20"/>
  <c r="B122" i="20"/>
  <c r="B121" i="20"/>
  <c r="B120" i="20"/>
  <c r="B119" i="20"/>
  <c r="B118" i="20"/>
  <c r="B117" i="20"/>
  <c r="B116" i="20"/>
  <c r="B115" i="20"/>
  <c r="B114" i="20"/>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2" i="21"/>
  <c r="F21" i="21" l="1"/>
  <c r="F29" i="21"/>
  <c r="F37" i="21"/>
  <c r="F17" i="21"/>
  <c r="G17" i="21" s="1"/>
  <c r="F25" i="21"/>
  <c r="G25" i="21" s="1"/>
  <c r="F33" i="21"/>
  <c r="G33" i="21" s="1"/>
  <c r="F24" i="21"/>
  <c r="G24" i="21" s="1"/>
  <c r="F32" i="21"/>
  <c r="G32" i="21" s="1"/>
  <c r="F20" i="21"/>
  <c r="G20" i="21" s="1"/>
  <c r="F28" i="21"/>
  <c r="G28" i="21" s="1"/>
  <c r="F36" i="21"/>
  <c r="G36" i="21" s="1"/>
  <c r="F30" i="21"/>
  <c r="G30" i="21" s="1"/>
  <c r="F38" i="21"/>
  <c r="G38" i="21" s="1"/>
  <c r="F31" i="21"/>
  <c r="G31" i="21" s="1"/>
  <c r="F39" i="21"/>
  <c r="G39" i="21" s="1"/>
  <c r="F16" i="21"/>
  <c r="G16" i="21" s="1"/>
  <c r="F15" i="21"/>
  <c r="G15" i="21" s="1"/>
  <c r="F18" i="21"/>
  <c r="G18" i="21" s="1"/>
  <c r="F34" i="21"/>
  <c r="G34" i="21" s="1"/>
  <c r="F19" i="21"/>
  <c r="G19" i="21" s="1"/>
  <c r="F27" i="21"/>
  <c r="G27" i="21" s="1"/>
  <c r="F35" i="21"/>
  <c r="G35" i="21" s="1"/>
  <c r="F26" i="21"/>
  <c r="G26" i="21" s="1"/>
  <c r="F23" i="21"/>
  <c r="G23" i="21" s="1"/>
  <c r="G21" i="21"/>
  <c r="G29" i="21"/>
  <c r="G37" i="21"/>
  <c r="F22" i="21"/>
  <c r="G22" i="21" s="1"/>
  <c r="F14" i="21"/>
  <c r="G14" i="21" s="1"/>
  <c r="D16" i="18" a="1"/>
  <c r="D16" i="18" s="1"/>
  <c r="E16" i="18" a="1"/>
  <c r="E16" i="18" s="1"/>
  <c r="F16" i="18" a="1"/>
  <c r="F16" i="18" s="1"/>
  <c r="G16" i="18" a="1"/>
  <c r="G16" i="18" s="1"/>
  <c r="H16" i="18" a="1"/>
  <c r="H16" i="18" s="1"/>
  <c r="I16" i="18" a="1"/>
  <c r="I16" i="18" s="1"/>
  <c r="J16" i="18" a="1"/>
  <c r="J16" i="18" s="1"/>
  <c r="K16" i="18" a="1"/>
  <c r="K16" i="18" s="1"/>
  <c r="L16" i="18" a="1"/>
  <c r="L16" i="18" s="1"/>
  <c r="M16" i="18" a="1"/>
  <c r="M16" i="18" s="1"/>
  <c r="N16" i="18" a="1"/>
  <c r="N16" i="18" s="1"/>
  <c r="B2" i="18"/>
  <c r="KQ13" i="18"/>
  <c r="KP13" i="18"/>
  <c r="KO13" i="18"/>
  <c r="KN13" i="18"/>
  <c r="KM13" i="18"/>
  <c r="KL13" i="18"/>
  <c r="KK13" i="18"/>
  <c r="KK16" i="18" s="1" a="1"/>
  <c r="KK16" i="18" s="1"/>
  <c r="KJ13" i="18"/>
  <c r="KI13" i="18"/>
  <c r="KH13" i="18"/>
  <c r="KG13" i="18"/>
  <c r="KF13" i="18"/>
  <c r="KE13" i="18"/>
  <c r="KD13" i="18"/>
  <c r="KC13" i="18"/>
  <c r="KC16" i="18" s="1" a="1"/>
  <c r="KC16" i="18" s="1"/>
  <c r="KB13" i="18"/>
  <c r="KA13" i="18"/>
  <c r="JZ13" i="18"/>
  <c r="JY13" i="18"/>
  <c r="JX13" i="18"/>
  <c r="JW13" i="18"/>
  <c r="JV13" i="18"/>
  <c r="JU13" i="18"/>
  <c r="JU16" i="18" s="1" a="1"/>
  <c r="JU16" i="18" s="1"/>
  <c r="JT13" i="18"/>
  <c r="JS13" i="18"/>
  <c r="JR13" i="18"/>
  <c r="JQ13" i="18"/>
  <c r="JP13" i="18"/>
  <c r="JO13" i="18"/>
  <c r="JN13" i="18"/>
  <c r="JM13" i="18"/>
  <c r="JM16" i="18" s="1" a="1"/>
  <c r="JM16" i="18" s="1"/>
  <c r="JL13" i="18"/>
  <c r="JK13" i="18"/>
  <c r="JJ13" i="18"/>
  <c r="JI13" i="18"/>
  <c r="JH13" i="18"/>
  <c r="JG13" i="18"/>
  <c r="JF13" i="18"/>
  <c r="JE13" i="18"/>
  <c r="JE16" i="18" s="1" a="1"/>
  <c r="JE16" i="18" s="1"/>
  <c r="JD13" i="18"/>
  <c r="JC13" i="18"/>
  <c r="JB13" i="18"/>
  <c r="JA13" i="18"/>
  <c r="IZ13" i="18"/>
  <c r="IY13" i="18"/>
  <c r="IX13" i="18"/>
  <c r="IW13" i="18"/>
  <c r="IW16" i="18" s="1" a="1"/>
  <c r="IW16" i="18" s="1"/>
  <c r="IV13" i="18"/>
  <c r="IU13" i="18"/>
  <c r="IT13" i="18"/>
  <c r="IS13" i="18"/>
  <c r="IR13" i="18"/>
  <c r="IQ13" i="18"/>
  <c r="IP13" i="18"/>
  <c r="IO13" i="18"/>
  <c r="IO16" i="18" s="1" a="1"/>
  <c r="IO16" i="18" s="1"/>
  <c r="IN13" i="18"/>
  <c r="IM13" i="18"/>
  <c r="IL13" i="18"/>
  <c r="IK13" i="18"/>
  <c r="IJ13" i="18"/>
  <c r="II13" i="18"/>
  <c r="IH13" i="18"/>
  <c r="IG13" i="18"/>
  <c r="IG16" i="18" s="1" a="1"/>
  <c r="IG16" i="18" s="1"/>
  <c r="IF13" i="18"/>
  <c r="IE13" i="18"/>
  <c r="ID13" i="18"/>
  <c r="IC13" i="18"/>
  <c r="IC16" i="18" s="1" a="1"/>
  <c r="IC16" i="18" s="1"/>
  <c r="IB13" i="18"/>
  <c r="IA13" i="18"/>
  <c r="HZ13" i="18"/>
  <c r="HY13" i="18"/>
  <c r="HY16" i="18" s="1" a="1"/>
  <c r="HY16" i="18" s="1"/>
  <c r="HX13" i="18"/>
  <c r="HW13" i="18"/>
  <c r="HV13" i="18"/>
  <c r="HU13" i="18"/>
  <c r="HU16" i="18" s="1" a="1"/>
  <c r="HU16" i="18" s="1"/>
  <c r="HT13" i="18"/>
  <c r="HS13" i="18"/>
  <c r="HR13" i="18"/>
  <c r="HQ13" i="18"/>
  <c r="HQ16" i="18" s="1" a="1"/>
  <c r="HQ16" i="18" s="1"/>
  <c r="HP13" i="18"/>
  <c r="HO13" i="18"/>
  <c r="HN13" i="18"/>
  <c r="HM13" i="18"/>
  <c r="HM16" i="18" s="1" a="1"/>
  <c r="HM16" i="18" s="1"/>
  <c r="HL13" i="18"/>
  <c r="HK13" i="18"/>
  <c r="HJ13" i="18"/>
  <c r="HI13" i="18"/>
  <c r="HI16" i="18" s="1" a="1"/>
  <c r="HI16" i="18" s="1"/>
  <c r="HH13" i="18"/>
  <c r="HG13" i="18"/>
  <c r="HF13" i="18"/>
  <c r="HE13" i="18"/>
  <c r="HE16" i="18" s="1" a="1"/>
  <c r="HE16" i="18" s="1"/>
  <c r="HD13" i="18"/>
  <c r="HC13" i="18"/>
  <c r="HB13" i="18"/>
  <c r="HA13" i="18"/>
  <c r="HA16" i="18" s="1" a="1"/>
  <c r="HA16" i="18" s="1"/>
  <c r="GZ13" i="18"/>
  <c r="GY13" i="18"/>
  <c r="GX13" i="18"/>
  <c r="GW13" i="18"/>
  <c r="GW16" i="18" s="1" a="1"/>
  <c r="GW16" i="18" s="1"/>
  <c r="GV13" i="18"/>
  <c r="GU13" i="18"/>
  <c r="GT13" i="18"/>
  <c r="GS13" i="18"/>
  <c r="GS16" i="18" s="1" a="1"/>
  <c r="GS16" i="18" s="1"/>
  <c r="GR13" i="18"/>
  <c r="GQ13" i="18"/>
  <c r="GP13" i="18"/>
  <c r="GO13" i="18"/>
  <c r="GO16" i="18" s="1" a="1"/>
  <c r="GO16" i="18" s="1"/>
  <c r="GN13" i="18"/>
  <c r="GM13" i="18"/>
  <c r="GL13" i="18"/>
  <c r="GK13" i="18"/>
  <c r="GK16" i="18" s="1" a="1"/>
  <c r="GK16" i="18" s="1"/>
  <c r="GJ13" i="18"/>
  <c r="GI13" i="18"/>
  <c r="GH13" i="18"/>
  <c r="GG13" i="18"/>
  <c r="GG16" i="18" s="1" a="1"/>
  <c r="GG16" i="18" s="1"/>
  <c r="GF13" i="18"/>
  <c r="GE13" i="18"/>
  <c r="GD13" i="18"/>
  <c r="GC13" i="18"/>
  <c r="GC16" i="18" s="1" a="1"/>
  <c r="GC16" i="18" s="1"/>
  <c r="GB13" i="18"/>
  <c r="GA13" i="18"/>
  <c r="FZ13" i="18"/>
  <c r="FY13" i="18"/>
  <c r="FY16" i="18" s="1" a="1"/>
  <c r="FY16" i="18" s="1"/>
  <c r="FX13" i="18"/>
  <c r="FW13" i="18"/>
  <c r="FV13" i="18"/>
  <c r="FU13" i="18"/>
  <c r="FU16" i="18" s="1" a="1"/>
  <c r="FU16" i="18" s="1"/>
  <c r="FT13" i="18"/>
  <c r="FS13" i="18"/>
  <c r="FR13" i="18"/>
  <c r="FQ13" i="18"/>
  <c r="FQ16" i="18" s="1" a="1"/>
  <c r="FQ16" i="18" s="1"/>
  <c r="FP13" i="18"/>
  <c r="FO13" i="18"/>
  <c r="FN13" i="18"/>
  <c r="FM13" i="18"/>
  <c r="FM16" i="18" s="1" a="1"/>
  <c r="FM16" i="18" s="1"/>
  <c r="FL13" i="18"/>
  <c r="FK13" i="18"/>
  <c r="FJ13" i="18"/>
  <c r="FI13" i="18"/>
  <c r="FI16" i="18" s="1" a="1"/>
  <c r="FI16" i="18" s="1"/>
  <c r="FH13" i="18"/>
  <c r="FG13" i="18"/>
  <c r="FF13" i="18"/>
  <c r="FE13" i="18"/>
  <c r="FE16" i="18" s="1" a="1"/>
  <c r="FE16" i="18" s="1"/>
  <c r="FD13" i="18"/>
  <c r="FC13" i="18"/>
  <c r="FB13" i="18"/>
  <c r="FA13" i="18"/>
  <c r="FA16" i="18" s="1" a="1"/>
  <c r="FA16" i="18" s="1"/>
  <c r="EZ13" i="18"/>
  <c r="EY13" i="18"/>
  <c r="EX13" i="18"/>
  <c r="EW13" i="18"/>
  <c r="EW16" i="18" s="1" a="1"/>
  <c r="EW16" i="18" s="1"/>
  <c r="EV13" i="18"/>
  <c r="EU13" i="18"/>
  <c r="ET13" i="18"/>
  <c r="ES13" i="18"/>
  <c r="ES16" i="18" s="1" a="1"/>
  <c r="ES16" i="18" s="1"/>
  <c r="ER13" i="18"/>
  <c r="EQ13" i="18"/>
  <c r="EP13" i="18"/>
  <c r="EO13" i="18"/>
  <c r="EO16" i="18" s="1" a="1"/>
  <c r="EO16" i="18" s="1"/>
  <c r="EN13" i="18"/>
  <c r="EM13" i="18"/>
  <c r="EL13" i="18"/>
  <c r="EK13" i="18"/>
  <c r="EK16" i="18" s="1" a="1"/>
  <c r="EK16" i="18" s="1"/>
  <c r="EJ13" i="18"/>
  <c r="EI13" i="18"/>
  <c r="EH13" i="18"/>
  <c r="EG13" i="18"/>
  <c r="EF13" i="18"/>
  <c r="EE13" i="18"/>
  <c r="ED13" i="18"/>
  <c r="EC13" i="18"/>
  <c r="EB13" i="18"/>
  <c r="EA13" i="18"/>
  <c r="DZ13" i="18"/>
  <c r="DY13" i="18"/>
  <c r="DX13" i="18"/>
  <c r="DW13" i="18"/>
  <c r="DV13" i="18"/>
  <c r="DU13" i="18"/>
  <c r="DT13" i="18"/>
  <c r="DS13" i="18"/>
  <c r="DR13" i="18"/>
  <c r="DQ13" i="18"/>
  <c r="DP13" i="18"/>
  <c r="DO13" i="18"/>
  <c r="DN13" i="18"/>
  <c r="DM13" i="18"/>
  <c r="DL13" i="18"/>
  <c r="DK13" i="18"/>
  <c r="DJ13" i="18"/>
  <c r="DI13" i="18"/>
  <c r="DH13" i="18"/>
  <c r="DG13" i="18"/>
  <c r="DF13" i="18"/>
  <c r="DE13" i="18"/>
  <c r="DD13" i="18"/>
  <c r="DC13" i="18"/>
  <c r="DB13" i="18"/>
  <c r="DA13" i="18"/>
  <c r="CZ13" i="18"/>
  <c r="CY13" i="18"/>
  <c r="CX13" i="18"/>
  <c r="CW13" i="18"/>
  <c r="CV13" i="18"/>
  <c r="CU13" i="18"/>
  <c r="CT13" i="18"/>
  <c r="CS13" i="18"/>
  <c r="CR13" i="18"/>
  <c r="CQ13" i="18"/>
  <c r="CP13" i="18"/>
  <c r="CO13" i="18"/>
  <c r="CN13" i="18"/>
  <c r="CM13" i="18"/>
  <c r="CL13" i="18"/>
  <c r="CK13" i="18"/>
  <c r="CJ13" i="18"/>
  <c r="CI13" i="18"/>
  <c r="CH13" i="18"/>
  <c r="CG13" i="18"/>
  <c r="CF13" i="18"/>
  <c r="CE13" i="18"/>
  <c r="CD13" i="18"/>
  <c r="CC13" i="18"/>
  <c r="CB13" i="18"/>
  <c r="CA13" i="18"/>
  <c r="BZ13" i="18"/>
  <c r="BY13" i="18"/>
  <c r="BX13" i="18"/>
  <c r="BW13" i="18"/>
  <c r="BV13" i="18"/>
  <c r="BU13" i="18"/>
  <c r="BT13" i="18"/>
  <c r="BS13" i="18"/>
  <c r="BR13" i="18"/>
  <c r="BQ13" i="18"/>
  <c r="BP13" i="18"/>
  <c r="BO13" i="18"/>
  <c r="BN13" i="18"/>
  <c r="BM13" i="18"/>
  <c r="BM16" i="18" s="1" a="1"/>
  <c r="BM16" i="18" s="1"/>
  <c r="BL13" i="18"/>
  <c r="BK13" i="18"/>
  <c r="BJ13" i="18"/>
  <c r="BI13" i="18"/>
  <c r="BH13" i="18"/>
  <c r="BG13" i="18"/>
  <c r="BF13" i="18"/>
  <c r="BE13" i="18"/>
  <c r="BE16" i="18" s="1" a="1"/>
  <c r="BE16" i="18" s="1"/>
  <c r="BD13" i="18"/>
  <c r="BC13" i="18"/>
  <c r="BB13" i="18"/>
  <c r="BA13" i="18"/>
  <c r="AZ13" i="18"/>
  <c r="AY13" i="18"/>
  <c r="AX13" i="18"/>
  <c r="AW13" i="18"/>
  <c r="AW16" i="18" s="1" a="1"/>
  <c r="AW16" i="18" s="1"/>
  <c r="AV13" i="18"/>
  <c r="AU13" i="18"/>
  <c r="AT13" i="18"/>
  <c r="AS13" i="18"/>
  <c r="AR13" i="18"/>
  <c r="AQ13" i="18"/>
  <c r="AP13" i="18"/>
  <c r="AO13" i="18"/>
  <c r="AO16" i="18" s="1" a="1"/>
  <c r="AO16" i="18" s="1"/>
  <c r="AN13" i="18"/>
  <c r="AM13" i="18"/>
  <c r="AL13" i="18"/>
  <c r="AK13" i="18"/>
  <c r="AJ13" i="18"/>
  <c r="AI13" i="18"/>
  <c r="AH13" i="18"/>
  <c r="AG13" i="18"/>
  <c r="AG16" i="18" s="1" a="1"/>
  <c r="AG16" i="18" s="1"/>
  <c r="AF13" i="18"/>
  <c r="AE13" i="18"/>
  <c r="AD13" i="18"/>
  <c r="AC13" i="18"/>
  <c r="AB13" i="18"/>
  <c r="AA13" i="18"/>
  <c r="Z13" i="18"/>
  <c r="Y13" i="18"/>
  <c r="Y16" i="18" s="1" a="1"/>
  <c r="Y16" i="18" s="1"/>
  <c r="X13" i="18"/>
  <c r="W13" i="18"/>
  <c r="V13" i="18"/>
  <c r="U13" i="18"/>
  <c r="T13" i="18"/>
  <c r="S13" i="18"/>
  <c r="R13" i="18"/>
  <c r="Q13" i="18"/>
  <c r="Q16" i="18" s="1" a="1"/>
  <c r="Q16" i="18" s="1"/>
  <c r="P13" i="18"/>
  <c r="O13" i="18"/>
  <c r="N13" i="18"/>
  <c r="M13" i="18"/>
  <c r="L13" i="18"/>
  <c r="K13" i="18"/>
  <c r="J13" i="18"/>
  <c r="I13" i="18"/>
  <c r="H13" i="18"/>
  <c r="G13" i="18"/>
  <c r="F13" i="18"/>
  <c r="E13" i="18"/>
  <c r="D13" i="18"/>
  <c r="R16" i="18" l="1" a="1"/>
  <c r="R16" i="18" s="1"/>
  <c r="Z16" i="18" a="1"/>
  <c r="Z16" i="18" s="1"/>
  <c r="AH16" i="18" a="1"/>
  <c r="AH16" i="18" s="1"/>
  <c r="AP16" i="18" a="1"/>
  <c r="AP16" i="18" s="1"/>
  <c r="AX16" i="18" a="1"/>
  <c r="AX16" i="18" s="1"/>
  <c r="BF16" i="18" a="1"/>
  <c r="BF16" i="18" s="1"/>
  <c r="BN16" i="18" a="1"/>
  <c r="BN16" i="18" s="1"/>
  <c r="BV16" i="18" a="1"/>
  <c r="BV16" i="18" s="1"/>
  <c r="CD16" i="18" a="1"/>
  <c r="CD16" i="18" s="1"/>
  <c r="P16" i="18" a="1"/>
  <c r="P16" i="18" s="1"/>
  <c r="X16" i="18" a="1"/>
  <c r="X16" i="18" s="1"/>
  <c r="AF16" i="18" a="1"/>
  <c r="AF16" i="18" s="1"/>
  <c r="AN16" i="18" a="1"/>
  <c r="AN16" i="18" s="1"/>
  <c r="AV16" i="18" a="1"/>
  <c r="AV16" i="18" s="1"/>
  <c r="BD16" i="18" a="1"/>
  <c r="BD16" i="18" s="1"/>
  <c r="BL16" i="18" a="1"/>
  <c r="BL16" i="18" s="1"/>
  <c r="BT16" i="18" a="1"/>
  <c r="BT16" i="18" s="1"/>
  <c r="CB16" i="18" a="1"/>
  <c r="CB16" i="18" s="1"/>
  <c r="CJ16" i="18" a="1"/>
  <c r="CJ16" i="18" s="1"/>
  <c r="CR16" i="18" a="1"/>
  <c r="CR16" i="18" s="1"/>
  <c r="CZ16" i="18" a="1"/>
  <c r="CZ16" i="18" s="1"/>
  <c r="DH16" i="18" a="1"/>
  <c r="DH16" i="18" s="1"/>
  <c r="DP16" i="18" a="1"/>
  <c r="DP16" i="18" s="1"/>
  <c r="DX16" i="18" a="1"/>
  <c r="DX16" i="18" s="1"/>
  <c r="CL16" i="18" a="1"/>
  <c r="CL16" i="18" s="1"/>
  <c r="CT16" i="18" a="1"/>
  <c r="CT16" i="18" s="1"/>
  <c r="DB16" i="18" a="1"/>
  <c r="DB16" i="18" s="1"/>
  <c r="DJ16" i="18" a="1"/>
  <c r="DJ16" i="18" s="1"/>
  <c r="DR16" i="18" a="1"/>
  <c r="DR16" i="18" s="1"/>
  <c r="DZ16" i="18" a="1"/>
  <c r="DZ16" i="18" s="1"/>
  <c r="EH16" i="18" a="1"/>
  <c r="EH16" i="18" s="1"/>
  <c r="EP16" i="18" a="1"/>
  <c r="EP16" i="18" s="1"/>
  <c r="EX16" i="18" a="1"/>
  <c r="EX16" i="18" s="1"/>
  <c r="FF16" i="18" a="1"/>
  <c r="FF16" i="18" s="1"/>
  <c r="FN16" i="18" a="1"/>
  <c r="FN16" i="18" s="1"/>
  <c r="FV16" i="18" a="1"/>
  <c r="FV16" i="18" s="1"/>
  <c r="GD16" i="18" a="1"/>
  <c r="GD16" i="18" s="1"/>
  <c r="GL16" i="18" a="1"/>
  <c r="GL16" i="18" s="1"/>
  <c r="IK16" i="18" a="1"/>
  <c r="IK16" i="18" s="1"/>
  <c r="IS16" i="18" a="1"/>
  <c r="IS16" i="18" s="1"/>
  <c r="JA16" i="18" a="1"/>
  <c r="JA16" i="18" s="1"/>
  <c r="JI16" i="18" a="1"/>
  <c r="JI16" i="18" s="1"/>
  <c r="JQ16" i="18" a="1"/>
  <c r="JQ16" i="18" s="1"/>
  <c r="JY16" i="18" a="1"/>
  <c r="JY16" i="18" s="1"/>
  <c r="KG16" i="18" a="1"/>
  <c r="KG16" i="18" s="1"/>
  <c r="KO16" i="18" a="1"/>
  <c r="KO16" i="18" s="1"/>
  <c r="G41" i="21"/>
  <c r="H18" i="21" s="1"/>
  <c r="EZ16" i="18" a="1"/>
  <c r="EZ16" i="18" s="1"/>
  <c r="FH16" i="18" a="1"/>
  <c r="FH16" i="18" s="1"/>
  <c r="GF16" i="18" a="1"/>
  <c r="GF16" i="18" s="1"/>
  <c r="GV16" i="18" a="1"/>
  <c r="GV16" i="18" s="1"/>
  <c r="HD16" i="18" a="1"/>
  <c r="HD16" i="18" s="1"/>
  <c r="HT16" i="18" a="1"/>
  <c r="HT16" i="18" s="1"/>
  <c r="IB16" i="18" a="1"/>
  <c r="IB16" i="18" s="1"/>
  <c r="IJ16" i="18" a="1"/>
  <c r="IJ16" i="18" s="1"/>
  <c r="IR16" i="18" a="1"/>
  <c r="IR16" i="18" s="1"/>
  <c r="IZ16" i="18" a="1"/>
  <c r="IZ16" i="18" s="1"/>
  <c r="JH16" i="18" a="1"/>
  <c r="JH16" i="18" s="1"/>
  <c r="JP16" i="18" a="1"/>
  <c r="JP16" i="18" s="1"/>
  <c r="JX16" i="18" a="1"/>
  <c r="JX16" i="18" s="1"/>
  <c r="KF16" i="18" a="1"/>
  <c r="KF16" i="18" s="1"/>
  <c r="KN16" i="18" a="1"/>
  <c r="KN16" i="18" s="1"/>
  <c r="EJ16" i="18" a="1"/>
  <c r="EJ16" i="18" s="1"/>
  <c r="ER16" i="18" a="1"/>
  <c r="ER16" i="18" s="1"/>
  <c r="FP16" i="18" a="1"/>
  <c r="FP16" i="18" s="1"/>
  <c r="FX16" i="18" a="1"/>
  <c r="FX16" i="18" s="1"/>
  <c r="GN16" i="18" a="1"/>
  <c r="GN16" i="18" s="1"/>
  <c r="HL16" i="18" a="1"/>
  <c r="HL16" i="18" s="1"/>
  <c r="W16" i="18" a="1"/>
  <c r="W16" i="18" s="1"/>
  <c r="AM16" i="18" a="1"/>
  <c r="AM16" i="18" s="1"/>
  <c r="BC16" i="18" a="1"/>
  <c r="BC16" i="18" s="1"/>
  <c r="BS16" i="18" a="1"/>
  <c r="BS16" i="18" s="1"/>
  <c r="CI16" i="18" a="1"/>
  <c r="CI16" i="18" s="1"/>
  <c r="CY16" i="18" a="1"/>
  <c r="CY16" i="18" s="1"/>
  <c r="DO16" i="18" a="1"/>
  <c r="DO16" i="18" s="1"/>
  <c r="EE16" i="18" a="1"/>
  <c r="EE16" i="18" s="1"/>
  <c r="EU16" i="18" a="1"/>
  <c r="EU16" i="18" s="1"/>
  <c r="FK16" i="18" a="1"/>
  <c r="FK16" i="18" s="1"/>
  <c r="GA16" i="18" a="1"/>
  <c r="GA16" i="18" s="1"/>
  <c r="GQ16" i="18" a="1"/>
  <c r="GQ16" i="18" s="1"/>
  <c r="HG16" i="18" a="1"/>
  <c r="HG16" i="18" s="1"/>
  <c r="HW16" i="18" a="1"/>
  <c r="HW16" i="18" s="1"/>
  <c r="IM16" i="18" a="1"/>
  <c r="IM16" i="18" s="1"/>
  <c r="IU16" i="18" a="1"/>
  <c r="IU16" i="18" s="1"/>
  <c r="JK16" i="18" a="1"/>
  <c r="JK16" i="18" s="1"/>
  <c r="JS16" i="18" a="1"/>
  <c r="JS16" i="18" s="1"/>
  <c r="KA16" i="18" a="1"/>
  <c r="KA16" i="18" s="1"/>
  <c r="KI16" i="18" a="1"/>
  <c r="KI16" i="18" s="1"/>
  <c r="KQ16" i="18" a="1"/>
  <c r="KQ16" i="18" s="1"/>
  <c r="O16" i="18" a="1"/>
  <c r="O16" i="18" s="1"/>
  <c r="D24" i="18" s="1"/>
  <c r="I14" i="22" s="1"/>
  <c r="AE16" i="18" a="1"/>
  <c r="AE16" i="18" s="1"/>
  <c r="AU16" i="18" a="1"/>
  <c r="AU16" i="18" s="1"/>
  <c r="BK16" i="18" a="1"/>
  <c r="BK16" i="18" s="1"/>
  <c r="CA16" i="18" a="1"/>
  <c r="CA16" i="18" s="1"/>
  <c r="CQ16" i="18" a="1"/>
  <c r="CQ16" i="18" s="1"/>
  <c r="DG16" i="18" a="1"/>
  <c r="DG16" i="18" s="1"/>
  <c r="DW16" i="18" a="1"/>
  <c r="DW16" i="18" s="1"/>
  <c r="EM16" i="18" a="1"/>
  <c r="EM16" i="18" s="1"/>
  <c r="FC16" i="18" a="1"/>
  <c r="FC16" i="18" s="1"/>
  <c r="FS16" i="18" a="1"/>
  <c r="FS16" i="18" s="1"/>
  <c r="GI16" i="18" a="1"/>
  <c r="GI16" i="18" s="1"/>
  <c r="GY16" i="18" a="1"/>
  <c r="GY16" i="18" s="1"/>
  <c r="HO16" i="18" a="1"/>
  <c r="HO16" i="18" s="1"/>
  <c r="IE16" i="18" a="1"/>
  <c r="IE16" i="18" s="1"/>
  <c r="JC16" i="18" a="1"/>
  <c r="JC16" i="18" s="1"/>
  <c r="EG16" i="18" a="1"/>
  <c r="EG16" i="18" s="1"/>
  <c r="AA16" i="18" a="1"/>
  <c r="AA16" i="18" s="1"/>
  <c r="BG16" i="18" a="1"/>
  <c r="BG16" i="18" s="1"/>
  <c r="BW16" i="18" a="1"/>
  <c r="BW16" i="18" s="1"/>
  <c r="DC16" i="18" a="1"/>
  <c r="DC16" i="18" s="1"/>
  <c r="DS16" i="18" a="1"/>
  <c r="DS16" i="18" s="1"/>
  <c r="T16" i="18" a="1"/>
  <c r="T16" i="18" s="1"/>
  <c r="AR16" i="18" a="1"/>
  <c r="AR16" i="18" s="1"/>
  <c r="BP16" i="18" a="1"/>
  <c r="BP16" i="18" s="1"/>
  <c r="CN16" i="18" a="1"/>
  <c r="CN16" i="18" s="1"/>
  <c r="DL16" i="18" a="1"/>
  <c r="DL16" i="18" s="1"/>
  <c r="EB16" i="18" a="1"/>
  <c r="EB16" i="18" s="1"/>
  <c r="S16" i="18" a="1"/>
  <c r="S16" i="18" s="1"/>
  <c r="AQ16" i="18" a="1"/>
  <c r="AQ16" i="18" s="1"/>
  <c r="BO16" i="18" a="1"/>
  <c r="BO16" i="18" s="1"/>
  <c r="CM16" i="18" a="1"/>
  <c r="CM16" i="18" s="1"/>
  <c r="DK16" i="18" a="1"/>
  <c r="DK16" i="18" s="1"/>
  <c r="AJ16" i="18" a="1"/>
  <c r="AJ16" i="18" s="1"/>
  <c r="BH16" i="18" a="1"/>
  <c r="BH16" i="18" s="1"/>
  <c r="CF16" i="18" a="1"/>
  <c r="CF16" i="18" s="1"/>
  <c r="DD16" i="18" a="1"/>
  <c r="DD16" i="18" s="1"/>
  <c r="AI16" i="18" a="1"/>
  <c r="AI16" i="18" s="1"/>
  <c r="AY16" i="18" a="1"/>
  <c r="AY16" i="18" s="1"/>
  <c r="CE16" i="18" a="1"/>
  <c r="CE16" i="18" s="1"/>
  <c r="CU16" i="18" a="1"/>
  <c r="CU16" i="18" s="1"/>
  <c r="EA16" i="18" a="1"/>
  <c r="EA16" i="18" s="1"/>
  <c r="AB16" i="18" a="1"/>
  <c r="AB16" i="18" s="1"/>
  <c r="AZ16" i="18" a="1"/>
  <c r="AZ16" i="18" s="1"/>
  <c r="BX16" i="18" a="1"/>
  <c r="BX16" i="18" s="1"/>
  <c r="CV16" i="18" a="1"/>
  <c r="CV16" i="18" s="1"/>
  <c r="DT16" i="18" a="1"/>
  <c r="DT16" i="18" s="1"/>
  <c r="EF16" i="18" a="1"/>
  <c r="EF16" i="18" s="1"/>
  <c r="EN16" i="18" a="1"/>
  <c r="EN16" i="18" s="1"/>
  <c r="EV16" i="18" a="1"/>
  <c r="EV16" i="18" s="1"/>
  <c r="FD16" i="18" a="1"/>
  <c r="FD16" i="18" s="1"/>
  <c r="FL16" i="18" a="1"/>
  <c r="FL16" i="18" s="1"/>
  <c r="FT16" i="18" a="1"/>
  <c r="FT16" i="18" s="1"/>
  <c r="GB16" i="18" a="1"/>
  <c r="GB16" i="18" s="1"/>
  <c r="GJ16" i="18" a="1"/>
  <c r="GJ16" i="18" s="1"/>
  <c r="GR16" i="18" a="1"/>
  <c r="GR16" i="18" s="1"/>
  <c r="GZ16" i="18" a="1"/>
  <c r="GZ16" i="18" s="1"/>
  <c r="HH16" i="18" a="1"/>
  <c r="HH16" i="18" s="1"/>
  <c r="HP16" i="18" a="1"/>
  <c r="HP16" i="18" s="1"/>
  <c r="HX16" i="18" a="1"/>
  <c r="HX16" i="18" s="1"/>
  <c r="IF16" i="18" a="1"/>
  <c r="IF16" i="18" s="1"/>
  <c r="IN16" i="18" a="1"/>
  <c r="IN16" i="18" s="1"/>
  <c r="IV16" i="18" a="1"/>
  <c r="IV16" i="18" s="1"/>
  <c r="JD16" i="18" a="1"/>
  <c r="JD16" i="18" s="1"/>
  <c r="JL16" i="18" a="1"/>
  <c r="JL16" i="18" s="1"/>
  <c r="JT16" i="18" a="1"/>
  <c r="JT16" i="18" s="1"/>
  <c r="KB16" i="18" a="1"/>
  <c r="KB16" i="18" s="1"/>
  <c r="KJ16" i="18" a="1"/>
  <c r="KJ16" i="18" s="1"/>
  <c r="FG16" i="18" a="1"/>
  <c r="FG16" i="18" s="1"/>
  <c r="GE16" i="18" a="1"/>
  <c r="GE16" i="18" s="1"/>
  <c r="GM16" i="18" a="1"/>
  <c r="GM16" i="18" s="1"/>
  <c r="HK16" i="18" a="1"/>
  <c r="HK16" i="18" s="1"/>
  <c r="IQ16" i="18" a="1"/>
  <c r="IQ16" i="18" s="1"/>
  <c r="JO16" i="18" a="1"/>
  <c r="JO16" i="18" s="1"/>
  <c r="KM16" i="18" a="1"/>
  <c r="KM16" i="18" s="1"/>
  <c r="EY16" i="18" a="1"/>
  <c r="EY16" i="18" s="1"/>
  <c r="FO16" i="18" a="1"/>
  <c r="FO16" i="18" s="1"/>
  <c r="GU16" i="18" a="1"/>
  <c r="GU16" i="18" s="1"/>
  <c r="HS16" i="18" a="1"/>
  <c r="HS16" i="18" s="1"/>
  <c r="II16" i="18" a="1"/>
  <c r="II16" i="18" s="1"/>
  <c r="JG16" i="18" a="1"/>
  <c r="JG16" i="18" s="1"/>
  <c r="KE16" i="18" a="1"/>
  <c r="KE16" i="18" s="1"/>
  <c r="AC16" i="18" a="1"/>
  <c r="AC16" i="18" s="1"/>
  <c r="AS16" i="18" a="1"/>
  <c r="AS16" i="18" s="1"/>
  <c r="BA16" i="18" a="1"/>
  <c r="BA16" i="18" s="1"/>
  <c r="BI16" i="18" a="1"/>
  <c r="BI16" i="18" s="1"/>
  <c r="BQ16" i="18" a="1"/>
  <c r="BQ16" i="18" s="1"/>
  <c r="BY16" i="18" a="1"/>
  <c r="BY16" i="18" s="1"/>
  <c r="CG16" i="18" a="1"/>
  <c r="CG16" i="18" s="1"/>
  <c r="CO16" i="18" a="1"/>
  <c r="CO16" i="18" s="1"/>
  <c r="CW16" i="18" a="1"/>
  <c r="CW16" i="18" s="1"/>
  <c r="DE16" i="18" a="1"/>
  <c r="DE16" i="18" s="1"/>
  <c r="DM16" i="18" a="1"/>
  <c r="DM16" i="18" s="1"/>
  <c r="DU16" i="18" a="1"/>
  <c r="DU16" i="18" s="1"/>
  <c r="EC16" i="18" a="1"/>
  <c r="EC16" i="18" s="1"/>
  <c r="EI16" i="18" a="1"/>
  <c r="EI16" i="18" s="1"/>
  <c r="EQ16" i="18" a="1"/>
  <c r="EQ16" i="18" s="1"/>
  <c r="FW16" i="18" a="1"/>
  <c r="FW16" i="18" s="1"/>
  <c r="HC16" i="18" a="1"/>
  <c r="HC16" i="18" s="1"/>
  <c r="IA16" i="18" a="1"/>
  <c r="IA16" i="18" s="1"/>
  <c r="IY16" i="18" a="1"/>
  <c r="IY16" i="18" s="1"/>
  <c r="JW16" i="18" a="1"/>
  <c r="JW16" i="18" s="1"/>
  <c r="U16" i="18" a="1"/>
  <c r="U16" i="18" s="1"/>
  <c r="AK16" i="18" a="1"/>
  <c r="AK16" i="18" s="1"/>
  <c r="V16" i="18" a="1"/>
  <c r="V16" i="18" s="1"/>
  <c r="AD16" i="18" a="1"/>
  <c r="AD16" i="18" s="1"/>
  <c r="AL16" i="18" a="1"/>
  <c r="AL16" i="18" s="1"/>
  <c r="AT16" i="18" a="1"/>
  <c r="AT16" i="18" s="1"/>
  <c r="BB16" i="18" a="1"/>
  <c r="BB16" i="18" s="1"/>
  <c r="BJ16" i="18" a="1"/>
  <c r="BJ16" i="18" s="1"/>
  <c r="BR16" i="18" a="1"/>
  <c r="BR16" i="18" s="1"/>
  <c r="BZ16" i="18" a="1"/>
  <c r="BZ16" i="18" s="1"/>
  <c r="CH16" i="18" a="1"/>
  <c r="CH16" i="18" s="1"/>
  <c r="CP16" i="18" a="1"/>
  <c r="CP16" i="18" s="1"/>
  <c r="CX16" i="18" a="1"/>
  <c r="CX16" i="18" s="1"/>
  <c r="DF16" i="18" a="1"/>
  <c r="DF16" i="18" s="1"/>
  <c r="DN16" i="18" a="1"/>
  <c r="DN16" i="18" s="1"/>
  <c r="DV16" i="18" a="1"/>
  <c r="DV16" i="18" s="1"/>
  <c r="ED16" i="18" a="1"/>
  <c r="ED16" i="18" s="1"/>
  <c r="EL16" i="18" a="1"/>
  <c r="EL16" i="18" s="1"/>
  <c r="ET16" i="18" a="1"/>
  <c r="ET16" i="18" s="1"/>
  <c r="FB16" i="18" a="1"/>
  <c r="FB16" i="18" s="1"/>
  <c r="FJ16" i="18" a="1"/>
  <c r="FJ16" i="18" s="1"/>
  <c r="FR16" i="18" a="1"/>
  <c r="FR16" i="18" s="1"/>
  <c r="FZ16" i="18" a="1"/>
  <c r="FZ16" i="18" s="1"/>
  <c r="GH16" i="18" a="1"/>
  <c r="GH16" i="18" s="1"/>
  <c r="GP16" i="18" a="1"/>
  <c r="GP16" i="18" s="1"/>
  <c r="GX16" i="18" a="1"/>
  <c r="GX16" i="18" s="1"/>
  <c r="HF16" i="18" a="1"/>
  <c r="HF16" i="18" s="1"/>
  <c r="HN16" i="18" a="1"/>
  <c r="HN16" i="18" s="1"/>
  <c r="HV16" i="18" a="1"/>
  <c r="HV16" i="18" s="1"/>
  <c r="ID16" i="18" a="1"/>
  <c r="ID16" i="18" s="1"/>
  <c r="IL16" i="18" a="1"/>
  <c r="IL16" i="18" s="1"/>
  <c r="IT16" i="18" a="1"/>
  <c r="IT16" i="18" s="1"/>
  <c r="JB16" i="18" a="1"/>
  <c r="JB16" i="18" s="1"/>
  <c r="JJ16" i="18" a="1"/>
  <c r="JJ16" i="18" s="1"/>
  <c r="JR16" i="18" a="1"/>
  <c r="JR16" i="18" s="1"/>
  <c r="JZ16" i="18" a="1"/>
  <c r="JZ16" i="18" s="1"/>
  <c r="KH16" i="18" a="1"/>
  <c r="KH16" i="18" s="1"/>
  <c r="KP16" i="18" a="1"/>
  <c r="KP16" i="18" s="1"/>
  <c r="BU16" i="18" a="1"/>
  <c r="BU16" i="18" s="1"/>
  <c r="CC16" i="18" a="1"/>
  <c r="CC16" i="18" s="1"/>
  <c r="CK16" i="18" a="1"/>
  <c r="CK16" i="18" s="1"/>
  <c r="CS16" i="18" a="1"/>
  <c r="CS16" i="18" s="1"/>
  <c r="DA16" i="18" a="1"/>
  <c r="DA16" i="18" s="1"/>
  <c r="DI16" i="18" a="1"/>
  <c r="DI16" i="18" s="1"/>
  <c r="DQ16" i="18" a="1"/>
  <c r="DQ16" i="18" s="1"/>
  <c r="DY16" i="18" a="1"/>
  <c r="DY16" i="18" s="1"/>
  <c r="GT16" i="18" a="1"/>
  <c r="GT16" i="18" s="1"/>
  <c r="HB16" i="18" a="1"/>
  <c r="HB16" i="18" s="1"/>
  <c r="HJ16" i="18" a="1"/>
  <c r="HJ16" i="18" s="1"/>
  <c r="HR16" i="18" a="1"/>
  <c r="HR16" i="18" s="1"/>
  <c r="HZ16" i="18" a="1"/>
  <c r="HZ16" i="18" s="1"/>
  <c r="IH16" i="18" a="1"/>
  <c r="IH16" i="18" s="1"/>
  <c r="IP16" i="18" a="1"/>
  <c r="IP16" i="18" s="1"/>
  <c r="IX16" i="18" a="1"/>
  <c r="IX16" i="18" s="1"/>
  <c r="JF16" i="18" a="1"/>
  <c r="JF16" i="18" s="1"/>
  <c r="JN16" i="18" a="1"/>
  <c r="JN16" i="18" s="1"/>
  <c r="JV16" i="18" a="1"/>
  <c r="JV16" i="18" s="1"/>
  <c r="KD16" i="18" a="1"/>
  <c r="KD16" i="18" s="1"/>
  <c r="KL16" i="18" a="1"/>
  <c r="KL16" i="18" s="1"/>
  <c r="H36" i="21"/>
  <c r="H28" i="21"/>
  <c r="H20" i="21"/>
  <c r="H27" i="21"/>
  <c r="H39" i="21"/>
  <c r="C311" i="16"/>
  <c r="C310" i="16"/>
  <c r="C309" i="16"/>
  <c r="C308" i="16"/>
  <c r="C307" i="16"/>
  <c r="C306" i="16"/>
  <c r="C305" i="16"/>
  <c r="C304" i="16"/>
  <c r="C303" i="16"/>
  <c r="C302" i="16"/>
  <c r="C301" i="16"/>
  <c r="C300" i="16"/>
  <c r="C299" i="16"/>
  <c r="C298" i="16"/>
  <c r="C297" i="16"/>
  <c r="C296" i="16"/>
  <c r="C295" i="16"/>
  <c r="C294" i="16"/>
  <c r="C293" i="16"/>
  <c r="C292" i="16"/>
  <c r="C291" i="16"/>
  <c r="C290" i="16"/>
  <c r="C289" i="16"/>
  <c r="C288" i="16"/>
  <c r="C287" i="16"/>
  <c r="C286" i="16"/>
  <c r="C285" i="16"/>
  <c r="C284" i="16"/>
  <c r="C283" i="16"/>
  <c r="C282" i="16"/>
  <c r="C281" i="16"/>
  <c r="C280" i="16"/>
  <c r="C279" i="16"/>
  <c r="C278" i="16"/>
  <c r="C277" i="16"/>
  <c r="C276" i="16"/>
  <c r="C275" i="16"/>
  <c r="C274" i="16"/>
  <c r="C273" i="16"/>
  <c r="C272" i="16"/>
  <c r="C271" i="16"/>
  <c r="C270" i="16"/>
  <c r="C269" i="16"/>
  <c r="C268" i="16"/>
  <c r="C267" i="16"/>
  <c r="C266" i="16"/>
  <c r="C265" i="16"/>
  <c r="C264" i="16"/>
  <c r="C263" i="16"/>
  <c r="C262" i="16"/>
  <c r="C261" i="16"/>
  <c r="C260" i="16"/>
  <c r="C259" i="16"/>
  <c r="C258" i="16"/>
  <c r="C257" i="16"/>
  <c r="C256" i="16"/>
  <c r="C255" i="16"/>
  <c r="C254" i="16"/>
  <c r="C253" i="16"/>
  <c r="C252" i="16"/>
  <c r="C251" i="16"/>
  <c r="C250" i="16"/>
  <c r="C249" i="16"/>
  <c r="C248" i="16"/>
  <c r="C247" i="16"/>
  <c r="C246" i="16"/>
  <c r="C245" i="16"/>
  <c r="C244" i="16"/>
  <c r="C243" i="16"/>
  <c r="C242" i="16"/>
  <c r="C241" i="16"/>
  <c r="C240" i="16"/>
  <c r="C239" i="16"/>
  <c r="C238" i="16"/>
  <c r="C237" i="16"/>
  <c r="C236" i="16"/>
  <c r="C235" i="16"/>
  <c r="C234" i="16"/>
  <c r="C233" i="16"/>
  <c r="C232" i="16"/>
  <c r="C231" i="16"/>
  <c r="C230" i="16"/>
  <c r="C229" i="16"/>
  <c r="C228" i="16"/>
  <c r="C227" i="16"/>
  <c r="C226" i="16"/>
  <c r="C225" i="16"/>
  <c r="C224" i="16"/>
  <c r="C223" i="16"/>
  <c r="C222" i="16"/>
  <c r="C221" i="16"/>
  <c r="C220" i="16"/>
  <c r="C219" i="16"/>
  <c r="C218" i="16"/>
  <c r="C217" i="16"/>
  <c r="C216" i="16"/>
  <c r="C215" i="16"/>
  <c r="C214" i="16"/>
  <c r="C213" i="16"/>
  <c r="C212" i="16"/>
  <c r="C211" i="16"/>
  <c r="C210" i="16"/>
  <c r="C209" i="16"/>
  <c r="C208" i="16"/>
  <c r="C207" i="16"/>
  <c r="C206" i="16"/>
  <c r="C205" i="16"/>
  <c r="C204" i="16"/>
  <c r="C203" i="16"/>
  <c r="C202" i="16"/>
  <c r="C201" i="16"/>
  <c r="C200" i="16"/>
  <c r="C199" i="16"/>
  <c r="C198" i="16"/>
  <c r="C197" i="16"/>
  <c r="C196" i="16"/>
  <c r="C195" i="16"/>
  <c r="C194" i="16"/>
  <c r="C193" i="16"/>
  <c r="C192" i="16"/>
  <c r="C191" i="16"/>
  <c r="C190" i="16"/>
  <c r="C189" i="16"/>
  <c r="C188" i="16"/>
  <c r="C187" i="16"/>
  <c r="C186" i="16"/>
  <c r="C185" i="16"/>
  <c r="C184" i="16"/>
  <c r="C183" i="16"/>
  <c r="C182" i="16"/>
  <c r="C181" i="16"/>
  <c r="C180" i="16"/>
  <c r="C179" i="16"/>
  <c r="C178" i="16"/>
  <c r="C177" i="16"/>
  <c r="C176" i="16"/>
  <c r="C175" i="16"/>
  <c r="C174" i="16"/>
  <c r="C173" i="16"/>
  <c r="C172" i="16"/>
  <c r="C171" i="16"/>
  <c r="C170" i="16"/>
  <c r="C169" i="16"/>
  <c r="C168" i="16"/>
  <c r="C167" i="16"/>
  <c r="C166" i="16"/>
  <c r="C165" i="16"/>
  <c r="C164" i="16"/>
  <c r="C163" i="16"/>
  <c r="C162" i="16"/>
  <c r="C161" i="16"/>
  <c r="C160" i="16"/>
  <c r="C159" i="16"/>
  <c r="C158" i="16"/>
  <c r="C157" i="16"/>
  <c r="C156" i="16"/>
  <c r="C155" i="16"/>
  <c r="C154" i="16"/>
  <c r="C153" i="16"/>
  <c r="C152" i="16"/>
  <c r="C151" i="16"/>
  <c r="C150" i="16"/>
  <c r="C149" i="16"/>
  <c r="C148" i="16"/>
  <c r="C147" i="16"/>
  <c r="C146" i="16"/>
  <c r="C145" i="16"/>
  <c r="C144" i="16"/>
  <c r="C143" i="16"/>
  <c r="C142" i="16"/>
  <c r="C141" i="16"/>
  <c r="C140" i="16"/>
  <c r="C139" i="16"/>
  <c r="C138" i="16"/>
  <c r="C137" i="16"/>
  <c r="C136" i="16"/>
  <c r="C135" i="16"/>
  <c r="C134" i="16"/>
  <c r="C133" i="16"/>
  <c r="C132" i="16"/>
  <c r="C131" i="16"/>
  <c r="C130" i="16"/>
  <c r="C129" i="16"/>
  <c r="C128" i="16"/>
  <c r="C127" i="16"/>
  <c r="C126" i="16"/>
  <c r="C125" i="16"/>
  <c r="C124" i="16"/>
  <c r="C123" i="16"/>
  <c r="C122" i="16"/>
  <c r="C121" i="16"/>
  <c r="C120" i="16"/>
  <c r="C119" i="16"/>
  <c r="C118" i="16"/>
  <c r="C117" i="16"/>
  <c r="C116" i="16"/>
  <c r="C115" i="16"/>
  <c r="C114" i="16"/>
  <c r="C113" i="16"/>
  <c r="C112" i="16"/>
  <c r="C111" i="16"/>
  <c r="C110" i="16"/>
  <c r="C109" i="16"/>
  <c r="C108" i="16"/>
  <c r="C107" i="16"/>
  <c r="C106" i="16"/>
  <c r="C105" i="16"/>
  <c r="C104" i="16"/>
  <c r="C103" i="16"/>
  <c r="C102" i="16"/>
  <c r="C101" i="16"/>
  <c r="C100" i="16"/>
  <c r="C99" i="16"/>
  <c r="C98" i="16"/>
  <c r="C97" i="16"/>
  <c r="C96" i="16"/>
  <c r="C95" i="16"/>
  <c r="C94" i="16"/>
  <c r="C93" i="16"/>
  <c r="C92" i="16"/>
  <c r="C91" i="16"/>
  <c r="C90" i="16"/>
  <c r="C89" i="16"/>
  <c r="C88" i="16"/>
  <c r="C87" i="16"/>
  <c r="C86" i="16"/>
  <c r="C85" i="16"/>
  <c r="C84" i="16"/>
  <c r="C83" i="16"/>
  <c r="C82" i="16"/>
  <c r="C81" i="16"/>
  <c r="C80" i="16"/>
  <c r="C79" i="16"/>
  <c r="C78" i="16"/>
  <c r="C77" i="16"/>
  <c r="C76" i="16"/>
  <c r="C75" i="16"/>
  <c r="C74" i="16"/>
  <c r="C73" i="16"/>
  <c r="C72" i="16"/>
  <c r="C71" i="16"/>
  <c r="C70" i="16"/>
  <c r="C69" i="16"/>
  <c r="C68" i="16"/>
  <c r="C67" i="16"/>
  <c r="C66" i="16"/>
  <c r="C65" i="16"/>
  <c r="C64" i="16"/>
  <c r="C63" i="16"/>
  <c r="C62" i="16"/>
  <c r="C61" i="16"/>
  <c r="C60" i="16"/>
  <c r="C59" i="16"/>
  <c r="C58" i="16"/>
  <c r="C57" i="16"/>
  <c r="C56" i="16"/>
  <c r="C55" i="16"/>
  <c r="C54" i="16"/>
  <c r="C53" i="16"/>
  <c r="C52" i="16"/>
  <c r="C51" i="16"/>
  <c r="C50" i="16"/>
  <c r="C49" i="16"/>
  <c r="C48" i="16"/>
  <c r="C47" i="16"/>
  <c r="C46" i="16"/>
  <c r="C45" i="16"/>
  <c r="C44" i="16"/>
  <c r="C43" i="16"/>
  <c r="C42" i="16"/>
  <c r="C41" i="16"/>
  <c r="C40" i="16"/>
  <c r="C39" i="16"/>
  <c r="C38" i="16"/>
  <c r="C37" i="16"/>
  <c r="C36" i="16"/>
  <c r="C35" i="16"/>
  <c r="C34" i="16"/>
  <c r="C33" i="16"/>
  <c r="C32" i="16"/>
  <c r="C31" i="16"/>
  <c r="C30" i="16"/>
  <c r="C29" i="16"/>
  <c r="C28" i="16"/>
  <c r="C27" i="16"/>
  <c r="C26" i="16"/>
  <c r="C25" i="16"/>
  <c r="C24" i="16"/>
  <c r="C23" i="16"/>
  <c r="C22" i="16"/>
  <c r="C21" i="16"/>
  <c r="C20" i="16"/>
  <c r="C19" i="16"/>
  <c r="C18" i="16"/>
  <c r="C17" i="16"/>
  <c r="C16" i="16"/>
  <c r="C15" i="16"/>
  <c r="C14" i="16"/>
  <c r="C13" i="16"/>
  <c r="C12" i="16"/>
  <c r="C11" i="16"/>
  <c r="C10" i="16"/>
  <c r="C9" i="16"/>
  <c r="C8" i="16"/>
  <c r="C7" i="16"/>
  <c r="C6" i="16"/>
  <c r="I25" i="8" a="1"/>
  <c r="I25" i="8" s="1"/>
  <c r="K25" i="8" s="1"/>
  <c r="M25" i="8" s="1"/>
  <c r="I26" i="8" a="1"/>
  <c r="I26" i="8" s="1"/>
  <c r="K26" i="8" s="1"/>
  <c r="I27" i="8" a="1"/>
  <c r="I27" i="8" s="1"/>
  <c r="K27" i="8" s="1"/>
  <c r="I28" i="8" a="1"/>
  <c r="I28" i="8" s="1"/>
  <c r="K28" i="8" s="1"/>
  <c r="M28" i="8" s="1"/>
  <c r="I29" i="8" a="1"/>
  <c r="I29" i="8" s="1"/>
  <c r="K29" i="8" s="1"/>
  <c r="I30" i="8" a="1"/>
  <c r="I30" i="8" s="1"/>
  <c r="K30" i="8" s="1"/>
  <c r="M30" i="8" s="1"/>
  <c r="I31" i="8" a="1"/>
  <c r="I31" i="8" s="1"/>
  <c r="K31" i="8" s="1"/>
  <c r="M31" i="8" s="1"/>
  <c r="I32" i="8" a="1"/>
  <c r="I32" i="8" s="1"/>
  <c r="K32" i="8" s="1"/>
  <c r="M32" i="8" s="1"/>
  <c r="I33" i="8" a="1"/>
  <c r="I33" i="8" s="1"/>
  <c r="K33" i="8" s="1"/>
  <c r="I34" i="8" a="1"/>
  <c r="I34" i="8" s="1"/>
  <c r="K34" i="8" s="1"/>
  <c r="I35" i="8" a="1"/>
  <c r="I35" i="8" s="1"/>
  <c r="K35" i="8" s="1"/>
  <c r="M35" i="8" s="1"/>
  <c r="I36" i="8" a="1"/>
  <c r="I36" i="8" s="1"/>
  <c r="K36" i="8" s="1"/>
  <c r="M36" i="8" s="1"/>
  <c r="I37" i="8" a="1"/>
  <c r="I37" i="8" s="1"/>
  <c r="K37" i="8" s="1"/>
  <c r="I38" i="8" a="1"/>
  <c r="I38" i="8" s="1"/>
  <c r="K38" i="8" s="1"/>
  <c r="M38" i="8" s="1"/>
  <c r="I39" i="8" a="1"/>
  <c r="I39" i="8" s="1"/>
  <c r="K39" i="8" s="1"/>
  <c r="M39" i="8" s="1"/>
  <c r="I40" i="8" a="1"/>
  <c r="I40" i="8" s="1"/>
  <c r="K40" i="8" s="1"/>
  <c r="M40" i="8" s="1"/>
  <c r="I41" i="8" a="1"/>
  <c r="I41" i="8" s="1"/>
  <c r="K41" i="8" s="1"/>
  <c r="M41" i="8" s="1"/>
  <c r="I42" i="8" a="1"/>
  <c r="I42" i="8" s="1"/>
  <c r="K42" i="8" s="1"/>
  <c r="I43" i="8" a="1"/>
  <c r="I43" i="8" s="1"/>
  <c r="K43" i="8" s="1"/>
  <c r="I44" i="8" a="1"/>
  <c r="I44" i="8" s="1"/>
  <c r="K44" i="8" s="1"/>
  <c r="M44" i="8" s="1"/>
  <c r="I45" i="8" a="1"/>
  <c r="I45" i="8" s="1"/>
  <c r="K45" i="8" s="1"/>
  <c r="I46" i="8" a="1"/>
  <c r="I46" i="8" s="1"/>
  <c r="K46" i="8" s="1"/>
  <c r="M46" i="8" s="1"/>
  <c r="I47" i="8" a="1"/>
  <c r="I47" i="8" s="1"/>
  <c r="K47" i="8" s="1"/>
  <c r="M47" i="8" s="1"/>
  <c r="I48" i="8" a="1"/>
  <c r="I48" i="8" s="1"/>
  <c r="K48" i="8" s="1"/>
  <c r="M48" i="8" s="1"/>
  <c r="I49" i="8" a="1"/>
  <c r="I49" i="8" s="1"/>
  <c r="K49" i="8" s="1"/>
  <c r="H25" i="8" a="1"/>
  <c r="H25" i="8" s="1"/>
  <c r="J25" i="8" s="1"/>
  <c r="H26" i="8" a="1"/>
  <c r="H26" i="8" s="1"/>
  <c r="J26" i="8" s="1"/>
  <c r="L26" i="8" s="1"/>
  <c r="H27" i="8" a="1"/>
  <c r="H27" i="8" s="1"/>
  <c r="J27" i="8" s="1"/>
  <c r="L27" i="8" s="1"/>
  <c r="H28" i="8" a="1"/>
  <c r="H28" i="8"/>
  <c r="J28" i="8" s="1"/>
  <c r="L28" i="8" s="1"/>
  <c r="H29" i="8" a="1"/>
  <c r="H29" i="8" s="1"/>
  <c r="J29" i="8" s="1"/>
  <c r="H30" i="8" a="1"/>
  <c r="H30" i="8" s="1"/>
  <c r="J30" i="8" s="1"/>
  <c r="L30" i="8" s="1"/>
  <c r="H31" i="8" a="1"/>
  <c r="H31" i="8" s="1"/>
  <c r="J31" i="8" s="1"/>
  <c r="L31" i="8" s="1"/>
  <c r="H32" i="8" a="1"/>
  <c r="H32" i="8" s="1"/>
  <c r="J32" i="8" s="1"/>
  <c r="L32" i="8" s="1"/>
  <c r="H33" i="8" a="1"/>
  <c r="H33" i="8" s="1"/>
  <c r="J33" i="8" s="1"/>
  <c r="L33" i="8" s="1"/>
  <c r="H34" i="8" a="1"/>
  <c r="H34" i="8" s="1"/>
  <c r="J34" i="8" s="1"/>
  <c r="L34" i="8" s="1"/>
  <c r="H35" i="8" a="1"/>
  <c r="H35" i="8" s="1"/>
  <c r="J35" i="8" s="1"/>
  <c r="H36" i="8" a="1"/>
  <c r="H36" i="8" s="1"/>
  <c r="J36" i="8" s="1"/>
  <c r="H37" i="8" a="1"/>
  <c r="H37" i="8" s="1"/>
  <c r="J37" i="8" s="1"/>
  <c r="L37" i="8" s="1"/>
  <c r="H38" i="8" a="1"/>
  <c r="H38" i="8" s="1"/>
  <c r="J38" i="8" s="1"/>
  <c r="L38" i="8" s="1"/>
  <c r="H39" i="8" a="1"/>
  <c r="H39" i="8"/>
  <c r="J39" i="8" s="1"/>
  <c r="L39" i="8" s="1"/>
  <c r="H40" i="8" a="1"/>
  <c r="H40" i="8"/>
  <c r="J40" i="8" s="1"/>
  <c r="H41" i="8" a="1"/>
  <c r="H41" i="8" s="1"/>
  <c r="J41" i="8" s="1"/>
  <c r="H42" i="8" a="1"/>
  <c r="H42" i="8" s="1"/>
  <c r="J42" i="8" s="1"/>
  <c r="L42" i="8" s="1"/>
  <c r="H43" i="8" a="1"/>
  <c r="H43" i="8" s="1"/>
  <c r="J43" i="8" s="1"/>
  <c r="H44" i="8" a="1"/>
  <c r="H44" i="8" s="1"/>
  <c r="J44" i="8" s="1"/>
  <c r="L44" i="8" s="1"/>
  <c r="H45" i="8" a="1"/>
  <c r="H45" i="8" s="1"/>
  <c r="J45" i="8" s="1"/>
  <c r="L45" i="8" s="1"/>
  <c r="H46" i="8" a="1"/>
  <c r="H46" i="8" s="1"/>
  <c r="J46" i="8" s="1"/>
  <c r="H47" i="8" a="1"/>
  <c r="H47" i="8"/>
  <c r="J47" i="8" s="1"/>
  <c r="H48" i="8" a="1"/>
  <c r="H48" i="8" s="1"/>
  <c r="J48" i="8" s="1"/>
  <c r="L48" i="8" s="1"/>
  <c r="H49" i="8" a="1"/>
  <c r="H49" i="8" s="1"/>
  <c r="J49" i="8" s="1"/>
  <c r="M29" i="8"/>
  <c r="M42" i="8"/>
  <c r="M45" i="8"/>
  <c r="B2" i="8"/>
  <c r="M15" i="8" a="1"/>
  <c r="M15" i="8" s="1"/>
  <c r="H14" i="21" l="1"/>
  <c r="H24" i="21"/>
  <c r="I24" i="21" s="1"/>
  <c r="H33" i="21"/>
  <c r="J32" i="22" s="1"/>
  <c r="H21" i="21"/>
  <c r="I21" i="21" s="1"/>
  <c r="H16" i="21"/>
  <c r="I16" i="21" s="1"/>
  <c r="H29" i="21"/>
  <c r="I27" i="23" s="1" a="1"/>
  <c r="I27" i="23" s="1"/>
  <c r="H32" i="21"/>
  <c r="I32" i="21" s="1"/>
  <c r="H37" i="21"/>
  <c r="I35" i="23" s="1" a="1"/>
  <c r="I35" i="23" s="1"/>
  <c r="H19" i="21"/>
  <c r="I19" i="21" s="1"/>
  <c r="H22" i="21"/>
  <c r="I22" i="21" s="1"/>
  <c r="H26" i="21"/>
  <c r="I26" i="21" s="1"/>
  <c r="H35" i="21"/>
  <c r="I35" i="21" s="1"/>
  <c r="H30" i="21"/>
  <c r="I30" i="21" s="1"/>
  <c r="H34" i="21"/>
  <c r="J33" i="22" s="1"/>
  <c r="H17" i="21"/>
  <c r="H38" i="21"/>
  <c r="I38" i="21" s="1"/>
  <c r="H15" i="21"/>
  <c r="I13" i="23" s="1" a="1"/>
  <c r="I13" i="23" s="1"/>
  <c r="H25" i="21"/>
  <c r="I25" i="21" s="1"/>
  <c r="H23" i="21"/>
  <c r="J22" i="22" s="1"/>
  <c r="H31" i="21"/>
  <c r="I29" i="23" s="1" a="1"/>
  <c r="I29" i="23" s="1"/>
  <c r="Z24" i="18"/>
  <c r="I36" i="22" s="1"/>
  <c r="H24" i="18"/>
  <c r="I18" i="22" s="1"/>
  <c r="Y24" i="18"/>
  <c r="I35" i="22" s="1"/>
  <c r="AB24" i="18"/>
  <c r="I38" i="22" s="1"/>
  <c r="W24" i="18"/>
  <c r="I33" i="22" s="1"/>
  <c r="P24" i="18"/>
  <c r="I26" i="22" s="1"/>
  <c r="E24" i="18"/>
  <c r="I15" i="22" s="1"/>
  <c r="O24" i="18"/>
  <c r="I25" i="22" s="1"/>
  <c r="U24" i="18"/>
  <c r="I31" i="22" s="1"/>
  <c r="S24" i="18"/>
  <c r="I29" i="22" s="1"/>
  <c r="K24" i="18"/>
  <c r="I21" i="22" s="1"/>
  <c r="X24" i="18"/>
  <c r="I34" i="22" s="1"/>
  <c r="T24" i="18"/>
  <c r="I30" i="22" s="1"/>
  <c r="I24" i="18"/>
  <c r="I19" i="22" s="1"/>
  <c r="G24" i="18"/>
  <c r="I17" i="22" s="1"/>
  <c r="Q24" i="18"/>
  <c r="I27" i="22" s="1"/>
  <c r="L24" i="18"/>
  <c r="I22" i="22" s="1"/>
  <c r="M24" i="18"/>
  <c r="I23" i="22" s="1"/>
  <c r="AA24" i="18"/>
  <c r="I37" i="22" s="1"/>
  <c r="J24" i="18"/>
  <c r="I20" i="22" s="1"/>
  <c r="V24" i="18"/>
  <c r="I32" i="22" s="1"/>
  <c r="N24" i="18"/>
  <c r="I24" i="22" s="1"/>
  <c r="F24" i="18"/>
  <c r="I16" i="22" s="1"/>
  <c r="R24" i="18"/>
  <c r="I28" i="22" s="1"/>
  <c r="I29" i="21"/>
  <c r="J28" i="22"/>
  <c r="J23" i="22"/>
  <c r="J31" i="22"/>
  <c r="I30" i="23" a="1"/>
  <c r="I30" i="23" s="1"/>
  <c r="I28" i="21"/>
  <c r="J27" i="22"/>
  <c r="I26" i="23" a="1"/>
  <c r="I26" i="23" s="1"/>
  <c r="I37" i="21"/>
  <c r="J36" i="22"/>
  <c r="I14" i="21"/>
  <c r="I18" i="21"/>
  <c r="J17" i="22"/>
  <c r="I16" i="23" a="1"/>
  <c r="I16" i="23" s="1"/>
  <c r="I27" i="21"/>
  <c r="J26" i="22"/>
  <c r="I25" i="23" a="1"/>
  <c r="I25" i="23" s="1"/>
  <c r="I32" i="23" a="1"/>
  <c r="I32" i="23" s="1"/>
  <c r="I17" i="21"/>
  <c r="I15" i="23" a="1"/>
  <c r="I15" i="23" s="1"/>
  <c r="J16" i="22"/>
  <c r="I20" i="21"/>
  <c r="I18" i="23" a="1"/>
  <c r="I18" i="23" s="1"/>
  <c r="J19" i="22"/>
  <c r="I39" i="21"/>
  <c r="J38" i="22"/>
  <c r="I37" i="23" a="1"/>
  <c r="I37" i="23" s="1"/>
  <c r="J18" i="22"/>
  <c r="I36" i="21"/>
  <c r="I34" i="23" a="1"/>
  <c r="I34" i="23" s="1"/>
  <c r="J35" i="22"/>
  <c r="L41" i="8"/>
  <c r="L25" i="8"/>
  <c r="L36" i="8"/>
  <c r="M33" i="8"/>
  <c r="L47" i="8"/>
  <c r="M27" i="8"/>
  <c r="M43" i="8"/>
  <c r="L35" i="8"/>
  <c r="M49" i="8"/>
  <c r="L46" i="8"/>
  <c r="L40" i="8"/>
  <c r="L49" i="8"/>
  <c r="L43" i="8"/>
  <c r="M37" i="8"/>
  <c r="M34" i="8"/>
  <c r="L29" i="8"/>
  <c r="M26" i="8"/>
  <c r="I15" i="8"/>
  <c r="L15" i="8" s="1"/>
  <c r="I22" i="23" l="1" a="1"/>
  <c r="I22" i="23" s="1"/>
  <c r="I33" i="21"/>
  <c r="I17" i="23" a="1"/>
  <c r="I17" i="23" s="1"/>
  <c r="I31" i="23" a="1"/>
  <c r="I31" i="23" s="1"/>
  <c r="N36" i="22"/>
  <c r="N18" i="22"/>
  <c r="N17" i="22"/>
  <c r="J24" i="22"/>
  <c r="N24" i="22" s="1"/>
  <c r="I24" i="23" a="1"/>
  <c r="I24" i="23" s="1"/>
  <c r="I14" i="23" a="1"/>
  <c r="I14" i="23" s="1"/>
  <c r="I23" i="23" a="1"/>
  <c r="I23" i="23" s="1"/>
  <c r="J15" i="22"/>
  <c r="N15" i="22" s="1"/>
  <c r="I36" i="23" a="1"/>
  <c r="I36" i="23" s="1"/>
  <c r="J34" i="22"/>
  <c r="N34" i="22" s="1"/>
  <c r="J30" i="22"/>
  <c r="N30" i="22" s="1"/>
  <c r="I23" i="21"/>
  <c r="I31" i="21"/>
  <c r="I20" i="23" a="1"/>
  <c r="I20" i="23" s="1"/>
  <c r="J37" i="22"/>
  <c r="N37" i="22" s="1"/>
  <c r="J20" i="22"/>
  <c r="N20" i="22" s="1"/>
  <c r="J21" i="22"/>
  <c r="N21" i="22" s="1"/>
  <c r="J25" i="22"/>
  <c r="N25" i="22" s="1"/>
  <c r="I19" i="23" a="1"/>
  <c r="I19" i="23" s="1"/>
  <c r="I15" i="21"/>
  <c r="I34" i="21"/>
  <c r="I21" i="23" a="1"/>
  <c r="I21" i="23" s="1"/>
  <c r="I33" i="23" a="1"/>
  <c r="I33" i="23" s="1"/>
  <c r="J14" i="22"/>
  <c r="N14" i="22" s="1"/>
  <c r="J29" i="22"/>
  <c r="N29" i="22" s="1"/>
  <c r="I28" i="23" a="1"/>
  <c r="I28" i="23" s="1"/>
  <c r="N23" i="22"/>
  <c r="N35" i="22"/>
  <c r="N26" i="22"/>
  <c r="N19" i="22"/>
  <c r="N33" i="22"/>
  <c r="N38" i="22"/>
  <c r="N27" i="22"/>
  <c r="N28" i="22"/>
  <c r="N22" i="22"/>
  <c r="N31" i="22"/>
  <c r="N16" i="22"/>
  <c r="N32" i="22"/>
  <c r="N15" i="8"/>
  <c r="N25" i="8" s="1"/>
  <c r="N26" i="8" s="1"/>
  <c r="N27" i="8" s="1"/>
  <c r="N28" i="8" s="1"/>
  <c r="N29" i="8" s="1"/>
  <c r="N30" i="8" s="1"/>
  <c r="N31" i="8" s="1"/>
  <c r="N32" i="8" s="1"/>
  <c r="N33" i="8" s="1"/>
  <c r="N34" i="8" s="1"/>
  <c r="N35" i="8" s="1"/>
  <c r="N36" i="8" s="1"/>
  <c r="N37" i="8" s="1"/>
  <c r="N38" i="8" s="1"/>
  <c r="N39" i="8" s="1"/>
  <c r="N40" i="8" s="1"/>
  <c r="N41" i="8" s="1"/>
  <c r="N42" i="8" s="1"/>
  <c r="N43" i="8" s="1"/>
  <c r="N44" i="8" s="1"/>
  <c r="N45" i="8" s="1"/>
  <c r="N46" i="8" s="1"/>
  <c r="N47" i="8" s="1"/>
  <c r="N48" i="8" s="1"/>
  <c r="N49" i="8" s="1"/>
  <c r="F6" i="2" l="1"/>
  <c r="S6" i="2"/>
  <c r="E6" i="2"/>
  <c r="C6" i="2"/>
  <c r="R6" i="2"/>
  <c r="M6" i="2"/>
  <c r="P6" i="2"/>
  <c r="Q6" i="2"/>
  <c r="O6" i="2"/>
  <c r="L6" i="2"/>
  <c r="B7" i="2"/>
  <c r="H6" i="2"/>
  <c r="F7" i="2"/>
  <c r="H7" i="2"/>
  <c r="H8" i="2"/>
  <c r="M8" i="2"/>
  <c r="C8" i="2"/>
  <c r="C7" i="2"/>
  <c r="M7" i="2"/>
  <c r="F8" i="2"/>
  <c r="E7" i="2"/>
  <c r="E8" i="2"/>
  <c r="F9" i="2"/>
  <c r="E9" i="2"/>
  <c r="F10" i="2"/>
  <c r="E10" i="2"/>
  <c r="Q10" i="2"/>
  <c r="F11" i="2"/>
  <c r="E11" i="2"/>
  <c r="F12" i="2"/>
  <c r="E12" i="2"/>
  <c r="G6" i="2" l="1"/>
  <c r="T6" i="2"/>
  <c r="F13" i="2"/>
  <c r="E13" i="2"/>
  <c r="E14" i="2"/>
  <c r="F14" i="2"/>
  <c r="J30" i="2" l="1"/>
  <c r="F15" i="2" l="1"/>
  <c r="E15" i="2"/>
  <c r="F16" i="2"/>
  <c r="E16" i="2"/>
  <c r="F17" i="2"/>
  <c r="E17" i="2"/>
  <c r="F18" i="2"/>
  <c r="E18" i="2"/>
  <c r="F19" i="2"/>
  <c r="E19" i="2"/>
  <c r="F20" i="2"/>
  <c r="E20" i="2"/>
  <c r="F21" i="2"/>
  <c r="E21" i="2"/>
  <c r="F22" i="2"/>
  <c r="E22" i="2"/>
  <c r="F23" i="2"/>
  <c r="E23" i="2"/>
  <c r="F24" i="2"/>
  <c r="E24" i="2"/>
  <c r="F25" i="2" l="1"/>
  <c r="E25" i="2"/>
  <c r="F27" i="2"/>
  <c r="E27" i="2"/>
  <c r="F28" i="2"/>
  <c r="E28" i="2"/>
  <c r="F29" i="2"/>
  <c r="E29" i="2"/>
  <c r="F30" i="2"/>
  <c r="E30" i="2"/>
  <c r="D30" i="2"/>
  <c r="L30" i="2"/>
  <c r="F26" i="2"/>
  <c r="S26" i="2" s="1"/>
  <c r="E26" i="2"/>
  <c r="R26" i="2" s="1"/>
  <c r="F31" i="2"/>
  <c r="G31" i="2" s="1"/>
  <c r="K31" i="2"/>
  <c r="E31" i="2"/>
  <c r="R31" i="2" s="1"/>
  <c r="Q7" i="2"/>
  <c r="Q8" i="2"/>
  <c r="Q9" i="2"/>
  <c r="Q11" i="2"/>
  <c r="Q12" i="2"/>
  <c r="Q13" i="2"/>
  <c r="Q14" i="2"/>
  <c r="Q15" i="2"/>
  <c r="Q16" i="2"/>
  <c r="Q17" i="2"/>
  <c r="Q18" i="2"/>
  <c r="Q19" i="2"/>
  <c r="Q20" i="2"/>
  <c r="Q21" i="2"/>
  <c r="Q22" i="2"/>
  <c r="Q23" i="2"/>
  <c r="Q24" i="2"/>
  <c r="Q25" i="2"/>
  <c r="Q26" i="2"/>
  <c r="Q27" i="2"/>
  <c r="Q28" i="2"/>
  <c r="Q29" i="2"/>
  <c r="Q30" i="2"/>
  <c r="G7" i="2"/>
  <c r="G8" i="2"/>
  <c r="G9" i="2"/>
  <c r="G10" i="2"/>
  <c r="G11" i="2"/>
  <c r="G12" i="2"/>
  <c r="G13" i="2"/>
  <c r="G14" i="2"/>
  <c r="G15" i="2"/>
  <c r="G16" i="2"/>
  <c r="G17" i="2"/>
  <c r="G18" i="2"/>
  <c r="G19" i="2"/>
  <c r="G20" i="2"/>
  <c r="G21" i="2"/>
  <c r="G22" i="2"/>
  <c r="G23" i="2"/>
  <c r="G24" i="2"/>
  <c r="G25" i="2"/>
  <c r="G28" i="2"/>
  <c r="G29" i="2"/>
  <c r="G30" i="2"/>
  <c r="L7" i="2"/>
  <c r="L8" i="2"/>
  <c r="L9" i="2"/>
  <c r="L10" i="2"/>
  <c r="L11" i="2"/>
  <c r="L12" i="2"/>
  <c r="L13" i="2"/>
  <c r="L14" i="2"/>
  <c r="L15" i="2"/>
  <c r="L16" i="2"/>
  <c r="L17" i="2"/>
  <c r="L18" i="2"/>
  <c r="L19" i="2"/>
  <c r="L20" i="2"/>
  <c r="L21" i="2"/>
  <c r="L22" i="2"/>
  <c r="L23" i="2"/>
  <c r="L24" i="2"/>
  <c r="L25" i="2"/>
  <c r="L26" i="2"/>
  <c r="L27" i="2"/>
  <c r="L28" i="2"/>
  <c r="L29" i="2"/>
  <c r="S31" i="2"/>
  <c r="Q31" i="2"/>
  <c r="L31" i="2"/>
  <c r="R7" i="2"/>
  <c r="S7" i="2"/>
  <c r="R8" i="2"/>
  <c r="S8" i="2"/>
  <c r="R9" i="2"/>
  <c r="S9" i="2"/>
  <c r="R10" i="2"/>
  <c r="S10" i="2"/>
  <c r="R11" i="2"/>
  <c r="S11" i="2"/>
  <c r="R12" i="2"/>
  <c r="S12" i="2"/>
  <c r="R13" i="2"/>
  <c r="S13" i="2"/>
  <c r="R14" i="2"/>
  <c r="S14" i="2"/>
  <c r="R15" i="2"/>
  <c r="S15" i="2"/>
  <c r="R16" i="2"/>
  <c r="S16" i="2"/>
  <c r="R17" i="2"/>
  <c r="S17" i="2"/>
  <c r="R18" i="2"/>
  <c r="T18" i="2" s="1"/>
  <c r="S18" i="2"/>
  <c r="R19" i="2"/>
  <c r="S19" i="2"/>
  <c r="R20" i="2"/>
  <c r="S20" i="2"/>
  <c r="R21" i="2"/>
  <c r="S21" i="2"/>
  <c r="R22" i="2"/>
  <c r="S22" i="2"/>
  <c r="R23" i="2"/>
  <c r="S23" i="2"/>
  <c r="R24" i="2"/>
  <c r="S24" i="2"/>
  <c r="R25" i="2"/>
  <c r="S25" i="2"/>
  <c r="R27" i="2"/>
  <c r="S27" i="2"/>
  <c r="R28" i="2"/>
  <c r="S28" i="2"/>
  <c r="R29" i="2"/>
  <c r="S29" i="2"/>
  <c r="R30" i="2"/>
  <c r="S30" i="2"/>
  <c r="T7" i="2" l="1"/>
  <c r="T8" i="2"/>
  <c r="T9" i="2"/>
  <c r="T10" i="2"/>
  <c r="T11" i="2"/>
  <c r="T12" i="2"/>
  <c r="T13" i="2"/>
  <c r="T14" i="2"/>
  <c r="T15" i="2"/>
  <c r="T16" i="2"/>
  <c r="T17" i="2"/>
  <c r="T19" i="2"/>
  <c r="T20" i="2"/>
  <c r="T21" i="2"/>
  <c r="T22" i="2"/>
  <c r="T23" i="2"/>
  <c r="T24" i="2"/>
  <c r="T25" i="2"/>
  <c r="G27" i="2"/>
  <c r="T27" i="2"/>
  <c r="T28" i="2"/>
  <c r="T29" i="2"/>
  <c r="T30" i="2"/>
  <c r="T31" i="2"/>
  <c r="G26" i="2"/>
  <c r="T26" i="2"/>
  <c r="B8" i="2"/>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alcChain>
</file>

<file path=xl/sharedStrings.xml><?xml version="1.0" encoding="utf-8"?>
<sst xmlns="http://schemas.openxmlformats.org/spreadsheetml/2006/main" count="804" uniqueCount="214">
  <si>
    <t>Year</t>
  </si>
  <si>
    <t>Company</t>
  </si>
  <si>
    <t>Enbridge Gas Distribution</t>
  </si>
  <si>
    <t>Additions to Distribution Plant</t>
  </si>
  <si>
    <t>ADD</t>
  </si>
  <si>
    <t>Retirements of Distribution Plant</t>
  </si>
  <si>
    <t>RET</t>
  </si>
  <si>
    <t>DISTPLANT</t>
  </si>
  <si>
    <t>TOTPLANT</t>
  </si>
  <si>
    <t>Distribution Plant in Service</t>
  </si>
  <si>
    <t>Total Plant in Service</t>
  </si>
  <si>
    <t>Total Net Plant</t>
  </si>
  <si>
    <t>Total NEPLANT</t>
  </si>
  <si>
    <t>Storage Plant in Service</t>
  </si>
  <si>
    <t>STORPLANT</t>
  </si>
  <si>
    <t>General Plant in Service</t>
  </si>
  <si>
    <t>GENPLANT</t>
  </si>
  <si>
    <t>Additions to Storage Plant</t>
  </si>
  <si>
    <t>Retirements of Storage Plant</t>
  </si>
  <si>
    <t>Additions to General Plant</t>
  </si>
  <si>
    <t>Retirements of General Plant</t>
  </si>
  <si>
    <t>Total Net DISTPLANT</t>
  </si>
  <si>
    <t>Total Net Distribution Plant</t>
  </si>
  <si>
    <t>Accum dep'n Distribution Plant</t>
  </si>
  <si>
    <t>Accum dep'n Storage Plant</t>
  </si>
  <si>
    <t>Total Net Storage Plant</t>
  </si>
  <si>
    <t>Total Net STORPLANT</t>
  </si>
  <si>
    <t>Accum dep'n General Plant</t>
  </si>
  <si>
    <t>Total Net General Plant</t>
  </si>
  <si>
    <t>Total Net GENPLANT</t>
  </si>
  <si>
    <t>Total Accum dep'n</t>
  </si>
  <si>
    <t>$ Millions</t>
  </si>
  <si>
    <t>Sept fiscal year</t>
  </si>
  <si>
    <t>Calendar year</t>
  </si>
  <si>
    <t>Additions is net of retirement. No info on retirement</t>
  </si>
  <si>
    <t>HWt Triangularized</t>
  </si>
  <si>
    <t>Initial Capital Stock</t>
  </si>
  <si>
    <t>Region</t>
  </si>
  <si>
    <t>%DIST</t>
  </si>
  <si>
    <t>Total NEUPLANT</t>
  </si>
  <si>
    <t>DNEUPLANT</t>
  </si>
  <si>
    <t>HW TRI</t>
  </si>
  <si>
    <t>K0</t>
  </si>
  <si>
    <t>(a)</t>
  </si>
  <si>
    <t>(b)</t>
  </si>
  <si>
    <t xml:space="preserve">(c) </t>
  </si>
  <si>
    <t>(d)</t>
  </si>
  <si>
    <t>(e)</t>
  </si>
  <si>
    <t>(f)</t>
  </si>
  <si>
    <t>(g)</t>
  </si>
  <si>
    <t>(h)</t>
  </si>
  <si>
    <t>(i)</t>
  </si>
  <si>
    <t>Company Name</t>
  </si>
  <si>
    <t>North Atlantic</t>
  </si>
  <si>
    <t>(c)</t>
  </si>
  <si>
    <t>∑(a):(c)</t>
  </si>
  <si>
    <t>(a)/(d)</t>
  </si>
  <si>
    <t>(g)/(h)</t>
  </si>
  <si>
    <t>(f)×(e)</t>
  </si>
  <si>
    <t>South Atlantic</t>
  </si>
  <si>
    <t>North Central</t>
  </si>
  <si>
    <t>South Central</t>
  </si>
  <si>
    <t>Plateau</t>
  </si>
  <si>
    <t>Pacific</t>
  </si>
  <si>
    <t>Handy-Whitman Index Triangularized</t>
  </si>
  <si>
    <t>Constant2</t>
  </si>
  <si>
    <t>% Distribution Plant in Service</t>
  </si>
  <si>
    <t>Distribution Net Plant</t>
  </si>
  <si>
    <t>Initial Year</t>
  </si>
  <si>
    <t>Description</t>
  </si>
  <si>
    <t>Uses original method used for all other companies to calculate capital stock in each year for Enbridge</t>
  </si>
  <si>
    <t xml:space="preserve">Sources </t>
  </si>
  <si>
    <t>Enbridge Captial Data and Handy-Whitman data</t>
  </si>
  <si>
    <t xml:space="preserve">Initial Capital Stock </t>
  </si>
  <si>
    <t>Enbridge Captial Data and Handy-Whitman triangularized data</t>
  </si>
  <si>
    <t>Real Additions to Distribution Plant</t>
  </si>
  <si>
    <t>Real Retirements of Distribution Plant</t>
  </si>
  <si>
    <t>Capital Stock</t>
  </si>
  <si>
    <r>
      <t>HW</t>
    </r>
    <r>
      <rPr>
        <b/>
        <vertAlign val="subscript"/>
        <sz val="10"/>
        <rFont val="Times New Roman"/>
        <family val="1"/>
      </rPr>
      <t>t</t>
    </r>
  </si>
  <si>
    <r>
      <t>HW</t>
    </r>
    <r>
      <rPr>
        <b/>
        <vertAlign val="subscript"/>
        <sz val="10"/>
        <rFont val="Times New Roman"/>
        <family val="1"/>
      </rPr>
      <t>t-s</t>
    </r>
  </si>
  <si>
    <r>
      <t>HW</t>
    </r>
    <r>
      <rPr>
        <b/>
        <vertAlign val="subscript"/>
        <sz val="10"/>
        <rFont val="Times New Roman"/>
        <family val="1"/>
      </rPr>
      <t xml:space="preserve">t </t>
    </r>
    <r>
      <rPr>
        <b/>
        <sz val="10"/>
        <rFont val="Times New Roman"/>
        <family val="1"/>
      </rPr>
      <t>(norm)</t>
    </r>
  </si>
  <si>
    <r>
      <t>HW</t>
    </r>
    <r>
      <rPr>
        <b/>
        <vertAlign val="subscript"/>
        <sz val="10"/>
        <rFont val="Times New Roman"/>
        <family val="1"/>
      </rPr>
      <t xml:space="preserve">t-s </t>
    </r>
    <r>
      <rPr>
        <b/>
        <sz val="10"/>
        <rFont val="Times New Roman"/>
        <family val="1"/>
      </rPr>
      <t>(norm)</t>
    </r>
  </si>
  <si>
    <t>REALADD</t>
  </si>
  <si>
    <t>REALRET</t>
  </si>
  <si>
    <t>KAPITAL</t>
  </si>
  <si>
    <r>
      <t>Handy-Whitman Asset Price in Year</t>
    </r>
    <r>
      <rPr>
        <b/>
        <vertAlign val="subscript"/>
        <sz val="11"/>
        <rFont val="Calibri"/>
        <family val="2"/>
        <scheme val="minor"/>
      </rPr>
      <t>t</t>
    </r>
  </si>
  <si>
    <r>
      <t>Handy-Whitman Asset Price in Year</t>
    </r>
    <r>
      <rPr>
        <b/>
        <vertAlign val="subscript"/>
        <sz val="11"/>
        <rFont val="Calibri"/>
        <family val="2"/>
        <scheme val="minor"/>
      </rPr>
      <t>t-s</t>
    </r>
  </si>
  <si>
    <r>
      <t>Handy-Whitman Asset Price in Year</t>
    </r>
    <r>
      <rPr>
        <b/>
        <vertAlign val="subscript"/>
        <sz val="11"/>
        <rFont val="Calibri"/>
        <family val="2"/>
        <scheme val="minor"/>
      </rPr>
      <t>t</t>
    </r>
    <r>
      <rPr>
        <b/>
        <sz val="11"/>
        <rFont val="Calibri"/>
        <family val="2"/>
        <scheme val="minor"/>
      </rPr>
      <t xml:space="preserve"> (Normalized)</t>
    </r>
  </si>
  <si>
    <r>
      <t>Handy-Whitman Asset Price in Year</t>
    </r>
    <r>
      <rPr>
        <b/>
        <vertAlign val="subscript"/>
        <sz val="11"/>
        <rFont val="Calibri"/>
        <family val="2"/>
        <scheme val="minor"/>
      </rPr>
      <t>t-s</t>
    </r>
    <r>
      <rPr>
        <b/>
        <sz val="11"/>
        <rFont val="Calibri"/>
        <family val="2"/>
        <scheme val="minor"/>
      </rPr>
      <t xml:space="preserve"> (Normalized)</t>
    </r>
  </si>
  <si>
    <t>(c)/100</t>
  </si>
  <si>
    <t>(d)/100</t>
  </si>
  <si>
    <t>(a)/(e)</t>
  </si>
  <si>
    <t>(b)/(f)</t>
  </si>
  <si>
    <t>Moody's Utility Bond Index</t>
  </si>
  <si>
    <t>Moody's Utility Bond Index (BAA)</t>
  </si>
  <si>
    <t>Bloomberg Fair Value (Non-Utility Specific)</t>
  </si>
  <si>
    <t>Barclays Non-Utility Specific</t>
  </si>
  <si>
    <t>Month</t>
  </si>
  <si>
    <t>Year_Month</t>
  </si>
  <si>
    <t>AAA</t>
  </si>
  <si>
    <t>AA</t>
  </si>
  <si>
    <t>A</t>
  </si>
  <si>
    <t>BBB</t>
  </si>
  <si>
    <t>BB</t>
  </si>
  <si>
    <t>B</t>
  </si>
  <si>
    <t>D</t>
  </si>
  <si>
    <t>Source: Bloomberg</t>
  </si>
  <si>
    <t>Downloaded 6/9/17 AJ</t>
  </si>
  <si>
    <t>Enbridge Gas Distribution Inc</t>
  </si>
  <si>
    <t>CGT/R CN Equity</t>
  </si>
  <si>
    <t>Rating</t>
  </si>
  <si>
    <t>Watch</t>
  </si>
  <si>
    <t>Effective</t>
  </si>
  <si>
    <t>BBB+</t>
  </si>
  <si>
    <t>A-</t>
  </si>
  <si>
    <t>*-</t>
  </si>
  <si>
    <t>Conversions</t>
  </si>
  <si>
    <t>AA+</t>
  </si>
  <si>
    <t>BBB-</t>
  </si>
  <si>
    <t>BB-</t>
  </si>
  <si>
    <t>B+</t>
  </si>
  <si>
    <t>B-</t>
  </si>
  <si>
    <t>NR</t>
  </si>
  <si>
    <t>-</t>
  </si>
  <si>
    <t>[1]</t>
  </si>
  <si>
    <t>Calculates the Enbridge's average yearly bond yield</t>
  </si>
  <si>
    <t>Bond Rating</t>
  </si>
  <si>
    <t>[2]</t>
  </si>
  <si>
    <t>[3]</t>
  </si>
  <si>
    <t>Rating Modified</t>
  </si>
  <si>
    <t>Monthly Yield</t>
  </si>
  <si>
    <t>Rating/ Yield</t>
  </si>
  <si>
    <t>Monthly Ratings and Yields</t>
  </si>
  <si>
    <t>Average Yearly Yields</t>
  </si>
  <si>
    <t>Table 326-0020 Consumer Price Index, monthly (2002=100)(2,9)</t>
  </si>
  <si>
    <t>Survey or program details:</t>
  </si>
  <si>
    <t>Consumer Price Index - 2301</t>
  </si>
  <si>
    <t>Geography</t>
  </si>
  <si>
    <t>Canada</t>
  </si>
  <si>
    <t>Products and product groups</t>
  </si>
  <si>
    <t>All-items</t>
  </si>
  <si>
    <t>Footnotes:</t>
  </si>
  <si>
    <t>The Consumer Price Index (CPI) is not a cost-of-living index. The objective behind a cost-of-living index is to measure changes in expenditures necessary for consumers to maintain a constant standard of living. The idea is that consumers would normally switch between products as the price relationship of goods changes. If, for example, consumers get the same satisfaction from drinking tea as they do from coffee, then it is possible to substitute tea for coffee if the price of tea falls relative to the price of coffee. The cheaper of the interchangeable products may be chosen. We could compute a cost-of-living index for an individual if we had complete information about that person's taste and spending habits. To do this for a large number of people, let alone the total population of Canada, is impossible. For this reason, regularly published price indexes are based on the fixed-basket concept rather than the cost-of-living concept.</t>
  </si>
  <si>
    <t>This table replaces CANSIM table 326-0001 which was archived with the release of April 2007 data.</t>
  </si>
  <si>
    <t>The goods and services that make up the Consumer Price Index (CPI) are organized according to a hierarchical structure with the "all-items CPI" as the top level. Eight major components of goods and services make up the "all-items CPI". They are: "food", "shelter", "household operations, furnishings and equipment", "clothing and footwear", "transportation", "health and personal care", "recreation, education and reading", and "alcoholic beverages and tobacco products". These eight components are broken down into a varying number of sub-groups which are in turn broken down into other sub-groups. Indents are used to identify the components that make up each level of aggregation. For example, the eight major components appear with one indent relative to the "all-items CPI" to show that they are combined to obtain the "all-items CPI". NOTE: Some items are recombined outside the main structure of the CPI to obtain special aggregates such as "all-items excluding food and energy", "energy", "goods", "services", or "fresh fruit and vegetables". They are listed after the components of the main structure of the CPI following the last major component entitled "alcoholic beverages and tobacco products".</t>
  </si>
  <si>
    <t>Source:</t>
  </si>
  <si>
    <t>Statistics Canada. Table 326-0020 - Consumer Price Index, monthly (2002=100 unless otherwise noted)</t>
  </si>
  <si>
    <t>(accessed: July 31, 2017)</t>
  </si>
  <si>
    <t>FRED Graph Observations</t>
  </si>
  <si>
    <t>Federal Reserve Economic Data</t>
  </si>
  <si>
    <t>Link: https://fred.stlouisfed.org</t>
  </si>
  <si>
    <t>Help: https://fred.stlouisfed.org/help-faq</t>
  </si>
  <si>
    <t>Economic Research Division</t>
  </si>
  <si>
    <t>Federal Reserve Bank of St. Louis</t>
  </si>
  <si>
    <t>IRLTLT01CAM156N</t>
  </si>
  <si>
    <t>Long-Term Government Bond Yields: 10-year: Main (Including Benchmark) for Canada©, Percent, Monthly, Not Seasonally Adjusted</t>
  </si>
  <si>
    <t>Frequency: Monthly</t>
  </si>
  <si>
    <t>observation_date</t>
  </si>
  <si>
    <t>Average Yield (%)</t>
  </si>
  <si>
    <t>Average CPI</t>
  </si>
  <si>
    <t>CPI Growth Rate (%)</t>
  </si>
  <si>
    <t>Riskless Return Net of Inflation</t>
  </si>
  <si>
    <t>Expected Long Term Inflation Rate (i) (%)</t>
  </si>
  <si>
    <t>Expected Long Term Inflation (Rounded) (%)</t>
  </si>
  <si>
    <r>
      <t>(b)</t>
    </r>
    <r>
      <rPr>
        <b/>
        <vertAlign val="subscript"/>
        <sz val="10"/>
        <rFont val="Times New Roman"/>
        <family val="1"/>
      </rPr>
      <t>t</t>
    </r>
    <r>
      <rPr>
        <b/>
        <sz val="10"/>
        <rFont val="Times New Roman"/>
        <family val="1"/>
      </rPr>
      <t xml:space="preserve"> - (b)</t>
    </r>
    <r>
      <rPr>
        <b/>
        <vertAlign val="subscript"/>
        <sz val="10"/>
        <rFont val="Times New Roman"/>
        <family val="1"/>
      </rPr>
      <t>t-1</t>
    </r>
    <r>
      <rPr>
        <b/>
        <sz val="10"/>
        <rFont val="Times New Roman"/>
        <family val="1"/>
      </rPr>
      <t>/ (b)</t>
    </r>
    <r>
      <rPr>
        <b/>
        <vertAlign val="subscript"/>
        <sz val="10"/>
        <rFont val="Times New Roman"/>
        <family val="1"/>
      </rPr>
      <t>t-1</t>
    </r>
  </si>
  <si>
    <t>(a) - (c)</t>
  </si>
  <si>
    <t>(a) - avg(d)</t>
  </si>
  <si>
    <t>Average Return</t>
  </si>
  <si>
    <t>Expected Inflation (i)</t>
  </si>
  <si>
    <t>CPI Data from Statistics Canada and Canadia Bond Yield data from the Federal Reserve</t>
  </si>
  <si>
    <t>Calculated the Expected Inflation variable to be used in final calculation of capital price for Enbridge</t>
  </si>
  <si>
    <t>Statistics Canada</t>
  </si>
  <si>
    <r>
      <t>Investment Tax Credit Rate (</t>
    </r>
    <r>
      <rPr>
        <b/>
        <i/>
        <u/>
        <sz val="10"/>
        <rFont val="Times New Roman"/>
        <family val="1"/>
      </rPr>
      <t>k</t>
    </r>
    <r>
      <rPr>
        <b/>
        <u/>
        <sz val="10"/>
        <rFont val="Times New Roman"/>
        <family val="1"/>
      </rPr>
      <t>)</t>
    </r>
  </si>
  <si>
    <r>
      <t>Corporate Profits Tax Rate (</t>
    </r>
    <r>
      <rPr>
        <b/>
        <i/>
        <u/>
        <sz val="10"/>
        <rFont val="Times New Roman"/>
        <family val="1"/>
      </rPr>
      <t>u</t>
    </r>
    <r>
      <rPr>
        <b/>
        <u/>
        <sz val="10"/>
        <rFont val="Times New Roman"/>
        <family val="1"/>
      </rPr>
      <t>)</t>
    </r>
  </si>
  <si>
    <r>
      <t>Asset Lifetime (</t>
    </r>
    <r>
      <rPr>
        <b/>
        <i/>
        <u/>
        <sz val="10"/>
        <rFont val="Times New Roman"/>
        <family val="1"/>
      </rPr>
      <t>s</t>
    </r>
    <r>
      <rPr>
        <b/>
        <u/>
        <sz val="10"/>
        <rFont val="Times New Roman"/>
        <family val="1"/>
      </rPr>
      <t>)</t>
    </r>
  </si>
  <si>
    <r>
      <t>Rate of Return for Discounting Depreciation Deductions (</t>
    </r>
    <r>
      <rPr>
        <b/>
        <i/>
        <u/>
        <sz val="10"/>
        <rFont val="Times New Roman"/>
        <family val="1"/>
      </rPr>
      <t>R</t>
    </r>
    <r>
      <rPr>
        <b/>
        <u/>
        <sz val="10"/>
        <rFont val="Times New Roman"/>
        <family val="1"/>
      </rPr>
      <t xml:space="preserve">) </t>
    </r>
  </si>
  <si>
    <r>
      <t>Asset Tax Lifetime (</t>
    </r>
    <r>
      <rPr>
        <b/>
        <i/>
        <u/>
        <sz val="10"/>
        <rFont val="Times New Roman"/>
        <family val="1"/>
      </rPr>
      <t>T</t>
    </r>
    <r>
      <rPr>
        <b/>
        <u/>
        <sz val="10"/>
        <rFont val="Times New Roman"/>
        <family val="1"/>
      </rPr>
      <t>)</t>
    </r>
  </si>
  <si>
    <t>Present Value of Depreciation Deduction on New Investment (z)</t>
  </si>
  <si>
    <r>
      <t>Expected Inflation (</t>
    </r>
    <r>
      <rPr>
        <b/>
        <i/>
        <u/>
        <sz val="10"/>
        <rFont val="Times New Roman"/>
        <family val="1"/>
      </rPr>
      <t>i</t>
    </r>
    <r>
      <rPr>
        <b/>
        <u/>
        <sz val="10"/>
        <rFont val="Times New Roman"/>
        <family val="1"/>
      </rPr>
      <t>)</t>
    </r>
  </si>
  <si>
    <r>
      <t>Rate of Return (</t>
    </r>
    <r>
      <rPr>
        <b/>
        <i/>
        <u/>
        <sz val="10"/>
        <rFont val="Times New Roman"/>
        <family val="1"/>
      </rPr>
      <t>r</t>
    </r>
    <r>
      <rPr>
        <b/>
        <u/>
        <sz val="10"/>
        <rFont val="Times New Roman"/>
        <family val="1"/>
      </rPr>
      <t>)</t>
    </r>
  </si>
  <si>
    <t>k</t>
  </si>
  <si>
    <t>u</t>
  </si>
  <si>
    <t>s</t>
  </si>
  <si>
    <t>i</t>
  </si>
  <si>
    <t>r</t>
  </si>
  <si>
    <t>z</t>
  </si>
  <si>
    <t>Handy-Whitman Asset Price in Year t-1</t>
  </si>
  <si>
    <t>Handy-Whitman Asset Price in Year t-1 (Normalized)</t>
  </si>
  <si>
    <t>Capital Price</t>
  </si>
  <si>
    <r>
      <t>P</t>
    </r>
    <r>
      <rPr>
        <b/>
        <vertAlign val="subscript"/>
        <sz val="10"/>
        <rFont val="Times New Roman"/>
        <family val="1"/>
      </rPr>
      <t>A,t-1</t>
    </r>
  </si>
  <si>
    <r>
      <t>P</t>
    </r>
    <r>
      <rPr>
        <b/>
        <vertAlign val="subscript"/>
        <sz val="10"/>
        <rFont val="Times New Roman"/>
        <family val="1"/>
      </rPr>
      <t xml:space="preserve">A,t-1 </t>
    </r>
    <r>
      <rPr>
        <b/>
        <sz val="10"/>
        <rFont val="Times New Roman"/>
        <family val="1"/>
      </rPr>
      <t>Norm</t>
    </r>
  </si>
  <si>
    <t>CAPRC</t>
  </si>
  <si>
    <r>
      <t>P</t>
    </r>
    <r>
      <rPr>
        <b/>
        <vertAlign val="subscript"/>
        <sz val="10"/>
        <rFont val="Times New Roman"/>
        <family val="1"/>
      </rPr>
      <t>A,t-1</t>
    </r>
    <r>
      <rPr>
        <b/>
        <sz val="10"/>
        <rFont val="Times New Roman"/>
        <family val="1"/>
      </rPr>
      <t>/100</t>
    </r>
  </si>
  <si>
    <t>Calculates Enbridge's capital price for each year</t>
  </si>
  <si>
    <t>Capital Price Calculation</t>
  </si>
  <si>
    <t>All Variables</t>
  </si>
  <si>
    <t>Summarizes variables to be used in capital price calculation and calculates z variable</t>
  </si>
  <si>
    <t>Canadian T2 Corporation Income Tax Guide, Expect Inflation tab</t>
  </si>
  <si>
    <t>Canadian T2 Corporation Income Tax Guide, Expect Inflation tab, Handy-Whitman Index tab</t>
  </si>
  <si>
    <t>Converts fiscal year values into calendar year</t>
  </si>
  <si>
    <t>Calendar Year Conversion</t>
  </si>
  <si>
    <t>Enbridge Capital data</t>
  </si>
  <si>
    <t>Capital Stock (1992 - 2016)</t>
  </si>
  <si>
    <t xml:space="preserve">*Since Enbridge is not in the United States, it does not fit into a Handy-Whitman region. The North Atlantic region is used since Enbridge's service area is closest to that region. </t>
  </si>
  <si>
    <t>Moody's</t>
  </si>
  <si>
    <t>Bloomberg Fair Value</t>
  </si>
  <si>
    <t>Barclay's</t>
  </si>
  <si>
    <t>Utility Specific</t>
  </si>
  <si>
    <t>Non-Utility Specific</t>
  </si>
  <si>
    <t>Date</t>
  </si>
  <si>
    <t>Enbridge Bond Rating data and bond yield data</t>
  </si>
  <si>
    <t xml:space="preserve">Enbridge Bond Rating data and Bond Yield data. Yield data through 1992 is from Alberta </t>
  </si>
  <si>
    <t>AA-</t>
  </si>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</sst>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 formatCode="&quot;$&quot;#,##0_);\(&quot;$&quot;#,##0\)"/>
    <numFmt numFmtId="43" formatCode="_(* #,##0.00_);_(* \(#,##0.00\);_(* &quot;-&quot;??_);_(@_)"/>
    <numFmt numFmtId="164" formatCode="_(* #,##0_);_(* \(#,##0\);_(* &quot;-&quot;??_);_(@_)"/>
    <numFmt numFmtId="165" formatCode="_(* #,##0.0_);_(* \(#,##0.0\);_(* &quot;-&quot;??_);_(@_)"/>
    <numFmt numFmtId="166" formatCode="0.000"/>
    <numFmt numFmtId="167" formatCode="0.0%"/>
    <numFmt numFmtId="168" formatCode="#,##0.0_);\(#,##0.0\)"/>
    <numFmt numFmtId="169" formatCode="#,##0.000_);\(#,##0.000\)"/>
    <numFmt numFmtId="170" formatCode="mmm\-yyyy"/>
    <numFmt numFmtId="171" formatCode="yyyy\-mm\-dd"/>
    <numFmt numFmtId="172" formatCode="&quot;[&quot;0&quot;]&quot;"/>
  </numFmts>
  <fonts count="27" x14ac:knownFonts="1">
    <font>
      <sz val="11"/>
      <color theme="1"/>
      <name val="Calibri"/>
      <family val="2"/>
      <scheme val="minor"/>
    </font>
    <font>
      <sz val="11"/>
      <color theme="1"/>
      <name val="Calibri"/>
      <family val="2"/>
      <scheme val="minor"/>
    </font>
    <font>
      <sz val="12"/>
      <name val="Times New Roman"/>
      <family val="1"/>
    </font>
    <font>
      <u/>
      <sz val="10"/>
      <name val="Times New Roman"/>
      <family val="1"/>
    </font>
    <font>
      <b/>
      <sz val="10"/>
      <name val="Times New Roman"/>
      <family val="1"/>
    </font>
    <font>
      <sz val="10"/>
      <color theme="1"/>
      <name val="Times New Roman"/>
      <family val="1"/>
    </font>
    <font>
      <b/>
      <sz val="10"/>
      <color theme="1"/>
      <name val="Times New Roman"/>
      <family val="1"/>
    </font>
    <font>
      <sz val="10"/>
      <name val="Arial"/>
      <family val="2"/>
    </font>
    <font>
      <sz val="10"/>
      <name val="Times New Roman"/>
      <family val="1"/>
    </font>
    <font>
      <u/>
      <sz val="10"/>
      <color theme="9" tint="-0.499984740745262"/>
      <name val="Times New Roman"/>
      <family val="1"/>
    </font>
    <font>
      <b/>
      <sz val="10"/>
      <color theme="9" tint="-0.499984740745262"/>
      <name val="Times New Roman"/>
      <family val="1"/>
    </font>
    <font>
      <b/>
      <i/>
      <sz val="10"/>
      <color theme="1"/>
      <name val="Times New Roman"/>
      <family val="1"/>
    </font>
    <font>
      <b/>
      <sz val="11"/>
      <color theme="1"/>
      <name val="Calibri"/>
      <family val="2"/>
      <scheme val="minor"/>
    </font>
    <font>
      <b/>
      <u/>
      <sz val="10"/>
      <name val="Times New Roman"/>
      <family val="1"/>
    </font>
    <font>
      <sz val="10"/>
      <color theme="1"/>
      <name val="Calibri"/>
      <family val="2"/>
      <scheme val="minor"/>
    </font>
    <font>
      <b/>
      <sz val="11"/>
      <name val="Calibri"/>
      <family val="2"/>
      <scheme val="minor"/>
    </font>
    <font>
      <sz val="10"/>
      <color theme="1"/>
      <name val="Arial"/>
      <family val="2"/>
    </font>
    <font>
      <sz val="11"/>
      <name val="Calibri"/>
      <family val="2"/>
      <scheme val="minor"/>
    </font>
    <font>
      <b/>
      <sz val="14"/>
      <color theme="1"/>
      <name val="Calibri"/>
      <family val="2"/>
      <scheme val="minor"/>
    </font>
    <font>
      <b/>
      <sz val="12"/>
      <color theme="0"/>
      <name val="Calibri"/>
      <family val="2"/>
      <scheme val="minor"/>
    </font>
    <font>
      <sz val="12"/>
      <color theme="0"/>
      <name val="Calibri"/>
      <family val="2"/>
      <scheme val="minor"/>
    </font>
    <font>
      <b/>
      <vertAlign val="subscript"/>
      <sz val="10"/>
      <name val="Times New Roman"/>
      <family val="1"/>
    </font>
    <font>
      <b/>
      <vertAlign val="subscript"/>
      <sz val="11"/>
      <name val="Calibri"/>
      <family val="2"/>
      <scheme val="minor"/>
    </font>
    <font>
      <b/>
      <i/>
      <u/>
      <sz val="10"/>
      <name val="Times New Roman"/>
      <family val="1"/>
    </font>
    <font>
      <b/>
      <sz val="16"/>
      <name val="Calibri"/>
      <family val="2"/>
      <scheme val="minor"/>
    </font>
    <font>
      <b/>
      <sz val="11"/>
      <name val="Times New Roman"/>
      <family val="1"/>
    </font>
    <font>
      <sz val="12"/>
      <color theme="1"/>
      <name val="Times New Roman"/>
      <family val="1"/>
    </font>
  </fonts>
  <fills count="13">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9"/>
      </patternFill>
    </fill>
    <fill>
      <patternFill patternType="solid">
        <fgColor rgb="FF10B4DA"/>
        <bgColor indexed="64"/>
      </patternFill>
    </fill>
    <fill>
      <patternFill patternType="solid">
        <fgColor rgb="FFF2F2F2"/>
        <bgColor indexed="64"/>
      </patternFill>
    </fill>
    <fill>
      <patternFill patternType="solid">
        <fgColor rgb="FFFFFFCC"/>
        <bgColor indexed="64"/>
      </patternFill>
    </fill>
    <fill>
      <patternFill patternType="solid">
        <fgColor rgb="FFCCECFF"/>
        <bgColor indexed="64"/>
      </patternFill>
    </fill>
    <fill>
      <patternFill patternType="solid">
        <fgColor rgb="FF0059AE"/>
        <bgColor indexed="64"/>
      </patternFill>
    </fill>
    <fill>
      <patternFill patternType="solid">
        <fgColor rgb="FFC5D9F1"/>
        <bgColor indexed="64"/>
      </patternFill>
    </fill>
    <fill>
      <patternFill patternType="solid">
        <fgColor indexed="13"/>
        <bgColor indexed="64"/>
      </patternFill>
    </fill>
  </fills>
  <borders count="7">
    <border>
      <left/>
      <right/>
      <top/>
      <bottom/>
      <diagonal/>
    </border>
    <border>
      <left style="thin">
        <color auto="1"/>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6">
    <xf numFmtId="0" fontId="0" fillId="0" borderId="0"/>
    <xf numFmtId="43" fontId="1" fillId="0" borderId="0" applyFont="0" applyFill="0" applyBorder="0" applyAlignment="0" applyProtection="0"/>
    <xf numFmtId="0" fontId="2" fillId="0" borderId="0"/>
    <xf numFmtId="0" fontId="8" fillId="0" borderId="0"/>
    <xf numFmtId="43" fontId="2" fillId="0" borderId="0" applyFont="0" applyFill="0" applyBorder="0" applyAlignment="0" applyProtection="0"/>
    <xf numFmtId="3" fontId="7" fillId="5" borderId="0" applyFont="0" applyFill="0" applyBorder="0" applyAlignment="0" applyProtection="0"/>
    <xf numFmtId="5" fontId="7" fillId="5" borderId="0" applyFont="0" applyFill="0" applyBorder="0" applyAlignment="0" applyProtection="0"/>
    <xf numFmtId="0" fontId="7" fillId="5" borderId="0" applyFont="0" applyFill="0" applyBorder="0" applyAlignment="0" applyProtection="0"/>
    <xf numFmtId="2" fontId="7" fillId="5" borderId="0" applyFont="0" applyFill="0" applyBorder="0" applyAlignment="0" applyProtection="0"/>
    <xf numFmtId="0" fontId="7" fillId="0" borderId="0"/>
    <xf numFmtId="0" fontId="8" fillId="0" borderId="0"/>
    <xf numFmtId="9" fontId="2" fillId="0" borderId="0" applyFont="0" applyFill="0" applyBorder="0" applyAlignment="0" applyProtection="0"/>
    <xf numFmtId="0" fontId="1" fillId="0" borderId="0"/>
    <xf numFmtId="0" fontId="16" fillId="0" borderId="0"/>
    <xf numFmtId="0" fontId="8" fillId="0" borderId="0"/>
    <xf numFmtId="0" fontId="8" fillId="0" borderId="0"/>
  </cellStyleXfs>
  <cellXfs count="149">
    <xf numFmtId="0" fontId="0" fillId="0" borderId="0" xfId="0"/>
    <xf numFmtId="0" fontId="5" fillId="0" borderId="0" xfId="0" applyFont="1"/>
    <xf numFmtId="0" fontId="6" fillId="0" borderId="0" xfId="0" applyFont="1"/>
    <xf numFmtId="0" fontId="5" fillId="0" borderId="0" xfId="0" applyFont="1" applyBorder="1"/>
    <xf numFmtId="0" fontId="6"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wrapText="1"/>
    </xf>
    <xf numFmtId="0" fontId="3" fillId="0" borderId="0" xfId="0" applyFont="1" applyAlignment="1">
      <alignment horizontal="center" vertical="center" wrapText="1"/>
    </xf>
    <xf numFmtId="164" fontId="3" fillId="0" borderId="0" xfId="1" applyNumberFormat="1" applyFont="1" applyAlignment="1">
      <alignment horizontal="center" vertical="center" wrapText="1"/>
    </xf>
    <xf numFmtId="0" fontId="4" fillId="0" borderId="0" xfId="0" applyFont="1" applyAlignment="1">
      <alignment horizontal="center" vertical="center" wrapText="1"/>
    </xf>
    <xf numFmtId="0" fontId="4" fillId="0" borderId="0" xfId="0" applyNumberFormat="1" applyFont="1" applyFill="1" applyAlignment="1" applyProtection="1">
      <alignment horizontal="center" vertical="center" wrapText="1"/>
      <protection locked="0"/>
    </xf>
    <xf numFmtId="0" fontId="4" fillId="0" borderId="0" xfId="3"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4" fillId="0" borderId="0" xfId="0" applyNumberFormat="1" applyFont="1" applyFill="1" applyBorder="1" applyAlignment="1" applyProtection="1">
      <alignment horizontal="center" vertical="center" wrapText="1"/>
      <protection locked="0"/>
    </xf>
    <xf numFmtId="164" fontId="3" fillId="0" borderId="0" xfId="1" applyNumberFormat="1" applyFont="1" applyBorder="1" applyAlignment="1">
      <alignment horizontal="center" vertical="center" wrapText="1"/>
    </xf>
    <xf numFmtId="0" fontId="4" fillId="0" borderId="0"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protection locked="0"/>
    </xf>
    <xf numFmtId="0" fontId="9" fillId="0" borderId="0" xfId="0" applyFont="1" applyBorder="1" applyAlignment="1">
      <alignment horizontal="center" vertical="center" wrapText="1"/>
    </xf>
    <xf numFmtId="0" fontId="9" fillId="0" borderId="0" xfId="0" applyFont="1" applyAlignment="1">
      <alignment horizontal="center" vertical="center" wrapText="1"/>
    </xf>
    <xf numFmtId="0" fontId="10" fillId="0" borderId="0" xfId="0" applyFont="1" applyBorder="1" applyAlignment="1">
      <alignment horizontal="center" vertical="center" wrapText="1"/>
    </xf>
    <xf numFmtId="0" fontId="10" fillId="0" borderId="0" xfId="3" applyFont="1" applyFill="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Border="1"/>
    <xf numFmtId="165" fontId="5" fillId="0" borderId="0" xfId="1" applyNumberFormat="1" applyFont="1" applyBorder="1"/>
    <xf numFmtId="165" fontId="5" fillId="0" borderId="1" xfId="1" applyNumberFormat="1" applyFont="1" applyBorder="1"/>
    <xf numFmtId="165" fontId="5" fillId="0" borderId="0" xfId="1" applyNumberFormat="1" applyFont="1"/>
    <xf numFmtId="43" fontId="5" fillId="0" borderId="0" xfId="0" applyNumberFormat="1" applyFont="1"/>
    <xf numFmtId="165" fontId="5" fillId="2" borderId="0" xfId="1" applyNumberFormat="1" applyFont="1" applyFill="1"/>
    <xf numFmtId="0" fontId="5" fillId="0" borderId="0" xfId="0" applyFont="1" applyFill="1"/>
    <xf numFmtId="165" fontId="5" fillId="2" borderId="0" xfId="1" applyNumberFormat="1" applyFont="1" applyFill="1" applyBorder="1"/>
    <xf numFmtId="165" fontId="5" fillId="0" borderId="0" xfId="1" applyNumberFormat="1" applyFont="1" applyFill="1" applyBorder="1"/>
    <xf numFmtId="164" fontId="5" fillId="0" borderId="0" xfId="1" applyNumberFormat="1" applyFont="1"/>
    <xf numFmtId="165" fontId="5" fillId="3" borderId="0" xfId="1" applyNumberFormat="1" applyFont="1" applyFill="1" applyBorder="1"/>
    <xf numFmtId="165" fontId="5" fillId="3" borderId="1" xfId="1" applyNumberFormat="1" applyFont="1" applyFill="1" applyBorder="1"/>
    <xf numFmtId="165" fontId="5" fillId="3" borderId="0" xfId="1" applyNumberFormat="1" applyFont="1" applyFill="1"/>
    <xf numFmtId="0" fontId="5" fillId="3" borderId="0" xfId="0" applyFont="1" applyFill="1"/>
    <xf numFmtId="165" fontId="5" fillId="4" borderId="0" xfId="1" applyNumberFormat="1" applyFont="1" applyFill="1" applyBorder="1"/>
    <xf numFmtId="165" fontId="5" fillId="4" borderId="0" xfId="1" applyNumberFormat="1" applyFont="1" applyFill="1"/>
    <xf numFmtId="1" fontId="5" fillId="0" borderId="0" xfId="0" applyNumberFormat="1" applyFont="1"/>
    <xf numFmtId="0" fontId="4" fillId="0" borderId="0" xfId="0" applyFont="1" applyFill="1" applyBorder="1" applyAlignment="1">
      <alignment horizontal="center" wrapText="1"/>
    </xf>
    <xf numFmtId="0" fontId="3" fillId="0" borderId="0" xfId="0" applyFont="1" applyFill="1" applyBorder="1" applyAlignment="1">
      <alignment horizontal="center" wrapText="1"/>
    </xf>
    <xf numFmtId="1" fontId="8" fillId="0" borderId="0" xfId="0" applyNumberFormat="1" applyFont="1" applyFill="1" applyBorder="1" applyAlignment="1">
      <alignment horizontal="center"/>
    </xf>
    <xf numFmtId="1" fontId="5" fillId="0" borderId="0" xfId="0" applyNumberFormat="1" applyFont="1" applyFill="1"/>
    <xf numFmtId="0" fontId="14" fillId="0" borderId="0" xfId="0" applyFont="1"/>
    <xf numFmtId="0" fontId="5" fillId="2" borderId="0" xfId="0" applyFont="1" applyFill="1"/>
    <xf numFmtId="0" fontId="4" fillId="0" borderId="2" xfId="10" applyFont="1" applyBorder="1" applyAlignment="1">
      <alignment horizontal="centerContinuous"/>
    </xf>
    <xf numFmtId="0" fontId="8" fillId="0" borderId="2" xfId="10" applyBorder="1" applyAlignment="1">
      <alignment horizontal="centerContinuous"/>
    </xf>
    <xf numFmtId="0" fontId="8" fillId="0" borderId="0" xfId="10"/>
    <xf numFmtId="0" fontId="8" fillId="0" borderId="0" xfId="10" applyFont="1" applyBorder="1" applyAlignment="1">
      <alignment horizontal="center"/>
    </xf>
    <xf numFmtId="0" fontId="8" fillId="0" borderId="0" xfId="10" applyFont="1" applyAlignment="1">
      <alignment horizontal="center"/>
    </xf>
    <xf numFmtId="0" fontId="13" fillId="0" borderId="0" xfId="10" applyFont="1" applyAlignment="1">
      <alignment horizontal="center"/>
    </xf>
    <xf numFmtId="0" fontId="8" fillId="0" borderId="0" xfId="0" applyFont="1" applyBorder="1"/>
    <xf numFmtId="0" fontId="8" fillId="0" borderId="0" xfId="10" applyAlignment="1">
      <alignment horizontal="center"/>
    </xf>
    <xf numFmtId="166" fontId="8" fillId="0" borderId="0" xfId="10" quotePrefix="1" applyNumberFormat="1" applyFont="1" applyAlignment="1">
      <alignment horizontal="center"/>
    </xf>
    <xf numFmtId="0" fontId="15" fillId="6" borderId="0" xfId="12" applyNumberFormat="1" applyFont="1" applyFill="1" applyBorder="1" applyAlignment="1">
      <alignment horizontal="left" vertical="center"/>
    </xf>
    <xf numFmtId="0" fontId="15" fillId="6" borderId="0" xfId="12" applyNumberFormat="1" applyFont="1" applyFill="1" applyBorder="1" applyAlignment="1">
      <alignment horizontal="center" vertical="center" wrapText="1"/>
    </xf>
    <xf numFmtId="0" fontId="15" fillId="6" borderId="0" xfId="12" applyNumberFormat="1" applyFont="1" applyFill="1" applyBorder="1" applyAlignment="1">
      <alignment horizontal="center" vertical="center"/>
    </xf>
    <xf numFmtId="0" fontId="12" fillId="7" borderId="0" xfId="12" applyNumberFormat="1" applyFont="1" applyFill="1" applyBorder="1" applyAlignment="1">
      <alignment horizontal="center" vertical="center"/>
    </xf>
    <xf numFmtId="168" fontId="17" fillId="8" borderId="0" xfId="13" applyNumberFormat="1" applyFont="1" applyFill="1" applyBorder="1" applyAlignment="1">
      <alignment horizontal="center" vertical="center"/>
    </xf>
    <xf numFmtId="0" fontId="18" fillId="4" borderId="0" xfId="0" applyFont="1" applyFill="1"/>
    <xf numFmtId="0" fontId="17" fillId="6" borderId="3" xfId="0" applyNumberFormat="1" applyFont="1" applyFill="1" applyBorder="1" applyAlignment="1">
      <alignment horizontal="left"/>
    </xf>
    <xf numFmtId="0" fontId="0" fillId="0" borderId="3" xfId="0" applyBorder="1"/>
    <xf numFmtId="0" fontId="19" fillId="10" borderId="0" xfId="0" applyNumberFormat="1" applyFont="1" applyFill="1" applyBorder="1" applyAlignment="1">
      <alignment horizontal="left"/>
    </xf>
    <xf numFmtId="0" fontId="20" fillId="10" borderId="0" xfId="0" applyNumberFormat="1" applyFont="1" applyFill="1" applyBorder="1" applyAlignment="1">
      <alignment horizontal="left"/>
    </xf>
    <xf numFmtId="0" fontId="12" fillId="4" borderId="2" xfId="0" applyFont="1" applyFill="1" applyBorder="1"/>
    <xf numFmtId="0" fontId="0" fillId="4" borderId="2" xfId="0" applyFill="1" applyBorder="1"/>
    <xf numFmtId="0" fontId="12" fillId="4" borderId="4" xfId="0" applyFont="1" applyFill="1" applyBorder="1"/>
    <xf numFmtId="0" fontId="0" fillId="4" borderId="4" xfId="0" applyFill="1" applyBorder="1"/>
    <xf numFmtId="37" fontId="17" fillId="8" borderId="0" xfId="13" applyNumberFormat="1" applyFont="1" applyFill="1" applyBorder="1" applyAlignment="1">
      <alignment horizontal="center" vertical="center"/>
    </xf>
    <xf numFmtId="168" fontId="17" fillId="9" borderId="0" xfId="13" applyNumberFormat="1" applyFont="1" applyFill="1" applyBorder="1" applyAlignment="1">
      <alignment horizontal="center" vertical="center"/>
    </xf>
    <xf numFmtId="165" fontId="5" fillId="0" borderId="0" xfId="0" applyNumberFormat="1" applyFont="1"/>
    <xf numFmtId="169" fontId="17" fillId="8" borderId="0" xfId="13" applyNumberFormat="1" applyFont="1" applyFill="1" applyBorder="1" applyAlignment="1">
      <alignment horizontal="center" vertical="center"/>
    </xf>
    <xf numFmtId="167" fontId="17" fillId="9" borderId="0" xfId="13" applyNumberFormat="1" applyFont="1" applyFill="1" applyBorder="1" applyAlignment="1">
      <alignment horizontal="center" vertical="center"/>
    </xf>
    <xf numFmtId="2" fontId="5" fillId="0" borderId="0" xfId="0" applyNumberFormat="1" applyFont="1" applyAlignment="1">
      <alignment horizontal="center" vertical="center"/>
    </xf>
    <xf numFmtId="2" fontId="5" fillId="2" borderId="0" xfId="0" applyNumberFormat="1" applyFont="1" applyFill="1" applyAlignment="1">
      <alignment horizontal="center" vertical="center"/>
    </xf>
    <xf numFmtId="2" fontId="5" fillId="0" borderId="0" xfId="0" applyNumberFormat="1" applyFont="1" applyFill="1" applyAlignment="1">
      <alignment horizontal="center" vertical="center"/>
    </xf>
    <xf numFmtId="0" fontId="0" fillId="0" borderId="0" xfId="0" applyAlignment="1">
      <alignment vertical="center" wrapText="1"/>
    </xf>
    <xf numFmtId="0" fontId="0" fillId="0" borderId="0" xfId="0" applyAlignment="1">
      <alignment horizontal="right" vertical="center" wrapText="1"/>
    </xf>
    <xf numFmtId="14" fontId="0" fillId="0" borderId="0" xfId="0" applyNumberFormat="1" applyAlignment="1">
      <alignment horizontal="right" vertical="center" wrapText="1"/>
    </xf>
    <xf numFmtId="0" fontId="4" fillId="0" borderId="0" xfId="2" applyFont="1" applyAlignment="1"/>
    <xf numFmtId="0" fontId="4" fillId="0" borderId="0" xfId="2" applyFont="1" applyAlignment="1">
      <alignment horizontal="centerContinuous"/>
    </xf>
    <xf numFmtId="0" fontId="4" fillId="0" borderId="0" xfId="2" applyFont="1"/>
    <xf numFmtId="0" fontId="8" fillId="0" borderId="0" xfId="2" applyNumberFormat="1" applyFont="1"/>
    <xf numFmtId="0" fontId="8" fillId="0" borderId="0" xfId="2" applyFont="1"/>
    <xf numFmtId="0" fontId="2" fillId="0" borderId="0" xfId="2" quotePrefix="1"/>
    <xf numFmtId="39" fontId="17" fillId="8" borderId="0" xfId="13" applyNumberFormat="1" applyFont="1" applyFill="1" applyBorder="1" applyAlignment="1">
      <alignment horizontal="center" vertical="center"/>
    </xf>
    <xf numFmtId="0" fontId="15" fillId="0" borderId="0" xfId="12" applyNumberFormat="1" applyFont="1" applyFill="1" applyBorder="1" applyAlignment="1">
      <alignment horizontal="center" vertical="center" wrapText="1"/>
    </xf>
    <xf numFmtId="39" fontId="17" fillId="9" borderId="0" xfId="13" applyNumberFormat="1" applyFont="1" applyFill="1" applyBorder="1" applyAlignment="1">
      <alignment horizontal="center" vertical="center"/>
    </xf>
    <xf numFmtId="170" fontId="0" fillId="0" borderId="0" xfId="0" applyNumberFormat="1"/>
    <xf numFmtId="0" fontId="7" fillId="0" borderId="0" xfId="9"/>
    <xf numFmtId="171" fontId="7" fillId="0" borderId="0" xfId="9" applyNumberFormat="1" applyFont="1" applyFill="1" applyBorder="1" applyAlignment="1" applyProtection="1"/>
    <xf numFmtId="2" fontId="7" fillId="0" borderId="0" xfId="9" applyNumberFormat="1" applyFont="1" applyFill="1" applyBorder="1" applyAlignment="1" applyProtection="1"/>
    <xf numFmtId="1" fontId="7" fillId="0" borderId="0" xfId="9" applyNumberFormat="1" applyFont="1" applyFill="1" applyBorder="1" applyAlignment="1" applyProtection="1"/>
    <xf numFmtId="1" fontId="0" fillId="0" borderId="0" xfId="0" applyNumberFormat="1"/>
    <xf numFmtId="0" fontId="17" fillId="2" borderId="0" xfId="9" applyFont="1" applyFill="1" applyAlignment="1">
      <alignment horizontal="center" vertical="center"/>
    </xf>
    <xf numFmtId="2" fontId="17" fillId="2" borderId="0" xfId="9" applyNumberFormat="1" applyFont="1" applyFill="1" applyAlignment="1">
      <alignment horizontal="center" vertical="center"/>
    </xf>
    <xf numFmtId="0" fontId="17" fillId="6" borderId="6" xfId="0" applyNumberFormat="1" applyFont="1" applyFill="1" applyBorder="1" applyAlignment="1">
      <alignment horizontal="left"/>
    </xf>
    <xf numFmtId="0" fontId="17" fillId="6" borderId="5" xfId="0" applyNumberFormat="1" applyFont="1" applyFill="1" applyBorder="1" applyAlignment="1">
      <alignment horizontal="left"/>
    </xf>
    <xf numFmtId="167" fontId="17" fillId="8" borderId="0" xfId="13" applyNumberFormat="1" applyFont="1" applyFill="1" applyBorder="1" applyAlignment="1">
      <alignment horizontal="center" vertical="center"/>
    </xf>
    <xf numFmtId="2" fontId="17" fillId="8" borderId="0" xfId="13" applyNumberFormat="1" applyFont="1" applyFill="1" applyBorder="1" applyAlignment="1">
      <alignment horizontal="center" vertical="center"/>
    </xf>
    <xf numFmtId="1" fontId="17" fillId="8" borderId="0" xfId="13" applyNumberFormat="1" applyFont="1" applyFill="1" applyBorder="1" applyAlignment="1">
      <alignment horizontal="center" vertical="center"/>
    </xf>
    <xf numFmtId="0" fontId="17" fillId="6" borderId="4" xfId="0" applyNumberFormat="1" applyFont="1" applyFill="1" applyBorder="1" applyAlignment="1">
      <alignment horizontal="left"/>
    </xf>
    <xf numFmtId="0" fontId="0" fillId="0" borderId="5" xfId="0" applyBorder="1"/>
    <xf numFmtId="0" fontId="0" fillId="0" borderId="6" xfId="0" applyBorder="1"/>
    <xf numFmtId="0" fontId="0" fillId="0" borderId="4" xfId="0" applyBorder="1"/>
    <xf numFmtId="0" fontId="0" fillId="4" borderId="4" xfId="0" applyFont="1" applyFill="1" applyBorder="1"/>
    <xf numFmtId="172" fontId="12" fillId="7" borderId="0" xfId="12" applyNumberFormat="1" applyFont="1" applyFill="1" applyBorder="1" applyAlignment="1">
      <alignment horizontal="center" vertical="center"/>
    </xf>
    <xf numFmtId="0" fontId="12" fillId="7" borderId="0" xfId="0" applyNumberFormat="1" applyFont="1" applyFill="1" applyBorder="1" applyAlignment="1">
      <alignment horizontal="left"/>
    </xf>
    <xf numFmtId="0" fontId="17" fillId="6" borderId="0" xfId="0" applyNumberFormat="1" applyFont="1" applyFill="1" applyBorder="1" applyAlignment="1">
      <alignment horizontal="left"/>
    </xf>
    <xf numFmtId="0" fontId="15" fillId="6" borderId="5" xfId="0" applyNumberFormat="1" applyFont="1" applyFill="1" applyBorder="1" applyAlignment="1">
      <alignment horizontal="left"/>
    </xf>
    <xf numFmtId="0" fontId="24" fillId="11" borderId="0" xfId="0" applyNumberFormat="1" applyFont="1" applyFill="1" applyBorder="1" applyAlignment="1">
      <alignment horizontal="left"/>
    </xf>
    <xf numFmtId="0" fontId="15" fillId="6" borderId="0" xfId="0" applyNumberFormat="1" applyFont="1" applyFill="1" applyBorder="1" applyAlignment="1" applyProtection="1">
      <alignment horizontal="left" wrapText="1"/>
      <protection locked="0"/>
    </xf>
    <xf numFmtId="0" fontId="17" fillId="6" borderId="0" xfId="0" applyNumberFormat="1" applyFont="1" applyFill="1" applyBorder="1" applyAlignment="1">
      <alignment horizontal="left" wrapText="1"/>
    </xf>
    <xf numFmtId="0" fontId="17" fillId="6" borderId="0" xfId="1" applyNumberFormat="1" applyFont="1" applyFill="1" applyBorder="1" applyAlignment="1">
      <alignment horizontal="left" wrapText="1"/>
    </xf>
    <xf numFmtId="0" fontId="15" fillId="6" borderId="0" xfId="0" applyNumberFormat="1" applyFont="1" applyFill="1" applyBorder="1" applyAlignment="1">
      <alignment horizontal="left" wrapText="1"/>
    </xf>
    <xf numFmtId="0" fontId="15" fillId="6" borderId="0" xfId="3" applyNumberFormat="1" applyFont="1" applyFill="1" applyBorder="1" applyAlignment="1">
      <alignment horizontal="left" wrapText="1"/>
    </xf>
    <xf numFmtId="165" fontId="1" fillId="9" borderId="0" xfId="1" applyNumberFormat="1" applyFont="1" applyFill="1" applyBorder="1" applyAlignment="1">
      <alignment horizontal="right"/>
    </xf>
    <xf numFmtId="0" fontId="1" fillId="0" borderId="0" xfId="12" applyNumberFormat="1" applyFont="1" applyFill="1" applyBorder="1" applyAlignment="1">
      <alignment horizontal="left" vertical="center"/>
    </xf>
    <xf numFmtId="168" fontId="5" fillId="0" borderId="0" xfId="0" applyNumberFormat="1" applyFont="1"/>
    <xf numFmtId="0" fontId="25" fillId="6" borderId="0" xfId="12" applyNumberFormat="1" applyFont="1" applyFill="1" applyBorder="1" applyAlignment="1">
      <alignment horizontal="center" vertical="center" wrapText="1"/>
    </xf>
    <xf numFmtId="0" fontId="8" fillId="0" borderId="0" xfId="14"/>
    <xf numFmtId="0" fontId="3" fillId="0" borderId="0" xfId="14" applyFont="1" applyFill="1" applyAlignment="1">
      <alignment horizontal="center" vertical="center" wrapText="1"/>
    </xf>
    <xf numFmtId="0" fontId="3" fillId="0" borderId="0" xfId="15" applyFont="1" applyFill="1" applyAlignment="1">
      <alignment horizontal="center" vertical="center" wrapText="1"/>
    </xf>
    <xf numFmtId="0" fontId="4" fillId="0" borderId="0" xfId="14" applyFont="1" applyAlignment="1">
      <alignment wrapText="1"/>
    </xf>
    <xf numFmtId="0" fontId="8" fillId="0" borderId="0" xfId="14" applyFont="1" applyAlignment="1">
      <alignment horizontal="center" vertical="center"/>
    </xf>
    <xf numFmtId="0" fontId="8" fillId="0" borderId="0" xfId="14" applyAlignment="1">
      <alignment vertical="center"/>
    </xf>
    <xf numFmtId="0" fontId="8" fillId="0" borderId="0" xfId="15" applyAlignment="1">
      <alignment vertical="center"/>
    </xf>
    <xf numFmtId="0" fontId="4" fillId="0" borderId="0" xfId="14" applyFont="1" applyAlignment="1">
      <alignment horizontal="center"/>
    </xf>
    <xf numFmtId="0" fontId="4" fillId="0" borderId="0" xfId="14" applyFont="1" applyAlignment="1">
      <alignment horizontal="center" vertical="center"/>
    </xf>
    <xf numFmtId="0" fontId="4" fillId="0" borderId="0" xfId="15" applyFont="1" applyAlignment="1">
      <alignment horizontal="center" vertical="center"/>
    </xf>
    <xf numFmtId="0" fontId="8" fillId="0" borderId="0" xfId="14" applyAlignment="1">
      <alignment horizontal="center"/>
    </xf>
    <xf numFmtId="14" fontId="8" fillId="0" borderId="0" xfId="14" applyNumberFormat="1"/>
    <xf numFmtId="2" fontId="8" fillId="12" borderId="0" xfId="15" applyNumberFormat="1" applyFill="1"/>
    <xf numFmtId="2" fontId="8" fillId="0" borderId="0" xfId="14" applyNumberFormat="1"/>
    <xf numFmtId="0" fontId="8" fillId="0" borderId="0" xfId="15"/>
    <xf numFmtId="1" fontId="8" fillId="0" borderId="0" xfId="14" applyNumberFormat="1"/>
    <xf numFmtId="0" fontId="0" fillId="0" borderId="0" xfId="0" applyFill="1"/>
    <xf numFmtId="0" fontId="26" fillId="0" borderId="0" xfId="0" applyFont="1"/>
    <xf numFmtId="165" fontId="5" fillId="0" borderId="1" xfId="0" applyNumberFormat="1" applyFont="1" applyBorder="1"/>
    <xf numFmtId="165" fontId="0" fillId="0" borderId="0" xfId="0" applyNumberFormat="1"/>
    <xf numFmtId="166" fontId="17" fillId="8" borderId="0" xfId="13" applyNumberFormat="1" applyFont="1" applyFill="1" applyBorder="1" applyAlignment="1">
      <alignment horizontal="center" vertical="center"/>
    </xf>
    <xf numFmtId="0" fontId="17" fillId="8" borderId="0" xfId="0" applyFont="1" applyFill="1" applyBorder="1" applyAlignment="1">
      <alignment horizontal="center" vertical="center"/>
    </xf>
    <xf numFmtId="166" fontId="17" fillId="8" borderId="0" xfId="0" applyNumberFormat="1" applyFont="1" applyFill="1" applyBorder="1" applyAlignment="1">
      <alignment horizontal="center" vertical="center"/>
    </xf>
    <xf numFmtId="2" fontId="17" fillId="8" borderId="0" xfId="0" applyNumberFormat="1" applyFont="1" applyFill="1" applyBorder="1" applyAlignment="1">
      <alignment horizontal="center" vertical="center"/>
    </xf>
    <xf numFmtId="0" fontId="5" fillId="0" borderId="0" xfId="0" applyFont="1" applyAlignment="1">
      <alignment horizontal="left" vertical="center"/>
    </xf>
    <xf numFmtId="39" fontId="0" fillId="0" borderId="0" xfId="0" applyNumberFormat="1"/>
  </cellXfs>
  <cellStyles count="16">
    <cellStyle name="Comma" xfId="1" builtinId="3"/>
    <cellStyle name="Comma 2" xfId="4"/>
    <cellStyle name="Comma0" xfId="5"/>
    <cellStyle name="Currency0" xfId="6"/>
    <cellStyle name="Date" xfId="7"/>
    <cellStyle name="Fixed" xfId="8"/>
    <cellStyle name="Normal" xfId="0" builtinId="0"/>
    <cellStyle name="Normal 10" xfId="13"/>
    <cellStyle name="Normal 103" xfId="12"/>
    <cellStyle name="Normal 2" xfId="9"/>
    <cellStyle name="Normal 3" xfId="2"/>
    <cellStyle name="Normal_Bloomberg fair value yields for US utilities - UPDATE" xfId="15"/>
    <cellStyle name="Normal_Capital Quantity OHS" xfId="3"/>
    <cellStyle name="Normal_HandyWhitman" xfId="10"/>
    <cellStyle name="Normal_Moody's utility bond indices from Bloomberg -- 1970-" xfId="14"/>
    <cellStyle name="Percent 2" xfId="11"/>
  </cellStyles>
  <dxfs count="49">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85725</xdr:colOff>
          <xdr:row>12</xdr:row>
          <xdr:rowOff>9525</xdr:rowOff>
        </xdr:from>
        <xdr:to>
          <xdr:col>7</xdr:col>
          <xdr:colOff>2628900</xdr:colOff>
          <xdr:row>13</xdr:row>
          <xdr:rowOff>0</xdr:rowOff>
        </xdr:to>
        <xdr:sp macro="" textlink="">
          <xdr:nvSpPr>
            <xdr:cNvPr id="22531" name="Object 3" hidden="1">
              <a:extLst>
                <a:ext uri="{63B3BB69-23CF-44E3-9099-C40C66FF867C}">
                  <a14:compatExt spid="_x0000_s225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114300</xdr:colOff>
          <xdr:row>12</xdr:row>
          <xdr:rowOff>19050</xdr:rowOff>
        </xdr:from>
        <xdr:to>
          <xdr:col>13</xdr:col>
          <xdr:colOff>2600325</xdr:colOff>
          <xdr:row>12</xdr:row>
          <xdr:rowOff>447675</xdr:rowOff>
        </xdr:to>
        <xdr:sp macro="" textlink="">
          <xdr:nvSpPr>
            <xdr:cNvPr id="22534" name="Object 6" hidden="1">
              <a:extLst>
                <a:ext uri="{63B3BB69-23CF-44E3-9099-C40C66FF867C}">
                  <a14:compatExt spid="_x0000_s22534"/>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85725</xdr:colOff>
          <xdr:row>11</xdr:row>
          <xdr:rowOff>9525</xdr:rowOff>
        </xdr:from>
        <xdr:to>
          <xdr:col>9</xdr:col>
          <xdr:colOff>2628900</xdr:colOff>
          <xdr:row>12</xdr:row>
          <xdr:rowOff>0</xdr:rowOff>
        </xdr:to>
        <xdr:sp macro="" textlink="">
          <xdr:nvSpPr>
            <xdr:cNvPr id="23558" name="Object 6" hidden="1">
              <a:extLst>
                <a:ext uri="{63B3BB69-23CF-44E3-9099-C40C66FF867C}">
                  <a14:compatExt spid="_x0000_s23558"/>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190500</xdr:colOff>
          <xdr:row>22</xdr:row>
          <xdr:rowOff>180975</xdr:rowOff>
        </xdr:from>
        <xdr:to>
          <xdr:col>13</xdr:col>
          <xdr:colOff>1495425</xdr:colOff>
          <xdr:row>23</xdr:row>
          <xdr:rowOff>409575</xdr:rowOff>
        </xdr:to>
        <xdr:sp macro="" textlink="">
          <xdr:nvSpPr>
            <xdr:cNvPr id="6146" name="Object 2" hidden="1">
              <a:extLst>
                <a:ext uri="{63B3BB69-23CF-44E3-9099-C40C66FF867C}">
                  <a14:compatExt spid="_x0000_s614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238125</xdr:colOff>
          <xdr:row>5</xdr:row>
          <xdr:rowOff>47625</xdr:rowOff>
        </xdr:from>
        <xdr:to>
          <xdr:col>2</xdr:col>
          <xdr:colOff>1485900</xdr:colOff>
          <xdr:row>5</xdr:row>
          <xdr:rowOff>704850</xdr:rowOff>
        </xdr:to>
        <xdr:sp macro="" textlink="">
          <xdr:nvSpPr>
            <xdr:cNvPr id="8193" name="Object 1" hidden="1">
              <a:extLst>
                <a:ext uri="{63B3BB69-23CF-44E3-9099-C40C66FF867C}">
                  <a14:compatExt spid="_x0000_s8193"/>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2.bin"/><Relationship Id="rId5" Type="http://schemas.openxmlformats.org/officeDocument/2006/relationships/image" Target="../media/image4.wmf"/><Relationship Id="rId4" Type="http://schemas.openxmlformats.org/officeDocument/2006/relationships/oleObject" Target="../embeddings/oleObject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w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1.w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wmf"/><Relationship Id="rId4" Type="http://schemas.openxmlformats.org/officeDocument/2006/relationships/oleObject" Target="../embeddings/oleObject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image" Target="../media/image3.wmf"/><Relationship Id="rId4" Type="http://schemas.openxmlformats.org/officeDocument/2006/relationships/oleObject" Target="../embeddings/oleObject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
  <sheetViews>
    <sheetView workbookViewId="0">
      <selection activeCell="J14" sqref="J14"/>
    </sheetView>
  </sheetViews>
  <sheetFormatPr defaultRowHeight="15" x14ac:dyDescent="0.2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3:V65"/>
  <sheetViews>
    <sheetView topLeftCell="B1" workbookViewId="0">
      <pane xSplit="1" ySplit="4" topLeftCell="C5" activePane="bottomRight" state="frozen"/>
      <selection activeCell="B1" sqref="B1"/>
      <selection pane="topRight" activeCell="C1" sqref="C1"/>
      <selection pane="bottomLeft" activeCell="B5" sqref="B5"/>
      <selection pane="bottomRight" activeCell="O15" sqref="O15"/>
    </sheetView>
  </sheetViews>
  <sheetFormatPr defaultColWidth="9.140625" defaultRowHeight="12.75" x14ac:dyDescent="0.2"/>
  <cols>
    <col min="1" max="1" width="24.85546875" style="1" customWidth="1"/>
    <col min="2" max="2" width="9.140625" style="1"/>
    <col min="3" max="3" width="11.42578125" style="1" customWidth="1"/>
    <col min="4" max="4" width="12.7109375" style="1" customWidth="1"/>
    <col min="5" max="17" width="14.140625" style="1" customWidth="1"/>
    <col min="18" max="19" width="13.140625" style="1" customWidth="1"/>
    <col min="20" max="20" width="11.85546875" style="1" customWidth="1"/>
    <col min="21" max="21" width="12.5703125" style="1" bestFit="1" customWidth="1"/>
    <col min="22" max="22" width="41.28515625" style="1" bestFit="1" customWidth="1"/>
    <col min="23" max="16384" width="9.140625" style="1"/>
  </cols>
  <sheetData>
    <row r="3" spans="1:22" ht="38.25" x14ac:dyDescent="0.25">
      <c r="A3" s="25" t="s">
        <v>31</v>
      </c>
      <c r="C3" s="12" t="s">
        <v>3</v>
      </c>
      <c r="D3" s="13" t="s">
        <v>5</v>
      </c>
      <c r="E3" s="15" t="s">
        <v>9</v>
      </c>
      <c r="F3" s="20" t="s">
        <v>23</v>
      </c>
      <c r="G3" s="21" t="s">
        <v>22</v>
      </c>
      <c r="H3" s="17" t="s">
        <v>17</v>
      </c>
      <c r="I3" s="7" t="s">
        <v>18</v>
      </c>
      <c r="J3" s="15" t="s">
        <v>13</v>
      </c>
      <c r="K3" s="20" t="s">
        <v>24</v>
      </c>
      <c r="L3" s="21" t="s">
        <v>25</v>
      </c>
      <c r="M3" s="17" t="s">
        <v>19</v>
      </c>
      <c r="N3" s="7" t="s">
        <v>20</v>
      </c>
      <c r="O3" s="8" t="s">
        <v>15</v>
      </c>
      <c r="P3" s="20" t="s">
        <v>27</v>
      </c>
      <c r="Q3" s="21" t="s">
        <v>28</v>
      </c>
      <c r="R3" s="17" t="s">
        <v>10</v>
      </c>
      <c r="S3" s="20" t="s">
        <v>30</v>
      </c>
      <c r="T3" s="7" t="s">
        <v>11</v>
      </c>
    </row>
    <row r="4" spans="1:22" s="4" customFormat="1" ht="25.5" x14ac:dyDescent="0.25">
      <c r="A4" s="4" t="s">
        <v>1</v>
      </c>
      <c r="B4" s="4" t="s">
        <v>0</v>
      </c>
      <c r="C4" s="14" t="s">
        <v>4</v>
      </c>
      <c r="D4" s="14" t="s">
        <v>6</v>
      </c>
      <c r="E4" s="16" t="s">
        <v>7</v>
      </c>
      <c r="F4" s="22" t="s">
        <v>7</v>
      </c>
      <c r="G4" s="23" t="s">
        <v>21</v>
      </c>
      <c r="H4" s="19" t="s">
        <v>4</v>
      </c>
      <c r="I4" s="10" t="s">
        <v>6</v>
      </c>
      <c r="J4" s="16" t="s">
        <v>14</v>
      </c>
      <c r="K4" s="22" t="s">
        <v>14</v>
      </c>
      <c r="L4" s="23" t="s">
        <v>26</v>
      </c>
      <c r="M4" s="19" t="s">
        <v>4</v>
      </c>
      <c r="N4" s="10" t="s">
        <v>6</v>
      </c>
      <c r="O4" s="9" t="s">
        <v>16</v>
      </c>
      <c r="P4" s="22" t="s">
        <v>16</v>
      </c>
      <c r="Q4" s="23" t="s">
        <v>29</v>
      </c>
      <c r="R4" s="18" t="s">
        <v>8</v>
      </c>
      <c r="S4" s="24" t="s">
        <v>8</v>
      </c>
      <c r="T4" s="11" t="s">
        <v>12</v>
      </c>
    </row>
    <row r="5" spans="1:22" x14ac:dyDescent="0.2">
      <c r="A5" s="5"/>
      <c r="C5" s="26"/>
      <c r="D5" s="26"/>
      <c r="E5" s="26"/>
      <c r="F5" s="26"/>
      <c r="G5" s="26"/>
      <c r="H5" s="27"/>
      <c r="I5" s="28"/>
      <c r="J5" s="26"/>
      <c r="K5" s="26"/>
      <c r="L5" s="26"/>
      <c r="M5" s="27"/>
      <c r="N5" s="26"/>
      <c r="O5" s="28"/>
      <c r="P5" s="28"/>
      <c r="Q5" s="28"/>
      <c r="R5" s="27"/>
      <c r="S5" s="26"/>
      <c r="T5" s="28"/>
      <c r="U5" s="31"/>
    </row>
    <row r="6" spans="1:22" x14ac:dyDescent="0.2">
      <c r="B6" s="1">
        <v>1991</v>
      </c>
      <c r="C6" s="35">
        <f>1576.9-(4.6+0+0+39.8+591.2+619.3+0.7+63.8+113.8+10.8+0.2+0.9)</f>
        <v>131.79999999999995</v>
      </c>
      <c r="D6" s="35"/>
      <c r="E6" s="26">
        <f>(5+0.4+0+48.2+636.5+670.3+0.9+75.8+120.5+19.1+0.2+0)+0.5+5.5</f>
        <v>1582.9</v>
      </c>
      <c r="F6" s="26">
        <f>(-9.2-158-138.2-0.4-24.4-20.9)-0.3-1</f>
        <v>-352.39999999999992</v>
      </c>
      <c r="G6" s="26">
        <f t="shared" ref="G6:G30" si="0">E6+F6</f>
        <v>1230.5000000000002</v>
      </c>
      <c r="H6" s="36">
        <f>3.1-3</f>
        <v>0.10000000000000009</v>
      </c>
      <c r="I6" s="37"/>
      <c r="J6" s="26">
        <v>3.1</v>
      </c>
      <c r="K6" s="26">
        <v>-1.4</v>
      </c>
      <c r="L6" s="26">
        <f t="shared" ref="L6:L29" si="1">J6+K6</f>
        <v>1.7000000000000002</v>
      </c>
      <c r="M6" s="36">
        <f>O6-(0+0.2+1.8+13.4+4.7+2.6+4.7+7.8+335.2+3+0.4+7.5+7.6+1.3)</f>
        <v>37.900000000000034</v>
      </c>
      <c r="N6" s="35"/>
      <c r="O6" s="28">
        <f>0+0.2+2+15.2+5.3+2.1+5.2+8.8+367.1+3.4+2+8.3+8.5+0</f>
        <v>428.1</v>
      </c>
      <c r="P6" s="28">
        <f>-0.2-1.3-4.8-1.9-1.2-2.2-3.4-118-0.9-1.1-1.8-3.8</f>
        <v>-140.60000000000002</v>
      </c>
      <c r="Q6" s="28">
        <f t="shared" ref="Q6:Q30" si="2">O6+P6</f>
        <v>287.5</v>
      </c>
      <c r="R6" s="27">
        <f t="shared" ref="R6" si="3">E6+J6+O6</f>
        <v>2014.1</v>
      </c>
      <c r="S6" s="26">
        <f>F6+K6+P6</f>
        <v>-494.39999999999992</v>
      </c>
      <c r="T6" s="28">
        <f t="shared" ref="T6" si="4">R6+S6</f>
        <v>1519.7</v>
      </c>
      <c r="U6" s="31" t="s">
        <v>32</v>
      </c>
      <c r="V6" s="38" t="s">
        <v>34</v>
      </c>
    </row>
    <row r="7" spans="1:22" x14ac:dyDescent="0.2">
      <c r="B7" s="1">
        <f>B6+1</f>
        <v>1992</v>
      </c>
      <c r="C7" s="35">
        <f>1744.2-1576.9</f>
        <v>167.29999999999995</v>
      </c>
      <c r="D7" s="35"/>
      <c r="E7" s="26">
        <f>1744.2+0.5+1.1</f>
        <v>1745.8</v>
      </c>
      <c r="F7" s="26">
        <f>-384.1-0.3-0.3</f>
        <v>-384.70000000000005</v>
      </c>
      <c r="G7" s="26">
        <f t="shared" si="0"/>
        <v>1361.1</v>
      </c>
      <c r="H7" s="36">
        <f>6.9-3.1</f>
        <v>3.8000000000000003</v>
      </c>
      <c r="I7" s="37"/>
      <c r="J7" s="33">
        <v>6.9</v>
      </c>
      <c r="K7" s="26">
        <v>-1.5</v>
      </c>
      <c r="L7" s="26">
        <f t="shared" si="1"/>
        <v>5.4</v>
      </c>
      <c r="M7" s="36">
        <f>486.9-428.1</f>
        <v>58.799999999999955</v>
      </c>
      <c r="N7" s="35"/>
      <c r="O7" s="28">
        <v>486.9</v>
      </c>
      <c r="P7" s="28">
        <v>-156.5</v>
      </c>
      <c r="Q7" s="28">
        <f t="shared" si="2"/>
        <v>330.4</v>
      </c>
      <c r="R7" s="27">
        <f t="shared" ref="R7:R30" si="5">E7+J7+O7</f>
        <v>2239.6</v>
      </c>
      <c r="S7" s="26">
        <f t="shared" ref="S7:S30" si="6">F7+K7+P7</f>
        <v>-542.70000000000005</v>
      </c>
      <c r="T7" s="28">
        <f t="shared" ref="T7:T30" si="7">R7+S7</f>
        <v>1696.8999999999999</v>
      </c>
      <c r="U7" s="31" t="s">
        <v>32</v>
      </c>
      <c r="V7" s="38" t="s">
        <v>34</v>
      </c>
    </row>
    <row r="8" spans="1:22" x14ac:dyDescent="0.2">
      <c r="B8" s="1">
        <f t="shared" ref="B8:B31" si="8">B7+1</f>
        <v>1993</v>
      </c>
      <c r="C8" s="35">
        <f>1920.8-1746.4</f>
        <v>174.39999999999986</v>
      </c>
      <c r="D8" s="35"/>
      <c r="E8" s="26">
        <f>1920.8+0.5+1.1</f>
        <v>1922.3999999999999</v>
      </c>
      <c r="F8" s="26">
        <f>-424.9-0.3-0.3</f>
        <v>-425.5</v>
      </c>
      <c r="G8" s="26">
        <f t="shared" si="0"/>
        <v>1496.8999999999999</v>
      </c>
      <c r="H8" s="36">
        <f>118-115</f>
        <v>3</v>
      </c>
      <c r="I8" s="37"/>
      <c r="J8" s="32">
        <v>118</v>
      </c>
      <c r="K8" s="26">
        <v>-27.9</v>
      </c>
      <c r="L8" s="26">
        <f t="shared" si="1"/>
        <v>90.1</v>
      </c>
      <c r="M8" s="36">
        <f>554.8-487.4</f>
        <v>67.399999999999977</v>
      </c>
      <c r="N8" s="35"/>
      <c r="O8" s="28">
        <v>554.79999999999995</v>
      </c>
      <c r="P8" s="28">
        <v>-177.6</v>
      </c>
      <c r="Q8" s="28">
        <f t="shared" si="2"/>
        <v>377.19999999999993</v>
      </c>
      <c r="R8" s="27">
        <f t="shared" si="5"/>
        <v>2595.1999999999998</v>
      </c>
      <c r="S8" s="26">
        <f t="shared" si="6"/>
        <v>-631</v>
      </c>
      <c r="T8" s="28">
        <f t="shared" si="7"/>
        <v>1964.1999999999998</v>
      </c>
      <c r="U8" s="31" t="s">
        <v>32</v>
      </c>
      <c r="V8" s="38" t="s">
        <v>34</v>
      </c>
    </row>
    <row r="9" spans="1:22" x14ac:dyDescent="0.2">
      <c r="B9" s="1">
        <f t="shared" si="8"/>
        <v>1994</v>
      </c>
      <c r="C9" s="26">
        <v>130.1</v>
      </c>
      <c r="D9" s="26">
        <v>-10.9</v>
      </c>
      <c r="E9" s="26">
        <f>2044.2+0.5+1.1</f>
        <v>2045.8</v>
      </c>
      <c r="F9" s="26">
        <f>-468.9-0.3-0.3</f>
        <v>-469.5</v>
      </c>
      <c r="G9" s="26">
        <f t="shared" si="0"/>
        <v>1576.3</v>
      </c>
      <c r="H9" s="27">
        <v>1.2</v>
      </c>
      <c r="I9" s="28">
        <v>-0.1</v>
      </c>
      <c r="J9" s="26">
        <v>119.1</v>
      </c>
      <c r="K9" s="26">
        <v>-30.4</v>
      </c>
      <c r="L9" s="26">
        <f t="shared" si="1"/>
        <v>88.699999999999989</v>
      </c>
      <c r="M9" s="27">
        <v>109</v>
      </c>
      <c r="N9" s="26">
        <v>-15</v>
      </c>
      <c r="O9" s="28">
        <v>648.79999999999995</v>
      </c>
      <c r="P9" s="28">
        <v>-202</v>
      </c>
      <c r="Q9" s="28">
        <f t="shared" si="2"/>
        <v>446.79999999999995</v>
      </c>
      <c r="R9" s="27">
        <f t="shared" si="5"/>
        <v>2813.7</v>
      </c>
      <c r="S9" s="26">
        <f t="shared" si="6"/>
        <v>-701.9</v>
      </c>
      <c r="T9" s="28">
        <f t="shared" si="7"/>
        <v>2111.7999999999997</v>
      </c>
      <c r="U9" s="31" t="s">
        <v>32</v>
      </c>
    </row>
    <row r="10" spans="1:22" x14ac:dyDescent="0.2">
      <c r="B10" s="1">
        <f t="shared" si="8"/>
        <v>1995</v>
      </c>
      <c r="C10" s="26">
        <v>154.80000000000001</v>
      </c>
      <c r="D10" s="26">
        <v>-14.9</v>
      </c>
      <c r="E10" s="39">
        <f>2186.6+0.5+1.2</f>
        <v>2188.2999999999997</v>
      </c>
      <c r="F10" s="26">
        <f>-509.9-0.3-0.4</f>
        <v>-510.59999999999997</v>
      </c>
      <c r="G10" s="26">
        <f t="shared" si="0"/>
        <v>1677.6999999999998</v>
      </c>
      <c r="H10" s="27">
        <v>3.3</v>
      </c>
      <c r="I10" s="28">
        <v>-0.1</v>
      </c>
      <c r="J10" s="26">
        <v>121.8</v>
      </c>
      <c r="K10" s="26">
        <v>-32.9</v>
      </c>
      <c r="L10" s="26">
        <f t="shared" si="1"/>
        <v>88.9</v>
      </c>
      <c r="M10" s="27">
        <v>119.2</v>
      </c>
      <c r="N10" s="26">
        <v>-12.1</v>
      </c>
      <c r="O10" s="28">
        <v>755.9</v>
      </c>
      <c r="P10" s="28">
        <v>-239</v>
      </c>
      <c r="Q10" s="28">
        <f>O10+P10</f>
        <v>516.9</v>
      </c>
      <c r="R10" s="27">
        <f t="shared" si="5"/>
        <v>3066</v>
      </c>
      <c r="S10" s="26">
        <f t="shared" si="6"/>
        <v>-782.5</v>
      </c>
      <c r="T10" s="28">
        <f t="shared" si="7"/>
        <v>2283.5</v>
      </c>
      <c r="U10" s="31" t="s">
        <v>32</v>
      </c>
    </row>
    <row r="11" spans="1:22" x14ac:dyDescent="0.2">
      <c r="B11" s="1">
        <f t="shared" si="8"/>
        <v>1996</v>
      </c>
      <c r="C11" s="26">
        <v>179.1</v>
      </c>
      <c r="D11" s="26">
        <v>-22</v>
      </c>
      <c r="E11" s="26">
        <f>2358.3+0.5+1.3</f>
        <v>2360.1000000000004</v>
      </c>
      <c r="F11" s="26">
        <f>-548.3-0.3-0.4</f>
        <v>-548.99999999999989</v>
      </c>
      <c r="G11" s="26">
        <f t="shared" si="0"/>
        <v>1811.1000000000004</v>
      </c>
      <c r="H11" s="27">
        <v>11.6</v>
      </c>
      <c r="I11" s="28">
        <v>-0.1</v>
      </c>
      <c r="J11" s="26">
        <v>132.80000000000001</v>
      </c>
      <c r="K11" s="26">
        <v>-35.799999999999997</v>
      </c>
      <c r="L11" s="26">
        <f t="shared" si="1"/>
        <v>97.000000000000014</v>
      </c>
      <c r="M11" s="27">
        <v>125.2</v>
      </c>
      <c r="N11" s="26">
        <v>-27.6</v>
      </c>
      <c r="O11" s="40">
        <v>853.5</v>
      </c>
      <c r="P11" s="28">
        <v>-270.60000000000002</v>
      </c>
      <c r="Q11" s="28">
        <f t="shared" si="2"/>
        <v>582.9</v>
      </c>
      <c r="R11" s="27">
        <f t="shared" si="5"/>
        <v>3346.4000000000005</v>
      </c>
      <c r="S11" s="26">
        <f t="shared" si="6"/>
        <v>-855.39999999999986</v>
      </c>
      <c r="T11" s="28">
        <f t="shared" si="7"/>
        <v>2491.0000000000009</v>
      </c>
      <c r="U11" s="31" t="s">
        <v>32</v>
      </c>
    </row>
    <row r="12" spans="1:22" x14ac:dyDescent="0.2">
      <c r="B12" s="1">
        <f t="shared" si="8"/>
        <v>1997</v>
      </c>
      <c r="C12" s="26">
        <v>202.4</v>
      </c>
      <c r="D12" s="26">
        <v>-28</v>
      </c>
      <c r="E12" s="26">
        <f>2531.5+0.5+1.4</f>
        <v>2533.4</v>
      </c>
      <c r="F12" s="26">
        <f>-599.7-0.3-0.5</f>
        <v>-600.5</v>
      </c>
      <c r="G12" s="26">
        <f t="shared" si="0"/>
        <v>1932.9</v>
      </c>
      <c r="H12" s="27">
        <v>11.6</v>
      </c>
      <c r="I12" s="28">
        <v>-0.7</v>
      </c>
      <c r="J12" s="26">
        <v>143.69999999999999</v>
      </c>
      <c r="K12" s="26">
        <v>-38</v>
      </c>
      <c r="L12" s="26">
        <f t="shared" si="1"/>
        <v>105.69999999999999</v>
      </c>
      <c r="M12" s="27">
        <v>185.5</v>
      </c>
      <c r="N12" s="26">
        <v>-31</v>
      </c>
      <c r="O12" s="28">
        <v>1003.9</v>
      </c>
      <c r="P12" s="28">
        <v>-315.2</v>
      </c>
      <c r="Q12" s="28">
        <f t="shared" si="2"/>
        <v>688.7</v>
      </c>
      <c r="R12" s="27">
        <f t="shared" si="5"/>
        <v>3681</v>
      </c>
      <c r="S12" s="26">
        <f t="shared" si="6"/>
        <v>-953.7</v>
      </c>
      <c r="T12" s="28">
        <f t="shared" si="7"/>
        <v>2727.3</v>
      </c>
      <c r="U12" s="31" t="s">
        <v>32</v>
      </c>
    </row>
    <row r="13" spans="1:22" x14ac:dyDescent="0.2">
      <c r="B13" s="1">
        <f t="shared" si="8"/>
        <v>1998</v>
      </c>
      <c r="C13" s="26">
        <v>186.6</v>
      </c>
      <c r="D13" s="26">
        <v>-15.3</v>
      </c>
      <c r="E13" s="26">
        <f>2702.1+0.5+1.7</f>
        <v>2704.2999999999997</v>
      </c>
      <c r="F13" s="26">
        <f>-668.8-0.4-0.5</f>
        <v>-669.69999999999993</v>
      </c>
      <c r="G13" s="26">
        <f t="shared" si="0"/>
        <v>2034.6</v>
      </c>
      <c r="H13" s="27">
        <v>36.9</v>
      </c>
      <c r="I13" s="28">
        <v>0</v>
      </c>
      <c r="J13" s="26">
        <v>180.6</v>
      </c>
      <c r="K13" s="26">
        <v>-41.4</v>
      </c>
      <c r="L13" s="26">
        <f t="shared" si="1"/>
        <v>139.19999999999999</v>
      </c>
      <c r="M13" s="27">
        <v>141.5</v>
      </c>
      <c r="N13" s="26">
        <v>-36.200000000000003</v>
      </c>
      <c r="O13" s="28">
        <v>1107.7</v>
      </c>
      <c r="P13" s="28">
        <v>-377.6</v>
      </c>
      <c r="Q13" s="28">
        <f t="shared" si="2"/>
        <v>730.1</v>
      </c>
      <c r="R13" s="27">
        <f t="shared" si="5"/>
        <v>3992.5999999999995</v>
      </c>
      <c r="S13" s="26">
        <f t="shared" si="6"/>
        <v>-1088.6999999999998</v>
      </c>
      <c r="T13" s="28">
        <f t="shared" si="7"/>
        <v>2903.8999999999996</v>
      </c>
      <c r="U13" s="31" t="s">
        <v>32</v>
      </c>
    </row>
    <row r="14" spans="1:22" x14ac:dyDescent="0.2">
      <c r="B14" s="1">
        <f t="shared" si="8"/>
        <v>1999</v>
      </c>
      <c r="C14" s="26">
        <v>181</v>
      </c>
      <c r="D14" s="26">
        <v>-22.8</v>
      </c>
      <c r="E14" s="26">
        <f>2860.4+0.5+1.9</f>
        <v>2862.8</v>
      </c>
      <c r="F14" s="26">
        <f>-737.1-0.4-0.6</f>
        <v>-738.1</v>
      </c>
      <c r="G14" s="26">
        <f t="shared" si="0"/>
        <v>2124.7000000000003</v>
      </c>
      <c r="H14" s="27">
        <v>6.3</v>
      </c>
      <c r="I14" s="28">
        <v>0</v>
      </c>
      <c r="J14" s="26">
        <v>186.9</v>
      </c>
      <c r="K14" s="26">
        <v>-45.5</v>
      </c>
      <c r="L14" s="26">
        <f t="shared" si="1"/>
        <v>141.4</v>
      </c>
      <c r="M14" s="27">
        <v>123.6</v>
      </c>
      <c r="N14" s="26">
        <v>-42.3</v>
      </c>
      <c r="O14" s="28">
        <v>1189.9000000000001</v>
      </c>
      <c r="P14" s="28">
        <v>-443</v>
      </c>
      <c r="Q14" s="28">
        <f t="shared" si="2"/>
        <v>746.90000000000009</v>
      </c>
      <c r="R14" s="27">
        <f t="shared" si="5"/>
        <v>4239.6000000000004</v>
      </c>
      <c r="S14" s="26">
        <f t="shared" si="6"/>
        <v>-1226.5999999999999</v>
      </c>
      <c r="T14" s="28">
        <f t="shared" si="7"/>
        <v>3013.0000000000005</v>
      </c>
      <c r="U14" s="31" t="s">
        <v>32</v>
      </c>
    </row>
    <row r="15" spans="1:22" x14ac:dyDescent="0.2">
      <c r="B15" s="1">
        <f t="shared" si="8"/>
        <v>2000</v>
      </c>
      <c r="C15" s="26">
        <v>184.5</v>
      </c>
      <c r="D15" s="26">
        <v>-26</v>
      </c>
      <c r="E15" s="26">
        <f>3020.2+0.5+2</f>
        <v>3022.7</v>
      </c>
      <c r="F15" s="26">
        <f>-808.5-0.4-0.6</f>
        <v>-809.5</v>
      </c>
      <c r="G15" s="26">
        <f t="shared" si="0"/>
        <v>2213.1999999999998</v>
      </c>
      <c r="H15" s="27">
        <v>23.9</v>
      </c>
      <c r="I15" s="28">
        <v>-0.5</v>
      </c>
      <c r="J15" s="26">
        <v>209.7</v>
      </c>
      <c r="K15" s="26">
        <v>-49.4</v>
      </c>
      <c r="L15" s="26">
        <f t="shared" si="1"/>
        <v>160.29999999999998</v>
      </c>
      <c r="M15" s="27">
        <v>15.7</v>
      </c>
      <c r="N15" s="26">
        <v>-25.4</v>
      </c>
      <c r="O15" s="30">
        <v>295.39999999999998</v>
      </c>
      <c r="P15" s="28">
        <v>-179</v>
      </c>
      <c r="Q15" s="28">
        <f t="shared" si="2"/>
        <v>116.39999999999998</v>
      </c>
      <c r="R15" s="27">
        <f t="shared" si="5"/>
        <v>3527.7999999999997</v>
      </c>
      <c r="S15" s="26">
        <f t="shared" si="6"/>
        <v>-1037.9000000000001</v>
      </c>
      <c r="T15" s="28">
        <f t="shared" si="7"/>
        <v>2489.8999999999996</v>
      </c>
      <c r="U15" s="31" t="s">
        <v>32</v>
      </c>
    </row>
    <row r="16" spans="1:22" x14ac:dyDescent="0.2">
      <c r="B16" s="31">
        <f t="shared" si="8"/>
        <v>2001</v>
      </c>
      <c r="C16" s="26">
        <v>210.5</v>
      </c>
      <c r="D16" s="26">
        <v>-24.9</v>
      </c>
      <c r="E16" s="26">
        <f>3205.8+0.5+2</f>
        <v>3208.3</v>
      </c>
      <c r="F16" s="26">
        <f>-884.7-0.4-0.7</f>
        <v>-885.80000000000007</v>
      </c>
      <c r="G16" s="26">
        <f t="shared" si="0"/>
        <v>2322.5</v>
      </c>
      <c r="H16" s="27">
        <v>15.1</v>
      </c>
      <c r="I16" s="28">
        <v>-0.1</v>
      </c>
      <c r="J16" s="26">
        <v>224.7</v>
      </c>
      <c r="K16" s="26">
        <v>-54.1</v>
      </c>
      <c r="L16" s="26">
        <f t="shared" si="1"/>
        <v>170.6</v>
      </c>
      <c r="M16" s="27">
        <v>15.9</v>
      </c>
      <c r="N16" s="26">
        <v>-26.6</v>
      </c>
      <c r="O16" s="28">
        <v>251.1</v>
      </c>
      <c r="P16" s="28">
        <v>-166.2</v>
      </c>
      <c r="Q16" s="28">
        <f t="shared" si="2"/>
        <v>84.9</v>
      </c>
      <c r="R16" s="27">
        <f t="shared" si="5"/>
        <v>3684.1</v>
      </c>
      <c r="S16" s="26">
        <f t="shared" si="6"/>
        <v>-1106.1000000000001</v>
      </c>
      <c r="T16" s="28">
        <f t="shared" si="7"/>
        <v>2578</v>
      </c>
      <c r="U16" s="31" t="s">
        <v>32</v>
      </c>
    </row>
    <row r="17" spans="2:21" x14ac:dyDescent="0.2">
      <c r="B17" s="31">
        <f t="shared" si="8"/>
        <v>2002</v>
      </c>
      <c r="C17" s="26">
        <v>232.1</v>
      </c>
      <c r="D17" s="26">
        <v>-22</v>
      </c>
      <c r="E17" s="26">
        <f>3415.9+0.5+2</f>
        <v>3418.4</v>
      </c>
      <c r="F17" s="26">
        <f>-971.1-0.4-0.7</f>
        <v>-972.2</v>
      </c>
      <c r="G17" s="26">
        <f t="shared" si="0"/>
        <v>2446.1999999999998</v>
      </c>
      <c r="H17" s="27">
        <v>11.4</v>
      </c>
      <c r="I17" s="28">
        <v>0</v>
      </c>
      <c r="J17" s="26">
        <v>236.1</v>
      </c>
      <c r="K17" s="26">
        <v>-59</v>
      </c>
      <c r="L17" s="26">
        <f t="shared" si="1"/>
        <v>177.1</v>
      </c>
      <c r="M17" s="27">
        <v>12.9</v>
      </c>
      <c r="N17" s="26">
        <v>-19.5</v>
      </c>
      <c r="O17" s="28">
        <v>244.5</v>
      </c>
      <c r="P17" s="28">
        <v>-184.9</v>
      </c>
      <c r="Q17" s="28">
        <f t="shared" si="2"/>
        <v>59.599999999999994</v>
      </c>
      <c r="R17" s="27">
        <f t="shared" si="5"/>
        <v>3899</v>
      </c>
      <c r="S17" s="26">
        <f t="shared" si="6"/>
        <v>-1216.1000000000001</v>
      </c>
      <c r="T17" s="28">
        <f t="shared" si="7"/>
        <v>2682.8999999999996</v>
      </c>
      <c r="U17" s="31" t="s">
        <v>32</v>
      </c>
    </row>
    <row r="18" spans="2:21" x14ac:dyDescent="0.2">
      <c r="B18" s="31">
        <f t="shared" si="8"/>
        <v>2003</v>
      </c>
      <c r="C18" s="26">
        <v>211.2</v>
      </c>
      <c r="D18" s="26">
        <v>-15</v>
      </c>
      <c r="E18" s="26">
        <f>3612.1+0.5+1.9</f>
        <v>3614.5</v>
      </c>
      <c r="F18" s="26">
        <f>-1094.3-0.4-0.6</f>
        <v>-1095.3</v>
      </c>
      <c r="G18" s="26">
        <f t="shared" si="0"/>
        <v>2519.1999999999998</v>
      </c>
      <c r="H18" s="27">
        <v>5.8</v>
      </c>
      <c r="I18" s="28">
        <v>0</v>
      </c>
      <c r="J18" s="26">
        <v>241.9</v>
      </c>
      <c r="K18" s="26">
        <v>-64.400000000000006</v>
      </c>
      <c r="L18" s="26">
        <f t="shared" si="1"/>
        <v>177.5</v>
      </c>
      <c r="M18" s="27">
        <v>33.4</v>
      </c>
      <c r="N18" s="26">
        <v>-85.5</v>
      </c>
      <c r="O18" s="28">
        <v>192.4</v>
      </c>
      <c r="P18" s="28">
        <v>-125.4</v>
      </c>
      <c r="Q18" s="28">
        <f t="shared" si="2"/>
        <v>67</v>
      </c>
      <c r="R18" s="27">
        <f t="shared" si="5"/>
        <v>4048.8</v>
      </c>
      <c r="S18" s="26">
        <f t="shared" si="6"/>
        <v>-1285.1000000000001</v>
      </c>
      <c r="T18" s="28">
        <f t="shared" si="7"/>
        <v>2763.7</v>
      </c>
      <c r="U18" s="31" t="s">
        <v>32</v>
      </c>
    </row>
    <row r="19" spans="2:21" x14ac:dyDescent="0.2">
      <c r="B19" s="31">
        <f t="shared" si="8"/>
        <v>2004</v>
      </c>
      <c r="C19" s="26">
        <v>208</v>
      </c>
      <c r="D19" s="26">
        <v>-45.6</v>
      </c>
      <c r="E19" s="39">
        <f>3774.5+0.5+1.7</f>
        <v>3776.7</v>
      </c>
      <c r="F19" s="26">
        <f>-1199.1-0.4-0.5</f>
        <v>-1200</v>
      </c>
      <c r="G19" s="26">
        <f t="shared" si="0"/>
        <v>2576.6999999999998</v>
      </c>
      <c r="H19" s="27">
        <v>5.0999999999999996</v>
      </c>
      <c r="I19" s="28">
        <v>-1.2</v>
      </c>
      <c r="J19" s="26">
        <v>245.7</v>
      </c>
      <c r="K19" s="26">
        <v>-68.599999999999994</v>
      </c>
      <c r="L19" s="26">
        <f t="shared" si="1"/>
        <v>177.1</v>
      </c>
      <c r="M19" s="27">
        <v>54.5</v>
      </c>
      <c r="N19" s="26">
        <v>-4.7</v>
      </c>
      <c r="O19" s="40">
        <v>242.1</v>
      </c>
      <c r="P19" s="28">
        <v>-137.1</v>
      </c>
      <c r="Q19" s="28">
        <f t="shared" si="2"/>
        <v>105</v>
      </c>
      <c r="R19" s="27">
        <f t="shared" si="5"/>
        <v>4264.5</v>
      </c>
      <c r="S19" s="26">
        <f t="shared" si="6"/>
        <v>-1405.6999999999998</v>
      </c>
      <c r="T19" s="28">
        <f t="shared" si="7"/>
        <v>2858.8</v>
      </c>
      <c r="U19" s="31" t="s">
        <v>32</v>
      </c>
    </row>
    <row r="20" spans="2:21" x14ac:dyDescent="0.2">
      <c r="B20" s="1">
        <f t="shared" si="8"/>
        <v>2005</v>
      </c>
      <c r="C20" s="26">
        <v>286.5</v>
      </c>
      <c r="D20" s="26">
        <v>-23.9</v>
      </c>
      <c r="E20" s="33">
        <f>4076.4+0.5+1.7</f>
        <v>4078.6</v>
      </c>
      <c r="F20" s="26">
        <f>-1371.9-0.4-0.6</f>
        <v>-1372.9</v>
      </c>
      <c r="G20" s="26">
        <f t="shared" si="0"/>
        <v>2705.7</v>
      </c>
      <c r="H20" s="27">
        <v>5.7</v>
      </c>
      <c r="I20" s="28">
        <v>0</v>
      </c>
      <c r="J20" s="26">
        <v>251.6</v>
      </c>
      <c r="K20" s="26">
        <v>-75.599999999999994</v>
      </c>
      <c r="L20" s="26">
        <f t="shared" si="1"/>
        <v>176</v>
      </c>
      <c r="M20" s="27">
        <v>43.4</v>
      </c>
      <c r="N20" s="26">
        <v>-35.4</v>
      </c>
      <c r="O20" s="40">
        <v>262.89999999999998</v>
      </c>
      <c r="P20" s="28">
        <v>-130.9</v>
      </c>
      <c r="Q20" s="28">
        <f t="shared" si="2"/>
        <v>131.99999999999997</v>
      </c>
      <c r="R20" s="27">
        <f t="shared" si="5"/>
        <v>4593.0999999999995</v>
      </c>
      <c r="S20" s="26">
        <f t="shared" si="6"/>
        <v>-1579.4</v>
      </c>
      <c r="T20" s="28">
        <f t="shared" si="7"/>
        <v>3013.6999999999994</v>
      </c>
      <c r="U20" s="1" t="s">
        <v>33</v>
      </c>
    </row>
    <row r="21" spans="2:21" x14ac:dyDescent="0.2">
      <c r="B21" s="1">
        <f t="shared" si="8"/>
        <v>2006</v>
      </c>
      <c r="C21" s="26">
        <v>301.5</v>
      </c>
      <c r="D21" s="26">
        <v>-30.8</v>
      </c>
      <c r="E21" s="26">
        <f>4347.1+0.5+1.7</f>
        <v>4349.3</v>
      </c>
      <c r="F21" s="26">
        <f>-1496.3-0.4-0.7</f>
        <v>-1497.4</v>
      </c>
      <c r="G21" s="26">
        <f t="shared" si="0"/>
        <v>2851.9</v>
      </c>
      <c r="H21" s="27">
        <v>10.9</v>
      </c>
      <c r="I21" s="28">
        <v>0</v>
      </c>
      <c r="J21" s="26">
        <v>262.5</v>
      </c>
      <c r="K21" s="26">
        <v>-81.5</v>
      </c>
      <c r="L21" s="26">
        <f t="shared" si="1"/>
        <v>181</v>
      </c>
      <c r="M21" s="27">
        <v>41.4</v>
      </c>
      <c r="N21" s="26">
        <v>-17.100000000000001</v>
      </c>
      <c r="O21" s="40">
        <v>287.2</v>
      </c>
      <c r="P21" s="28">
        <v>-143.80000000000001</v>
      </c>
      <c r="Q21" s="28">
        <f t="shared" si="2"/>
        <v>143.39999999999998</v>
      </c>
      <c r="R21" s="27">
        <f t="shared" si="5"/>
        <v>4899</v>
      </c>
      <c r="S21" s="26">
        <f t="shared" si="6"/>
        <v>-1722.7</v>
      </c>
      <c r="T21" s="28">
        <f t="shared" si="7"/>
        <v>3176.3</v>
      </c>
      <c r="U21" s="1" t="s">
        <v>33</v>
      </c>
    </row>
    <row r="22" spans="2:21" x14ac:dyDescent="0.2">
      <c r="B22" s="1">
        <f t="shared" si="8"/>
        <v>2007</v>
      </c>
      <c r="C22" s="26">
        <v>292.39999999999998</v>
      </c>
      <c r="D22" s="26">
        <v>-42.9</v>
      </c>
      <c r="E22" s="26">
        <f>4596.6+0.5+1.7</f>
        <v>4598.8</v>
      </c>
      <c r="F22" s="26">
        <f>-1648.2-0.4-0.8</f>
        <v>-1649.4</v>
      </c>
      <c r="G22" s="26">
        <f t="shared" si="0"/>
        <v>2949.4</v>
      </c>
      <c r="H22" s="27">
        <v>2.5</v>
      </c>
      <c r="I22" s="28">
        <v>0</v>
      </c>
      <c r="J22" s="26">
        <v>265</v>
      </c>
      <c r="K22" s="26">
        <v>-87.5</v>
      </c>
      <c r="L22" s="26">
        <f t="shared" si="1"/>
        <v>177.5</v>
      </c>
      <c r="M22" s="27">
        <v>41</v>
      </c>
      <c r="N22" s="26">
        <v>-18.600000000000001</v>
      </c>
      <c r="O22" s="40">
        <v>306.60000000000002</v>
      </c>
      <c r="P22" s="28">
        <v>-160.9</v>
      </c>
      <c r="Q22" s="28">
        <f t="shared" si="2"/>
        <v>145.70000000000002</v>
      </c>
      <c r="R22" s="27">
        <f t="shared" si="5"/>
        <v>5170.4000000000005</v>
      </c>
      <c r="S22" s="26">
        <f t="shared" si="6"/>
        <v>-1897.8000000000002</v>
      </c>
      <c r="T22" s="28">
        <f t="shared" si="7"/>
        <v>3272.6000000000004</v>
      </c>
      <c r="U22" s="1" t="s">
        <v>33</v>
      </c>
    </row>
    <row r="23" spans="2:21" x14ac:dyDescent="0.2">
      <c r="B23" s="1">
        <f t="shared" si="8"/>
        <v>2008</v>
      </c>
      <c r="C23" s="26">
        <v>283.3</v>
      </c>
      <c r="D23" s="26">
        <v>-43.4</v>
      </c>
      <c r="E23" s="26">
        <f>4836.5+0.5+1.7</f>
        <v>4838.7</v>
      </c>
      <c r="F23" s="26">
        <f>-1789.7-0.5-0.8</f>
        <v>-1791</v>
      </c>
      <c r="G23" s="26">
        <f t="shared" si="0"/>
        <v>3047.7</v>
      </c>
      <c r="H23" s="27">
        <v>6.5</v>
      </c>
      <c r="I23" s="28">
        <v>0</v>
      </c>
      <c r="J23" s="26">
        <v>271.5</v>
      </c>
      <c r="K23" s="26">
        <v>-93.7</v>
      </c>
      <c r="L23" s="26">
        <f t="shared" si="1"/>
        <v>177.8</v>
      </c>
      <c r="M23" s="27">
        <v>39.4</v>
      </c>
      <c r="N23" s="26">
        <v>-60.5</v>
      </c>
      <c r="O23" s="28">
        <v>285.5</v>
      </c>
      <c r="P23" s="28">
        <v>-134</v>
      </c>
      <c r="Q23" s="28">
        <f t="shared" si="2"/>
        <v>151.5</v>
      </c>
      <c r="R23" s="27">
        <f t="shared" si="5"/>
        <v>5395.7</v>
      </c>
      <c r="S23" s="26">
        <f t="shared" si="6"/>
        <v>-2018.7</v>
      </c>
      <c r="T23" s="28">
        <f t="shared" si="7"/>
        <v>3377</v>
      </c>
      <c r="U23" s="1" t="s">
        <v>33</v>
      </c>
    </row>
    <row r="24" spans="2:21" x14ac:dyDescent="0.2">
      <c r="B24" s="1">
        <f t="shared" si="8"/>
        <v>2009</v>
      </c>
      <c r="C24" s="26">
        <v>270.60000000000002</v>
      </c>
      <c r="D24" s="26">
        <v>-44.6</v>
      </c>
      <c r="E24" s="26">
        <f>5062.5+0.5+1.7</f>
        <v>5064.7</v>
      </c>
      <c r="F24" s="26">
        <f>-1930-0.5-0.9</f>
        <v>-1931.4</v>
      </c>
      <c r="G24" s="26">
        <f t="shared" si="0"/>
        <v>3133.2999999999997</v>
      </c>
      <c r="H24" s="27">
        <v>8.1</v>
      </c>
      <c r="I24" s="28">
        <v>0</v>
      </c>
      <c r="J24" s="26">
        <v>279.7</v>
      </c>
      <c r="K24" s="26">
        <v>-99.1</v>
      </c>
      <c r="L24" s="26">
        <f t="shared" si="1"/>
        <v>180.6</v>
      </c>
      <c r="M24" s="27">
        <v>158.9</v>
      </c>
      <c r="N24" s="26">
        <v>-58.8</v>
      </c>
      <c r="O24" s="28">
        <v>385.2</v>
      </c>
      <c r="P24" s="28">
        <v>-113.7</v>
      </c>
      <c r="Q24" s="28">
        <f t="shared" si="2"/>
        <v>271.5</v>
      </c>
      <c r="R24" s="27">
        <f t="shared" si="5"/>
        <v>5729.5999999999995</v>
      </c>
      <c r="S24" s="26">
        <f t="shared" si="6"/>
        <v>-2144.1999999999998</v>
      </c>
      <c r="T24" s="28">
        <f t="shared" si="7"/>
        <v>3585.3999999999996</v>
      </c>
      <c r="U24" s="1" t="s">
        <v>33</v>
      </c>
    </row>
    <row r="25" spans="2:21" x14ac:dyDescent="0.2">
      <c r="B25" s="1">
        <f t="shared" si="8"/>
        <v>2010</v>
      </c>
      <c r="C25" s="26">
        <v>284.60000000000002</v>
      </c>
      <c r="D25" s="26">
        <v>-49.3</v>
      </c>
      <c r="E25" s="26">
        <f>5297.8+0.5+1.7</f>
        <v>5300</v>
      </c>
      <c r="F25" s="26">
        <f>-2079.4-0.5-1</f>
        <v>-2080.9</v>
      </c>
      <c r="G25" s="26">
        <f t="shared" si="0"/>
        <v>3219.1</v>
      </c>
      <c r="H25" s="27">
        <v>16.100000000000001</v>
      </c>
      <c r="I25" s="28">
        <v>0</v>
      </c>
      <c r="J25" s="26">
        <v>295.8</v>
      </c>
      <c r="K25" s="26">
        <v>-105.5</v>
      </c>
      <c r="L25" s="26">
        <f t="shared" si="1"/>
        <v>190.3</v>
      </c>
      <c r="M25" s="27">
        <v>40</v>
      </c>
      <c r="N25" s="26">
        <v>-39.299999999999997</v>
      </c>
      <c r="O25" s="28">
        <v>385.9</v>
      </c>
      <c r="P25" s="28">
        <v>-116.7</v>
      </c>
      <c r="Q25" s="28">
        <f t="shared" si="2"/>
        <v>269.2</v>
      </c>
      <c r="R25" s="27">
        <f t="shared" si="5"/>
        <v>5981.7</v>
      </c>
      <c r="S25" s="26">
        <f t="shared" si="6"/>
        <v>-2303.1</v>
      </c>
      <c r="T25" s="28">
        <f t="shared" si="7"/>
        <v>3678.6</v>
      </c>
      <c r="U25" s="1" t="s">
        <v>33</v>
      </c>
    </row>
    <row r="26" spans="2:21" x14ac:dyDescent="0.2">
      <c r="B26" s="1">
        <f t="shared" si="8"/>
        <v>2011</v>
      </c>
      <c r="C26" s="26">
        <v>287.10000000000002</v>
      </c>
      <c r="D26" s="26">
        <v>-35.1</v>
      </c>
      <c r="E26" s="26">
        <f>5549.7+0.5+1.7</f>
        <v>5551.9</v>
      </c>
      <c r="F26" s="26">
        <f>-2237-0.5-1</f>
        <v>-2238.5</v>
      </c>
      <c r="G26" s="26">
        <f t="shared" si="0"/>
        <v>3313.3999999999996</v>
      </c>
      <c r="H26" s="27">
        <v>21</v>
      </c>
      <c r="I26" s="28">
        <v>0</v>
      </c>
      <c r="J26" s="26">
        <v>316.2</v>
      </c>
      <c r="K26" s="26">
        <v>-111.8</v>
      </c>
      <c r="L26" s="26">
        <f t="shared" si="1"/>
        <v>204.39999999999998</v>
      </c>
      <c r="M26" s="27">
        <v>44.8</v>
      </c>
      <c r="N26" s="26">
        <v>-30.7</v>
      </c>
      <c r="O26" s="28">
        <v>400</v>
      </c>
      <c r="P26" s="28">
        <v>-129</v>
      </c>
      <c r="Q26" s="28">
        <f t="shared" si="2"/>
        <v>271</v>
      </c>
      <c r="R26" s="27">
        <f t="shared" si="5"/>
        <v>6268.0999999999995</v>
      </c>
      <c r="S26" s="26">
        <f t="shared" si="6"/>
        <v>-2479.3000000000002</v>
      </c>
      <c r="T26" s="28">
        <f t="shared" si="7"/>
        <v>3788.7999999999993</v>
      </c>
      <c r="U26" s="1" t="s">
        <v>33</v>
      </c>
    </row>
    <row r="27" spans="2:21" x14ac:dyDescent="0.2">
      <c r="B27" s="1">
        <f t="shared" si="8"/>
        <v>2012</v>
      </c>
      <c r="C27" s="26">
        <v>367.5</v>
      </c>
      <c r="D27" s="26">
        <v>-59.6</v>
      </c>
      <c r="E27" s="26">
        <f>5857.6+0.5+1.7</f>
        <v>5859.8</v>
      </c>
      <c r="F27" s="26">
        <f>-2391.9-0.5-1.1</f>
        <v>-2393.5</v>
      </c>
      <c r="G27" s="26">
        <f t="shared" si="0"/>
        <v>3466.3</v>
      </c>
      <c r="H27" s="27">
        <v>20.100000000000001</v>
      </c>
      <c r="I27" s="28">
        <v>0</v>
      </c>
      <c r="J27" s="26">
        <v>336.3</v>
      </c>
      <c r="K27" s="26">
        <v>-118.7</v>
      </c>
      <c r="L27" s="26">
        <f t="shared" si="1"/>
        <v>217.60000000000002</v>
      </c>
      <c r="M27" s="27">
        <v>43.5</v>
      </c>
      <c r="N27" s="26">
        <v>-34</v>
      </c>
      <c r="O27" s="28">
        <v>409.4</v>
      </c>
      <c r="P27" s="28">
        <v>-139.69999999999999</v>
      </c>
      <c r="Q27" s="28">
        <f t="shared" si="2"/>
        <v>269.7</v>
      </c>
      <c r="R27" s="27">
        <f t="shared" si="5"/>
        <v>6605.5</v>
      </c>
      <c r="S27" s="26">
        <f t="shared" si="6"/>
        <v>-2651.8999999999996</v>
      </c>
      <c r="T27" s="28">
        <f t="shared" si="7"/>
        <v>3953.6000000000004</v>
      </c>
      <c r="U27" s="1" t="s">
        <v>33</v>
      </c>
    </row>
    <row r="28" spans="2:21" x14ac:dyDescent="0.2">
      <c r="B28" s="1">
        <f t="shared" si="8"/>
        <v>2013</v>
      </c>
      <c r="C28" s="26">
        <v>366.3</v>
      </c>
      <c r="D28" s="26">
        <v>-22.4</v>
      </c>
      <c r="E28" s="26">
        <f>6201.5+0.5+1.7</f>
        <v>6203.7</v>
      </c>
      <c r="F28" s="26">
        <f>-2543-0.5-1.2</f>
        <v>-2544.6999999999998</v>
      </c>
      <c r="G28" s="26">
        <f t="shared" si="0"/>
        <v>3659</v>
      </c>
      <c r="H28" s="27">
        <v>20</v>
      </c>
      <c r="I28" s="28">
        <v>0</v>
      </c>
      <c r="J28" s="26">
        <v>356.4</v>
      </c>
      <c r="K28" s="26">
        <v>-124.7</v>
      </c>
      <c r="L28" s="26">
        <f t="shared" si="1"/>
        <v>231.7</v>
      </c>
      <c r="M28" s="27">
        <v>64.400000000000006</v>
      </c>
      <c r="N28" s="26">
        <v>-17.3</v>
      </c>
      <c r="O28" s="28">
        <v>456.5</v>
      </c>
      <c r="P28" s="28">
        <v>-185.3</v>
      </c>
      <c r="Q28" s="28">
        <f t="shared" si="2"/>
        <v>271.2</v>
      </c>
      <c r="R28" s="27">
        <f t="shared" si="5"/>
        <v>7016.5999999999995</v>
      </c>
      <c r="S28" s="26">
        <f t="shared" si="6"/>
        <v>-2854.7</v>
      </c>
      <c r="T28" s="28">
        <f t="shared" si="7"/>
        <v>4161.8999999999996</v>
      </c>
      <c r="U28" s="1" t="s">
        <v>33</v>
      </c>
    </row>
    <row r="29" spans="2:21" x14ac:dyDescent="0.2">
      <c r="B29" s="1">
        <f t="shared" si="8"/>
        <v>2014</v>
      </c>
      <c r="C29" s="26">
        <v>441.5</v>
      </c>
      <c r="D29" s="26">
        <v>-24.6</v>
      </c>
      <c r="E29" s="26">
        <f>6618.4+0.5+1.7</f>
        <v>6620.5999999999995</v>
      </c>
      <c r="F29" s="26">
        <f>-2571.8-0.5-1.2</f>
        <v>-2573.5</v>
      </c>
      <c r="G29" s="26">
        <f t="shared" si="0"/>
        <v>4047.0999999999995</v>
      </c>
      <c r="H29" s="27">
        <v>9.8000000000000007</v>
      </c>
      <c r="I29" s="28">
        <v>0</v>
      </c>
      <c r="J29" s="26">
        <v>366.2</v>
      </c>
      <c r="K29" s="26">
        <v>-131.5</v>
      </c>
      <c r="L29" s="26">
        <f t="shared" si="1"/>
        <v>234.7</v>
      </c>
      <c r="M29" s="27">
        <v>57.6</v>
      </c>
      <c r="N29" s="26">
        <v>-7.3</v>
      </c>
      <c r="O29" s="28">
        <v>506.8</v>
      </c>
      <c r="P29" s="28">
        <v>-252.7</v>
      </c>
      <c r="Q29" s="28">
        <f t="shared" si="2"/>
        <v>254.10000000000002</v>
      </c>
      <c r="R29" s="27">
        <f t="shared" si="5"/>
        <v>7493.5999999999995</v>
      </c>
      <c r="S29" s="26">
        <f t="shared" si="6"/>
        <v>-2957.7</v>
      </c>
      <c r="T29" s="28">
        <f t="shared" si="7"/>
        <v>4535.8999999999996</v>
      </c>
      <c r="U29" s="1" t="s">
        <v>33</v>
      </c>
    </row>
    <row r="30" spans="2:21" x14ac:dyDescent="0.2">
      <c r="B30" s="1">
        <f t="shared" si="8"/>
        <v>2015</v>
      </c>
      <c r="C30" s="26">
        <v>320.7</v>
      </c>
      <c r="D30" s="26">
        <f>-51.7-0.5</f>
        <v>-52.2</v>
      </c>
      <c r="E30" s="26">
        <f>6887.5+1.7</f>
        <v>6889.2</v>
      </c>
      <c r="F30" s="26">
        <f>-2568.5-1.2</f>
        <v>-2569.6999999999998</v>
      </c>
      <c r="G30" s="26">
        <f t="shared" si="0"/>
        <v>4319.5</v>
      </c>
      <c r="H30" s="27">
        <v>18.7</v>
      </c>
      <c r="I30" s="28">
        <v>-14.1</v>
      </c>
      <c r="J30" s="32">
        <f>370.9-5.6</f>
        <v>365.29999999999995</v>
      </c>
      <c r="K30" s="26">
        <v>-126.1</v>
      </c>
      <c r="L30" s="26">
        <f>J30+K30</f>
        <v>239.19999999999996</v>
      </c>
      <c r="M30" s="27">
        <v>24.5</v>
      </c>
      <c r="N30" s="26">
        <v>-42.5</v>
      </c>
      <c r="O30" s="28">
        <v>488.9</v>
      </c>
      <c r="P30" s="28">
        <v>-283</v>
      </c>
      <c r="Q30" s="28">
        <f t="shared" si="2"/>
        <v>205.89999999999998</v>
      </c>
      <c r="R30" s="27">
        <f t="shared" si="5"/>
        <v>7743.4</v>
      </c>
      <c r="S30" s="26">
        <f t="shared" si="6"/>
        <v>-2978.7999999999997</v>
      </c>
      <c r="T30" s="28">
        <f t="shared" si="7"/>
        <v>4764.6000000000004</v>
      </c>
      <c r="U30" s="1" t="s">
        <v>33</v>
      </c>
    </row>
    <row r="31" spans="2:21" x14ac:dyDescent="0.2">
      <c r="B31" s="1">
        <f t="shared" si="8"/>
        <v>2016</v>
      </c>
      <c r="C31" s="26">
        <v>1240.0999999999999</v>
      </c>
      <c r="D31" s="26">
        <v>-29.7</v>
      </c>
      <c r="E31" s="26">
        <f>8097.9+1.7</f>
        <v>8099.5999999999995</v>
      </c>
      <c r="F31" s="26">
        <f>-2624.3-1.3</f>
        <v>-2625.6000000000004</v>
      </c>
      <c r="G31" s="26">
        <f>E31+F31</f>
        <v>5473.9999999999991</v>
      </c>
      <c r="H31" s="27">
        <v>40</v>
      </c>
      <c r="I31" s="28">
        <v>-0.8</v>
      </c>
      <c r="J31" s="33">
        <v>404.5</v>
      </c>
      <c r="K31" s="26">
        <f>-132.8</f>
        <v>-132.80000000000001</v>
      </c>
      <c r="L31" s="26">
        <f>J31+K31</f>
        <v>271.7</v>
      </c>
      <c r="M31" s="27">
        <v>131.5</v>
      </c>
      <c r="N31" s="26">
        <v>-47.8</v>
      </c>
      <c r="O31" s="28">
        <v>572.6</v>
      </c>
      <c r="P31" s="28">
        <v>-314.5</v>
      </c>
      <c r="Q31" s="28">
        <f>O31+P31</f>
        <v>258.10000000000002</v>
      </c>
      <c r="R31" s="27">
        <f>E31+J31+O31</f>
        <v>9076.6999999999989</v>
      </c>
      <c r="S31" s="26">
        <f>F31+K31+P31</f>
        <v>-3072.9000000000005</v>
      </c>
      <c r="T31" s="28">
        <f>R31+S31</f>
        <v>6003.7999999999984</v>
      </c>
      <c r="U31" s="1" t="s">
        <v>33</v>
      </c>
    </row>
    <row r="32" spans="2:21" x14ac:dyDescent="0.2">
      <c r="F32" s="3"/>
      <c r="M32" s="141"/>
    </row>
    <row r="33" spans="5:19" x14ac:dyDescent="0.2">
      <c r="E33" s="73"/>
      <c r="F33" s="3"/>
    </row>
    <row r="34" spans="5:19" x14ac:dyDescent="0.2">
      <c r="F34" s="3"/>
    </row>
    <row r="35" spans="5:19" x14ac:dyDescent="0.2">
      <c r="F35" s="3"/>
    </row>
    <row r="36" spans="5:19" x14ac:dyDescent="0.2">
      <c r="F36" s="3"/>
      <c r="G36" s="34"/>
      <c r="H36" s="34"/>
      <c r="I36" s="34"/>
      <c r="J36" s="34"/>
      <c r="K36" s="34"/>
      <c r="L36" s="34"/>
      <c r="M36" s="34"/>
      <c r="N36" s="34"/>
      <c r="O36" s="34"/>
      <c r="P36" s="34"/>
      <c r="Q36" s="34"/>
    </row>
    <row r="37" spans="5:19" x14ac:dyDescent="0.2">
      <c r="F37" s="3"/>
      <c r="G37" s="34"/>
      <c r="H37" s="34"/>
      <c r="I37" s="34"/>
      <c r="J37" s="34"/>
      <c r="K37" s="34"/>
      <c r="L37" s="34"/>
      <c r="M37" s="34"/>
      <c r="N37" s="34"/>
      <c r="O37" s="34"/>
      <c r="P37" s="34"/>
      <c r="Q37" s="34"/>
    </row>
    <row r="38" spans="5:19" x14ac:dyDescent="0.2">
      <c r="F38" s="3"/>
      <c r="G38" s="34"/>
      <c r="H38" s="34"/>
      <c r="I38" s="34"/>
      <c r="J38" s="34"/>
      <c r="K38" s="34"/>
      <c r="L38" s="34"/>
      <c r="M38" s="34"/>
      <c r="N38" s="34"/>
      <c r="O38" s="34"/>
      <c r="P38" s="34"/>
      <c r="Q38" s="34"/>
    </row>
    <row r="39" spans="5:19" x14ac:dyDescent="0.2">
      <c r="F39" s="3"/>
      <c r="G39" s="34"/>
      <c r="H39" s="34"/>
      <c r="I39" s="34"/>
      <c r="J39" s="34"/>
      <c r="K39" s="34"/>
      <c r="L39" s="34"/>
      <c r="M39" s="34"/>
      <c r="N39" s="34"/>
      <c r="O39" s="34"/>
      <c r="P39" s="34"/>
      <c r="Q39" s="34"/>
      <c r="S39" s="34"/>
    </row>
    <row r="40" spans="5:19" x14ac:dyDescent="0.2">
      <c r="F40" s="3"/>
      <c r="G40" s="34"/>
      <c r="H40" s="34"/>
      <c r="I40" s="34"/>
      <c r="J40" s="34"/>
      <c r="K40" s="34"/>
      <c r="L40" s="34"/>
      <c r="M40" s="34"/>
      <c r="N40" s="34"/>
      <c r="O40" s="34"/>
      <c r="P40" s="34"/>
      <c r="Q40" s="34"/>
      <c r="S40" s="34"/>
    </row>
    <row r="41" spans="5:19" x14ac:dyDescent="0.2">
      <c r="F41" s="3"/>
      <c r="G41" s="34"/>
      <c r="H41" s="34"/>
      <c r="I41" s="34"/>
      <c r="J41" s="34"/>
      <c r="K41" s="34"/>
      <c r="L41" s="34"/>
      <c r="M41" s="34"/>
      <c r="N41" s="34"/>
      <c r="O41" s="34"/>
      <c r="P41" s="34"/>
      <c r="Q41" s="34"/>
      <c r="S41" s="34"/>
    </row>
    <row r="42" spans="5:19" x14ac:dyDescent="0.2">
      <c r="F42" s="3"/>
      <c r="G42" s="34"/>
      <c r="H42" s="34"/>
      <c r="I42" s="34"/>
      <c r="J42" s="34"/>
      <c r="K42" s="34"/>
      <c r="L42" s="34"/>
      <c r="M42" s="34"/>
      <c r="N42" s="34"/>
      <c r="O42" s="34"/>
      <c r="P42" s="34"/>
      <c r="Q42" s="34"/>
      <c r="S42" s="34"/>
    </row>
    <row r="43" spans="5:19" x14ac:dyDescent="0.2">
      <c r="F43" s="3"/>
      <c r="G43" s="34"/>
      <c r="H43" s="34"/>
      <c r="I43" s="34"/>
      <c r="J43" s="34"/>
      <c r="K43" s="34"/>
      <c r="L43" s="34"/>
      <c r="M43" s="34"/>
      <c r="N43" s="34"/>
      <c r="O43" s="34"/>
      <c r="P43" s="34"/>
      <c r="Q43" s="34"/>
      <c r="S43" s="34"/>
    </row>
    <row r="44" spans="5:19" x14ac:dyDescent="0.2">
      <c r="F44" s="3"/>
      <c r="G44" s="34"/>
      <c r="H44" s="34"/>
      <c r="I44" s="34"/>
      <c r="J44" s="34"/>
      <c r="K44" s="34"/>
      <c r="L44" s="34"/>
      <c r="M44" s="34"/>
      <c r="N44" s="34"/>
      <c r="O44" s="34"/>
      <c r="P44" s="34"/>
      <c r="Q44" s="34"/>
      <c r="S44" s="34"/>
    </row>
    <row r="45" spans="5:19" x14ac:dyDescent="0.2">
      <c r="F45" s="3"/>
      <c r="G45" s="34"/>
      <c r="H45" s="34"/>
      <c r="I45" s="34"/>
      <c r="J45" s="34"/>
      <c r="K45" s="34"/>
      <c r="L45" s="34"/>
      <c r="M45" s="34"/>
      <c r="N45" s="34"/>
      <c r="O45" s="34"/>
      <c r="P45" s="34"/>
      <c r="Q45" s="34"/>
      <c r="S45" s="34"/>
    </row>
    <row r="46" spans="5:19" x14ac:dyDescent="0.2">
      <c r="F46" s="3"/>
      <c r="G46" s="34"/>
      <c r="H46" s="34"/>
      <c r="I46" s="34"/>
      <c r="J46" s="34"/>
      <c r="K46" s="34"/>
      <c r="L46" s="34"/>
      <c r="M46" s="34"/>
      <c r="N46" s="34"/>
      <c r="O46" s="34"/>
      <c r="P46" s="34"/>
      <c r="Q46" s="34"/>
      <c r="S46" s="34"/>
    </row>
    <row r="47" spans="5:19" x14ac:dyDescent="0.2">
      <c r="F47" s="3"/>
      <c r="G47" s="34"/>
      <c r="H47" s="34"/>
      <c r="I47" s="34"/>
      <c r="J47" s="34"/>
      <c r="K47" s="34"/>
      <c r="L47" s="34"/>
      <c r="M47" s="34"/>
      <c r="N47" s="34"/>
      <c r="O47" s="34"/>
      <c r="P47" s="34"/>
      <c r="Q47" s="34"/>
      <c r="S47" s="34"/>
    </row>
    <row r="48" spans="5:19" x14ac:dyDescent="0.2">
      <c r="G48" s="34"/>
      <c r="H48" s="34"/>
      <c r="I48" s="34"/>
      <c r="J48" s="34"/>
      <c r="K48" s="34"/>
      <c r="L48" s="34"/>
      <c r="M48" s="34"/>
      <c r="N48" s="34"/>
      <c r="O48" s="34"/>
      <c r="P48" s="34"/>
      <c r="Q48" s="34"/>
      <c r="S48" s="34"/>
    </row>
    <row r="49" spans="7:19" x14ac:dyDescent="0.2">
      <c r="G49" s="34"/>
      <c r="H49" s="34"/>
      <c r="I49" s="34"/>
      <c r="J49" s="34"/>
      <c r="K49" s="34"/>
      <c r="L49" s="34"/>
      <c r="M49" s="34"/>
      <c r="N49" s="34"/>
      <c r="O49" s="34"/>
      <c r="P49" s="34"/>
      <c r="Q49" s="34"/>
      <c r="S49" s="34"/>
    </row>
    <row r="50" spans="7:19" x14ac:dyDescent="0.2">
      <c r="G50" s="34"/>
      <c r="H50" s="34"/>
      <c r="I50" s="34"/>
      <c r="J50" s="34"/>
      <c r="K50" s="34"/>
      <c r="L50" s="34"/>
      <c r="M50" s="34"/>
      <c r="N50" s="34"/>
      <c r="O50" s="34"/>
      <c r="P50" s="34"/>
      <c r="Q50" s="34"/>
      <c r="S50" s="34"/>
    </row>
    <row r="51" spans="7:19" x14ac:dyDescent="0.2">
      <c r="G51" s="34"/>
      <c r="H51" s="34"/>
      <c r="I51" s="34"/>
      <c r="J51" s="34"/>
      <c r="K51" s="34"/>
      <c r="L51" s="34"/>
      <c r="M51" s="34"/>
      <c r="N51" s="34"/>
      <c r="O51" s="34"/>
      <c r="P51" s="34"/>
      <c r="Q51" s="34"/>
      <c r="S51" s="34"/>
    </row>
    <row r="52" spans="7:19" x14ac:dyDescent="0.2">
      <c r="G52" s="34"/>
      <c r="H52" s="34"/>
      <c r="I52" s="34"/>
      <c r="J52" s="34"/>
      <c r="K52" s="34"/>
      <c r="L52" s="34"/>
      <c r="M52" s="34"/>
      <c r="N52" s="34"/>
      <c r="O52" s="34"/>
      <c r="P52" s="34"/>
      <c r="Q52" s="34"/>
      <c r="S52" s="34"/>
    </row>
    <row r="53" spans="7:19" x14ac:dyDescent="0.2">
      <c r="G53" s="34"/>
      <c r="H53" s="34"/>
      <c r="I53" s="34"/>
      <c r="J53" s="34"/>
      <c r="K53" s="34"/>
      <c r="L53" s="34"/>
      <c r="M53" s="34"/>
      <c r="N53" s="34"/>
      <c r="O53" s="34"/>
      <c r="P53" s="34"/>
      <c r="Q53" s="34"/>
      <c r="S53" s="34"/>
    </row>
    <row r="54" spans="7:19" x14ac:dyDescent="0.2">
      <c r="G54" s="34"/>
      <c r="H54" s="34"/>
      <c r="I54" s="34"/>
      <c r="J54" s="34"/>
      <c r="K54" s="34"/>
      <c r="L54" s="34"/>
      <c r="M54" s="34"/>
      <c r="N54" s="34"/>
      <c r="O54" s="34"/>
      <c r="P54" s="34"/>
      <c r="Q54" s="34"/>
      <c r="S54" s="34"/>
    </row>
    <row r="55" spans="7:19" x14ac:dyDescent="0.2">
      <c r="G55" s="34"/>
      <c r="H55" s="34"/>
      <c r="I55" s="34"/>
      <c r="J55" s="34"/>
      <c r="K55" s="34"/>
      <c r="L55" s="34"/>
      <c r="M55" s="34"/>
      <c r="N55" s="34"/>
      <c r="O55" s="34"/>
      <c r="P55" s="34"/>
      <c r="Q55" s="34"/>
      <c r="S55" s="34"/>
    </row>
    <row r="56" spans="7:19" x14ac:dyDescent="0.2">
      <c r="G56" s="34"/>
      <c r="H56" s="34"/>
      <c r="I56" s="34"/>
      <c r="J56" s="34"/>
      <c r="K56" s="34"/>
      <c r="L56" s="34"/>
      <c r="M56" s="34"/>
      <c r="N56" s="34"/>
      <c r="O56" s="34"/>
      <c r="P56" s="34"/>
      <c r="Q56" s="34"/>
      <c r="S56" s="34"/>
    </row>
    <row r="57" spans="7:19" x14ac:dyDescent="0.2">
      <c r="G57" s="34"/>
      <c r="H57" s="34"/>
      <c r="I57" s="34"/>
      <c r="J57" s="34"/>
      <c r="K57" s="34"/>
      <c r="L57" s="34"/>
      <c r="M57" s="34"/>
      <c r="N57" s="34"/>
      <c r="O57" s="34"/>
      <c r="P57" s="34"/>
      <c r="Q57" s="34"/>
      <c r="S57" s="34"/>
    </row>
    <row r="58" spans="7:19" x14ac:dyDescent="0.2">
      <c r="G58" s="34"/>
      <c r="H58" s="34"/>
      <c r="I58" s="34"/>
      <c r="J58" s="34"/>
      <c r="K58" s="34"/>
      <c r="L58" s="34"/>
      <c r="M58" s="34"/>
      <c r="N58" s="34"/>
      <c r="O58" s="34"/>
      <c r="P58" s="34"/>
      <c r="Q58" s="34"/>
      <c r="S58" s="34"/>
    </row>
    <row r="59" spans="7:19" x14ac:dyDescent="0.2">
      <c r="G59" s="34"/>
      <c r="H59" s="34"/>
      <c r="I59" s="34"/>
      <c r="J59" s="34"/>
      <c r="K59" s="34"/>
      <c r="L59" s="34"/>
      <c r="M59" s="34"/>
      <c r="N59" s="34"/>
      <c r="O59" s="34"/>
      <c r="P59" s="34"/>
      <c r="Q59" s="34"/>
      <c r="S59" s="34"/>
    </row>
    <row r="60" spans="7:19" x14ac:dyDescent="0.2">
      <c r="G60" s="34"/>
      <c r="H60" s="34"/>
      <c r="I60" s="34"/>
      <c r="J60" s="34"/>
      <c r="K60" s="34"/>
      <c r="L60" s="34"/>
      <c r="M60" s="34"/>
      <c r="N60" s="34"/>
      <c r="O60" s="34"/>
      <c r="P60" s="34"/>
      <c r="Q60" s="34"/>
      <c r="S60" s="34"/>
    </row>
    <row r="61" spans="7:19" x14ac:dyDescent="0.2">
      <c r="G61" s="34"/>
      <c r="H61" s="34"/>
      <c r="I61" s="34"/>
      <c r="J61" s="34"/>
      <c r="K61" s="34"/>
      <c r="L61" s="34"/>
      <c r="M61" s="34"/>
      <c r="N61" s="34"/>
      <c r="O61" s="34"/>
      <c r="P61" s="34"/>
      <c r="Q61" s="34"/>
      <c r="S61" s="34"/>
    </row>
    <row r="62" spans="7:19" x14ac:dyDescent="0.2">
      <c r="G62" s="34"/>
      <c r="H62" s="34"/>
      <c r="I62" s="34"/>
      <c r="J62" s="34"/>
      <c r="K62" s="34"/>
      <c r="L62" s="34"/>
      <c r="M62" s="34"/>
      <c r="N62" s="34"/>
      <c r="O62" s="34"/>
      <c r="P62" s="34"/>
      <c r="Q62" s="34"/>
      <c r="S62" s="34"/>
    </row>
    <row r="63" spans="7:19" x14ac:dyDescent="0.2">
      <c r="G63" s="34"/>
      <c r="H63" s="34"/>
      <c r="I63" s="34"/>
      <c r="J63" s="34"/>
      <c r="K63" s="34"/>
      <c r="L63" s="34"/>
      <c r="M63" s="34"/>
      <c r="N63" s="34"/>
      <c r="O63" s="34"/>
      <c r="P63" s="34"/>
      <c r="Q63" s="34"/>
      <c r="S63" s="34"/>
    </row>
    <row r="64" spans="7:19" x14ac:dyDescent="0.2">
      <c r="G64" s="29"/>
    </row>
    <row r="65" spans="7:7" x14ac:dyDescent="0.2">
      <c r="G65" s="29"/>
    </row>
  </sheetData>
  <conditionalFormatting sqref="T3:T4">
    <cfRule type="containsText" dxfId="20" priority="16" operator="containsText" text="See Memo on TFP Update for Enbridge">
      <formula>NOT(ISERROR(SEARCH("See Memo on TFP Update for Enbridge",T3)))</formula>
    </cfRule>
  </conditionalFormatting>
  <conditionalFormatting sqref="C3:C4">
    <cfRule type="containsText" dxfId="19" priority="23" operator="containsText" text="See Memo on TFP Update for Enbridge">
      <formula>NOT(ISERROR(SEARCH("See Memo on TFP Update for Enbridge",C3)))</formula>
    </cfRule>
  </conditionalFormatting>
  <conditionalFormatting sqref="D3:D4">
    <cfRule type="containsText" dxfId="18" priority="22" operator="containsText" text="See Memo on TFP Update for Enbridge">
      <formula>NOT(ISERROR(SEARCH("See Memo on TFP Update for Enbridge",D3)))</formula>
    </cfRule>
  </conditionalFormatting>
  <conditionalFormatting sqref="J3:J4 O3:O4 E3:F4">
    <cfRule type="containsText" dxfId="17" priority="18" operator="containsText" text="See Memo on TFP Update for Enbridge">
      <formula>NOT(ISERROR(SEARCH("See Memo on TFP Update for Enbridge",E3)))</formula>
    </cfRule>
  </conditionalFormatting>
  <conditionalFormatting sqref="R3 R4:S4">
    <cfRule type="containsText" dxfId="16" priority="17" operator="containsText" text="See Memo on TFP Update for Enbridge">
      <formula>NOT(ISERROR(SEARCH("See Memo on TFP Update for Enbridge",R3)))</formula>
    </cfRule>
  </conditionalFormatting>
  <conditionalFormatting sqref="H3:H4">
    <cfRule type="containsText" dxfId="15" priority="15" operator="containsText" text="See Memo on TFP Update for Enbridge">
      <formula>NOT(ISERROR(SEARCH("See Memo on TFP Update for Enbridge",H3)))</formula>
    </cfRule>
  </conditionalFormatting>
  <conditionalFormatting sqref="I3:I4">
    <cfRule type="containsText" dxfId="14" priority="14" operator="containsText" text="See Memo on TFP Update for Enbridge">
      <formula>NOT(ISERROR(SEARCH("See Memo on TFP Update for Enbridge",I3)))</formula>
    </cfRule>
  </conditionalFormatting>
  <conditionalFormatting sqref="M3:M4">
    <cfRule type="containsText" dxfId="13" priority="13" operator="containsText" text="See Memo on TFP Update for Enbridge">
      <formula>NOT(ISERROR(SEARCH("See Memo on TFP Update for Enbridge",M3)))</formula>
    </cfRule>
  </conditionalFormatting>
  <conditionalFormatting sqref="N3:N4">
    <cfRule type="containsText" dxfId="12" priority="12" operator="containsText" text="See Memo on TFP Update for Enbridge">
      <formula>NOT(ISERROR(SEARCH("See Memo on TFP Update for Enbridge",N3)))</formula>
    </cfRule>
  </conditionalFormatting>
  <conditionalFormatting sqref="G4">
    <cfRule type="containsText" dxfId="11" priority="11" operator="containsText" text="See Memo on TFP Update for Enbridge">
      <formula>NOT(ISERROR(SEARCH("See Memo on TFP Update for Enbridge",G4)))</formula>
    </cfRule>
  </conditionalFormatting>
  <conditionalFormatting sqref="G3">
    <cfRule type="containsText" dxfId="10" priority="10" operator="containsText" text="See Memo on TFP Update for Enbridge">
      <formula>NOT(ISERROR(SEARCH("See Memo on TFP Update for Enbridge",G3)))</formula>
    </cfRule>
  </conditionalFormatting>
  <conditionalFormatting sqref="K3">
    <cfRule type="containsText" dxfId="9" priority="9" operator="containsText" text="See Memo on TFP Update for Enbridge">
      <formula>NOT(ISERROR(SEARCH("See Memo on TFP Update for Enbridge",K3)))</formula>
    </cfRule>
  </conditionalFormatting>
  <conditionalFormatting sqref="L4">
    <cfRule type="containsText" dxfId="8" priority="8" operator="containsText" text="See Memo on TFP Update for Enbridge">
      <formula>NOT(ISERROR(SEARCH("See Memo on TFP Update for Enbridge",L4)))</formula>
    </cfRule>
  </conditionalFormatting>
  <conditionalFormatting sqref="L3">
    <cfRule type="containsText" dxfId="7" priority="7" operator="containsText" text="See Memo on TFP Update for Enbridge">
      <formula>NOT(ISERROR(SEARCH("See Memo on TFP Update for Enbridge",L3)))</formula>
    </cfRule>
  </conditionalFormatting>
  <conditionalFormatting sqref="K4">
    <cfRule type="containsText" dxfId="6" priority="6" operator="containsText" text="See Memo on TFP Update for Enbridge">
      <formula>NOT(ISERROR(SEARCH("See Memo on TFP Update for Enbridge",K4)))</formula>
    </cfRule>
  </conditionalFormatting>
  <conditionalFormatting sqref="P3">
    <cfRule type="containsText" dxfId="5" priority="5" operator="containsText" text="See Memo on TFP Update for Enbridge">
      <formula>NOT(ISERROR(SEARCH("See Memo on TFP Update for Enbridge",P3)))</formula>
    </cfRule>
  </conditionalFormatting>
  <conditionalFormatting sqref="Q4">
    <cfRule type="containsText" dxfId="4" priority="4" operator="containsText" text="See Memo on TFP Update for Enbridge">
      <formula>NOT(ISERROR(SEARCH("See Memo on TFP Update for Enbridge",Q4)))</formula>
    </cfRule>
  </conditionalFormatting>
  <conditionalFormatting sqref="Q3">
    <cfRule type="containsText" dxfId="3" priority="3" operator="containsText" text="See Memo on TFP Update for Enbridge">
      <formula>NOT(ISERROR(SEARCH("See Memo on TFP Update for Enbridge",Q3)))</formula>
    </cfRule>
  </conditionalFormatting>
  <conditionalFormatting sqref="P4">
    <cfRule type="containsText" dxfId="2" priority="2" operator="containsText" text="See Memo on TFP Update for Enbridge">
      <formula>NOT(ISERROR(SEARCH("See Memo on TFP Update for Enbridge",P4)))</formula>
    </cfRule>
  </conditionalFormatting>
  <conditionalFormatting sqref="S3">
    <cfRule type="containsText" dxfId="1" priority="1" operator="containsText" text="See Memo on TFP Update for Enbridge">
      <formula>NOT(ISERROR(SEARCH("See Memo on TFP Update for Enbridge",S3)))</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5:S112"/>
  <sheetViews>
    <sheetView workbookViewId="0">
      <selection activeCell="K107" sqref="K107"/>
    </sheetView>
  </sheetViews>
  <sheetFormatPr defaultColWidth="9.140625" defaultRowHeight="12.75" x14ac:dyDescent="0.2"/>
  <cols>
    <col min="1" max="1" width="9.140625" style="1"/>
    <col min="2" max="2" width="13.140625" style="1" bestFit="1" customWidth="1"/>
    <col min="3" max="3" width="12.85546875" style="1" bestFit="1" customWidth="1"/>
    <col min="4" max="4" width="12.5703125" style="1" bestFit="1" customWidth="1"/>
    <col min="5" max="5" width="12.42578125" style="1" bestFit="1" customWidth="1"/>
    <col min="6" max="6" width="7.85546875" style="1" customWidth="1"/>
    <col min="7" max="7" width="6.85546875" style="1" bestFit="1" customWidth="1"/>
    <col min="8" max="10" width="9.140625" style="1"/>
    <col min="11" max="11" width="9.140625" style="31"/>
    <col min="12" max="12" width="9.140625" style="1"/>
    <col min="13" max="13" width="9.140625" style="31"/>
    <col min="14" max="16384" width="9.140625" style="1"/>
  </cols>
  <sheetData>
    <row r="5" spans="1:19" x14ac:dyDescent="0.2">
      <c r="B5" s="1" t="s">
        <v>53</v>
      </c>
      <c r="C5" s="1" t="s">
        <v>59</v>
      </c>
      <c r="D5" s="1" t="s">
        <v>60</v>
      </c>
      <c r="E5" s="1" t="s">
        <v>61</v>
      </c>
      <c r="F5" s="1" t="s">
        <v>62</v>
      </c>
      <c r="G5" s="1" t="s">
        <v>63</v>
      </c>
    </row>
    <row r="6" spans="1:19" x14ac:dyDescent="0.2">
      <c r="A6" s="1">
        <v>1912</v>
      </c>
      <c r="B6" s="1">
        <v>11</v>
      </c>
      <c r="C6" s="1">
        <v>11</v>
      </c>
      <c r="D6" s="1">
        <v>13</v>
      </c>
      <c r="E6" s="1">
        <v>13</v>
      </c>
      <c r="F6" s="1">
        <v>14</v>
      </c>
      <c r="G6" s="1">
        <v>13</v>
      </c>
    </row>
    <row r="7" spans="1:19" x14ac:dyDescent="0.2">
      <c r="A7" s="41">
        <v>1913</v>
      </c>
      <c r="B7" s="41">
        <v>11</v>
      </c>
      <c r="C7" s="41">
        <v>12</v>
      </c>
      <c r="D7" s="41">
        <v>12</v>
      </c>
      <c r="E7" s="41">
        <v>13</v>
      </c>
      <c r="F7" s="41">
        <v>13</v>
      </c>
      <c r="G7" s="41">
        <v>13</v>
      </c>
      <c r="M7" s="42"/>
      <c r="N7" s="43"/>
      <c r="O7" s="43"/>
      <c r="P7" s="43"/>
      <c r="Q7" s="43"/>
      <c r="R7" s="12"/>
      <c r="S7" s="12"/>
    </row>
    <row r="8" spans="1:19" x14ac:dyDescent="0.2">
      <c r="A8" s="41">
        <v>1914</v>
      </c>
      <c r="B8" s="41">
        <v>11</v>
      </c>
      <c r="C8" s="41">
        <v>11</v>
      </c>
      <c r="D8" s="41">
        <v>12</v>
      </c>
      <c r="E8" s="41">
        <v>13</v>
      </c>
      <c r="F8" s="41">
        <v>13</v>
      </c>
      <c r="G8" s="41">
        <v>12</v>
      </c>
      <c r="M8" s="44"/>
      <c r="N8" s="44"/>
      <c r="O8" s="44"/>
      <c r="P8" s="44"/>
      <c r="Q8" s="44"/>
      <c r="R8" s="44"/>
      <c r="S8" s="44"/>
    </row>
    <row r="9" spans="1:19" x14ac:dyDescent="0.2">
      <c r="A9" s="41">
        <v>1915</v>
      </c>
      <c r="B9" s="41">
        <v>11</v>
      </c>
      <c r="C9" s="41">
        <v>12</v>
      </c>
      <c r="D9" s="41">
        <v>13</v>
      </c>
      <c r="E9" s="41">
        <v>13</v>
      </c>
      <c r="F9" s="41">
        <v>13</v>
      </c>
      <c r="G9" s="41">
        <v>13</v>
      </c>
      <c r="M9" s="44"/>
      <c r="N9" s="44"/>
      <c r="O9" s="44"/>
      <c r="P9" s="44"/>
      <c r="Q9" s="44"/>
      <c r="R9" s="44"/>
      <c r="S9" s="44"/>
    </row>
    <row r="10" spans="1:19" x14ac:dyDescent="0.2">
      <c r="A10" s="41">
        <v>1916</v>
      </c>
      <c r="B10" s="41">
        <v>13</v>
      </c>
      <c r="C10" s="41">
        <v>13</v>
      </c>
      <c r="D10" s="41">
        <v>14</v>
      </c>
      <c r="E10" s="41">
        <v>15</v>
      </c>
      <c r="F10" s="41">
        <v>16</v>
      </c>
      <c r="G10" s="41">
        <v>15</v>
      </c>
      <c r="M10" s="44"/>
      <c r="N10" s="44"/>
      <c r="O10" s="44"/>
      <c r="P10" s="44"/>
      <c r="Q10" s="44"/>
      <c r="R10" s="44"/>
      <c r="S10" s="44"/>
    </row>
    <row r="11" spans="1:19" x14ac:dyDescent="0.2">
      <c r="A11" s="41">
        <v>1917</v>
      </c>
      <c r="B11" s="41">
        <v>15</v>
      </c>
      <c r="C11" s="41">
        <v>15</v>
      </c>
      <c r="D11" s="41">
        <v>17</v>
      </c>
      <c r="E11" s="41">
        <v>17</v>
      </c>
      <c r="F11" s="41">
        <v>18</v>
      </c>
      <c r="G11" s="41">
        <v>17</v>
      </c>
      <c r="M11" s="44"/>
      <c r="N11" s="44"/>
      <c r="O11" s="44"/>
      <c r="P11" s="44"/>
      <c r="Q11" s="44"/>
      <c r="R11" s="44"/>
      <c r="S11" s="44"/>
    </row>
    <row r="12" spans="1:19" x14ac:dyDescent="0.2">
      <c r="A12" s="41">
        <v>1918</v>
      </c>
      <c r="B12" s="41">
        <v>19</v>
      </c>
      <c r="C12" s="41">
        <v>19</v>
      </c>
      <c r="D12" s="41">
        <v>20</v>
      </c>
      <c r="E12" s="41">
        <v>20</v>
      </c>
      <c r="F12" s="41">
        <v>22</v>
      </c>
      <c r="G12" s="41">
        <v>21</v>
      </c>
      <c r="M12" s="44"/>
      <c r="N12" s="44"/>
      <c r="O12" s="44"/>
      <c r="P12" s="44"/>
      <c r="Q12" s="44"/>
      <c r="R12" s="44"/>
      <c r="S12" s="44"/>
    </row>
    <row r="13" spans="1:19" x14ac:dyDescent="0.2">
      <c r="A13" s="41">
        <v>1919</v>
      </c>
      <c r="B13" s="41">
        <v>20</v>
      </c>
      <c r="C13" s="41">
        <v>21</v>
      </c>
      <c r="D13" s="41">
        <v>22</v>
      </c>
      <c r="E13" s="41">
        <v>23</v>
      </c>
      <c r="F13" s="41">
        <v>24</v>
      </c>
      <c r="G13" s="41">
        <v>22</v>
      </c>
      <c r="M13" s="44"/>
      <c r="N13" s="44"/>
      <c r="O13" s="44"/>
      <c r="P13" s="44"/>
      <c r="Q13" s="44"/>
      <c r="R13" s="44"/>
      <c r="S13" s="44"/>
    </row>
    <row r="14" spans="1:19" x14ac:dyDescent="0.2">
      <c r="A14" s="41">
        <v>1920</v>
      </c>
      <c r="B14" s="41">
        <v>22</v>
      </c>
      <c r="C14" s="41">
        <v>22</v>
      </c>
      <c r="D14" s="41">
        <v>24</v>
      </c>
      <c r="E14" s="41">
        <v>25</v>
      </c>
      <c r="F14" s="41">
        <v>25</v>
      </c>
      <c r="G14" s="41">
        <v>24</v>
      </c>
      <c r="M14" s="44"/>
      <c r="N14" s="44"/>
      <c r="O14" s="44"/>
      <c r="P14" s="44"/>
      <c r="Q14" s="44"/>
      <c r="R14" s="44"/>
      <c r="S14" s="44"/>
    </row>
    <row r="15" spans="1:19" x14ac:dyDescent="0.2">
      <c r="A15" s="41">
        <v>1921</v>
      </c>
      <c r="B15" s="41">
        <v>21</v>
      </c>
      <c r="C15" s="41">
        <v>21</v>
      </c>
      <c r="D15" s="41">
        <v>22</v>
      </c>
      <c r="E15" s="41">
        <v>24</v>
      </c>
      <c r="F15" s="41">
        <v>24</v>
      </c>
      <c r="G15" s="41">
        <v>23</v>
      </c>
      <c r="M15" s="44"/>
      <c r="N15" s="44"/>
      <c r="O15" s="44"/>
      <c r="P15" s="44"/>
      <c r="Q15" s="44"/>
      <c r="R15" s="44"/>
      <c r="S15" s="44"/>
    </row>
    <row r="16" spans="1:19" x14ac:dyDescent="0.2">
      <c r="A16" s="41">
        <v>1922</v>
      </c>
      <c r="B16" s="41">
        <v>20</v>
      </c>
      <c r="C16" s="41">
        <v>19</v>
      </c>
      <c r="D16" s="41">
        <v>21</v>
      </c>
      <c r="E16" s="41">
        <v>22</v>
      </c>
      <c r="F16" s="41">
        <v>22</v>
      </c>
      <c r="G16" s="41">
        <v>21</v>
      </c>
      <c r="M16" s="44"/>
      <c r="N16" s="44"/>
      <c r="O16" s="44"/>
      <c r="P16" s="44"/>
      <c r="Q16" s="44"/>
      <c r="R16" s="44"/>
      <c r="S16" s="44"/>
    </row>
    <row r="17" spans="1:19" x14ac:dyDescent="0.2">
      <c r="A17" s="41">
        <v>1923</v>
      </c>
      <c r="B17" s="41">
        <v>20</v>
      </c>
      <c r="C17" s="41">
        <v>19</v>
      </c>
      <c r="D17" s="41">
        <v>21</v>
      </c>
      <c r="E17" s="41">
        <v>21</v>
      </c>
      <c r="F17" s="41">
        <v>22</v>
      </c>
      <c r="G17" s="41">
        <v>21</v>
      </c>
      <c r="M17" s="44"/>
      <c r="N17" s="44"/>
      <c r="O17" s="44"/>
      <c r="P17" s="44"/>
      <c r="Q17" s="44"/>
      <c r="R17" s="44"/>
      <c r="S17" s="44"/>
    </row>
    <row r="18" spans="1:19" x14ac:dyDescent="0.2">
      <c r="A18" s="41">
        <v>1924</v>
      </c>
      <c r="B18" s="41">
        <v>20</v>
      </c>
      <c r="C18" s="41">
        <v>20</v>
      </c>
      <c r="D18" s="41">
        <v>22</v>
      </c>
      <c r="E18" s="41">
        <v>22</v>
      </c>
      <c r="F18" s="41">
        <v>22</v>
      </c>
      <c r="G18" s="41">
        <v>21</v>
      </c>
      <c r="M18" s="44"/>
      <c r="N18" s="44"/>
      <c r="O18" s="44"/>
      <c r="P18" s="44"/>
      <c r="Q18" s="44"/>
      <c r="R18" s="44"/>
      <c r="S18" s="44"/>
    </row>
    <row r="19" spans="1:19" x14ac:dyDescent="0.2">
      <c r="A19" s="41">
        <v>1925</v>
      </c>
      <c r="B19" s="41">
        <v>20</v>
      </c>
      <c r="C19" s="41">
        <v>20</v>
      </c>
      <c r="D19" s="41">
        <v>22</v>
      </c>
      <c r="E19" s="41">
        <v>22</v>
      </c>
      <c r="F19" s="41">
        <v>23</v>
      </c>
      <c r="G19" s="41">
        <v>21</v>
      </c>
      <c r="M19" s="44"/>
      <c r="N19" s="44"/>
      <c r="O19" s="44"/>
      <c r="P19" s="44"/>
      <c r="Q19" s="44"/>
      <c r="R19" s="44"/>
      <c r="S19" s="44"/>
    </row>
    <row r="20" spans="1:19" x14ac:dyDescent="0.2">
      <c r="A20" s="41">
        <v>1926</v>
      </c>
      <c r="B20" s="41">
        <v>20</v>
      </c>
      <c r="C20" s="41">
        <v>19</v>
      </c>
      <c r="D20" s="41">
        <v>21</v>
      </c>
      <c r="E20" s="41">
        <v>21</v>
      </c>
      <c r="F20" s="41">
        <v>22</v>
      </c>
      <c r="G20" s="41">
        <v>20</v>
      </c>
      <c r="M20" s="44"/>
      <c r="N20" s="44"/>
      <c r="O20" s="44"/>
      <c r="P20" s="44"/>
      <c r="Q20" s="44"/>
      <c r="R20" s="44"/>
      <c r="S20" s="44"/>
    </row>
    <row r="21" spans="1:19" x14ac:dyDescent="0.2">
      <c r="A21" s="41">
        <v>1927</v>
      </c>
      <c r="B21" s="41">
        <v>20</v>
      </c>
      <c r="C21" s="41">
        <v>19</v>
      </c>
      <c r="D21" s="41">
        <v>20</v>
      </c>
      <c r="E21" s="41">
        <v>20</v>
      </c>
      <c r="F21" s="41">
        <v>21</v>
      </c>
      <c r="G21" s="41">
        <v>20</v>
      </c>
      <c r="M21" s="44"/>
      <c r="N21" s="44"/>
      <c r="O21" s="44"/>
      <c r="P21" s="44"/>
      <c r="Q21" s="44"/>
      <c r="R21" s="44"/>
      <c r="S21" s="44"/>
    </row>
    <row r="22" spans="1:19" x14ac:dyDescent="0.2">
      <c r="A22" s="41">
        <v>1928</v>
      </c>
      <c r="B22" s="41">
        <v>20</v>
      </c>
      <c r="C22" s="41">
        <v>19</v>
      </c>
      <c r="D22" s="41">
        <v>21</v>
      </c>
      <c r="E22" s="41">
        <v>21</v>
      </c>
      <c r="F22" s="41">
        <v>21</v>
      </c>
      <c r="G22" s="41">
        <v>20</v>
      </c>
      <c r="M22" s="44"/>
      <c r="N22" s="44"/>
      <c r="O22" s="44"/>
      <c r="P22" s="44"/>
      <c r="Q22" s="44"/>
      <c r="R22" s="44"/>
      <c r="S22" s="44"/>
    </row>
    <row r="23" spans="1:19" x14ac:dyDescent="0.2">
      <c r="A23" s="41">
        <v>1929</v>
      </c>
      <c r="B23" s="41">
        <v>21</v>
      </c>
      <c r="C23" s="41">
        <v>20</v>
      </c>
      <c r="D23" s="41">
        <v>22</v>
      </c>
      <c r="E23" s="41">
        <v>21</v>
      </c>
      <c r="F23" s="41">
        <v>22</v>
      </c>
      <c r="G23" s="41">
        <v>21</v>
      </c>
      <c r="M23" s="44"/>
      <c r="N23" s="44"/>
      <c r="O23" s="44"/>
      <c r="P23" s="44"/>
      <c r="Q23" s="44"/>
      <c r="R23" s="44"/>
      <c r="S23" s="44"/>
    </row>
    <row r="24" spans="1:19" x14ac:dyDescent="0.2">
      <c r="A24" s="41">
        <v>1930</v>
      </c>
      <c r="B24" s="41">
        <v>20</v>
      </c>
      <c r="C24" s="41">
        <v>19</v>
      </c>
      <c r="D24" s="41">
        <v>21</v>
      </c>
      <c r="E24" s="41">
        <v>21</v>
      </c>
      <c r="F24" s="41">
        <v>22</v>
      </c>
      <c r="G24" s="41">
        <v>20</v>
      </c>
      <c r="M24" s="44"/>
      <c r="N24" s="44"/>
      <c r="O24" s="44"/>
      <c r="P24" s="44"/>
      <c r="Q24" s="44"/>
      <c r="R24" s="44"/>
      <c r="S24" s="44"/>
    </row>
    <row r="25" spans="1:19" x14ac:dyDescent="0.2">
      <c r="A25" s="41">
        <v>1931</v>
      </c>
      <c r="B25" s="41">
        <v>20</v>
      </c>
      <c r="C25" s="41">
        <v>18</v>
      </c>
      <c r="D25" s="41">
        <v>20</v>
      </c>
      <c r="E25" s="41">
        <v>20</v>
      </c>
      <c r="F25" s="41">
        <v>21</v>
      </c>
      <c r="G25" s="41">
        <v>20</v>
      </c>
      <c r="M25" s="44"/>
      <c r="N25" s="44"/>
      <c r="O25" s="44"/>
      <c r="P25" s="44"/>
      <c r="Q25" s="44"/>
      <c r="R25" s="44"/>
      <c r="S25" s="44"/>
    </row>
    <row r="26" spans="1:19" x14ac:dyDescent="0.2">
      <c r="A26" s="41">
        <v>1932</v>
      </c>
      <c r="B26" s="41">
        <v>19</v>
      </c>
      <c r="C26" s="41">
        <v>17</v>
      </c>
      <c r="D26" s="41">
        <v>19</v>
      </c>
      <c r="E26" s="41">
        <v>19</v>
      </c>
      <c r="F26" s="41">
        <v>20</v>
      </c>
      <c r="G26" s="41">
        <v>18</v>
      </c>
      <c r="M26" s="44"/>
      <c r="N26" s="44"/>
      <c r="O26" s="44"/>
      <c r="P26" s="44"/>
      <c r="Q26" s="44"/>
      <c r="R26" s="44"/>
      <c r="S26" s="44"/>
    </row>
    <row r="27" spans="1:19" x14ac:dyDescent="0.2">
      <c r="A27" s="41">
        <v>1933</v>
      </c>
      <c r="B27" s="41">
        <v>19</v>
      </c>
      <c r="C27" s="41">
        <v>17</v>
      </c>
      <c r="D27" s="41">
        <v>19</v>
      </c>
      <c r="E27" s="41">
        <v>19</v>
      </c>
      <c r="F27" s="41">
        <v>20</v>
      </c>
      <c r="G27" s="41">
        <v>19</v>
      </c>
      <c r="M27" s="44"/>
      <c r="N27" s="44"/>
      <c r="O27" s="44"/>
      <c r="P27" s="44"/>
      <c r="Q27" s="44"/>
      <c r="R27" s="44"/>
      <c r="S27" s="44"/>
    </row>
    <row r="28" spans="1:19" x14ac:dyDescent="0.2">
      <c r="A28" s="41">
        <v>1934</v>
      </c>
      <c r="B28" s="41">
        <v>20</v>
      </c>
      <c r="C28" s="41">
        <v>19</v>
      </c>
      <c r="D28" s="41">
        <v>20</v>
      </c>
      <c r="E28" s="41">
        <v>20</v>
      </c>
      <c r="F28" s="41">
        <v>22</v>
      </c>
      <c r="G28" s="41">
        <v>20</v>
      </c>
      <c r="M28" s="44"/>
      <c r="N28" s="44"/>
      <c r="O28" s="44"/>
      <c r="P28" s="44"/>
      <c r="Q28" s="44"/>
      <c r="R28" s="44"/>
      <c r="S28" s="44"/>
    </row>
    <row r="29" spans="1:19" x14ac:dyDescent="0.2">
      <c r="A29" s="41">
        <v>1935</v>
      </c>
      <c r="B29" s="41">
        <v>20</v>
      </c>
      <c r="C29" s="41">
        <v>19</v>
      </c>
      <c r="D29" s="41">
        <v>20</v>
      </c>
      <c r="E29" s="41">
        <v>21</v>
      </c>
      <c r="F29" s="41">
        <v>22</v>
      </c>
      <c r="G29" s="41">
        <v>21</v>
      </c>
      <c r="M29" s="44"/>
      <c r="N29" s="44"/>
      <c r="O29" s="44"/>
      <c r="P29" s="44"/>
      <c r="Q29" s="44"/>
      <c r="R29" s="44"/>
      <c r="S29" s="44"/>
    </row>
    <row r="30" spans="1:19" x14ac:dyDescent="0.2">
      <c r="A30" s="41">
        <v>1936</v>
      </c>
      <c r="B30" s="41">
        <v>20</v>
      </c>
      <c r="C30" s="41">
        <v>19</v>
      </c>
      <c r="D30" s="41">
        <v>22</v>
      </c>
      <c r="E30" s="41">
        <v>21</v>
      </c>
      <c r="F30" s="41">
        <v>23</v>
      </c>
      <c r="G30" s="41">
        <v>21</v>
      </c>
      <c r="M30" s="44"/>
      <c r="N30" s="44"/>
      <c r="O30" s="44"/>
      <c r="P30" s="44"/>
      <c r="Q30" s="44"/>
      <c r="R30" s="44"/>
      <c r="S30" s="44"/>
    </row>
    <row r="31" spans="1:19" x14ac:dyDescent="0.2">
      <c r="A31" s="41">
        <v>1937</v>
      </c>
      <c r="B31" s="41">
        <v>22</v>
      </c>
      <c r="C31" s="41">
        <v>21</v>
      </c>
      <c r="D31" s="41">
        <v>23</v>
      </c>
      <c r="E31" s="41">
        <v>22</v>
      </c>
      <c r="F31" s="41">
        <v>24</v>
      </c>
      <c r="G31" s="41">
        <v>23</v>
      </c>
      <c r="M31" s="44"/>
      <c r="N31" s="44"/>
      <c r="O31" s="44"/>
      <c r="P31" s="44"/>
      <c r="Q31" s="44"/>
      <c r="R31" s="44"/>
      <c r="S31" s="44"/>
    </row>
    <row r="32" spans="1:19" x14ac:dyDescent="0.2">
      <c r="A32" s="41">
        <v>1938</v>
      </c>
      <c r="B32" s="41">
        <v>22</v>
      </c>
      <c r="C32" s="41">
        <v>21</v>
      </c>
      <c r="D32" s="41">
        <v>23</v>
      </c>
      <c r="E32" s="41">
        <v>22</v>
      </c>
      <c r="F32" s="41">
        <v>24</v>
      </c>
      <c r="G32" s="41">
        <v>23</v>
      </c>
      <c r="M32" s="44"/>
      <c r="N32" s="44"/>
      <c r="O32" s="44"/>
      <c r="P32" s="44"/>
      <c r="Q32" s="44"/>
      <c r="R32" s="44"/>
      <c r="S32" s="44"/>
    </row>
    <row r="33" spans="1:19" x14ac:dyDescent="0.2">
      <c r="A33" s="41">
        <v>1939</v>
      </c>
      <c r="B33" s="41">
        <v>22</v>
      </c>
      <c r="C33" s="41">
        <v>21</v>
      </c>
      <c r="D33" s="41">
        <v>24</v>
      </c>
      <c r="E33" s="41">
        <v>23</v>
      </c>
      <c r="F33" s="41">
        <v>24</v>
      </c>
      <c r="G33" s="41">
        <v>23</v>
      </c>
      <c r="M33" s="44"/>
      <c r="N33" s="44"/>
      <c r="O33" s="44"/>
      <c r="P33" s="44"/>
      <c r="Q33" s="44"/>
      <c r="R33" s="44"/>
      <c r="S33" s="44"/>
    </row>
    <row r="34" spans="1:19" x14ac:dyDescent="0.2">
      <c r="A34" s="41">
        <v>1940</v>
      </c>
      <c r="B34" s="41">
        <v>23</v>
      </c>
      <c r="C34" s="41">
        <v>21</v>
      </c>
      <c r="D34" s="41">
        <v>24</v>
      </c>
      <c r="E34" s="41">
        <v>23</v>
      </c>
      <c r="F34" s="41">
        <v>25</v>
      </c>
      <c r="G34" s="41">
        <v>23</v>
      </c>
      <c r="M34" s="44"/>
      <c r="N34" s="44"/>
      <c r="O34" s="44"/>
      <c r="P34" s="44"/>
      <c r="Q34" s="44"/>
      <c r="R34" s="44"/>
      <c r="S34" s="44"/>
    </row>
    <row r="35" spans="1:19" x14ac:dyDescent="0.2">
      <c r="A35" s="41">
        <v>1941</v>
      </c>
      <c r="B35" s="41">
        <v>24</v>
      </c>
      <c r="C35" s="41">
        <v>23</v>
      </c>
      <c r="D35" s="41">
        <v>25</v>
      </c>
      <c r="E35" s="41">
        <v>24</v>
      </c>
      <c r="F35" s="41">
        <v>26</v>
      </c>
      <c r="G35" s="41">
        <v>25</v>
      </c>
      <c r="M35" s="44"/>
      <c r="N35" s="44"/>
      <c r="O35" s="44"/>
      <c r="P35" s="44"/>
      <c r="Q35" s="44"/>
      <c r="R35" s="44"/>
      <c r="S35" s="44"/>
    </row>
    <row r="36" spans="1:19" x14ac:dyDescent="0.2">
      <c r="A36" s="41">
        <v>1942</v>
      </c>
      <c r="B36" s="41">
        <v>25</v>
      </c>
      <c r="C36" s="41">
        <v>24</v>
      </c>
      <c r="D36" s="41">
        <v>26</v>
      </c>
      <c r="E36" s="41">
        <v>26</v>
      </c>
      <c r="F36" s="41">
        <v>27</v>
      </c>
      <c r="G36" s="41">
        <v>26</v>
      </c>
      <c r="M36" s="44"/>
      <c r="N36" s="44"/>
      <c r="O36" s="44"/>
      <c r="P36" s="44"/>
      <c r="Q36" s="44"/>
      <c r="R36" s="44"/>
      <c r="S36" s="44"/>
    </row>
    <row r="37" spans="1:19" x14ac:dyDescent="0.2">
      <c r="A37" s="41">
        <v>1943</v>
      </c>
      <c r="B37" s="41">
        <v>25</v>
      </c>
      <c r="C37" s="41">
        <v>25</v>
      </c>
      <c r="D37" s="41">
        <v>26</v>
      </c>
      <c r="E37" s="41">
        <v>26</v>
      </c>
      <c r="F37" s="41">
        <v>27</v>
      </c>
      <c r="G37" s="41">
        <v>26</v>
      </c>
      <c r="M37" s="44"/>
      <c r="N37" s="44"/>
      <c r="O37" s="44"/>
      <c r="P37" s="44"/>
      <c r="Q37" s="44"/>
      <c r="R37" s="44"/>
      <c r="S37" s="44"/>
    </row>
    <row r="38" spans="1:19" x14ac:dyDescent="0.2">
      <c r="A38" s="41">
        <v>1944</v>
      </c>
      <c r="B38" s="41">
        <v>26</v>
      </c>
      <c r="C38" s="41">
        <v>26</v>
      </c>
      <c r="D38" s="41">
        <v>26</v>
      </c>
      <c r="E38" s="41">
        <v>27</v>
      </c>
      <c r="F38" s="41">
        <v>28</v>
      </c>
      <c r="G38" s="41">
        <v>27</v>
      </c>
      <c r="M38" s="44"/>
      <c r="N38" s="44"/>
      <c r="O38" s="44"/>
      <c r="P38" s="44"/>
      <c r="Q38" s="44"/>
      <c r="R38" s="44"/>
      <c r="S38" s="44"/>
    </row>
    <row r="39" spans="1:19" x14ac:dyDescent="0.2">
      <c r="A39" s="41">
        <v>1945</v>
      </c>
      <c r="B39" s="41">
        <v>26</v>
      </c>
      <c r="C39" s="41">
        <v>26</v>
      </c>
      <c r="D39" s="41">
        <v>27</v>
      </c>
      <c r="E39" s="41">
        <v>28</v>
      </c>
      <c r="F39" s="41">
        <v>28</v>
      </c>
      <c r="G39" s="41">
        <v>28</v>
      </c>
      <c r="M39" s="44"/>
      <c r="N39" s="44"/>
      <c r="O39" s="44"/>
      <c r="P39" s="44"/>
      <c r="Q39" s="44"/>
      <c r="R39" s="44"/>
      <c r="S39" s="44"/>
    </row>
    <row r="40" spans="1:19" ht="13.15" x14ac:dyDescent="0.25">
      <c r="A40" s="41">
        <v>1946</v>
      </c>
      <c r="B40" s="41">
        <v>29</v>
      </c>
      <c r="C40" s="41">
        <v>29</v>
      </c>
      <c r="D40" s="41">
        <v>30</v>
      </c>
      <c r="E40" s="41">
        <v>31</v>
      </c>
      <c r="F40" s="41">
        <v>31</v>
      </c>
      <c r="G40" s="41">
        <v>30</v>
      </c>
      <c r="M40" s="44"/>
      <c r="N40" s="44"/>
      <c r="O40" s="44"/>
      <c r="P40" s="44"/>
      <c r="Q40" s="44"/>
      <c r="R40" s="44"/>
      <c r="S40" s="44"/>
    </row>
    <row r="41" spans="1:19" x14ac:dyDescent="0.2">
      <c r="A41" s="41">
        <v>1947</v>
      </c>
      <c r="B41" s="41">
        <v>34</v>
      </c>
      <c r="C41" s="41">
        <v>34</v>
      </c>
      <c r="D41" s="41">
        <v>36</v>
      </c>
      <c r="E41" s="41">
        <v>37</v>
      </c>
      <c r="F41" s="41">
        <v>37</v>
      </c>
      <c r="G41" s="41">
        <v>37</v>
      </c>
      <c r="M41" s="44"/>
      <c r="N41" s="44"/>
      <c r="O41" s="44"/>
      <c r="P41" s="44"/>
      <c r="Q41" s="44"/>
      <c r="R41" s="44"/>
      <c r="S41" s="44"/>
    </row>
    <row r="42" spans="1:19" x14ac:dyDescent="0.2">
      <c r="A42" s="41">
        <v>1948</v>
      </c>
      <c r="B42" s="41">
        <v>37</v>
      </c>
      <c r="C42" s="41">
        <v>38</v>
      </c>
      <c r="D42" s="41">
        <v>39</v>
      </c>
      <c r="E42" s="41">
        <v>39</v>
      </c>
      <c r="F42" s="41">
        <v>40</v>
      </c>
      <c r="G42" s="41">
        <v>39</v>
      </c>
      <c r="M42" s="44"/>
      <c r="N42" s="44"/>
      <c r="O42" s="44"/>
      <c r="P42" s="44"/>
      <c r="Q42" s="44"/>
      <c r="R42" s="44"/>
      <c r="S42" s="44"/>
    </row>
    <row r="43" spans="1:19" x14ac:dyDescent="0.2">
      <c r="A43" s="41">
        <v>1949</v>
      </c>
      <c r="B43" s="41">
        <v>39</v>
      </c>
      <c r="C43" s="41">
        <v>39</v>
      </c>
      <c r="D43" s="41">
        <v>40</v>
      </c>
      <c r="E43" s="41">
        <v>41</v>
      </c>
      <c r="F43" s="41">
        <v>41</v>
      </c>
      <c r="G43" s="41">
        <v>41</v>
      </c>
      <c r="M43" s="44"/>
      <c r="N43" s="44"/>
      <c r="O43" s="44"/>
      <c r="P43" s="44"/>
      <c r="Q43" s="44"/>
      <c r="R43" s="44"/>
      <c r="S43" s="44"/>
    </row>
    <row r="44" spans="1:19" x14ac:dyDescent="0.2">
      <c r="A44" s="41">
        <v>1950</v>
      </c>
      <c r="B44" s="41">
        <v>41</v>
      </c>
      <c r="C44" s="41">
        <v>40</v>
      </c>
      <c r="D44" s="41">
        <v>41</v>
      </c>
      <c r="E44" s="41">
        <v>42</v>
      </c>
      <c r="F44" s="41">
        <v>42</v>
      </c>
      <c r="G44" s="41">
        <v>42</v>
      </c>
      <c r="M44" s="44"/>
      <c r="N44" s="44"/>
      <c r="O44" s="44"/>
      <c r="P44" s="44"/>
      <c r="Q44" s="44"/>
      <c r="R44" s="44"/>
      <c r="S44" s="44"/>
    </row>
    <row r="45" spans="1:19" x14ac:dyDescent="0.2">
      <c r="A45" s="41">
        <v>1951</v>
      </c>
      <c r="B45" s="41">
        <v>44</v>
      </c>
      <c r="C45" s="41">
        <v>44</v>
      </c>
      <c r="D45" s="41">
        <v>45</v>
      </c>
      <c r="E45" s="41">
        <v>46</v>
      </c>
      <c r="F45" s="41">
        <v>46</v>
      </c>
      <c r="G45" s="41">
        <v>47</v>
      </c>
      <c r="M45" s="44"/>
      <c r="N45" s="44"/>
      <c r="O45" s="44"/>
      <c r="P45" s="44"/>
      <c r="Q45" s="44"/>
      <c r="R45" s="44"/>
      <c r="S45" s="44"/>
    </row>
    <row r="46" spans="1:19" x14ac:dyDescent="0.2">
      <c r="A46" s="41">
        <v>1952</v>
      </c>
      <c r="B46" s="41">
        <v>45</v>
      </c>
      <c r="C46" s="41">
        <v>45</v>
      </c>
      <c r="D46" s="41">
        <v>47</v>
      </c>
      <c r="E46" s="41">
        <v>47</v>
      </c>
      <c r="F46" s="41">
        <v>48</v>
      </c>
      <c r="G46" s="41">
        <v>48</v>
      </c>
      <c r="M46" s="44"/>
      <c r="N46" s="44"/>
      <c r="O46" s="44"/>
      <c r="P46" s="44"/>
      <c r="Q46" s="44"/>
      <c r="R46" s="44"/>
      <c r="S46" s="44"/>
    </row>
    <row r="47" spans="1:19" x14ac:dyDescent="0.2">
      <c r="A47" s="41">
        <v>1953</v>
      </c>
      <c r="B47" s="41">
        <v>48</v>
      </c>
      <c r="C47" s="41">
        <v>48</v>
      </c>
      <c r="D47" s="41">
        <v>50</v>
      </c>
      <c r="E47" s="41">
        <v>50</v>
      </c>
      <c r="F47" s="41">
        <v>50</v>
      </c>
      <c r="G47" s="41">
        <v>50</v>
      </c>
      <c r="M47" s="44"/>
      <c r="N47" s="44"/>
      <c r="O47" s="44"/>
      <c r="P47" s="44"/>
      <c r="Q47" s="44"/>
      <c r="R47" s="44"/>
      <c r="S47" s="44"/>
    </row>
    <row r="48" spans="1:19" x14ac:dyDescent="0.2">
      <c r="A48" s="41">
        <v>1954</v>
      </c>
      <c r="B48" s="41">
        <v>49</v>
      </c>
      <c r="C48" s="41">
        <v>49</v>
      </c>
      <c r="D48" s="41">
        <v>51</v>
      </c>
      <c r="E48" s="41">
        <v>51</v>
      </c>
      <c r="F48" s="41">
        <v>52</v>
      </c>
      <c r="G48" s="41">
        <v>51</v>
      </c>
      <c r="M48" s="44"/>
      <c r="N48" s="44"/>
      <c r="O48" s="44"/>
      <c r="P48" s="44"/>
      <c r="Q48" s="44"/>
      <c r="R48" s="44"/>
      <c r="S48" s="44"/>
    </row>
    <row r="49" spans="1:19" x14ac:dyDescent="0.2">
      <c r="A49" s="41">
        <v>1955</v>
      </c>
      <c r="B49" s="41">
        <v>50</v>
      </c>
      <c r="C49" s="41">
        <v>51</v>
      </c>
      <c r="D49" s="41">
        <v>52</v>
      </c>
      <c r="E49" s="41">
        <v>53</v>
      </c>
      <c r="F49" s="41">
        <v>52</v>
      </c>
      <c r="G49" s="41">
        <v>52</v>
      </c>
      <c r="M49" s="44"/>
      <c r="N49" s="44"/>
      <c r="O49" s="44"/>
      <c r="P49" s="44"/>
      <c r="Q49" s="44"/>
      <c r="R49" s="44"/>
      <c r="S49" s="44"/>
    </row>
    <row r="50" spans="1:19" x14ac:dyDescent="0.2">
      <c r="A50" s="41">
        <v>1956</v>
      </c>
      <c r="B50" s="41">
        <v>53</v>
      </c>
      <c r="C50" s="41">
        <v>54</v>
      </c>
      <c r="D50" s="41">
        <v>55</v>
      </c>
      <c r="E50" s="41">
        <v>56</v>
      </c>
      <c r="F50" s="41">
        <v>56</v>
      </c>
      <c r="G50" s="41">
        <v>55</v>
      </c>
      <c r="M50" s="44"/>
      <c r="N50" s="44"/>
      <c r="O50" s="44"/>
      <c r="P50" s="44"/>
      <c r="Q50" s="44"/>
      <c r="R50" s="44"/>
      <c r="S50" s="44"/>
    </row>
    <row r="51" spans="1:19" x14ac:dyDescent="0.2">
      <c r="A51" s="41">
        <v>1957</v>
      </c>
      <c r="B51" s="41">
        <v>54</v>
      </c>
      <c r="C51" s="41">
        <v>55</v>
      </c>
      <c r="D51" s="41">
        <v>57</v>
      </c>
      <c r="E51" s="41">
        <v>58</v>
      </c>
      <c r="F51" s="41">
        <v>58</v>
      </c>
      <c r="G51" s="41">
        <v>57</v>
      </c>
      <c r="M51" s="44"/>
      <c r="N51" s="44"/>
      <c r="O51" s="44"/>
      <c r="P51" s="44"/>
      <c r="Q51" s="44"/>
      <c r="R51" s="44"/>
      <c r="S51" s="44"/>
    </row>
    <row r="52" spans="1:19" x14ac:dyDescent="0.2">
      <c r="A52" s="41">
        <v>1958</v>
      </c>
      <c r="B52" s="41">
        <v>56</v>
      </c>
      <c r="C52" s="41">
        <v>56</v>
      </c>
      <c r="D52" s="41">
        <v>57</v>
      </c>
      <c r="E52" s="41">
        <v>59</v>
      </c>
      <c r="F52" s="41">
        <v>59</v>
      </c>
      <c r="G52" s="41">
        <v>59</v>
      </c>
      <c r="M52" s="44"/>
      <c r="N52" s="44"/>
      <c r="O52" s="44"/>
      <c r="P52" s="44"/>
      <c r="Q52" s="44"/>
      <c r="R52" s="44"/>
      <c r="S52" s="44"/>
    </row>
    <row r="53" spans="1:19" x14ac:dyDescent="0.2">
      <c r="A53" s="41">
        <v>1959</v>
      </c>
      <c r="B53" s="41">
        <v>56</v>
      </c>
      <c r="C53" s="41">
        <v>57</v>
      </c>
      <c r="D53" s="41">
        <v>59</v>
      </c>
      <c r="E53" s="41">
        <v>60</v>
      </c>
      <c r="F53" s="41">
        <v>59</v>
      </c>
      <c r="G53" s="41">
        <v>60</v>
      </c>
      <c r="M53" s="44"/>
      <c r="N53" s="44"/>
      <c r="O53" s="44"/>
      <c r="P53" s="44"/>
      <c r="Q53" s="44"/>
      <c r="R53" s="44"/>
      <c r="S53" s="44"/>
    </row>
    <row r="54" spans="1:19" x14ac:dyDescent="0.2">
      <c r="A54" s="41">
        <v>1960</v>
      </c>
      <c r="B54" s="41">
        <v>57</v>
      </c>
      <c r="C54" s="41">
        <v>58</v>
      </c>
      <c r="D54" s="41">
        <v>59</v>
      </c>
      <c r="E54" s="41">
        <v>60</v>
      </c>
      <c r="F54" s="41">
        <v>60</v>
      </c>
      <c r="G54" s="41">
        <v>61</v>
      </c>
      <c r="M54" s="44"/>
      <c r="N54" s="44"/>
      <c r="O54" s="44"/>
      <c r="P54" s="44"/>
      <c r="Q54" s="44"/>
      <c r="R54" s="44"/>
      <c r="S54" s="44"/>
    </row>
    <row r="55" spans="1:19" x14ac:dyDescent="0.2">
      <c r="A55" s="41">
        <v>1961</v>
      </c>
      <c r="B55" s="41">
        <v>57</v>
      </c>
      <c r="C55" s="41">
        <v>58</v>
      </c>
      <c r="D55" s="41">
        <v>59</v>
      </c>
      <c r="E55" s="41">
        <v>60</v>
      </c>
      <c r="F55" s="41">
        <v>60</v>
      </c>
      <c r="G55" s="41">
        <v>61</v>
      </c>
      <c r="M55" s="44"/>
      <c r="N55" s="44"/>
      <c r="O55" s="44"/>
      <c r="P55" s="44"/>
      <c r="Q55" s="44"/>
      <c r="R55" s="44"/>
      <c r="S55" s="44"/>
    </row>
    <row r="56" spans="1:19" x14ac:dyDescent="0.2">
      <c r="A56" s="41">
        <v>1962</v>
      </c>
      <c r="B56" s="41">
        <v>58</v>
      </c>
      <c r="C56" s="41">
        <v>58</v>
      </c>
      <c r="D56" s="41">
        <v>59</v>
      </c>
      <c r="E56" s="41">
        <v>60</v>
      </c>
      <c r="F56" s="41">
        <v>61</v>
      </c>
      <c r="G56" s="41">
        <v>61</v>
      </c>
      <c r="M56" s="44"/>
      <c r="N56" s="44"/>
      <c r="O56" s="44"/>
      <c r="P56" s="44"/>
      <c r="Q56" s="44"/>
      <c r="R56" s="44"/>
      <c r="S56" s="44"/>
    </row>
    <row r="57" spans="1:19" x14ac:dyDescent="0.2">
      <c r="A57" s="41">
        <v>1963</v>
      </c>
      <c r="B57" s="41">
        <v>58</v>
      </c>
      <c r="C57" s="41">
        <v>59</v>
      </c>
      <c r="D57" s="41">
        <v>59</v>
      </c>
      <c r="E57" s="41">
        <v>60</v>
      </c>
      <c r="F57" s="41">
        <v>61</v>
      </c>
      <c r="G57" s="41">
        <v>61</v>
      </c>
      <c r="M57" s="44"/>
      <c r="N57" s="44"/>
      <c r="O57" s="44"/>
      <c r="P57" s="44"/>
      <c r="Q57" s="44"/>
      <c r="R57" s="44"/>
      <c r="S57" s="44"/>
    </row>
    <row r="58" spans="1:19" x14ac:dyDescent="0.2">
      <c r="A58" s="41">
        <v>1964</v>
      </c>
      <c r="B58" s="41">
        <v>60</v>
      </c>
      <c r="C58" s="41">
        <v>60</v>
      </c>
      <c r="D58" s="41">
        <v>61</v>
      </c>
      <c r="E58" s="41">
        <v>62</v>
      </c>
      <c r="F58" s="41">
        <v>62</v>
      </c>
      <c r="G58" s="41">
        <v>63</v>
      </c>
      <c r="M58" s="44"/>
      <c r="N58" s="44"/>
      <c r="O58" s="44"/>
      <c r="P58" s="44"/>
      <c r="Q58" s="44"/>
      <c r="R58" s="44"/>
      <c r="S58" s="44"/>
    </row>
    <row r="59" spans="1:19" x14ac:dyDescent="0.2">
      <c r="A59" s="41">
        <v>1965</v>
      </c>
      <c r="B59" s="41">
        <v>62</v>
      </c>
      <c r="C59" s="41">
        <v>62</v>
      </c>
      <c r="D59" s="41">
        <v>63</v>
      </c>
      <c r="E59" s="41">
        <v>64</v>
      </c>
      <c r="F59" s="41">
        <v>64</v>
      </c>
      <c r="G59" s="41">
        <v>65</v>
      </c>
      <c r="M59" s="44"/>
      <c r="N59" s="44"/>
      <c r="O59" s="44"/>
      <c r="P59" s="44"/>
      <c r="Q59" s="44"/>
      <c r="R59" s="44"/>
      <c r="S59" s="44"/>
    </row>
    <row r="60" spans="1:19" x14ac:dyDescent="0.2">
      <c r="A60" s="41">
        <v>1966</v>
      </c>
      <c r="B60" s="41">
        <v>64</v>
      </c>
      <c r="C60" s="41">
        <v>64</v>
      </c>
      <c r="D60" s="41">
        <v>65</v>
      </c>
      <c r="E60" s="41">
        <v>66</v>
      </c>
      <c r="F60" s="41">
        <v>66</v>
      </c>
      <c r="G60" s="41">
        <v>68</v>
      </c>
      <c r="M60" s="44"/>
      <c r="N60" s="44"/>
      <c r="O60" s="44"/>
      <c r="P60" s="44"/>
      <c r="Q60" s="44"/>
      <c r="R60" s="44"/>
      <c r="S60" s="44"/>
    </row>
    <row r="61" spans="1:19" x14ac:dyDescent="0.2">
      <c r="A61" s="41">
        <v>1967</v>
      </c>
      <c r="B61" s="41">
        <v>67</v>
      </c>
      <c r="C61" s="41">
        <v>67</v>
      </c>
      <c r="D61" s="41">
        <v>68</v>
      </c>
      <c r="E61" s="41">
        <v>69</v>
      </c>
      <c r="F61" s="41">
        <v>70</v>
      </c>
      <c r="G61" s="41">
        <v>71</v>
      </c>
      <c r="M61" s="44"/>
      <c r="N61" s="44"/>
      <c r="O61" s="44"/>
      <c r="P61" s="44"/>
      <c r="Q61" s="44"/>
      <c r="R61" s="44"/>
      <c r="S61" s="44"/>
    </row>
    <row r="62" spans="1:19" x14ac:dyDescent="0.2">
      <c r="A62" s="41">
        <v>1968</v>
      </c>
      <c r="B62" s="41">
        <v>70</v>
      </c>
      <c r="C62" s="41">
        <v>70</v>
      </c>
      <c r="D62" s="41">
        <v>71</v>
      </c>
      <c r="E62" s="41">
        <v>73</v>
      </c>
      <c r="F62" s="41">
        <v>72</v>
      </c>
      <c r="G62" s="41">
        <v>74</v>
      </c>
      <c r="M62" s="44"/>
      <c r="N62" s="44"/>
      <c r="O62" s="44"/>
      <c r="P62" s="44"/>
      <c r="Q62" s="44"/>
      <c r="R62" s="44"/>
      <c r="S62" s="44"/>
    </row>
    <row r="63" spans="1:19" x14ac:dyDescent="0.2">
      <c r="A63" s="41">
        <v>1969</v>
      </c>
      <c r="B63" s="41">
        <v>74</v>
      </c>
      <c r="C63" s="41">
        <v>76</v>
      </c>
      <c r="D63" s="41">
        <v>78</v>
      </c>
      <c r="E63" s="41">
        <v>77</v>
      </c>
      <c r="F63" s="41">
        <v>76</v>
      </c>
      <c r="G63" s="41">
        <v>78</v>
      </c>
      <c r="M63" s="44"/>
      <c r="N63" s="44"/>
      <c r="O63" s="44"/>
      <c r="P63" s="44"/>
      <c r="Q63" s="44"/>
      <c r="R63" s="44"/>
      <c r="S63" s="44"/>
    </row>
    <row r="64" spans="1:19" x14ac:dyDescent="0.2">
      <c r="A64" s="41">
        <v>1970</v>
      </c>
      <c r="B64" s="41">
        <v>81</v>
      </c>
      <c r="C64" s="41">
        <v>82</v>
      </c>
      <c r="D64" s="41">
        <v>85</v>
      </c>
      <c r="E64" s="41">
        <v>83</v>
      </c>
      <c r="F64" s="41">
        <v>82</v>
      </c>
      <c r="G64" s="41">
        <v>83</v>
      </c>
      <c r="M64" s="44"/>
      <c r="N64" s="44"/>
      <c r="O64" s="44"/>
      <c r="P64" s="44"/>
      <c r="Q64" s="44"/>
      <c r="R64" s="44"/>
      <c r="S64" s="44"/>
    </row>
    <row r="65" spans="1:19" x14ac:dyDescent="0.2">
      <c r="A65" s="41">
        <v>1971</v>
      </c>
      <c r="B65" s="41">
        <v>87</v>
      </c>
      <c r="C65" s="41">
        <v>87</v>
      </c>
      <c r="D65" s="41">
        <v>91</v>
      </c>
      <c r="E65" s="41">
        <v>88</v>
      </c>
      <c r="F65" s="41">
        <v>89</v>
      </c>
      <c r="G65" s="41">
        <v>88</v>
      </c>
      <c r="M65" s="44"/>
      <c r="N65" s="44"/>
      <c r="O65" s="44"/>
      <c r="P65" s="44"/>
      <c r="Q65" s="44"/>
      <c r="R65" s="44"/>
      <c r="S65" s="44"/>
    </row>
    <row r="66" spans="1:19" x14ac:dyDescent="0.2">
      <c r="A66" s="41">
        <v>1972</v>
      </c>
      <c r="B66" s="41">
        <v>92</v>
      </c>
      <c r="C66" s="41">
        <v>93</v>
      </c>
      <c r="D66" s="41">
        <v>95</v>
      </c>
      <c r="E66" s="41">
        <v>92</v>
      </c>
      <c r="F66" s="41">
        <v>92</v>
      </c>
      <c r="G66" s="41">
        <v>93</v>
      </c>
      <c r="M66" s="44"/>
      <c r="N66" s="44"/>
      <c r="O66" s="44"/>
      <c r="P66" s="44"/>
      <c r="Q66" s="44"/>
      <c r="R66" s="44"/>
      <c r="S66" s="44"/>
    </row>
    <row r="67" spans="1:19" x14ac:dyDescent="0.2">
      <c r="A67" s="41">
        <v>1973</v>
      </c>
      <c r="B67" s="41">
        <v>100</v>
      </c>
      <c r="C67" s="41">
        <v>100</v>
      </c>
      <c r="D67" s="41">
        <v>100</v>
      </c>
      <c r="E67" s="41">
        <v>100</v>
      </c>
      <c r="F67" s="41">
        <v>100</v>
      </c>
      <c r="G67" s="41">
        <v>100</v>
      </c>
      <c r="M67" s="44"/>
      <c r="N67" s="44"/>
      <c r="O67" s="44"/>
      <c r="P67" s="44"/>
      <c r="Q67" s="44"/>
      <c r="R67" s="44"/>
      <c r="S67" s="44"/>
    </row>
    <row r="68" spans="1:19" x14ac:dyDescent="0.2">
      <c r="A68" s="41">
        <v>1974</v>
      </c>
      <c r="B68" s="41">
        <v>118</v>
      </c>
      <c r="C68" s="41">
        <v>119</v>
      </c>
      <c r="D68" s="41">
        <v>119</v>
      </c>
      <c r="E68" s="41">
        <v>121</v>
      </c>
      <c r="F68" s="41">
        <v>120</v>
      </c>
      <c r="G68" s="41">
        <v>120</v>
      </c>
      <c r="M68" s="44"/>
      <c r="N68" s="44"/>
      <c r="O68" s="44"/>
      <c r="P68" s="44"/>
      <c r="Q68" s="44"/>
      <c r="R68" s="44"/>
      <c r="S68" s="44"/>
    </row>
    <row r="69" spans="1:19" x14ac:dyDescent="0.2">
      <c r="A69" s="41">
        <v>1975</v>
      </c>
      <c r="B69" s="41">
        <v>136</v>
      </c>
      <c r="C69" s="41">
        <v>139</v>
      </c>
      <c r="D69" s="41">
        <v>138</v>
      </c>
      <c r="E69" s="41">
        <v>142</v>
      </c>
      <c r="F69" s="41">
        <v>143</v>
      </c>
      <c r="G69" s="41">
        <v>139</v>
      </c>
      <c r="M69" s="44"/>
      <c r="N69" s="44"/>
      <c r="O69" s="44"/>
      <c r="P69" s="44"/>
      <c r="Q69" s="44"/>
      <c r="R69" s="44"/>
      <c r="S69" s="44"/>
    </row>
    <row r="70" spans="1:19" x14ac:dyDescent="0.2">
      <c r="A70" s="41">
        <v>1976</v>
      </c>
      <c r="B70" s="41">
        <v>142</v>
      </c>
      <c r="C70" s="41">
        <v>147</v>
      </c>
      <c r="D70" s="41">
        <v>144</v>
      </c>
      <c r="E70" s="41">
        <v>151</v>
      </c>
      <c r="F70" s="41">
        <v>151</v>
      </c>
      <c r="G70" s="41">
        <v>150</v>
      </c>
      <c r="M70" s="44"/>
      <c r="N70" s="44"/>
      <c r="O70" s="44"/>
      <c r="P70" s="44"/>
      <c r="Q70" s="44"/>
      <c r="R70" s="44"/>
      <c r="S70" s="44"/>
    </row>
    <row r="71" spans="1:19" x14ac:dyDescent="0.2">
      <c r="A71" s="41">
        <v>1977</v>
      </c>
      <c r="B71" s="41">
        <v>149</v>
      </c>
      <c r="C71" s="41">
        <v>155</v>
      </c>
      <c r="D71" s="41">
        <v>154</v>
      </c>
      <c r="E71" s="41">
        <v>160</v>
      </c>
      <c r="F71" s="41">
        <v>161</v>
      </c>
      <c r="G71" s="41">
        <v>162</v>
      </c>
      <c r="M71" s="44"/>
      <c r="N71" s="44"/>
      <c r="O71" s="44"/>
      <c r="P71" s="44"/>
      <c r="Q71" s="44"/>
      <c r="R71" s="44"/>
      <c r="S71" s="44"/>
    </row>
    <row r="72" spans="1:19" x14ac:dyDescent="0.2">
      <c r="A72" s="41">
        <v>1978</v>
      </c>
      <c r="B72" s="41">
        <v>156</v>
      </c>
      <c r="C72" s="41">
        <v>163</v>
      </c>
      <c r="D72" s="41">
        <v>162</v>
      </c>
      <c r="E72" s="41">
        <v>168</v>
      </c>
      <c r="F72" s="41">
        <v>169</v>
      </c>
      <c r="G72" s="41">
        <v>172</v>
      </c>
      <c r="M72" s="44"/>
      <c r="N72" s="44"/>
      <c r="O72" s="44"/>
      <c r="P72" s="44"/>
      <c r="Q72" s="44"/>
      <c r="R72" s="44"/>
      <c r="S72" s="44"/>
    </row>
    <row r="73" spans="1:19" x14ac:dyDescent="0.2">
      <c r="A73" s="41">
        <v>1979</v>
      </c>
      <c r="B73" s="41">
        <v>173</v>
      </c>
      <c r="C73" s="41">
        <v>177</v>
      </c>
      <c r="D73" s="41">
        <v>178</v>
      </c>
      <c r="E73" s="41">
        <v>185</v>
      </c>
      <c r="F73" s="41">
        <v>185</v>
      </c>
      <c r="G73" s="41">
        <v>190</v>
      </c>
      <c r="M73" s="44"/>
      <c r="N73" s="44"/>
      <c r="O73" s="44"/>
      <c r="P73" s="44"/>
      <c r="Q73" s="44"/>
      <c r="R73" s="44"/>
      <c r="S73" s="44"/>
    </row>
    <row r="74" spans="1:19" x14ac:dyDescent="0.2">
      <c r="A74" s="41">
        <v>1980</v>
      </c>
      <c r="B74" s="41">
        <v>186</v>
      </c>
      <c r="C74" s="41">
        <v>192</v>
      </c>
      <c r="D74" s="41">
        <v>191</v>
      </c>
      <c r="E74" s="41">
        <v>198</v>
      </c>
      <c r="F74" s="41">
        <v>199</v>
      </c>
      <c r="G74" s="41">
        <v>208</v>
      </c>
      <c r="M74" s="44"/>
      <c r="N74" s="44"/>
      <c r="O74" s="44"/>
      <c r="P74" s="44"/>
      <c r="Q74" s="44"/>
      <c r="R74" s="44"/>
      <c r="S74" s="44"/>
    </row>
    <row r="75" spans="1:19" x14ac:dyDescent="0.2">
      <c r="A75" s="41">
        <v>1981</v>
      </c>
      <c r="B75" s="41">
        <v>202</v>
      </c>
      <c r="C75" s="41">
        <v>210</v>
      </c>
      <c r="D75" s="41">
        <v>211</v>
      </c>
      <c r="E75" s="41">
        <v>217</v>
      </c>
      <c r="F75" s="41">
        <v>218</v>
      </c>
      <c r="G75" s="41">
        <v>229</v>
      </c>
      <c r="M75" s="44"/>
      <c r="N75" s="44"/>
      <c r="O75" s="44"/>
      <c r="P75" s="44"/>
      <c r="Q75" s="44"/>
      <c r="R75" s="44"/>
      <c r="S75" s="44"/>
    </row>
    <row r="76" spans="1:19" x14ac:dyDescent="0.2">
      <c r="A76" s="41">
        <v>1982</v>
      </c>
      <c r="B76" s="41">
        <v>215</v>
      </c>
      <c r="C76" s="41">
        <v>221</v>
      </c>
      <c r="D76" s="41">
        <v>224</v>
      </c>
      <c r="E76" s="41">
        <v>232</v>
      </c>
      <c r="F76" s="41">
        <v>233</v>
      </c>
      <c r="G76" s="41">
        <v>246</v>
      </c>
      <c r="M76" s="44"/>
      <c r="N76" s="44"/>
      <c r="O76" s="44"/>
      <c r="P76" s="44"/>
      <c r="Q76" s="44"/>
      <c r="R76" s="44"/>
      <c r="S76" s="44"/>
    </row>
    <row r="77" spans="1:19" x14ac:dyDescent="0.2">
      <c r="A77" s="41">
        <v>1983</v>
      </c>
      <c r="B77" s="41">
        <v>223</v>
      </c>
      <c r="C77" s="41">
        <v>225</v>
      </c>
      <c r="D77" s="41">
        <v>229</v>
      </c>
      <c r="E77" s="41">
        <v>238</v>
      </c>
      <c r="F77" s="41">
        <v>239</v>
      </c>
      <c r="G77" s="41">
        <v>253</v>
      </c>
      <c r="M77" s="44"/>
      <c r="N77" s="44"/>
      <c r="O77" s="44"/>
      <c r="P77" s="44"/>
      <c r="Q77" s="44"/>
      <c r="R77" s="44"/>
      <c r="S77" s="44"/>
    </row>
    <row r="78" spans="1:19" x14ac:dyDescent="0.2">
      <c r="A78" s="41">
        <v>1984</v>
      </c>
      <c r="B78" s="41">
        <v>229</v>
      </c>
      <c r="C78" s="41">
        <v>227</v>
      </c>
      <c r="D78" s="41">
        <v>232</v>
      </c>
      <c r="E78" s="41">
        <v>240</v>
      </c>
      <c r="F78" s="41">
        <v>239</v>
      </c>
      <c r="G78" s="41">
        <v>254</v>
      </c>
      <c r="M78" s="44"/>
      <c r="N78" s="44"/>
      <c r="O78" s="44"/>
      <c r="P78" s="44"/>
      <c r="Q78" s="44"/>
      <c r="R78" s="44"/>
      <c r="S78" s="44"/>
    </row>
    <row r="79" spans="1:19" x14ac:dyDescent="0.2">
      <c r="A79" s="41">
        <v>1985</v>
      </c>
      <c r="B79" s="41">
        <v>234</v>
      </c>
      <c r="C79" s="41">
        <v>228</v>
      </c>
      <c r="D79" s="41">
        <v>235</v>
      </c>
      <c r="E79" s="41">
        <v>241</v>
      </c>
      <c r="F79" s="41">
        <v>236</v>
      </c>
      <c r="G79" s="41">
        <v>250</v>
      </c>
      <c r="M79" s="44"/>
      <c r="N79" s="44"/>
      <c r="O79" s="44"/>
      <c r="P79" s="44"/>
      <c r="Q79" s="44"/>
      <c r="R79" s="44"/>
      <c r="S79" s="44"/>
    </row>
    <row r="80" spans="1:19" x14ac:dyDescent="0.2">
      <c r="A80" s="41">
        <v>1986</v>
      </c>
      <c r="B80" s="41">
        <v>237</v>
      </c>
      <c r="C80" s="41">
        <v>229</v>
      </c>
      <c r="D80" s="41">
        <v>238</v>
      </c>
      <c r="E80" s="41">
        <v>241</v>
      </c>
      <c r="F80" s="41">
        <v>235</v>
      </c>
      <c r="G80" s="41">
        <v>251</v>
      </c>
      <c r="M80" s="44"/>
      <c r="N80" s="44"/>
      <c r="O80" s="44"/>
      <c r="P80" s="44"/>
      <c r="Q80" s="44"/>
      <c r="R80" s="44"/>
      <c r="S80" s="44"/>
    </row>
    <row r="81" spans="1:19" x14ac:dyDescent="0.2">
      <c r="A81" s="41">
        <v>1987</v>
      </c>
      <c r="B81" s="41">
        <v>239</v>
      </c>
      <c r="C81" s="41">
        <v>231</v>
      </c>
      <c r="D81" s="41">
        <v>240</v>
      </c>
      <c r="E81" s="41">
        <v>241</v>
      </c>
      <c r="F81" s="41">
        <v>235</v>
      </c>
      <c r="G81" s="41">
        <v>253</v>
      </c>
      <c r="M81" s="44"/>
      <c r="N81" s="44"/>
      <c r="O81" s="44"/>
      <c r="P81" s="44"/>
      <c r="Q81" s="44"/>
      <c r="R81" s="44"/>
      <c r="S81" s="44"/>
    </row>
    <row r="82" spans="1:19" x14ac:dyDescent="0.2">
      <c r="A82" s="41">
        <v>1988</v>
      </c>
      <c r="B82" s="41">
        <v>256.75</v>
      </c>
      <c r="C82" s="41">
        <v>242.25</v>
      </c>
      <c r="D82" s="41">
        <v>254.75</v>
      </c>
      <c r="E82" s="41">
        <v>252.75</v>
      </c>
      <c r="F82" s="41">
        <v>246</v>
      </c>
      <c r="G82" s="41">
        <v>266.75</v>
      </c>
      <c r="M82" s="44"/>
      <c r="N82" s="44"/>
      <c r="O82" s="44"/>
      <c r="P82" s="44"/>
      <c r="Q82" s="44"/>
      <c r="R82" s="44"/>
      <c r="S82" s="44"/>
    </row>
    <row r="83" spans="1:19" x14ac:dyDescent="0.2">
      <c r="A83" s="41">
        <v>1989</v>
      </c>
      <c r="B83" s="41">
        <v>272</v>
      </c>
      <c r="C83" s="41">
        <v>255.25</v>
      </c>
      <c r="D83" s="41">
        <v>267.5</v>
      </c>
      <c r="E83" s="41">
        <v>264</v>
      </c>
      <c r="F83" s="41">
        <v>255.25</v>
      </c>
      <c r="G83" s="41">
        <v>279.5</v>
      </c>
      <c r="M83" s="44"/>
      <c r="N83" s="44"/>
      <c r="O83" s="44"/>
      <c r="P83" s="44"/>
      <c r="Q83" s="44"/>
      <c r="R83" s="44"/>
      <c r="S83" s="44"/>
    </row>
    <row r="84" spans="1:19" x14ac:dyDescent="0.2">
      <c r="A84" s="41">
        <v>1990</v>
      </c>
      <c r="B84" s="41">
        <v>279.5</v>
      </c>
      <c r="C84" s="41">
        <v>261.75</v>
      </c>
      <c r="D84" s="41">
        <v>275.5</v>
      </c>
      <c r="E84" s="41">
        <v>271</v>
      </c>
      <c r="F84" s="41">
        <v>263</v>
      </c>
      <c r="G84" s="41">
        <v>286.75</v>
      </c>
      <c r="M84" s="44"/>
      <c r="N84" s="44"/>
      <c r="O84" s="44"/>
      <c r="P84" s="44"/>
      <c r="Q84" s="44"/>
      <c r="R84" s="44"/>
      <c r="S84" s="44"/>
    </row>
    <row r="85" spans="1:19" x14ac:dyDescent="0.2">
      <c r="A85" s="41">
        <v>1991</v>
      </c>
      <c r="B85" s="41">
        <v>286.75</v>
      </c>
      <c r="C85" s="41">
        <v>264.25</v>
      </c>
      <c r="D85" s="41">
        <v>279.5</v>
      </c>
      <c r="E85" s="41">
        <v>274.5</v>
      </c>
      <c r="F85" s="41">
        <v>267</v>
      </c>
      <c r="G85" s="41">
        <v>292</v>
      </c>
      <c r="M85" s="44"/>
      <c r="N85" s="44"/>
      <c r="O85" s="44"/>
      <c r="P85" s="44"/>
      <c r="Q85" s="44"/>
      <c r="R85" s="44"/>
      <c r="S85" s="44"/>
    </row>
    <row r="86" spans="1:19" x14ac:dyDescent="0.2">
      <c r="A86" s="41">
        <v>1992</v>
      </c>
      <c r="B86" s="41">
        <v>290.25</v>
      </c>
      <c r="C86" s="41">
        <v>266.75</v>
      </c>
      <c r="D86" s="41">
        <v>282.75</v>
      </c>
      <c r="E86" s="41">
        <v>274.75</v>
      </c>
      <c r="F86" s="41">
        <v>272</v>
      </c>
      <c r="G86" s="41">
        <v>295.25</v>
      </c>
      <c r="M86" s="44"/>
      <c r="N86" s="44"/>
      <c r="O86" s="44"/>
      <c r="P86" s="44"/>
      <c r="Q86" s="44"/>
      <c r="R86" s="44"/>
      <c r="S86" s="44"/>
    </row>
    <row r="87" spans="1:19" x14ac:dyDescent="0.2">
      <c r="A87" s="41">
        <v>1993</v>
      </c>
      <c r="B87" s="41">
        <v>298</v>
      </c>
      <c r="C87" s="41">
        <v>271.5</v>
      </c>
      <c r="D87" s="41">
        <v>288.5</v>
      </c>
      <c r="E87" s="41">
        <v>279</v>
      </c>
      <c r="F87" s="41">
        <v>276</v>
      </c>
      <c r="G87" s="41">
        <v>303</v>
      </c>
      <c r="M87" s="44"/>
      <c r="N87" s="44"/>
      <c r="O87" s="44"/>
      <c r="P87" s="44"/>
      <c r="Q87" s="44"/>
      <c r="R87" s="44"/>
      <c r="S87" s="44"/>
    </row>
    <row r="88" spans="1:19" x14ac:dyDescent="0.2">
      <c r="A88" s="41">
        <v>1994</v>
      </c>
      <c r="B88" s="41">
        <v>307.25</v>
      </c>
      <c r="C88" s="41">
        <v>280</v>
      </c>
      <c r="D88" s="41">
        <v>298.25</v>
      </c>
      <c r="E88" s="41">
        <v>289</v>
      </c>
      <c r="F88" s="41">
        <v>282.5</v>
      </c>
      <c r="G88" s="41">
        <v>310.75</v>
      </c>
      <c r="M88" s="44"/>
      <c r="N88" s="44"/>
      <c r="O88" s="44"/>
      <c r="P88" s="44"/>
      <c r="Q88" s="44"/>
      <c r="R88" s="44"/>
      <c r="S88" s="44"/>
    </row>
    <row r="89" spans="1:19" x14ac:dyDescent="0.2">
      <c r="A89" s="41">
        <v>1995</v>
      </c>
      <c r="B89" s="41">
        <v>316.5</v>
      </c>
      <c r="C89" s="41">
        <v>288.75</v>
      </c>
      <c r="D89" s="41">
        <v>309.25</v>
      </c>
      <c r="E89" s="41">
        <v>296</v>
      </c>
      <c r="F89" s="41">
        <v>294.75</v>
      </c>
      <c r="G89" s="41">
        <v>322</v>
      </c>
      <c r="M89" s="44"/>
      <c r="N89" s="44"/>
      <c r="O89" s="44"/>
      <c r="P89" s="44"/>
      <c r="Q89" s="44"/>
      <c r="R89" s="44"/>
      <c r="S89" s="44"/>
    </row>
    <row r="90" spans="1:19" x14ac:dyDescent="0.2">
      <c r="A90" s="41">
        <v>1996</v>
      </c>
      <c r="B90" s="41">
        <v>321.75</v>
      </c>
      <c r="C90" s="41">
        <v>289</v>
      </c>
      <c r="D90" s="41">
        <v>313</v>
      </c>
      <c r="E90" s="41">
        <v>297.75</v>
      </c>
      <c r="F90" s="41">
        <v>298.5</v>
      </c>
      <c r="G90" s="41">
        <v>325.25</v>
      </c>
      <c r="M90" s="44"/>
      <c r="N90" s="44"/>
      <c r="O90" s="44"/>
      <c r="P90" s="44"/>
      <c r="Q90" s="44"/>
      <c r="R90" s="44"/>
      <c r="S90" s="44"/>
    </row>
    <row r="91" spans="1:19" x14ac:dyDescent="0.2">
      <c r="A91" s="41">
        <v>1997</v>
      </c>
      <c r="B91" s="41">
        <v>326.75</v>
      </c>
      <c r="C91" s="41">
        <v>291.25</v>
      </c>
      <c r="D91" s="41">
        <v>317.5</v>
      </c>
      <c r="E91" s="41">
        <v>296.75</v>
      </c>
      <c r="F91" s="41">
        <v>296.5</v>
      </c>
      <c r="G91" s="41">
        <v>328.75</v>
      </c>
      <c r="M91" s="44"/>
      <c r="N91" s="44"/>
      <c r="O91" s="44"/>
      <c r="P91" s="44"/>
      <c r="Q91" s="44"/>
      <c r="R91" s="44"/>
      <c r="S91" s="44"/>
    </row>
    <row r="92" spans="1:19" x14ac:dyDescent="0.2">
      <c r="A92" s="41">
        <v>1998</v>
      </c>
      <c r="B92" s="41">
        <v>334.25</v>
      </c>
      <c r="C92" s="41">
        <v>298.5</v>
      </c>
      <c r="D92" s="45">
        <v>324.5</v>
      </c>
      <c r="E92" s="45">
        <v>303</v>
      </c>
      <c r="F92" s="45">
        <v>305</v>
      </c>
      <c r="G92" s="45">
        <v>336.25</v>
      </c>
      <c r="M92" s="44"/>
      <c r="N92" s="44"/>
      <c r="O92" s="44"/>
      <c r="P92" s="44"/>
      <c r="Q92" s="44"/>
      <c r="R92" s="44"/>
      <c r="S92" s="44"/>
    </row>
    <row r="93" spans="1:19" x14ac:dyDescent="0.2">
      <c r="A93" s="41">
        <v>1999</v>
      </c>
      <c r="B93" s="41">
        <v>336.75</v>
      </c>
      <c r="C93" s="41">
        <v>298.25</v>
      </c>
      <c r="D93" s="45">
        <v>325.5</v>
      </c>
      <c r="E93" s="45">
        <v>302.75</v>
      </c>
      <c r="F93" s="45">
        <v>307</v>
      </c>
      <c r="G93" s="45">
        <v>337.25</v>
      </c>
      <c r="M93" s="44"/>
      <c r="N93" s="44"/>
      <c r="O93" s="44"/>
      <c r="P93" s="44"/>
      <c r="Q93" s="44"/>
      <c r="R93" s="44"/>
      <c r="S93" s="44"/>
    </row>
    <row r="94" spans="1:19" x14ac:dyDescent="0.2">
      <c r="A94" s="41">
        <v>2000</v>
      </c>
      <c r="B94" s="41">
        <v>345.5</v>
      </c>
      <c r="C94" s="41">
        <v>304.5</v>
      </c>
      <c r="D94" s="45">
        <v>333.75</v>
      </c>
      <c r="E94" s="45">
        <v>310</v>
      </c>
      <c r="F94" s="45">
        <v>313.5</v>
      </c>
      <c r="G94" s="45">
        <v>345</v>
      </c>
      <c r="M94" s="44"/>
      <c r="N94" s="44"/>
      <c r="O94" s="44"/>
      <c r="P94" s="44"/>
      <c r="Q94" s="44"/>
      <c r="R94" s="44"/>
      <c r="S94" s="44"/>
    </row>
    <row r="95" spans="1:19" x14ac:dyDescent="0.2">
      <c r="A95" s="41">
        <v>2001</v>
      </c>
      <c r="B95" s="41">
        <v>355.75</v>
      </c>
      <c r="C95" s="41">
        <v>314</v>
      </c>
      <c r="D95" s="45">
        <v>345.75</v>
      </c>
      <c r="E95" s="45">
        <v>320.5</v>
      </c>
      <c r="F95" s="45">
        <v>325.75</v>
      </c>
      <c r="G95" s="45">
        <v>354.5</v>
      </c>
      <c r="M95" s="44"/>
      <c r="N95" s="44"/>
      <c r="O95" s="44"/>
      <c r="P95" s="44"/>
      <c r="Q95" s="44"/>
      <c r="R95" s="44"/>
      <c r="S95" s="44"/>
    </row>
    <row r="96" spans="1:19" x14ac:dyDescent="0.2">
      <c r="A96" s="41">
        <v>2002</v>
      </c>
      <c r="B96" s="41">
        <v>367.5</v>
      </c>
      <c r="C96" s="41">
        <v>321.75</v>
      </c>
      <c r="D96" s="41">
        <v>359.25</v>
      </c>
      <c r="E96" s="41">
        <v>326.75</v>
      </c>
      <c r="F96" s="41">
        <v>332.25</v>
      </c>
      <c r="G96" s="41">
        <v>370</v>
      </c>
      <c r="M96" s="44"/>
      <c r="N96" s="44"/>
      <c r="O96" s="44"/>
      <c r="P96" s="44"/>
      <c r="Q96" s="44"/>
      <c r="R96" s="44"/>
      <c r="S96" s="44"/>
    </row>
    <row r="97" spans="1:19" x14ac:dyDescent="0.2">
      <c r="A97" s="41">
        <v>2003</v>
      </c>
      <c r="B97" s="41">
        <v>374.75</v>
      </c>
      <c r="C97" s="41">
        <v>327</v>
      </c>
      <c r="D97" s="41">
        <v>369.5</v>
      </c>
      <c r="E97" s="41">
        <v>331.5</v>
      </c>
      <c r="F97" s="41">
        <v>338.5</v>
      </c>
      <c r="G97" s="41">
        <v>378.75</v>
      </c>
      <c r="M97" s="44"/>
      <c r="N97" s="44"/>
      <c r="O97" s="44"/>
      <c r="P97" s="44"/>
      <c r="Q97" s="44"/>
      <c r="R97" s="44"/>
      <c r="S97" s="44"/>
    </row>
    <row r="98" spans="1:19" x14ac:dyDescent="0.2">
      <c r="A98" s="41">
        <v>2004</v>
      </c>
      <c r="B98" s="41">
        <v>399.25</v>
      </c>
      <c r="C98" s="41">
        <v>351.5</v>
      </c>
      <c r="D98" s="41">
        <v>390.75</v>
      </c>
      <c r="E98" s="41">
        <v>353.25</v>
      </c>
      <c r="F98" s="41">
        <v>360.5</v>
      </c>
      <c r="G98" s="41">
        <v>400.5</v>
      </c>
      <c r="M98" s="44"/>
      <c r="N98" s="44"/>
      <c r="O98" s="44"/>
      <c r="P98" s="44"/>
      <c r="Q98" s="44"/>
      <c r="R98" s="44"/>
      <c r="S98" s="44"/>
    </row>
    <row r="99" spans="1:19" x14ac:dyDescent="0.2">
      <c r="A99" s="41">
        <v>2005</v>
      </c>
      <c r="B99" s="41">
        <v>432.5</v>
      </c>
      <c r="C99" s="41">
        <v>379</v>
      </c>
      <c r="D99" s="41">
        <v>422</v>
      </c>
      <c r="E99" s="41">
        <v>380.75</v>
      </c>
      <c r="F99" s="41">
        <v>389.75</v>
      </c>
      <c r="G99" s="41">
        <v>429.75</v>
      </c>
      <c r="M99" s="44"/>
      <c r="N99" s="44"/>
      <c r="O99" s="44"/>
      <c r="P99" s="44"/>
      <c r="Q99" s="44"/>
      <c r="R99" s="44"/>
      <c r="S99" s="44"/>
    </row>
    <row r="100" spans="1:19" x14ac:dyDescent="0.2">
      <c r="A100" s="41">
        <v>2006</v>
      </c>
      <c r="B100" s="41">
        <v>478.5</v>
      </c>
      <c r="C100" s="41">
        <v>423.25</v>
      </c>
      <c r="D100" s="41">
        <v>469.25</v>
      </c>
      <c r="E100" s="41">
        <v>424</v>
      </c>
      <c r="F100" s="41">
        <v>434.25</v>
      </c>
      <c r="G100" s="41">
        <v>474.75</v>
      </c>
      <c r="M100" s="44"/>
      <c r="N100" s="44"/>
      <c r="O100" s="44"/>
      <c r="P100" s="44"/>
      <c r="Q100" s="44"/>
      <c r="R100" s="44"/>
      <c r="S100" s="44"/>
    </row>
    <row r="101" spans="1:19" x14ac:dyDescent="0.2">
      <c r="A101" s="41">
        <v>2007</v>
      </c>
      <c r="B101" s="41">
        <v>532.44704139288206</v>
      </c>
      <c r="C101" s="41">
        <v>473.46873235988983</v>
      </c>
      <c r="D101" s="41">
        <v>519</v>
      </c>
      <c r="E101" s="41">
        <v>472.49004192763516</v>
      </c>
      <c r="F101" s="41">
        <v>482.57796742579484</v>
      </c>
      <c r="G101" s="41">
        <v>523.5425187462414</v>
      </c>
      <c r="M101" s="44"/>
      <c r="N101" s="44"/>
      <c r="O101" s="44"/>
      <c r="P101" s="44"/>
      <c r="Q101" s="44"/>
      <c r="R101" s="44"/>
      <c r="S101" s="44"/>
    </row>
    <row r="102" spans="1:19" x14ac:dyDescent="0.2">
      <c r="A102" s="41">
        <v>2008</v>
      </c>
      <c r="B102" s="41">
        <v>582.25</v>
      </c>
      <c r="C102" s="41">
        <v>518.25</v>
      </c>
      <c r="D102" s="41">
        <v>567</v>
      </c>
      <c r="E102" s="41">
        <v>521</v>
      </c>
      <c r="F102" s="41">
        <v>527.25</v>
      </c>
      <c r="G102" s="41">
        <v>572.5</v>
      </c>
      <c r="M102" s="44"/>
      <c r="N102" s="44"/>
      <c r="O102" s="44"/>
      <c r="P102" s="44"/>
      <c r="Q102" s="44"/>
      <c r="R102" s="44"/>
      <c r="S102" s="44"/>
    </row>
    <row r="103" spans="1:19" x14ac:dyDescent="0.2">
      <c r="A103" s="41">
        <v>2009</v>
      </c>
      <c r="B103" s="41">
        <v>598.25</v>
      </c>
      <c r="C103" s="41">
        <v>529.75</v>
      </c>
      <c r="D103" s="41">
        <v>574.5</v>
      </c>
      <c r="E103" s="41">
        <v>530.75</v>
      </c>
      <c r="F103" s="41">
        <v>538.5</v>
      </c>
      <c r="G103" s="41">
        <v>585.5</v>
      </c>
      <c r="M103" s="44"/>
      <c r="N103" s="44"/>
      <c r="O103" s="44"/>
      <c r="P103" s="44"/>
      <c r="Q103" s="44"/>
      <c r="R103" s="44"/>
      <c r="S103" s="44"/>
    </row>
    <row r="104" spans="1:19" x14ac:dyDescent="0.2">
      <c r="A104" s="41">
        <v>2010</v>
      </c>
      <c r="B104" s="41">
        <v>619.25</v>
      </c>
      <c r="C104" s="41">
        <v>547.75</v>
      </c>
      <c r="D104" s="41">
        <v>592.75</v>
      </c>
      <c r="E104" s="41">
        <v>553.25</v>
      </c>
      <c r="F104" s="41">
        <v>560.5</v>
      </c>
      <c r="G104" s="41">
        <v>610</v>
      </c>
      <c r="M104" s="44"/>
      <c r="N104" s="44"/>
      <c r="O104" s="44"/>
      <c r="P104" s="44"/>
      <c r="Q104" s="44"/>
      <c r="R104" s="44"/>
      <c r="S104" s="44"/>
    </row>
    <row r="105" spans="1:19" x14ac:dyDescent="0.2">
      <c r="A105" s="41">
        <v>2011</v>
      </c>
      <c r="B105" s="41">
        <v>649.75</v>
      </c>
      <c r="C105" s="41">
        <v>572.5</v>
      </c>
      <c r="D105" s="41">
        <v>618.75</v>
      </c>
      <c r="E105" s="41">
        <v>575.25</v>
      </c>
      <c r="F105" s="41">
        <v>585.5</v>
      </c>
      <c r="G105" s="41">
        <v>636</v>
      </c>
      <c r="M105" s="44"/>
      <c r="N105" s="44"/>
      <c r="O105" s="44"/>
      <c r="P105" s="44"/>
      <c r="Q105" s="44"/>
      <c r="R105" s="44"/>
      <c r="S105" s="44"/>
    </row>
    <row r="106" spans="1:19" x14ac:dyDescent="0.2">
      <c r="A106" s="41">
        <v>2012</v>
      </c>
      <c r="B106" s="41">
        <v>678.5</v>
      </c>
      <c r="C106" s="41">
        <v>591.5</v>
      </c>
      <c r="D106" s="41">
        <v>637.5</v>
      </c>
      <c r="E106" s="41">
        <v>593.125</v>
      </c>
      <c r="F106" s="41">
        <v>608.75</v>
      </c>
      <c r="G106" s="41">
        <v>658</v>
      </c>
      <c r="M106" s="44"/>
      <c r="N106" s="44"/>
      <c r="O106" s="44"/>
      <c r="P106" s="44"/>
      <c r="Q106" s="44"/>
      <c r="R106" s="44"/>
      <c r="S106" s="44"/>
    </row>
    <row r="107" spans="1:19" x14ac:dyDescent="0.2">
      <c r="A107" s="41">
        <v>2013</v>
      </c>
      <c r="B107" s="41">
        <v>701</v>
      </c>
      <c r="C107" s="41">
        <v>612.875</v>
      </c>
      <c r="D107" s="41">
        <v>659.25</v>
      </c>
      <c r="E107" s="41">
        <v>616.375</v>
      </c>
      <c r="F107" s="41">
        <v>630.375</v>
      </c>
      <c r="G107" s="41">
        <v>681.75</v>
      </c>
    </row>
    <row r="108" spans="1:19" x14ac:dyDescent="0.2">
      <c r="A108" s="41">
        <v>2014</v>
      </c>
      <c r="B108" s="41">
        <v>722</v>
      </c>
      <c r="C108" s="41">
        <v>630.375</v>
      </c>
      <c r="D108" s="41">
        <v>678</v>
      </c>
      <c r="E108" s="41">
        <v>635.875</v>
      </c>
      <c r="F108" s="41">
        <v>649.5</v>
      </c>
      <c r="G108" s="41">
        <v>703</v>
      </c>
    </row>
    <row r="109" spans="1:19" x14ac:dyDescent="0.2">
      <c r="A109" s="41">
        <v>2015</v>
      </c>
      <c r="B109" s="41">
        <v>737.25</v>
      </c>
      <c r="C109" s="41">
        <v>643</v>
      </c>
      <c r="D109" s="41">
        <v>690.25</v>
      </c>
      <c r="E109" s="41">
        <v>650.875</v>
      </c>
      <c r="F109" s="41">
        <v>668.125</v>
      </c>
      <c r="G109" s="41">
        <v>719.75</v>
      </c>
    </row>
    <row r="110" spans="1:19" s="31" customFormat="1" x14ac:dyDescent="0.2">
      <c r="A110" s="45">
        <v>2016</v>
      </c>
      <c r="B110" s="45">
        <v>746.5</v>
      </c>
      <c r="C110" s="45">
        <v>650</v>
      </c>
      <c r="D110" s="45">
        <v>692.75</v>
      </c>
      <c r="E110" s="45">
        <v>661.5</v>
      </c>
      <c r="F110" s="45">
        <v>674.25</v>
      </c>
      <c r="G110" s="45">
        <v>731</v>
      </c>
    </row>
    <row r="111" spans="1:19" x14ac:dyDescent="0.2">
      <c r="A111" s="41"/>
      <c r="B111" s="41"/>
      <c r="C111" s="41"/>
      <c r="D111" s="41"/>
      <c r="E111" s="41"/>
      <c r="F111" s="41"/>
      <c r="G111" s="41"/>
    </row>
    <row r="112" spans="1:19" s="31" customFormat="1" x14ac:dyDescent="0.2">
      <c r="A112" s="45"/>
      <c r="B112" s="45"/>
      <c r="C112" s="45"/>
      <c r="D112" s="45"/>
      <c r="E112" s="45"/>
      <c r="F112" s="45"/>
      <c r="G112" s="45"/>
    </row>
  </sheetData>
  <conditionalFormatting sqref="U7:AA106">
    <cfRule type="cellIs" dxfId="0" priority="1" operator="greaterThan">
      <formula>0</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C12"/>
  <sheetViews>
    <sheetView workbookViewId="0">
      <selection activeCell="C16" sqref="C16"/>
    </sheetView>
  </sheetViews>
  <sheetFormatPr defaultRowHeight="15" x14ac:dyDescent="0.25"/>
  <cols>
    <col min="1" max="1" width="14.140625" customWidth="1"/>
    <col min="2" max="2" width="10.7109375" customWidth="1"/>
    <col min="3" max="3" width="24" customWidth="1"/>
  </cols>
  <sheetData>
    <row r="1" spans="1:3" s="46" customFormat="1" ht="12.75" x14ac:dyDescent="0.2">
      <c r="A1" s="1"/>
    </row>
    <row r="2" spans="1:3" s="1" customFormat="1" ht="12.75" x14ac:dyDescent="0.2"/>
    <row r="3" spans="1:3" x14ac:dyDescent="0.25">
      <c r="A3" s="48" t="s">
        <v>64</v>
      </c>
      <c r="B3" s="49"/>
      <c r="C3" s="49"/>
    </row>
    <row r="4" spans="1:3" x14ac:dyDescent="0.25">
      <c r="A4" s="50"/>
      <c r="B4" s="50"/>
      <c r="C4" s="50"/>
    </row>
    <row r="5" spans="1:3" x14ac:dyDescent="0.25">
      <c r="A5" s="51" t="s">
        <v>37</v>
      </c>
      <c r="B5" s="52" t="s">
        <v>65</v>
      </c>
      <c r="C5" s="53" t="s">
        <v>41</v>
      </c>
    </row>
    <row r="6" spans="1:3" ht="63" customHeight="1" x14ac:dyDescent="0.25">
      <c r="A6" s="51"/>
      <c r="B6" s="52"/>
    </row>
    <row r="7" spans="1:3" x14ac:dyDescent="0.25">
      <c r="A7" s="54" t="s">
        <v>53</v>
      </c>
      <c r="B7" s="55">
        <v>210</v>
      </c>
      <c r="C7" s="56">
        <v>0.52876190476190477</v>
      </c>
    </row>
    <row r="8" spans="1:3" x14ac:dyDescent="0.25">
      <c r="A8" s="54" t="s">
        <v>59</v>
      </c>
      <c r="B8" s="55">
        <v>210</v>
      </c>
      <c r="C8" s="56">
        <v>0.53357142857142859</v>
      </c>
    </row>
    <row r="9" spans="1:3" x14ac:dyDescent="0.25">
      <c r="A9" s="54" t="s">
        <v>61</v>
      </c>
      <c r="B9" s="55">
        <v>210</v>
      </c>
      <c r="C9" s="56">
        <v>0.54542857142857148</v>
      </c>
    </row>
    <row r="10" spans="1:3" x14ac:dyDescent="0.25">
      <c r="A10" s="54" t="s">
        <v>60</v>
      </c>
      <c r="B10" s="55">
        <v>210</v>
      </c>
      <c r="C10" s="56">
        <v>0.55461904761904768</v>
      </c>
    </row>
    <row r="11" spans="1:3" x14ac:dyDescent="0.25">
      <c r="A11" s="54" t="s">
        <v>62</v>
      </c>
      <c r="B11" s="55">
        <v>210</v>
      </c>
      <c r="C11" s="56">
        <v>0.55619047619047624</v>
      </c>
    </row>
    <row r="12" spans="1:3" x14ac:dyDescent="0.25">
      <c r="A12" s="54" t="s">
        <v>63</v>
      </c>
      <c r="B12" s="55">
        <v>210</v>
      </c>
      <c r="C12" s="56">
        <v>0.55780952380952376</v>
      </c>
    </row>
  </sheetData>
  <pageMargins left="0.7" right="0.7" top="0.75" bottom="0.75" header="0.3" footer="0.3"/>
  <pageSetup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sizeWithCells="1">
              <from>
                <xdr:col>2</xdr:col>
                <xdr:colOff>238125</xdr:colOff>
                <xdr:row>5</xdr:row>
                <xdr:rowOff>47625</xdr:rowOff>
              </from>
              <to>
                <xdr:col>2</xdr:col>
                <xdr:colOff>1485900</xdr:colOff>
                <xdr:row>5</xdr:row>
                <xdr:rowOff>704850</xdr:rowOff>
              </to>
            </anchor>
          </objectPr>
        </oleObject>
      </mc:Choice>
      <mc:Fallback>
        <oleObject progId="Equation.3" shapeId="8193" r:id="rId4"/>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
  <sheetViews>
    <sheetView workbookViewId="0"/>
  </sheetViews>
  <sheetFormatPr defaultRowHeight="15" x14ac:dyDescent="0.25"/>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4:J322"/>
  <sheetViews>
    <sheetView workbookViewId="0">
      <selection activeCell="I35" sqref="I35"/>
    </sheetView>
  </sheetViews>
  <sheetFormatPr defaultColWidth="9.140625" defaultRowHeight="12.75" x14ac:dyDescent="0.2"/>
  <cols>
    <col min="1" max="2" width="9.140625" style="1"/>
    <col min="3" max="3" width="10.5703125" style="1" customWidth="1"/>
    <col min="4" max="7" width="15.7109375" style="1" customWidth="1"/>
    <col min="8" max="8" width="21.140625" style="1" customWidth="1"/>
    <col min="9" max="10" width="15.85546875" style="1" customWidth="1"/>
    <col min="11" max="16384" width="9.140625" style="1"/>
  </cols>
  <sheetData>
    <row r="4" spans="1:10" s="2" customFormat="1" ht="25.5" x14ac:dyDescent="0.2">
      <c r="D4" s="6" t="s">
        <v>93</v>
      </c>
      <c r="E4" s="6" t="s">
        <v>93</v>
      </c>
      <c r="F4" s="6" t="s">
        <v>93</v>
      </c>
      <c r="G4" s="6" t="s">
        <v>94</v>
      </c>
      <c r="H4" s="6" t="s">
        <v>95</v>
      </c>
      <c r="I4" s="6" t="s">
        <v>96</v>
      </c>
      <c r="J4" s="6" t="s">
        <v>96</v>
      </c>
    </row>
    <row r="5" spans="1:10" s="6" customFormat="1" ht="25.5" x14ac:dyDescent="0.25">
      <c r="A5" s="6" t="s">
        <v>0</v>
      </c>
      <c r="B5" s="6" t="s">
        <v>97</v>
      </c>
      <c r="C5" s="6" t="s">
        <v>98</v>
      </c>
      <c r="D5" s="4" t="s">
        <v>99</v>
      </c>
      <c r="E5" s="4" t="s">
        <v>100</v>
      </c>
      <c r="F5" s="4" t="s">
        <v>101</v>
      </c>
      <c r="G5" s="4" t="s">
        <v>102</v>
      </c>
      <c r="H5" s="4" t="s">
        <v>103</v>
      </c>
      <c r="I5" s="4" t="s">
        <v>104</v>
      </c>
      <c r="J5" s="4" t="s">
        <v>105</v>
      </c>
    </row>
    <row r="6" spans="1:10" x14ac:dyDescent="0.2">
      <c r="A6" s="1">
        <v>1992</v>
      </c>
      <c r="B6" s="1">
        <v>1</v>
      </c>
      <c r="C6" s="5" t="str">
        <f>CONCATENATE(A6,"M",B6)</f>
        <v>1992M1</v>
      </c>
      <c r="H6" s="47"/>
    </row>
    <row r="7" spans="1:10" x14ac:dyDescent="0.2">
      <c r="A7" s="1">
        <v>1992</v>
      </c>
      <c r="B7" s="1">
        <v>2</v>
      </c>
      <c r="C7" s="5" t="str">
        <f t="shared" ref="C7:C70" si="0">CONCATENATE(A7,"M",B7)</f>
        <v>1992M2</v>
      </c>
      <c r="H7" s="47"/>
    </row>
    <row r="8" spans="1:10" x14ac:dyDescent="0.2">
      <c r="A8" s="1">
        <v>1992</v>
      </c>
      <c r="B8" s="1">
        <v>3</v>
      </c>
      <c r="C8" s="5" t="str">
        <f t="shared" si="0"/>
        <v>1992M3</v>
      </c>
      <c r="H8" s="47"/>
    </row>
    <row r="9" spans="1:10" x14ac:dyDescent="0.2">
      <c r="A9" s="1">
        <v>1992</v>
      </c>
      <c r="B9" s="1">
        <v>4</v>
      </c>
      <c r="C9" s="5" t="str">
        <f t="shared" si="0"/>
        <v>1992M4</v>
      </c>
      <c r="H9" s="47"/>
    </row>
    <row r="10" spans="1:10" x14ac:dyDescent="0.2">
      <c r="A10" s="1">
        <v>1992</v>
      </c>
      <c r="B10" s="1">
        <v>5</v>
      </c>
      <c r="C10" s="5" t="str">
        <f t="shared" si="0"/>
        <v>1992M5</v>
      </c>
      <c r="H10" s="47"/>
    </row>
    <row r="11" spans="1:10" x14ac:dyDescent="0.2">
      <c r="A11" s="1">
        <v>1992</v>
      </c>
      <c r="B11" s="1">
        <v>6</v>
      </c>
      <c r="C11" s="5" t="str">
        <f t="shared" si="0"/>
        <v>1992M6</v>
      </c>
      <c r="H11" s="47"/>
    </row>
    <row r="12" spans="1:10" x14ac:dyDescent="0.2">
      <c r="A12" s="1">
        <v>1992</v>
      </c>
      <c r="B12" s="1">
        <v>7</v>
      </c>
      <c r="C12" s="5" t="str">
        <f t="shared" si="0"/>
        <v>1992M7</v>
      </c>
      <c r="H12" s="47"/>
    </row>
    <row r="13" spans="1:10" x14ac:dyDescent="0.2">
      <c r="A13" s="1">
        <v>1992</v>
      </c>
      <c r="B13" s="1">
        <v>8</v>
      </c>
      <c r="C13" s="5" t="str">
        <f t="shared" si="0"/>
        <v>1992M8</v>
      </c>
      <c r="H13" s="47"/>
    </row>
    <row r="14" spans="1:10" x14ac:dyDescent="0.2">
      <c r="A14" s="1">
        <v>1992</v>
      </c>
      <c r="B14" s="1">
        <v>9</v>
      </c>
      <c r="C14" s="5" t="str">
        <f t="shared" si="0"/>
        <v>1992M9</v>
      </c>
      <c r="H14" s="47"/>
    </row>
    <row r="15" spans="1:10" x14ac:dyDescent="0.2">
      <c r="A15" s="1">
        <v>1992</v>
      </c>
      <c r="B15" s="1">
        <v>10</v>
      </c>
      <c r="C15" s="5" t="str">
        <f t="shared" si="0"/>
        <v>1992M10</v>
      </c>
      <c r="H15" s="47"/>
    </row>
    <row r="16" spans="1:10" x14ac:dyDescent="0.2">
      <c r="A16" s="1">
        <v>1992</v>
      </c>
      <c r="B16" s="1">
        <v>11</v>
      </c>
      <c r="C16" s="5" t="str">
        <f t="shared" si="0"/>
        <v>1992M11</v>
      </c>
      <c r="H16" s="47"/>
    </row>
    <row r="17" spans="1:8" x14ac:dyDescent="0.2">
      <c r="A17" s="1">
        <v>1992</v>
      </c>
      <c r="B17" s="1">
        <v>12</v>
      </c>
      <c r="C17" s="5" t="str">
        <f t="shared" si="0"/>
        <v>1992M12</v>
      </c>
      <c r="D17" s="76">
        <v>7.9379999999999997</v>
      </c>
      <c r="E17" s="76">
        <v>8.2480000000000011</v>
      </c>
      <c r="F17" s="76">
        <v>8.3620000000000001</v>
      </c>
      <c r="G17" s="76">
        <v>8.61</v>
      </c>
      <c r="H17" s="77">
        <v>10.541043326568413</v>
      </c>
    </row>
    <row r="18" spans="1:8" x14ac:dyDescent="0.2">
      <c r="A18" s="1">
        <v>1993</v>
      </c>
      <c r="B18" s="1">
        <v>1</v>
      </c>
      <c r="C18" s="5" t="str">
        <f t="shared" si="0"/>
        <v>1993M1</v>
      </c>
      <c r="D18" s="76">
        <v>7.9352631578947355</v>
      </c>
      <c r="E18" s="76">
        <v>8.14</v>
      </c>
      <c r="F18" s="76">
        <v>8.2705263157894766</v>
      </c>
      <c r="G18" s="76">
        <v>8.5642105263157866</v>
      </c>
      <c r="H18" s="77">
        <v>10.48498422947131</v>
      </c>
    </row>
    <row r="19" spans="1:8" x14ac:dyDescent="0.2">
      <c r="A19" s="1">
        <v>1993</v>
      </c>
      <c r="B19" s="1">
        <v>2</v>
      </c>
      <c r="C19" s="5" t="str">
        <f t="shared" si="0"/>
        <v>1993M2</v>
      </c>
      <c r="D19" s="76">
        <v>7.7536842105263153</v>
      </c>
      <c r="E19" s="76">
        <v>7.9142105263157898</v>
      </c>
      <c r="F19" s="76">
        <v>8.0357894736842095</v>
      </c>
      <c r="G19" s="76">
        <v>8.3168421052631558</v>
      </c>
      <c r="H19" s="77">
        <v>10.182136233659394</v>
      </c>
    </row>
    <row r="20" spans="1:8" x14ac:dyDescent="0.2">
      <c r="A20" s="1">
        <v>1993</v>
      </c>
      <c r="B20" s="1">
        <v>3</v>
      </c>
      <c r="C20" s="5" t="str">
        <f t="shared" si="0"/>
        <v>1993M3</v>
      </c>
      <c r="D20" s="76">
        <v>7.6408695652173906</v>
      </c>
      <c r="E20" s="76">
        <v>7.7578260869565216</v>
      </c>
      <c r="F20" s="76">
        <v>7.9034782608695648</v>
      </c>
      <c r="G20" s="76">
        <v>8.095217391304347</v>
      </c>
      <c r="H20" s="77">
        <v>9.9108057212229088</v>
      </c>
    </row>
    <row r="21" spans="1:8" x14ac:dyDescent="0.2">
      <c r="A21" s="1">
        <v>1993</v>
      </c>
      <c r="B21" s="1">
        <v>4</v>
      </c>
      <c r="C21" s="5" t="str">
        <f t="shared" si="0"/>
        <v>1993M4</v>
      </c>
      <c r="D21" s="76">
        <v>7.5047619047619047</v>
      </c>
      <c r="E21" s="76">
        <v>7.6380952380952385</v>
      </c>
      <c r="F21" s="76">
        <v>7.8138095238095238</v>
      </c>
      <c r="G21" s="76">
        <v>8.1052380952380965</v>
      </c>
      <c r="H21" s="77">
        <v>9.9230738599370056</v>
      </c>
    </row>
    <row r="22" spans="1:8" x14ac:dyDescent="0.2">
      <c r="A22" s="1">
        <v>1993</v>
      </c>
      <c r="B22" s="1">
        <v>5</v>
      </c>
      <c r="C22" s="5" t="str">
        <f t="shared" si="0"/>
        <v>1993M5</v>
      </c>
      <c r="D22" s="76">
        <v>7.4394999999999998</v>
      </c>
      <c r="E22" s="76">
        <v>7.6370000000000022</v>
      </c>
      <c r="F22" s="76">
        <v>7.8519999999999994</v>
      </c>
      <c r="G22" s="76">
        <v>8.1844999999999999</v>
      </c>
      <c r="H22" s="77">
        <v>10.020112555900022</v>
      </c>
    </row>
    <row r="23" spans="1:8" x14ac:dyDescent="0.2">
      <c r="A23" s="1">
        <v>1993</v>
      </c>
      <c r="B23" s="1">
        <v>6</v>
      </c>
      <c r="C23" s="5" t="str">
        <f t="shared" si="0"/>
        <v>1993M6</v>
      </c>
      <c r="D23" s="76">
        <v>7.3659090909090912</v>
      </c>
      <c r="E23" s="76">
        <v>7.5359090909090902</v>
      </c>
      <c r="F23" s="76">
        <v>7.748636363636364</v>
      </c>
      <c r="G23" s="76">
        <v>8.0504545454545422</v>
      </c>
      <c r="H23" s="77">
        <v>9.8560035031598083</v>
      </c>
    </row>
    <row r="24" spans="1:8" x14ac:dyDescent="0.2">
      <c r="A24" s="1">
        <v>1993</v>
      </c>
      <c r="B24" s="1">
        <v>7</v>
      </c>
      <c r="C24" s="5" t="str">
        <f t="shared" si="0"/>
        <v>1993M7</v>
      </c>
      <c r="D24" s="76">
        <v>7.2494999999999994</v>
      </c>
      <c r="E24" s="76">
        <v>7.3789999999999996</v>
      </c>
      <c r="F24" s="76">
        <v>7.5344999999999995</v>
      </c>
      <c r="G24" s="76">
        <v>7.9359999999999999</v>
      </c>
      <c r="H24" s="77">
        <v>9.7158791915966241</v>
      </c>
    </row>
    <row r="25" spans="1:8" x14ac:dyDescent="0.2">
      <c r="A25" s="1">
        <v>1993</v>
      </c>
      <c r="B25" s="1">
        <v>8</v>
      </c>
      <c r="C25" s="5" t="str">
        <f t="shared" si="0"/>
        <v>1993M8</v>
      </c>
      <c r="D25" s="76">
        <v>6.9445454545454535</v>
      </c>
      <c r="E25" s="76">
        <v>7.0668181818181814</v>
      </c>
      <c r="F25" s="76">
        <v>7.250909090909091</v>
      </c>
      <c r="G25" s="76">
        <v>7.592727272727271</v>
      </c>
      <c r="H25" s="77">
        <v>9.2956175550099651</v>
      </c>
    </row>
    <row r="26" spans="1:8" x14ac:dyDescent="0.2">
      <c r="A26" s="1">
        <v>1993</v>
      </c>
      <c r="B26" s="1">
        <v>9</v>
      </c>
      <c r="C26" s="5" t="str">
        <f t="shared" si="0"/>
        <v>1993M9</v>
      </c>
      <c r="D26" s="76">
        <v>6.7566666666666677</v>
      </c>
      <c r="E26" s="76">
        <v>6.8938095238095256</v>
      </c>
      <c r="F26" s="76">
        <v>7.0376190476190477</v>
      </c>
      <c r="G26" s="76">
        <v>7.3547619047619026</v>
      </c>
      <c r="H26" s="77">
        <v>9.0042815208699238</v>
      </c>
    </row>
    <row r="27" spans="1:8" x14ac:dyDescent="0.2">
      <c r="A27" s="1">
        <v>1993</v>
      </c>
      <c r="B27" s="1">
        <v>10</v>
      </c>
      <c r="C27" s="5" t="str">
        <f t="shared" si="0"/>
        <v>1993M10</v>
      </c>
      <c r="D27" s="76">
        <v>6.7733333333333352</v>
      </c>
      <c r="E27" s="76">
        <v>6.9052380952380963</v>
      </c>
      <c r="F27" s="76">
        <v>7.0280952380952382</v>
      </c>
      <c r="G27" s="76">
        <v>7.269047619047619</v>
      </c>
      <c r="H27" s="77">
        <v>8.8993433095551602</v>
      </c>
    </row>
    <row r="28" spans="1:8" x14ac:dyDescent="0.2">
      <c r="A28" s="1">
        <v>1993</v>
      </c>
      <c r="B28" s="1">
        <v>11</v>
      </c>
      <c r="C28" s="5" t="str">
        <f t="shared" si="0"/>
        <v>1993M11</v>
      </c>
      <c r="D28" s="76">
        <v>7.06</v>
      </c>
      <c r="E28" s="76">
        <v>7.1714999999999991</v>
      </c>
      <c r="F28" s="76">
        <v>7.3009999999999993</v>
      </c>
      <c r="G28" s="76">
        <v>7.6854999999999976</v>
      </c>
      <c r="H28" s="77">
        <v>9.4091972690292121</v>
      </c>
    </row>
    <row r="29" spans="1:8" x14ac:dyDescent="0.2">
      <c r="A29" s="1">
        <v>1993</v>
      </c>
      <c r="B29" s="1">
        <v>12</v>
      </c>
      <c r="C29" s="5" t="str">
        <f t="shared" si="0"/>
        <v>1993M12</v>
      </c>
      <c r="D29" s="76">
        <v>7.0604545454545464</v>
      </c>
      <c r="E29" s="76">
        <v>7.1818181818181834</v>
      </c>
      <c r="F29" s="76">
        <v>7.3395454545454548</v>
      </c>
      <c r="G29" s="76">
        <v>7.7318181818181815</v>
      </c>
      <c r="H29" s="77">
        <v>9.4659036524616571</v>
      </c>
    </row>
    <row r="30" spans="1:8" x14ac:dyDescent="0.2">
      <c r="A30" s="1">
        <v>1994</v>
      </c>
      <c r="B30" s="1">
        <v>1</v>
      </c>
      <c r="C30" s="5" t="str">
        <f t="shared" si="0"/>
        <v>1994M1</v>
      </c>
      <c r="D30" s="76">
        <v>7.0476190476190474</v>
      </c>
      <c r="E30" s="76">
        <v>7.1852380952380948</v>
      </c>
      <c r="F30" s="76">
        <v>7.3252380952380962</v>
      </c>
      <c r="G30" s="76">
        <v>7.6623809523809534</v>
      </c>
      <c r="H30" s="77">
        <v>9.3808931014773727</v>
      </c>
    </row>
    <row r="31" spans="1:8" x14ac:dyDescent="0.2">
      <c r="A31" s="1">
        <v>1994</v>
      </c>
      <c r="B31" s="1">
        <v>2</v>
      </c>
      <c r="C31" s="5" t="str">
        <f t="shared" si="0"/>
        <v>1994M2</v>
      </c>
      <c r="D31" s="76">
        <v>7.19</v>
      </c>
      <c r="E31" s="76">
        <v>7.3336842105263162</v>
      </c>
      <c r="F31" s="76">
        <v>7.4594736842105274</v>
      </c>
      <c r="G31" s="76">
        <v>7.7642105263157886</v>
      </c>
      <c r="H31" s="77">
        <v>9.5055609238668151</v>
      </c>
    </row>
    <row r="32" spans="1:8" x14ac:dyDescent="0.2">
      <c r="A32" s="1">
        <v>1994</v>
      </c>
      <c r="B32" s="1">
        <v>3</v>
      </c>
      <c r="C32" s="5" t="str">
        <f t="shared" si="0"/>
        <v>1994M3</v>
      </c>
      <c r="D32" s="76">
        <v>7.6013043478260878</v>
      </c>
      <c r="E32" s="76">
        <v>7.7443478260869565</v>
      </c>
      <c r="F32" s="76">
        <v>7.8473913043478252</v>
      </c>
      <c r="G32" s="76">
        <v>8.11</v>
      </c>
      <c r="H32" s="77">
        <v>9.9289037605656016</v>
      </c>
    </row>
    <row r="33" spans="1:8" x14ac:dyDescent="0.2">
      <c r="A33" s="1">
        <v>1994</v>
      </c>
      <c r="B33" s="1">
        <v>4</v>
      </c>
      <c r="C33" s="5" t="str">
        <f t="shared" si="0"/>
        <v>1994M4</v>
      </c>
      <c r="D33" s="76">
        <v>7.9952631578947368</v>
      </c>
      <c r="E33" s="76">
        <v>8.1221052631578949</v>
      </c>
      <c r="F33" s="76">
        <v>8.2221052631578946</v>
      </c>
      <c r="G33" s="76">
        <v>8.4721052631578928</v>
      </c>
      <c r="H33" s="77">
        <v>10.372221677839216</v>
      </c>
    </row>
    <row r="34" spans="1:8" x14ac:dyDescent="0.2">
      <c r="A34" s="1">
        <v>1994</v>
      </c>
      <c r="B34" s="1">
        <v>5</v>
      </c>
      <c r="C34" s="5" t="str">
        <f t="shared" si="0"/>
        <v>1994M5</v>
      </c>
      <c r="D34" s="76">
        <v>8.1090476190476188</v>
      </c>
      <c r="E34" s="76">
        <v>8.2380952380952372</v>
      </c>
      <c r="F34" s="76">
        <v>8.3328571428571436</v>
      </c>
      <c r="G34" s="76">
        <v>8.61</v>
      </c>
      <c r="H34" s="77">
        <v>10.541043326568413</v>
      </c>
    </row>
    <row r="35" spans="1:8" x14ac:dyDescent="0.2">
      <c r="A35" s="1">
        <v>1994</v>
      </c>
      <c r="B35" s="1">
        <v>6</v>
      </c>
      <c r="C35" s="5" t="str">
        <f t="shared" si="0"/>
        <v>1994M6</v>
      </c>
      <c r="D35" s="76">
        <v>8.0672727272727247</v>
      </c>
      <c r="E35" s="76">
        <v>8.2131818181818197</v>
      </c>
      <c r="F35" s="76">
        <v>8.3140909090909076</v>
      </c>
      <c r="G35" s="76">
        <v>8.6381818181818169</v>
      </c>
      <c r="H35" s="77">
        <v>10.575545738470389</v>
      </c>
    </row>
    <row r="36" spans="1:8" x14ac:dyDescent="0.2">
      <c r="A36" s="1">
        <v>1994</v>
      </c>
      <c r="B36" s="1">
        <v>7</v>
      </c>
      <c r="C36" s="5" t="str">
        <f t="shared" si="0"/>
        <v>1994M7</v>
      </c>
      <c r="D36" s="76">
        <v>8.2099999999999991</v>
      </c>
      <c r="E36" s="76">
        <v>8.3749999999999982</v>
      </c>
      <c r="F36" s="76">
        <v>8.4649999999999981</v>
      </c>
      <c r="G36" s="76">
        <v>8.8000000000000007</v>
      </c>
      <c r="H36" s="77">
        <v>10.773656361649483</v>
      </c>
    </row>
    <row r="37" spans="1:8" x14ac:dyDescent="0.2">
      <c r="A37" s="1">
        <v>1994</v>
      </c>
      <c r="B37" s="1">
        <v>8</v>
      </c>
      <c r="C37" s="5" t="str">
        <f t="shared" si="0"/>
        <v>1994M8</v>
      </c>
      <c r="D37" s="76">
        <v>8.1513043478260876</v>
      </c>
      <c r="E37" s="76">
        <v>8.3169565217391295</v>
      </c>
      <c r="F37" s="76">
        <v>8.4117391304347819</v>
      </c>
      <c r="G37" s="76">
        <v>8.7443478260869565</v>
      </c>
      <c r="H37" s="77">
        <v>10.705522566476995</v>
      </c>
    </row>
    <row r="38" spans="1:8" x14ac:dyDescent="0.2">
      <c r="A38" s="1">
        <v>1994</v>
      </c>
      <c r="B38" s="1">
        <v>9</v>
      </c>
      <c r="C38" s="5" t="str">
        <f t="shared" si="0"/>
        <v>1994M9</v>
      </c>
      <c r="D38" s="76">
        <v>8.4057894736842087</v>
      </c>
      <c r="E38" s="76">
        <v>8.5505263157894742</v>
      </c>
      <c r="F38" s="76">
        <v>8.6331578947368453</v>
      </c>
      <c r="G38" s="76">
        <v>8.9799999999999986</v>
      </c>
      <c r="H38" s="77">
        <v>10.994026605410493</v>
      </c>
    </row>
    <row r="39" spans="1:8" x14ac:dyDescent="0.2">
      <c r="A39" s="1">
        <v>1994</v>
      </c>
      <c r="B39" s="1">
        <v>10</v>
      </c>
      <c r="C39" s="5" t="str">
        <f t="shared" si="0"/>
        <v>1994M10</v>
      </c>
      <c r="D39" s="76">
        <v>8.6552380952380936</v>
      </c>
      <c r="E39" s="76">
        <v>8.7823809523809544</v>
      </c>
      <c r="F39" s="76">
        <v>8.8595238095238109</v>
      </c>
      <c r="G39" s="76">
        <v>9.2476190476190467</v>
      </c>
      <c r="H39" s="77">
        <v>11.321667020737712</v>
      </c>
    </row>
    <row r="40" spans="1:8" x14ac:dyDescent="0.2">
      <c r="A40" s="1">
        <v>1994</v>
      </c>
      <c r="B40" s="1">
        <v>11</v>
      </c>
      <c r="C40" s="5" t="str">
        <f t="shared" si="0"/>
        <v>1994M11</v>
      </c>
      <c r="D40" s="76">
        <v>8.763499999999997</v>
      </c>
      <c r="E40" s="76">
        <v>8.9009999999999998</v>
      </c>
      <c r="F40" s="76">
        <v>8.9740000000000002</v>
      </c>
      <c r="G40" s="76">
        <v>9.3490000000000002</v>
      </c>
      <c r="H40" s="77">
        <v>11.44578560512057</v>
      </c>
    </row>
    <row r="41" spans="1:8" x14ac:dyDescent="0.2">
      <c r="A41" s="1">
        <v>1994</v>
      </c>
      <c r="B41" s="1">
        <v>12</v>
      </c>
      <c r="C41" s="5" t="str">
        <f t="shared" si="0"/>
        <v>1994M12</v>
      </c>
      <c r="D41" s="76">
        <v>8.5519047619047619</v>
      </c>
      <c r="E41" s="76">
        <v>8.6880952380952383</v>
      </c>
      <c r="F41" s="76">
        <v>8.7638095238095239</v>
      </c>
      <c r="G41" s="76">
        <v>9.1552380952380936</v>
      </c>
      <c r="H41" s="77">
        <v>11.208566948542906</v>
      </c>
    </row>
    <row r="42" spans="1:8" x14ac:dyDescent="0.2">
      <c r="A42" s="1">
        <v>1995</v>
      </c>
      <c r="B42" s="1">
        <v>1</v>
      </c>
      <c r="C42" s="5" t="str">
        <f t="shared" si="0"/>
        <v>1995M1</v>
      </c>
      <c r="D42" s="76">
        <v>8.534285714285712</v>
      </c>
      <c r="E42" s="76">
        <v>8.6642857142857146</v>
      </c>
      <c r="F42" s="76">
        <v>8.7338095238095228</v>
      </c>
      <c r="G42" s="76">
        <v>9.1533333333333342</v>
      </c>
      <c r="H42" s="77">
        <v>11.20623498829147</v>
      </c>
    </row>
    <row r="43" spans="1:8" x14ac:dyDescent="0.2">
      <c r="A43" s="1">
        <v>1995</v>
      </c>
      <c r="B43" s="1">
        <v>2</v>
      </c>
      <c r="C43" s="5" t="str">
        <f t="shared" si="0"/>
        <v>1995M2</v>
      </c>
      <c r="D43" s="76">
        <v>8.3242105263157882</v>
      </c>
      <c r="E43" s="76">
        <v>8.4484210526315788</v>
      </c>
      <c r="F43" s="76">
        <v>8.5205263157894748</v>
      </c>
      <c r="G43" s="76">
        <v>8.9284210526315793</v>
      </c>
      <c r="H43" s="77">
        <v>10.930879576496521</v>
      </c>
    </row>
    <row r="44" spans="1:8" x14ac:dyDescent="0.2">
      <c r="A44" s="1">
        <v>1995</v>
      </c>
      <c r="B44" s="1">
        <v>3</v>
      </c>
      <c r="C44" s="5" t="str">
        <f t="shared" si="0"/>
        <v>1995M3</v>
      </c>
      <c r="D44" s="76">
        <v>8.1756521739130399</v>
      </c>
      <c r="E44" s="76">
        <v>8.2934782608695663</v>
      </c>
      <c r="F44" s="76">
        <v>8.371739130434781</v>
      </c>
      <c r="G44" s="76">
        <v>8.7752173913043467</v>
      </c>
      <c r="H44" s="77">
        <v>10.743315530986733</v>
      </c>
    </row>
    <row r="45" spans="1:8" x14ac:dyDescent="0.2">
      <c r="A45" s="1">
        <v>1995</v>
      </c>
      <c r="B45" s="1">
        <v>4</v>
      </c>
      <c r="C45" s="5" t="str">
        <f t="shared" si="0"/>
        <v>1995M4</v>
      </c>
      <c r="D45" s="76">
        <v>8.0757894736842086</v>
      </c>
      <c r="E45" s="76">
        <v>8.1747368421052631</v>
      </c>
      <c r="F45" s="76">
        <v>8.2726315789473688</v>
      </c>
      <c r="G45" s="76">
        <v>8.6731578947368408</v>
      </c>
      <c r="H45" s="77">
        <v>10.618366219116137</v>
      </c>
    </row>
    <row r="46" spans="1:8" x14ac:dyDescent="0.2">
      <c r="A46" s="1">
        <v>1995</v>
      </c>
      <c r="B46" s="1">
        <v>5</v>
      </c>
      <c r="C46" s="5" t="str">
        <f t="shared" si="0"/>
        <v>1995M5</v>
      </c>
      <c r="D46" s="76">
        <v>7.709090909090909</v>
      </c>
      <c r="E46" s="76">
        <v>7.7977272727272728</v>
      </c>
      <c r="F46" s="76">
        <v>7.9050000000000011</v>
      </c>
      <c r="G46" s="76">
        <v>8.2995454545454539</v>
      </c>
      <c r="H46" s="77">
        <v>10.160960305132122</v>
      </c>
    </row>
    <row r="47" spans="1:8" x14ac:dyDescent="0.2">
      <c r="A47" s="1">
        <v>1995</v>
      </c>
      <c r="B47" s="1">
        <v>6</v>
      </c>
      <c r="C47" s="5" t="str">
        <f t="shared" si="0"/>
        <v>1995M6</v>
      </c>
      <c r="D47" s="76">
        <v>7.3945454545454545</v>
      </c>
      <c r="E47" s="76">
        <v>7.49</v>
      </c>
      <c r="F47" s="76">
        <v>7.6022727272727275</v>
      </c>
      <c r="G47" s="76">
        <v>8.0081818181818178</v>
      </c>
      <c r="H47" s="77">
        <v>9.8042498853068469</v>
      </c>
    </row>
    <row r="48" spans="1:8" x14ac:dyDescent="0.2">
      <c r="A48" s="1">
        <v>1995</v>
      </c>
      <c r="B48" s="1">
        <v>7</v>
      </c>
      <c r="C48" s="5" t="str">
        <f t="shared" si="0"/>
        <v>1995M7</v>
      </c>
      <c r="D48" s="76">
        <v>7.5145000000000008</v>
      </c>
      <c r="E48" s="76">
        <v>7.6005000000000011</v>
      </c>
      <c r="F48" s="76">
        <v>7.6959999999999997</v>
      </c>
      <c r="G48" s="76">
        <v>8.1020000000000003</v>
      </c>
      <c r="H48" s="77">
        <v>9.9191095275095584</v>
      </c>
    </row>
    <row r="49" spans="1:8" x14ac:dyDescent="0.2">
      <c r="A49" s="1">
        <v>1995</v>
      </c>
      <c r="B49" s="1">
        <v>8</v>
      </c>
      <c r="C49" s="5" t="str">
        <f t="shared" si="0"/>
        <v>1995M8</v>
      </c>
      <c r="D49" s="76">
        <v>7.6634782608695646</v>
      </c>
      <c r="E49" s="76">
        <v>7.7126086956521736</v>
      </c>
      <c r="F49" s="76">
        <v>7.83</v>
      </c>
      <c r="G49" s="76">
        <v>8.2356521739130439</v>
      </c>
      <c r="H49" s="77">
        <v>10.082737094978484</v>
      </c>
    </row>
    <row r="50" spans="1:8" x14ac:dyDescent="0.2">
      <c r="A50" s="1">
        <v>1995</v>
      </c>
      <c r="B50" s="1">
        <v>9</v>
      </c>
      <c r="C50" s="5" t="str">
        <f t="shared" si="0"/>
        <v>1995M9</v>
      </c>
      <c r="D50" s="76">
        <v>7.4229999999999992</v>
      </c>
      <c r="E50" s="76">
        <v>7.4784999999999995</v>
      </c>
      <c r="F50" s="76">
        <v>7.6174999999999997</v>
      </c>
      <c r="G50" s="76">
        <v>7.9835000000000012</v>
      </c>
      <c r="H50" s="77">
        <v>9.7740324503668923</v>
      </c>
    </row>
    <row r="51" spans="1:8" x14ac:dyDescent="0.2">
      <c r="A51" s="1">
        <v>1995</v>
      </c>
      <c r="B51" s="1">
        <v>10</v>
      </c>
      <c r="C51" s="5" t="str">
        <f t="shared" si="0"/>
        <v>1995M10</v>
      </c>
      <c r="D51" s="76">
        <v>7.2277272727272726</v>
      </c>
      <c r="E51" s="76">
        <v>7.3040909090909079</v>
      </c>
      <c r="F51" s="76">
        <v>7.464090909090908</v>
      </c>
      <c r="G51" s="76">
        <v>7.8195454545454561</v>
      </c>
      <c r="H51" s="77">
        <v>9.5733063217694259</v>
      </c>
    </row>
    <row r="52" spans="1:8" x14ac:dyDescent="0.2">
      <c r="A52" s="1">
        <v>1995</v>
      </c>
      <c r="B52" s="1">
        <v>11</v>
      </c>
      <c r="C52" s="5" t="str">
        <f t="shared" si="0"/>
        <v>1995M11</v>
      </c>
      <c r="D52" s="76">
        <v>7.1260000000000003</v>
      </c>
      <c r="E52" s="76">
        <v>7.2189999999999985</v>
      </c>
      <c r="F52" s="76">
        <v>7.4329999999999998</v>
      </c>
      <c r="G52" s="76">
        <v>7.8114999999999979</v>
      </c>
      <c r="H52" s="77">
        <v>9.5634564396619215</v>
      </c>
    </row>
    <row r="53" spans="1:8" x14ac:dyDescent="0.2">
      <c r="A53" s="1">
        <v>1995</v>
      </c>
      <c r="B53" s="1">
        <v>12</v>
      </c>
      <c r="C53" s="5" t="str">
        <f t="shared" si="0"/>
        <v>1995M12</v>
      </c>
      <c r="D53" s="76">
        <v>6.9375</v>
      </c>
      <c r="E53" s="76">
        <v>7.0314999999999994</v>
      </c>
      <c r="F53" s="76">
        <v>7.243999999999998</v>
      </c>
      <c r="G53" s="76">
        <v>7.6285000000000007</v>
      </c>
      <c r="H53" s="77">
        <v>9.3394133585048955</v>
      </c>
    </row>
    <row r="54" spans="1:8" x14ac:dyDescent="0.2">
      <c r="A54" s="1">
        <v>1996</v>
      </c>
      <c r="B54" s="1">
        <v>1</v>
      </c>
      <c r="C54" s="5" t="str">
        <f t="shared" si="0"/>
        <v>1996M1</v>
      </c>
      <c r="D54" s="76">
        <v>6.9249999999999989</v>
      </c>
      <c r="E54" s="76">
        <v>7.0125000000000011</v>
      </c>
      <c r="F54" s="76">
        <v>7.2129999999999992</v>
      </c>
      <c r="G54" s="76">
        <v>7.6360000000000001</v>
      </c>
      <c r="H54" s="77">
        <v>9.348595451994937</v>
      </c>
    </row>
    <row r="55" spans="1:8" x14ac:dyDescent="0.2">
      <c r="A55" s="1">
        <v>1996</v>
      </c>
      <c r="B55" s="1">
        <v>2</v>
      </c>
      <c r="C55" s="5" t="str">
        <f t="shared" si="0"/>
        <v>1996M2</v>
      </c>
      <c r="D55" s="76">
        <v>7.1064999999999996</v>
      </c>
      <c r="E55" s="76">
        <v>7.2015000000000002</v>
      </c>
      <c r="F55" s="76">
        <v>7.3719999999999999</v>
      </c>
      <c r="G55" s="76">
        <v>7.7810000000000006</v>
      </c>
      <c r="H55" s="77">
        <v>9.5261159261357538</v>
      </c>
    </row>
    <row r="56" spans="1:8" x14ac:dyDescent="0.2">
      <c r="A56" s="1">
        <v>1996</v>
      </c>
      <c r="B56" s="1">
        <v>3</v>
      </c>
      <c r="C56" s="5" t="str">
        <f t="shared" si="0"/>
        <v>1996M3</v>
      </c>
      <c r="D56" s="76">
        <v>7.4547619047619049</v>
      </c>
      <c r="E56" s="76">
        <v>7.5499999999999989</v>
      </c>
      <c r="F56" s="76">
        <v>7.7309523809523837</v>
      </c>
      <c r="G56" s="76">
        <v>8.1547619047619051</v>
      </c>
      <c r="H56" s="77">
        <v>9.9837048264744261</v>
      </c>
    </row>
    <row r="57" spans="1:8" x14ac:dyDescent="0.2">
      <c r="A57" s="1">
        <v>1996</v>
      </c>
      <c r="B57" s="1">
        <v>4</v>
      </c>
      <c r="C57" s="5" t="str">
        <f t="shared" si="0"/>
        <v>1996M4</v>
      </c>
      <c r="D57" s="76">
        <v>7.6080952380952382</v>
      </c>
      <c r="E57" s="76">
        <v>7.7028571428571437</v>
      </c>
      <c r="F57" s="76">
        <v>7.8880952380952367</v>
      </c>
      <c r="G57" s="76">
        <v>8.3290476190476195</v>
      </c>
      <c r="H57" s="77">
        <v>10.197079189481121</v>
      </c>
    </row>
    <row r="58" spans="1:8" x14ac:dyDescent="0.2">
      <c r="A58" s="1">
        <v>1996</v>
      </c>
      <c r="B58" s="1">
        <v>5</v>
      </c>
      <c r="C58" s="5" t="str">
        <f t="shared" si="0"/>
        <v>1996M5</v>
      </c>
      <c r="D58" s="76">
        <v>7.7290909090909086</v>
      </c>
      <c r="E58" s="76">
        <v>7.7863636363636353</v>
      </c>
      <c r="F58" s="76">
        <v>7.9827272727272716</v>
      </c>
      <c r="G58" s="76">
        <v>8.4495454545454542</v>
      </c>
      <c r="H58" s="77">
        <v>10.344602174932966</v>
      </c>
    </row>
    <row r="59" spans="1:8" x14ac:dyDescent="0.2">
      <c r="A59" s="1">
        <v>1996</v>
      </c>
      <c r="B59" s="1">
        <v>6</v>
      </c>
      <c r="C59" s="5" t="str">
        <f t="shared" si="0"/>
        <v>1996M6</v>
      </c>
      <c r="D59" s="76">
        <v>7.8274999999999988</v>
      </c>
      <c r="E59" s="76">
        <v>7.8720000000000017</v>
      </c>
      <c r="F59" s="76">
        <v>8.0569999999999986</v>
      </c>
      <c r="G59" s="76">
        <v>8.495000000000001</v>
      </c>
      <c r="H59" s="77">
        <v>10.400251226387768</v>
      </c>
    </row>
    <row r="60" spans="1:8" x14ac:dyDescent="0.2">
      <c r="A60" s="1">
        <v>1996</v>
      </c>
      <c r="B60" s="1">
        <v>7</v>
      </c>
      <c r="C60" s="5" t="str">
        <f t="shared" si="0"/>
        <v>1996M7</v>
      </c>
      <c r="D60" s="76">
        <v>7.7754545454545454</v>
      </c>
      <c r="E60" s="76">
        <v>7.8277272727272731</v>
      </c>
      <c r="F60" s="76">
        <v>8.0240909090909085</v>
      </c>
      <c r="G60" s="76">
        <v>8.4413636363636364</v>
      </c>
      <c r="H60" s="77">
        <v>10.334585345671103</v>
      </c>
    </row>
    <row r="61" spans="1:8" x14ac:dyDescent="0.2">
      <c r="A61" s="1">
        <v>1996</v>
      </c>
      <c r="B61" s="1">
        <v>8</v>
      </c>
      <c r="C61" s="5" t="str">
        <f t="shared" si="0"/>
        <v>1996M8</v>
      </c>
      <c r="D61" s="76">
        <v>7.5872727272727278</v>
      </c>
      <c r="E61" s="76">
        <v>7.6622727272727271</v>
      </c>
      <c r="F61" s="76">
        <v>7.8440909090909088</v>
      </c>
      <c r="G61" s="76">
        <v>8.2536363636363621</v>
      </c>
      <c r="H61" s="77">
        <v>10.104754763162772</v>
      </c>
    </row>
    <row r="62" spans="1:8" x14ac:dyDescent="0.2">
      <c r="A62" s="1">
        <v>1996</v>
      </c>
      <c r="B62" s="1">
        <v>9</v>
      </c>
      <c r="C62" s="5" t="str">
        <f t="shared" si="0"/>
        <v>1996M9</v>
      </c>
      <c r="D62" s="76">
        <v>7.76</v>
      </c>
      <c r="E62" s="76">
        <v>7.8400000000000007</v>
      </c>
      <c r="F62" s="76">
        <v>8.0064999999999991</v>
      </c>
      <c r="G62" s="76">
        <v>8.4089999999999989</v>
      </c>
      <c r="H62" s="77">
        <v>10.294963221035282</v>
      </c>
    </row>
    <row r="63" spans="1:8" x14ac:dyDescent="0.2">
      <c r="A63" s="1">
        <v>1996</v>
      </c>
      <c r="B63" s="1">
        <v>10</v>
      </c>
      <c r="C63" s="5" t="str">
        <f t="shared" si="0"/>
        <v>1996M10</v>
      </c>
      <c r="D63" s="76">
        <v>7.4890909090909084</v>
      </c>
      <c r="E63" s="76">
        <v>7.5950000000000015</v>
      </c>
      <c r="F63" s="76">
        <v>7.7590909090909097</v>
      </c>
      <c r="G63" s="76">
        <v>8.1463636363636365</v>
      </c>
      <c r="H63" s="77">
        <v>9.9734230017294436</v>
      </c>
    </row>
    <row r="64" spans="1:8" x14ac:dyDescent="0.2">
      <c r="A64" s="1">
        <v>1996</v>
      </c>
      <c r="B64" s="1">
        <v>11</v>
      </c>
      <c r="C64" s="5" t="str">
        <f t="shared" si="0"/>
        <v>1996M11</v>
      </c>
      <c r="D64" s="76">
        <v>7.2199999999999989</v>
      </c>
      <c r="E64" s="76">
        <v>7.3227777777777776</v>
      </c>
      <c r="F64" s="76">
        <v>7.4944444444444436</v>
      </c>
      <c r="G64" s="76">
        <v>7.8783333333333339</v>
      </c>
      <c r="H64" s="77">
        <v>9.6452790949842999</v>
      </c>
    </row>
    <row r="65" spans="1:8" x14ac:dyDescent="0.2">
      <c r="A65" s="1">
        <v>1996</v>
      </c>
      <c r="B65" s="1">
        <v>12</v>
      </c>
      <c r="C65" s="5" t="str">
        <f t="shared" si="0"/>
        <v>1996M12</v>
      </c>
      <c r="D65" s="76">
        <v>7.3290476190476186</v>
      </c>
      <c r="E65" s="76">
        <v>7.4366666666666674</v>
      </c>
      <c r="F65" s="76">
        <v>7.5852380952380951</v>
      </c>
      <c r="G65" s="76">
        <v>7.9795238095238092</v>
      </c>
      <c r="H65" s="77">
        <v>9.7691644833420117</v>
      </c>
    </row>
    <row r="66" spans="1:8" x14ac:dyDescent="0.2">
      <c r="A66" s="1">
        <v>1997</v>
      </c>
      <c r="B66" s="1">
        <v>1</v>
      </c>
      <c r="C66" s="5" t="str">
        <f t="shared" si="0"/>
        <v>1997M1</v>
      </c>
      <c r="D66" s="76">
        <v>7.5361904761904768</v>
      </c>
      <c r="E66" s="76">
        <v>7.6823809523809512</v>
      </c>
      <c r="F66" s="76">
        <v>7.7685714285714296</v>
      </c>
      <c r="G66" s="76">
        <v>8.1833333333333336</v>
      </c>
      <c r="H66" s="77">
        <v>10.018684230246015</v>
      </c>
    </row>
    <row r="67" spans="1:8" x14ac:dyDescent="0.2">
      <c r="A67" s="1">
        <v>1997</v>
      </c>
      <c r="B67" s="1">
        <v>2</v>
      </c>
      <c r="C67" s="5" t="str">
        <f t="shared" si="0"/>
        <v>1997M2</v>
      </c>
      <c r="D67" s="76">
        <v>7.4652631578947384</v>
      </c>
      <c r="E67" s="76">
        <v>7.5973684210526313</v>
      </c>
      <c r="F67" s="76">
        <v>7.6447368421052646</v>
      </c>
      <c r="G67" s="76">
        <v>8.0210526315789483</v>
      </c>
      <c r="H67" s="77">
        <v>9.8200073535608929</v>
      </c>
    </row>
    <row r="68" spans="1:8" x14ac:dyDescent="0.2">
      <c r="A68" s="1">
        <v>1997</v>
      </c>
      <c r="B68" s="1">
        <v>3</v>
      </c>
      <c r="C68" s="5" t="str">
        <f t="shared" si="0"/>
        <v>1997M3</v>
      </c>
      <c r="D68" s="76">
        <v>7.7120000000000015</v>
      </c>
      <c r="E68" s="76">
        <v>7.8495000000000008</v>
      </c>
      <c r="F68" s="76">
        <v>7.8790000000000004</v>
      </c>
      <c r="G68" s="76">
        <v>8.2684999999999995</v>
      </c>
      <c r="H68" s="77">
        <v>10.122952002988493</v>
      </c>
    </row>
    <row r="69" spans="1:8" x14ac:dyDescent="0.2">
      <c r="A69" s="1">
        <v>1997</v>
      </c>
      <c r="B69" s="1">
        <v>4</v>
      </c>
      <c r="C69" s="5" t="str">
        <f t="shared" si="0"/>
        <v>1997M4</v>
      </c>
      <c r="D69" s="76">
        <v>7.8722727272727262</v>
      </c>
      <c r="E69" s="76">
        <v>8.0013636363636369</v>
      </c>
      <c r="F69" s="76">
        <v>8.0318181818181813</v>
      </c>
      <c r="G69" s="76">
        <v>8.4168181818181811</v>
      </c>
      <c r="H69" s="77">
        <v>10.304534857885509</v>
      </c>
    </row>
    <row r="70" spans="1:8" x14ac:dyDescent="0.2">
      <c r="A70" s="1">
        <v>1997</v>
      </c>
      <c r="B70" s="1">
        <v>5</v>
      </c>
      <c r="C70" s="5" t="str">
        <f t="shared" si="0"/>
        <v>1997M5</v>
      </c>
      <c r="D70" s="76">
        <v>7.7209523809523803</v>
      </c>
      <c r="E70" s="76">
        <v>7.8552380952380947</v>
      </c>
      <c r="F70" s="76">
        <v>7.8880952380952394</v>
      </c>
      <c r="G70" s="76">
        <v>8.2795238095238091</v>
      </c>
      <c r="H70" s="77">
        <v>10.136448222943699</v>
      </c>
    </row>
    <row r="71" spans="1:8" x14ac:dyDescent="0.2">
      <c r="A71" s="1">
        <v>1997</v>
      </c>
      <c r="B71" s="1">
        <v>6</v>
      </c>
      <c r="C71" s="5" t="str">
        <f t="shared" ref="C71:C134" si="1">CONCATENATE(A71,"M",B71)</f>
        <v>1997M6</v>
      </c>
      <c r="D71" s="76">
        <v>7.5538095238095249</v>
      </c>
      <c r="E71" s="76">
        <v>7.68190476190476</v>
      </c>
      <c r="F71" s="76">
        <v>7.7180952380952377</v>
      </c>
      <c r="G71" s="76">
        <v>8.1209523809523798</v>
      </c>
      <c r="H71" s="77">
        <v>9.9423125320113765</v>
      </c>
    </row>
    <row r="72" spans="1:8" x14ac:dyDescent="0.2">
      <c r="A72" s="1">
        <v>1997</v>
      </c>
      <c r="B72" s="1">
        <v>7</v>
      </c>
      <c r="C72" s="5" t="str">
        <f t="shared" si="1"/>
        <v>1997M7</v>
      </c>
      <c r="D72" s="76">
        <v>7.293181818181818</v>
      </c>
      <c r="E72" s="76">
        <v>7.4286363636363637</v>
      </c>
      <c r="F72" s="76">
        <v>7.4750000000000005</v>
      </c>
      <c r="G72" s="76">
        <v>7.8695454545454542</v>
      </c>
      <c r="H72" s="77">
        <v>9.6345202783697044</v>
      </c>
    </row>
    <row r="73" spans="1:8" x14ac:dyDescent="0.2">
      <c r="A73" s="1">
        <v>1997</v>
      </c>
      <c r="B73" s="1">
        <v>8</v>
      </c>
      <c r="C73" s="5" t="str">
        <f t="shared" si="1"/>
        <v>1997M8</v>
      </c>
      <c r="D73" s="76">
        <v>7.3928571428571432</v>
      </c>
      <c r="E73" s="76">
        <v>7.4585714285714282</v>
      </c>
      <c r="F73" s="76">
        <v>7.5104761904761901</v>
      </c>
      <c r="G73" s="76">
        <v>7.9214285714285735</v>
      </c>
      <c r="H73" s="77">
        <v>9.698039695673117</v>
      </c>
    </row>
    <row r="74" spans="1:8" x14ac:dyDescent="0.2">
      <c r="A74" s="1">
        <v>1997</v>
      </c>
      <c r="B74" s="1">
        <v>9</v>
      </c>
      <c r="C74" s="5" t="str">
        <f t="shared" si="1"/>
        <v>1997M9</v>
      </c>
      <c r="D74" s="76">
        <v>7.3266666666666671</v>
      </c>
      <c r="E74" s="76">
        <v>7.4266666666666685</v>
      </c>
      <c r="F74" s="76">
        <v>7.4680952380952386</v>
      </c>
      <c r="G74" s="76">
        <v>7.7852380952380944</v>
      </c>
      <c r="H74" s="77">
        <v>9.5313045376952044</v>
      </c>
    </row>
    <row r="75" spans="1:8" x14ac:dyDescent="0.2">
      <c r="A75" s="1">
        <v>1997</v>
      </c>
      <c r="B75" s="1">
        <v>10</v>
      </c>
      <c r="C75" s="5" t="str">
        <f t="shared" si="1"/>
        <v>1997M10</v>
      </c>
      <c r="D75" s="76">
        <v>7.1809090909090889</v>
      </c>
      <c r="E75" s="76">
        <v>7.2809090909090912</v>
      </c>
      <c r="F75" s="76">
        <v>7.3427272727272728</v>
      </c>
      <c r="G75" s="76">
        <v>7.6640909090909082</v>
      </c>
      <c r="H75" s="77">
        <v>9.3829865657940026</v>
      </c>
    </row>
    <row r="76" spans="1:8" x14ac:dyDescent="0.2">
      <c r="A76" s="1">
        <v>1997</v>
      </c>
      <c r="B76" s="1">
        <v>11</v>
      </c>
      <c r="C76" s="5" t="str">
        <f t="shared" si="1"/>
        <v>1997M11</v>
      </c>
      <c r="D76" s="76">
        <v>7.0850000000000009</v>
      </c>
      <c r="E76" s="76">
        <v>7.1438888888888892</v>
      </c>
      <c r="F76" s="76">
        <v>7.2427777777777784</v>
      </c>
      <c r="G76" s="76">
        <v>7.4877777777777776</v>
      </c>
      <c r="H76" s="77">
        <v>9.1671300784287695</v>
      </c>
    </row>
    <row r="77" spans="1:8" x14ac:dyDescent="0.2">
      <c r="A77" s="1">
        <v>1997</v>
      </c>
      <c r="B77" s="1">
        <v>12</v>
      </c>
      <c r="C77" s="5" t="str">
        <f t="shared" si="1"/>
        <v>1997M12</v>
      </c>
      <c r="D77" s="76">
        <v>6.9989999999999997</v>
      </c>
      <c r="E77" s="76">
        <v>7.0755000000000008</v>
      </c>
      <c r="F77" s="76">
        <v>7.1660000000000013</v>
      </c>
      <c r="G77" s="76">
        <v>7.4120000000000008</v>
      </c>
      <c r="H77" s="77">
        <v>9.0743569264256791</v>
      </c>
    </row>
    <row r="78" spans="1:8" x14ac:dyDescent="0.2">
      <c r="A78" s="1">
        <v>1998</v>
      </c>
      <c r="B78" s="1">
        <v>1</v>
      </c>
      <c r="C78" s="5" t="str">
        <f t="shared" si="1"/>
        <v>1998M1</v>
      </c>
      <c r="D78" s="76">
        <v>6.8449999999999989</v>
      </c>
      <c r="E78" s="76">
        <v>6.94</v>
      </c>
      <c r="F78" s="76">
        <v>7.0495000000000001</v>
      </c>
      <c r="G78" s="76">
        <v>7.2830000000000013</v>
      </c>
      <c r="H78" s="77">
        <v>8.9164249183969542</v>
      </c>
    </row>
    <row r="79" spans="1:8" x14ac:dyDescent="0.2">
      <c r="A79" s="1">
        <v>1998</v>
      </c>
      <c r="B79" s="1">
        <v>2</v>
      </c>
      <c r="C79" s="5" t="str">
        <f t="shared" si="1"/>
        <v>1998M2</v>
      </c>
      <c r="D79" s="76">
        <v>6.9105263157894745</v>
      </c>
      <c r="E79" s="76">
        <v>6.9910526315789463</v>
      </c>
      <c r="F79" s="76">
        <v>7.1226315789473693</v>
      </c>
      <c r="G79" s="76">
        <v>7.3568421052631594</v>
      </c>
      <c r="H79" s="77">
        <v>9.0068282669340007</v>
      </c>
    </row>
    <row r="80" spans="1:8" x14ac:dyDescent="0.2">
      <c r="A80" s="1">
        <v>1998</v>
      </c>
      <c r="B80" s="1">
        <v>3</v>
      </c>
      <c r="C80" s="5" t="str">
        <f t="shared" si="1"/>
        <v>1998M3</v>
      </c>
      <c r="D80" s="76">
        <v>6.9572727272727271</v>
      </c>
      <c r="E80" s="76">
        <v>7.0354545454545452</v>
      </c>
      <c r="F80" s="76">
        <v>7.1622727272727271</v>
      </c>
      <c r="G80" s="76">
        <v>7.3731818181818189</v>
      </c>
      <c r="H80" s="77">
        <v>9.0268326364832792</v>
      </c>
    </row>
    <row r="81" spans="1:10" x14ac:dyDescent="0.2">
      <c r="A81" s="1">
        <v>1998</v>
      </c>
      <c r="B81" s="1">
        <v>4</v>
      </c>
      <c r="C81" s="5" t="str">
        <f t="shared" si="1"/>
        <v>1998M4</v>
      </c>
      <c r="D81" s="76">
        <v>6.9304761904761918</v>
      </c>
      <c r="E81" s="76">
        <v>7.0152380952380948</v>
      </c>
      <c r="F81" s="76">
        <v>7.1571428571428592</v>
      </c>
      <c r="G81" s="76">
        <v>7.3642857142857148</v>
      </c>
      <c r="H81" s="77">
        <v>9.0159413221271247</v>
      </c>
    </row>
    <row r="82" spans="1:10" x14ac:dyDescent="0.2">
      <c r="A82" s="1">
        <v>1998</v>
      </c>
      <c r="B82" s="1">
        <v>5</v>
      </c>
      <c r="C82" s="5" t="str">
        <f t="shared" si="1"/>
        <v>1998M5</v>
      </c>
      <c r="D82" s="76">
        <v>6.9444999999999997</v>
      </c>
      <c r="E82" s="76">
        <v>7.0155000000000003</v>
      </c>
      <c r="F82" s="76">
        <v>7.1574999999999989</v>
      </c>
      <c r="G82" s="76">
        <v>7.3375000000000012</v>
      </c>
      <c r="H82" s="77">
        <v>8.9831481310912604</v>
      </c>
    </row>
    <row r="83" spans="1:10" x14ac:dyDescent="0.2">
      <c r="A83" s="1">
        <v>1998</v>
      </c>
      <c r="B83" s="1">
        <v>6</v>
      </c>
      <c r="C83" s="5" t="str">
        <f t="shared" si="1"/>
        <v>1998M6</v>
      </c>
      <c r="D83" s="76">
        <v>6.8031818181818187</v>
      </c>
      <c r="E83" s="76">
        <v>6.9068181818181813</v>
      </c>
      <c r="F83" s="76">
        <v>7.0336363636363641</v>
      </c>
      <c r="G83" s="76">
        <v>7.206818181818182</v>
      </c>
      <c r="H83" s="77">
        <v>8.8231571081587052</v>
      </c>
    </row>
    <row r="84" spans="1:10" x14ac:dyDescent="0.2">
      <c r="A84" s="1">
        <v>1998</v>
      </c>
      <c r="B84" s="1">
        <v>7</v>
      </c>
      <c r="C84" s="5" t="str">
        <f t="shared" si="1"/>
        <v>1998M7</v>
      </c>
      <c r="D84" s="76">
        <v>6.8022727272727277</v>
      </c>
      <c r="E84" s="76">
        <v>6.9127272727272722</v>
      </c>
      <c r="F84" s="76">
        <v>7.0263636363636373</v>
      </c>
      <c r="G84" s="76">
        <v>7.2331818181818193</v>
      </c>
      <c r="H84" s="77">
        <v>8.8554335580024919</v>
      </c>
    </row>
    <row r="85" spans="1:10" x14ac:dyDescent="0.2">
      <c r="A85" s="1">
        <v>1998</v>
      </c>
      <c r="B85" s="1">
        <v>8</v>
      </c>
      <c r="C85" s="5" t="str">
        <f t="shared" si="1"/>
        <v>1998M8</v>
      </c>
      <c r="D85" s="76">
        <v>6.7542857142857144</v>
      </c>
      <c r="E85" s="76">
        <v>6.8728571428571437</v>
      </c>
      <c r="F85" s="76">
        <v>6.9980952380952388</v>
      </c>
      <c r="G85" s="76">
        <v>7.2042857142857137</v>
      </c>
      <c r="H85" s="77">
        <v>8.8200566610062232</v>
      </c>
      <c r="I85" s="76">
        <v>8.8953298741708942</v>
      </c>
      <c r="J85" s="76">
        <v>27.211691881927631</v>
      </c>
    </row>
    <row r="86" spans="1:10" x14ac:dyDescent="0.2">
      <c r="A86" s="1">
        <v>1998</v>
      </c>
      <c r="B86" s="1">
        <v>9</v>
      </c>
      <c r="C86" s="5" t="str">
        <f t="shared" si="1"/>
        <v>1998M9</v>
      </c>
      <c r="D86" s="76">
        <v>6.6576190476190478</v>
      </c>
      <c r="E86" s="76">
        <v>6.779047619047617</v>
      </c>
      <c r="F86" s="76">
        <v>6.9319047619047618</v>
      </c>
      <c r="G86" s="76">
        <v>7.1309523809523814</v>
      </c>
      <c r="H86" s="77">
        <v>8.730276191325812</v>
      </c>
      <c r="I86" s="76">
        <v>9.3865161818396334</v>
      </c>
      <c r="J86" s="76">
        <v>31.957927714894254</v>
      </c>
    </row>
    <row r="87" spans="1:10" x14ac:dyDescent="0.2">
      <c r="A87" s="1">
        <v>1998</v>
      </c>
      <c r="B87" s="1">
        <v>10</v>
      </c>
      <c r="C87" s="5" t="str">
        <f t="shared" si="1"/>
        <v>1998M10</v>
      </c>
      <c r="D87" s="76">
        <v>6.6385714285714288</v>
      </c>
      <c r="E87" s="76">
        <v>6.7990476190476201</v>
      </c>
      <c r="F87" s="76">
        <v>6.9609523809523814</v>
      </c>
      <c r="G87" s="76">
        <v>7.1333333333333329</v>
      </c>
      <c r="H87" s="77">
        <v>8.7331911416401109</v>
      </c>
      <c r="I87" s="76">
        <v>9.5983921276484079</v>
      </c>
      <c r="J87" s="76">
        <v>33.353926685580028</v>
      </c>
    </row>
    <row r="88" spans="1:10" x14ac:dyDescent="0.2">
      <c r="A88" s="1">
        <v>1998</v>
      </c>
      <c r="B88" s="1">
        <v>11</v>
      </c>
      <c r="C88" s="5" t="str">
        <f t="shared" si="1"/>
        <v>1998M11</v>
      </c>
      <c r="D88" s="76">
        <v>6.5931578947368417</v>
      </c>
      <c r="E88" s="76">
        <v>6.8873684210526305</v>
      </c>
      <c r="F88" s="76">
        <v>7.029473684210525</v>
      </c>
      <c r="G88" s="76">
        <v>7.3121052631578953</v>
      </c>
      <c r="H88" s="77">
        <v>8.9520578847126959</v>
      </c>
      <c r="I88" s="76">
        <v>9.3656444718406568</v>
      </c>
      <c r="J88" s="76">
        <v>35.212848336348571</v>
      </c>
    </row>
    <row r="89" spans="1:10" x14ac:dyDescent="0.2">
      <c r="A89" s="1">
        <v>1998</v>
      </c>
      <c r="B89" s="1">
        <v>12</v>
      </c>
      <c r="C89" s="5" t="str">
        <f t="shared" si="1"/>
        <v>1998M12</v>
      </c>
      <c r="D89" s="76">
        <v>6.4295454545454556</v>
      </c>
      <c r="E89" s="76">
        <v>6.7745454545454526</v>
      </c>
      <c r="F89" s="76">
        <v>6.9131818181818172</v>
      </c>
      <c r="G89" s="76">
        <v>7.2409090909090912</v>
      </c>
      <c r="H89" s="77">
        <v>8.8648938967498072</v>
      </c>
      <c r="I89" s="76">
        <v>9.1893121686660884</v>
      </c>
      <c r="J89" s="76">
        <v>35.184913519016916</v>
      </c>
    </row>
    <row r="90" spans="1:10" x14ac:dyDescent="0.2">
      <c r="A90" s="1">
        <v>1999</v>
      </c>
      <c r="B90" s="1">
        <v>1</v>
      </c>
      <c r="C90" s="5" t="str">
        <f t="shared" si="1"/>
        <v>1999M1</v>
      </c>
      <c r="D90" s="76">
        <v>6.405263157894737</v>
      </c>
      <c r="E90" s="76">
        <v>6.8152631578947371</v>
      </c>
      <c r="F90" s="76">
        <v>6.9694736842105254</v>
      </c>
      <c r="G90" s="76">
        <v>7.3000000000000007</v>
      </c>
      <c r="H90" s="77">
        <v>8.9372376636410493</v>
      </c>
      <c r="I90" s="76">
        <v>9.1498162932607983</v>
      </c>
      <c r="J90" s="76">
        <v>32.233117037679477</v>
      </c>
    </row>
    <row r="91" spans="1:10" x14ac:dyDescent="0.2">
      <c r="A91" s="1">
        <v>1999</v>
      </c>
      <c r="B91" s="1">
        <v>2</v>
      </c>
      <c r="C91" s="5" t="str">
        <f t="shared" si="1"/>
        <v>1999M2</v>
      </c>
      <c r="D91" s="76">
        <v>6.5573684210526322</v>
      </c>
      <c r="E91" s="76">
        <v>6.9357894736842107</v>
      </c>
      <c r="F91" s="76">
        <v>7.0926315789473682</v>
      </c>
      <c r="G91" s="76">
        <v>7.4057894736842114</v>
      </c>
      <c r="H91" s="77">
        <v>9.0667535086584863</v>
      </c>
      <c r="I91" s="76">
        <v>9.1254150791757311</v>
      </c>
      <c r="J91" s="76">
        <v>32.059690630454959</v>
      </c>
    </row>
    <row r="92" spans="1:10" x14ac:dyDescent="0.2">
      <c r="A92" s="1">
        <v>1999</v>
      </c>
      <c r="B92" s="1">
        <v>3</v>
      </c>
      <c r="C92" s="5" t="str">
        <f t="shared" si="1"/>
        <v>1999M3</v>
      </c>
      <c r="D92" s="76">
        <v>6.7778260869565212</v>
      </c>
      <c r="E92" s="76">
        <v>7.1147826086956512</v>
      </c>
      <c r="F92" s="76">
        <v>7.2565217391304362</v>
      </c>
      <c r="G92" s="76">
        <v>7.5465217391304353</v>
      </c>
      <c r="H92" s="77">
        <v>9.2390490844441739</v>
      </c>
      <c r="I92" s="76">
        <v>9.1122973699325591</v>
      </c>
      <c r="J92" s="76">
        <v>28.888676433436451</v>
      </c>
    </row>
    <row r="93" spans="1:10" x14ac:dyDescent="0.2">
      <c r="A93" s="1">
        <v>1999</v>
      </c>
      <c r="B93" s="1">
        <v>4</v>
      </c>
      <c r="C93" s="5" t="str">
        <f t="shared" si="1"/>
        <v>1999M4</v>
      </c>
      <c r="D93" s="76">
        <v>6.8086363636363618</v>
      </c>
      <c r="E93" s="76">
        <v>7.1054545454545464</v>
      </c>
      <c r="F93" s="76">
        <v>7.2209090909090889</v>
      </c>
      <c r="G93" s="76">
        <v>7.5050000000000008</v>
      </c>
      <c r="H93" s="77">
        <v>9.1882148857022017</v>
      </c>
      <c r="I93" s="76">
        <v>8.8013515905735176</v>
      </c>
      <c r="J93" s="76">
        <v>27.17507494520483</v>
      </c>
    </row>
    <row r="94" spans="1:10" x14ac:dyDescent="0.2">
      <c r="A94" s="1">
        <v>1999</v>
      </c>
      <c r="B94" s="1">
        <v>5</v>
      </c>
      <c r="C94" s="5" t="str">
        <f t="shared" si="1"/>
        <v>1999M5</v>
      </c>
      <c r="D94" s="76">
        <v>7.0870000000000006</v>
      </c>
      <c r="E94" s="76">
        <v>7.3839999999999986</v>
      </c>
      <c r="F94" s="76">
        <v>7.4695000000000009</v>
      </c>
      <c r="G94" s="76">
        <v>7.7415000000000003</v>
      </c>
      <c r="H94" s="77">
        <v>9.4777569004215305</v>
      </c>
      <c r="I94" s="76">
        <v>8.7978079123636164</v>
      </c>
      <c r="J94" s="76">
        <v>28.424364970007755</v>
      </c>
    </row>
    <row r="95" spans="1:10" x14ac:dyDescent="0.2">
      <c r="A95" s="1">
        <v>1999</v>
      </c>
      <c r="B95" s="1">
        <v>6</v>
      </c>
      <c r="C95" s="5" t="str">
        <f t="shared" si="1"/>
        <v>1999M6</v>
      </c>
      <c r="D95" s="76">
        <v>7.3672727272727281</v>
      </c>
      <c r="E95" s="76">
        <v>7.6686363636363639</v>
      </c>
      <c r="F95" s="76">
        <v>7.741363636363638</v>
      </c>
      <c r="G95" s="76">
        <v>8.0259090909090904</v>
      </c>
      <c r="H95" s="77">
        <v>9.8259530153742194</v>
      </c>
      <c r="I95" s="76">
        <v>8.9468551459471328</v>
      </c>
      <c r="J95" s="76">
        <v>30.32456882430608</v>
      </c>
    </row>
    <row r="96" spans="1:10" x14ac:dyDescent="0.2">
      <c r="A96" s="1">
        <v>1999</v>
      </c>
      <c r="B96" s="1">
        <v>7</v>
      </c>
      <c r="C96" s="5" t="str">
        <f t="shared" si="1"/>
        <v>1999M7</v>
      </c>
      <c r="D96" s="76">
        <v>7.3309523809523789</v>
      </c>
      <c r="E96" s="76">
        <v>7.6242857142857146</v>
      </c>
      <c r="F96" s="76">
        <v>7.7080952380952379</v>
      </c>
      <c r="G96" s="76">
        <v>7.9595238095238114</v>
      </c>
      <c r="H96" s="77">
        <v>9.744678900701901</v>
      </c>
      <c r="I96" s="76">
        <v>8.923887134801566</v>
      </c>
      <c r="J96" s="76">
        <v>33.668438563304527</v>
      </c>
    </row>
    <row r="97" spans="1:10" x14ac:dyDescent="0.2">
      <c r="A97" s="1">
        <v>1999</v>
      </c>
      <c r="B97" s="1">
        <v>8</v>
      </c>
      <c r="C97" s="5" t="str">
        <f t="shared" si="1"/>
        <v>1999M8</v>
      </c>
      <c r="D97" s="76">
        <v>7.5422727272727279</v>
      </c>
      <c r="E97" s="76">
        <v>7.8222727272727273</v>
      </c>
      <c r="F97" s="76">
        <v>7.9136363636363631</v>
      </c>
      <c r="G97" s="76">
        <v>8.1622727272727289</v>
      </c>
      <c r="H97" s="77">
        <v>9.9929001697386255</v>
      </c>
      <c r="I97" s="76">
        <v>9.1153180142296986</v>
      </c>
      <c r="J97" s="76">
        <v>32.550828563741938</v>
      </c>
    </row>
    <row r="98" spans="1:10" x14ac:dyDescent="0.2">
      <c r="A98" s="1">
        <v>1999</v>
      </c>
      <c r="B98" s="1">
        <v>9</v>
      </c>
      <c r="C98" s="5" t="str">
        <f t="shared" si="1"/>
        <v>1999M9</v>
      </c>
      <c r="D98" s="76">
        <v>7.5514285714285734</v>
      </c>
      <c r="E98" s="76">
        <v>7.8204761904761897</v>
      </c>
      <c r="F98" s="76">
        <v>7.930952380952383</v>
      </c>
      <c r="G98" s="76">
        <v>8.1938095238095237</v>
      </c>
      <c r="H98" s="77">
        <v>10.031510011628932</v>
      </c>
      <c r="I98" s="76">
        <v>9.2363227646125488</v>
      </c>
      <c r="J98" s="76">
        <v>34.393586555125658</v>
      </c>
    </row>
    <row r="99" spans="1:10" x14ac:dyDescent="0.2">
      <c r="A99" s="1">
        <v>1999</v>
      </c>
      <c r="B99" s="1">
        <v>10</v>
      </c>
      <c r="C99" s="5" t="str">
        <f t="shared" si="1"/>
        <v>1999M10</v>
      </c>
      <c r="D99" s="76">
        <v>7.7375000000000016</v>
      </c>
      <c r="E99" s="76">
        <v>7.955000000000001</v>
      </c>
      <c r="F99" s="76">
        <v>8.0634999999999994</v>
      </c>
      <c r="G99" s="76">
        <v>8.3214999999999986</v>
      </c>
      <c r="H99" s="77">
        <v>10.18783879698479</v>
      </c>
      <c r="I99" s="76">
        <v>9.3754848767240375</v>
      </c>
      <c r="J99" s="76">
        <v>37.80606654541738</v>
      </c>
    </row>
    <row r="100" spans="1:10" x14ac:dyDescent="0.2">
      <c r="A100" s="1">
        <v>1999</v>
      </c>
      <c r="B100" s="1">
        <v>11</v>
      </c>
      <c r="C100" s="5" t="str">
        <f t="shared" si="1"/>
        <v>1999M11</v>
      </c>
      <c r="D100" s="76">
        <v>7.5557142857142852</v>
      </c>
      <c r="E100" s="76">
        <v>7.8157142857142867</v>
      </c>
      <c r="F100" s="76">
        <v>7.9414285714285704</v>
      </c>
      <c r="G100" s="76">
        <v>8.1233333333333313</v>
      </c>
      <c r="H100" s="77">
        <v>9.9452274823256754</v>
      </c>
      <c r="I100" s="76">
        <v>9.2910970928470054</v>
      </c>
      <c r="J100" s="76">
        <v>40.090581293440501</v>
      </c>
    </row>
    <row r="101" spans="1:10" x14ac:dyDescent="0.2">
      <c r="A101" s="1">
        <v>1999</v>
      </c>
      <c r="B101" s="1">
        <v>12</v>
      </c>
      <c r="C101" s="5" t="str">
        <f t="shared" si="1"/>
        <v>1999M12</v>
      </c>
      <c r="D101" s="76">
        <v>7.741818181818183</v>
      </c>
      <c r="E101" s="76">
        <v>7.995909090909092</v>
      </c>
      <c r="F101" s="76">
        <v>8.1399999999999988</v>
      </c>
      <c r="G101" s="76">
        <v>8.2799999999999994</v>
      </c>
      <c r="H101" s="77">
        <v>10.137031213006557</v>
      </c>
      <c r="I101" s="76">
        <v>9.1771797249353124</v>
      </c>
      <c r="J101" s="76">
        <v>38.251072823835344</v>
      </c>
    </row>
    <row r="102" spans="1:10" x14ac:dyDescent="0.2">
      <c r="A102" s="1">
        <v>2000</v>
      </c>
      <c r="B102" s="1">
        <v>1</v>
      </c>
      <c r="C102" s="5" t="str">
        <f t="shared" si="1"/>
        <v>2000M1</v>
      </c>
      <c r="D102" s="76">
        <v>7.952</v>
      </c>
      <c r="E102" s="76">
        <v>8.1744999999999983</v>
      </c>
      <c r="F102" s="76">
        <v>8.3520000000000003</v>
      </c>
      <c r="G102" s="76">
        <v>8.4014999999999969</v>
      </c>
      <c r="H102" s="77">
        <v>10.285781127545238</v>
      </c>
      <c r="I102" s="76">
        <v>9.2217937223459803</v>
      </c>
      <c r="J102" s="76">
        <v>38.539033201261596</v>
      </c>
    </row>
    <row r="103" spans="1:10" x14ac:dyDescent="0.2">
      <c r="A103" s="1">
        <v>2000</v>
      </c>
      <c r="B103" s="1">
        <v>2</v>
      </c>
      <c r="C103" s="5" t="str">
        <f t="shared" si="1"/>
        <v>2000M2</v>
      </c>
      <c r="D103" s="76">
        <v>7.8185000000000002</v>
      </c>
      <c r="E103" s="76">
        <v>7.984499999999997</v>
      </c>
      <c r="F103" s="76">
        <v>8.245000000000001</v>
      </c>
      <c r="G103" s="76">
        <v>8.3315000000000019</v>
      </c>
      <c r="H103" s="77">
        <v>10.200081588304851</v>
      </c>
      <c r="I103" s="76">
        <v>9.2841639681432078</v>
      </c>
      <c r="J103" s="76">
        <v>37.181645158160123</v>
      </c>
    </row>
    <row r="104" spans="1:10" x14ac:dyDescent="0.2">
      <c r="A104" s="1">
        <v>2000</v>
      </c>
      <c r="B104" s="1">
        <v>3</v>
      </c>
      <c r="C104" s="5" t="str">
        <f t="shared" si="1"/>
        <v>2000M3</v>
      </c>
      <c r="D104" s="76">
        <v>7.8743478260869555</v>
      </c>
      <c r="E104" s="76">
        <v>7.9943478260869538</v>
      </c>
      <c r="F104" s="76">
        <v>8.2843478260869574</v>
      </c>
      <c r="G104" s="76">
        <v>8.3960869565217386</v>
      </c>
      <c r="H104" s="77">
        <v>10.279154051374167</v>
      </c>
      <c r="I104" s="76">
        <v>9.367688963312661</v>
      </c>
      <c r="J104" s="76">
        <v>36.253931406414807</v>
      </c>
    </row>
    <row r="105" spans="1:10" x14ac:dyDescent="0.2">
      <c r="A105" s="1">
        <v>2000</v>
      </c>
      <c r="B105" s="1">
        <v>4</v>
      </c>
      <c r="C105" s="5" t="str">
        <f t="shared" si="1"/>
        <v>2000M4</v>
      </c>
      <c r="D105" s="76">
        <v>7.8678947368421044</v>
      </c>
      <c r="E105" s="76">
        <v>8.0005263157894735</v>
      </c>
      <c r="F105" s="76">
        <v>8.2884210526315805</v>
      </c>
      <c r="G105" s="76">
        <v>8.3978947368421064</v>
      </c>
      <c r="H105" s="77">
        <v>10.281367279095644</v>
      </c>
      <c r="I105" s="76">
        <v>9.6030414898875893</v>
      </c>
      <c r="J105" s="76">
        <v>36.501696733284156</v>
      </c>
    </row>
    <row r="106" spans="1:10" x14ac:dyDescent="0.2">
      <c r="A106" s="1">
        <v>2000</v>
      </c>
      <c r="B106" s="1">
        <v>5</v>
      </c>
      <c r="C106" s="5" t="str">
        <f t="shared" si="1"/>
        <v>2000M5</v>
      </c>
      <c r="D106" s="76">
        <v>8.2154545454545467</v>
      </c>
      <c r="E106" s="76">
        <v>8.4354545454545455</v>
      </c>
      <c r="F106" s="76">
        <v>8.6986363636363624</v>
      </c>
      <c r="G106" s="76">
        <v>8.8559090909090905</v>
      </c>
      <c r="H106" s="77">
        <v>10.842104694938888</v>
      </c>
      <c r="I106" s="76">
        <v>9.7097959210930576</v>
      </c>
      <c r="J106" s="76">
        <v>36.496479279680344</v>
      </c>
    </row>
    <row r="107" spans="1:10" x14ac:dyDescent="0.2">
      <c r="A107" s="1">
        <v>2000</v>
      </c>
      <c r="B107" s="1">
        <v>6</v>
      </c>
      <c r="C107" s="5" t="str">
        <f t="shared" si="1"/>
        <v>2000M6</v>
      </c>
      <c r="D107" s="76">
        <v>7.9595454545454549</v>
      </c>
      <c r="E107" s="76">
        <v>8.1022727272727266</v>
      </c>
      <c r="F107" s="76">
        <v>8.3622727272727282</v>
      </c>
      <c r="G107" s="76">
        <v>8.4700000000000006</v>
      </c>
      <c r="H107" s="77">
        <v>10.369644248087628</v>
      </c>
      <c r="I107" s="76">
        <v>9.1912230431883479</v>
      </c>
      <c r="J107" s="76">
        <v>39.862536142744851</v>
      </c>
    </row>
    <row r="108" spans="1:10" x14ac:dyDescent="0.2">
      <c r="A108" s="1">
        <v>2000</v>
      </c>
      <c r="B108" s="1">
        <v>7</v>
      </c>
      <c r="C108" s="5" t="str">
        <f t="shared" si="1"/>
        <v>2000M7</v>
      </c>
      <c r="D108" s="76">
        <v>7.9894999999999978</v>
      </c>
      <c r="E108" s="76">
        <v>8.0960000000000001</v>
      </c>
      <c r="F108" s="76">
        <v>8.2529999999999983</v>
      </c>
      <c r="G108" s="76">
        <v>8.3290000000000006</v>
      </c>
      <c r="H108" s="77">
        <v>10.197020890474835</v>
      </c>
      <c r="I108" s="76">
        <v>9.2062392979746104</v>
      </c>
      <c r="J108" s="76">
        <v>33.304215920688939</v>
      </c>
    </row>
    <row r="109" spans="1:10" x14ac:dyDescent="0.2">
      <c r="A109" s="1">
        <v>2000</v>
      </c>
      <c r="B109" s="1">
        <v>8</v>
      </c>
      <c r="C109" s="5" t="str">
        <f t="shared" si="1"/>
        <v>2000M8</v>
      </c>
      <c r="D109" s="76">
        <v>7.8852173913043471</v>
      </c>
      <c r="E109" s="76">
        <v>7.9508695652173902</v>
      </c>
      <c r="F109" s="76">
        <v>8.12695652173913</v>
      </c>
      <c r="G109" s="76">
        <v>8.2465217391304346</v>
      </c>
      <c r="H109" s="77">
        <v>10.096044476848109</v>
      </c>
      <c r="I109" s="76">
        <v>9.3745314773859576</v>
      </c>
      <c r="J109" s="76">
        <v>30.58326525229127</v>
      </c>
    </row>
    <row r="110" spans="1:10" x14ac:dyDescent="0.2">
      <c r="A110" s="1">
        <v>2000</v>
      </c>
      <c r="B110" s="1">
        <v>9</v>
      </c>
      <c r="C110" s="5" t="str">
        <f t="shared" si="1"/>
        <v>2000M9</v>
      </c>
      <c r="D110" s="76">
        <v>7.9539999999999988</v>
      </c>
      <c r="E110" s="76">
        <v>8.1080000000000005</v>
      </c>
      <c r="F110" s="76">
        <v>8.2335000000000012</v>
      </c>
      <c r="G110" s="76">
        <v>8.3194999999999997</v>
      </c>
      <c r="H110" s="77">
        <v>10.18539023872078</v>
      </c>
      <c r="I110" s="76">
        <v>9.4059947601091949</v>
      </c>
      <c r="J110" s="76">
        <v>34.813032400043333</v>
      </c>
    </row>
    <row r="111" spans="1:10" x14ac:dyDescent="0.2">
      <c r="A111" s="1">
        <v>2000</v>
      </c>
      <c r="B111" s="1">
        <v>10</v>
      </c>
      <c r="C111" s="5" t="str">
        <f t="shared" si="1"/>
        <v>2000M10</v>
      </c>
      <c r="D111" s="76">
        <v>7.8042857142857134</v>
      </c>
      <c r="E111" s="76">
        <v>8.0752380952380953</v>
      </c>
      <c r="F111" s="76">
        <v>8.1385714285714279</v>
      </c>
      <c r="G111" s="76">
        <v>8.2947619047619039</v>
      </c>
      <c r="H111" s="77">
        <v>10.155103904955212</v>
      </c>
      <c r="I111" s="76">
        <v>9.9916396854907497</v>
      </c>
      <c r="J111" s="76">
        <v>35.182588719469322</v>
      </c>
    </row>
    <row r="112" spans="1:10" x14ac:dyDescent="0.2">
      <c r="A112" s="1">
        <v>2000</v>
      </c>
      <c r="B112" s="1">
        <v>11</v>
      </c>
      <c r="C112" s="5" t="str">
        <f t="shared" si="1"/>
        <v>2000M11</v>
      </c>
      <c r="D112" s="76">
        <v>7.7126315789473692</v>
      </c>
      <c r="E112" s="76">
        <v>8.0326315789473686</v>
      </c>
      <c r="F112" s="76">
        <v>8.1142105263157891</v>
      </c>
      <c r="G112" s="76">
        <v>8.2463157894736838</v>
      </c>
      <c r="H112" s="77">
        <v>10.095792336981106</v>
      </c>
      <c r="I112" s="76">
        <v>10.558162467200868</v>
      </c>
      <c r="J112" s="76">
        <v>34.789124638734251</v>
      </c>
    </row>
    <row r="113" spans="1:10" x14ac:dyDescent="0.2">
      <c r="A113" s="1">
        <v>2000</v>
      </c>
      <c r="B113" s="1">
        <v>12</v>
      </c>
      <c r="C113" s="5" t="str">
        <f t="shared" si="1"/>
        <v>2000M12</v>
      </c>
      <c r="D113" s="76">
        <v>7.5168421052631578</v>
      </c>
      <c r="E113" s="76">
        <v>7.7899999999999991</v>
      </c>
      <c r="F113" s="76">
        <v>7.8452631578947374</v>
      </c>
      <c r="G113" s="76">
        <v>8.0157894736842099</v>
      </c>
      <c r="H113" s="77">
        <v>9.8135637791819139</v>
      </c>
      <c r="I113" s="76">
        <v>10.913571956885397</v>
      </c>
      <c r="J113" s="76">
        <v>39.192127897365538</v>
      </c>
    </row>
    <row r="114" spans="1:10" x14ac:dyDescent="0.2">
      <c r="A114" s="1">
        <v>2001</v>
      </c>
      <c r="B114" s="1">
        <v>1</v>
      </c>
      <c r="C114" s="5" t="str">
        <f t="shared" si="1"/>
        <v>2001M1</v>
      </c>
      <c r="D114" s="76">
        <v>7.5364999999999993</v>
      </c>
      <c r="E114" s="76">
        <v>7.729000000000001</v>
      </c>
      <c r="F114" s="76">
        <v>7.7990000000000013</v>
      </c>
      <c r="G114" s="76">
        <v>7.9924999999999979</v>
      </c>
      <c r="H114" s="77">
        <v>9.7850509625549389</v>
      </c>
      <c r="I114" s="76">
        <v>10.082447793234833</v>
      </c>
      <c r="J114" s="76">
        <v>36.637159290746204</v>
      </c>
    </row>
    <row r="115" spans="1:10" x14ac:dyDescent="0.2">
      <c r="A115" s="1">
        <v>2001</v>
      </c>
      <c r="B115" s="1">
        <v>2</v>
      </c>
      <c r="C115" s="5" t="str">
        <f t="shared" si="1"/>
        <v>2001M2</v>
      </c>
      <c r="D115" s="76">
        <v>7.4555555555555548</v>
      </c>
      <c r="E115" s="76">
        <v>7.6177777777777784</v>
      </c>
      <c r="F115" s="76">
        <v>7.7327777777777778</v>
      </c>
      <c r="G115" s="76">
        <v>7.9366666666666674</v>
      </c>
      <c r="H115" s="77">
        <v>9.7166953776846281</v>
      </c>
      <c r="I115" s="76">
        <v>9.5873739851760131</v>
      </c>
      <c r="J115" s="76">
        <v>27.518802522965569</v>
      </c>
    </row>
    <row r="116" spans="1:10" x14ac:dyDescent="0.2">
      <c r="A116" s="1">
        <v>2001</v>
      </c>
      <c r="B116" s="1">
        <v>3</v>
      </c>
      <c r="C116" s="5" t="str">
        <f t="shared" si="1"/>
        <v>2001M3</v>
      </c>
      <c r="D116" s="76">
        <v>7.3118181818181824</v>
      </c>
      <c r="E116" s="76">
        <v>7.5077272727272737</v>
      </c>
      <c r="F116" s="76">
        <v>7.6772727272727259</v>
      </c>
      <c r="G116" s="76">
        <v>7.8499999999999979</v>
      </c>
      <c r="H116" s="77">
        <v>9.6105911862441378</v>
      </c>
      <c r="I116" s="76">
        <v>9.7343033344019769</v>
      </c>
      <c r="J116" s="76">
        <v>30.46362007099253</v>
      </c>
    </row>
    <row r="117" spans="1:10" x14ac:dyDescent="0.2">
      <c r="A117" s="1">
        <v>2001</v>
      </c>
      <c r="B117" s="1">
        <v>4</v>
      </c>
      <c r="C117" s="5" t="str">
        <f t="shared" si="1"/>
        <v>2001M4</v>
      </c>
      <c r="D117" s="76">
        <v>7.5334999999999992</v>
      </c>
      <c r="E117" s="76">
        <v>7.722500000000001</v>
      </c>
      <c r="F117" s="76">
        <v>7.9349999999999978</v>
      </c>
      <c r="G117" s="76">
        <v>8.0550000000000015</v>
      </c>
      <c r="H117" s="77">
        <v>9.8615684083052955</v>
      </c>
      <c r="I117" s="76">
        <v>10.160100954450233</v>
      </c>
      <c r="J117" s="76">
        <v>40.832147832314519</v>
      </c>
    </row>
    <row r="118" spans="1:10" x14ac:dyDescent="0.2">
      <c r="A118" s="1">
        <v>2001</v>
      </c>
      <c r="B118" s="1">
        <v>5</v>
      </c>
      <c r="C118" s="5" t="str">
        <f t="shared" si="1"/>
        <v>2001M5</v>
      </c>
      <c r="D118" s="76">
        <v>7.6145454545454534</v>
      </c>
      <c r="E118" s="76">
        <v>7.787272727272728</v>
      </c>
      <c r="F118" s="76">
        <v>7.9940909090909082</v>
      </c>
      <c r="G118" s="76">
        <v>8.1113636363636363</v>
      </c>
      <c r="H118" s="77">
        <v>9.9305732321092464</v>
      </c>
      <c r="I118" s="76">
        <v>10.086953642487954</v>
      </c>
      <c r="J118" s="76">
        <v>41.98708930479642</v>
      </c>
    </row>
    <row r="119" spans="1:10" x14ac:dyDescent="0.2">
      <c r="A119" s="1">
        <v>2001</v>
      </c>
      <c r="B119" s="1">
        <v>6</v>
      </c>
      <c r="C119" s="5" t="str">
        <f t="shared" si="1"/>
        <v>2001M6</v>
      </c>
      <c r="D119" s="76">
        <v>7.4990476190476203</v>
      </c>
      <c r="E119" s="76">
        <v>7.6219047619047622</v>
      </c>
      <c r="F119" s="76">
        <v>7.8519047619047608</v>
      </c>
      <c r="G119" s="76">
        <v>8.0247619047619061</v>
      </c>
      <c r="H119" s="77">
        <v>9.824548539313696</v>
      </c>
      <c r="I119" s="76">
        <v>10.206904679708694</v>
      </c>
      <c r="J119" s="76">
        <v>31.717302425374434</v>
      </c>
    </row>
    <row r="120" spans="1:10" x14ac:dyDescent="0.2">
      <c r="A120" s="1">
        <v>2001</v>
      </c>
      <c r="B120" s="1">
        <v>7</v>
      </c>
      <c r="C120" s="5" t="str">
        <f t="shared" si="1"/>
        <v>2001M7</v>
      </c>
      <c r="D120" s="76">
        <v>7.4642857142857144</v>
      </c>
      <c r="E120" s="76">
        <v>7.550476190476191</v>
      </c>
      <c r="F120" s="76">
        <v>7.7809523809523808</v>
      </c>
      <c r="G120" s="76">
        <v>8.0452380952380977</v>
      </c>
      <c r="H120" s="77">
        <v>9.84961711201667</v>
      </c>
      <c r="I120" s="76">
        <v>10.191509990860457</v>
      </c>
      <c r="J120" s="76">
        <v>25.675929785127678</v>
      </c>
    </row>
    <row r="121" spans="1:10" x14ac:dyDescent="0.2">
      <c r="A121" s="1">
        <v>2001</v>
      </c>
      <c r="B121" s="1">
        <v>8</v>
      </c>
      <c r="C121" s="5" t="str">
        <f t="shared" si="1"/>
        <v>2001M8</v>
      </c>
      <c r="D121" s="76">
        <v>7.3613043478260884</v>
      </c>
      <c r="E121" s="76">
        <v>7.3865217391304343</v>
      </c>
      <c r="F121" s="76">
        <v>7.586086956521739</v>
      </c>
      <c r="G121" s="76">
        <v>7.9539130434782619</v>
      </c>
      <c r="H121" s="77">
        <v>9.7378097569177697</v>
      </c>
      <c r="I121" s="76">
        <v>9.8216081077250497</v>
      </c>
      <c r="J121" s="76">
        <v>20.838821867235428</v>
      </c>
    </row>
    <row r="122" spans="1:10" x14ac:dyDescent="0.2">
      <c r="A122" s="1">
        <v>2001</v>
      </c>
      <c r="B122" s="1">
        <v>9</v>
      </c>
      <c r="C122" s="5" t="str">
        <f t="shared" si="1"/>
        <v>2001M9</v>
      </c>
      <c r="D122" s="76">
        <v>7.52</v>
      </c>
      <c r="E122" s="76">
        <v>7.5476470588235296</v>
      </c>
      <c r="F122" s="76">
        <v>7.7452941176470596</v>
      </c>
      <c r="G122" s="76">
        <v>8.1194117647058821</v>
      </c>
      <c r="H122" s="77">
        <v>9.9404263876903602</v>
      </c>
      <c r="I122" s="76">
        <v>10.158083218658263</v>
      </c>
      <c r="J122" s="76">
        <v>21.364960560275978</v>
      </c>
    </row>
    <row r="123" spans="1:10" x14ac:dyDescent="0.2">
      <c r="A123" s="1">
        <v>2001</v>
      </c>
      <c r="B123" s="1">
        <v>10</v>
      </c>
      <c r="C123" s="5" t="str">
        <f t="shared" si="1"/>
        <v>2001M10</v>
      </c>
      <c r="D123" s="76">
        <v>7.4447619047619034</v>
      </c>
      <c r="E123" s="76">
        <v>7.4552380952380952</v>
      </c>
      <c r="F123" s="76">
        <v>7.6223809523809525</v>
      </c>
      <c r="G123" s="76">
        <v>8.0142857142857142</v>
      </c>
      <c r="H123" s="77">
        <v>9.8117227579307791</v>
      </c>
      <c r="I123" s="76">
        <v>10.550261315332</v>
      </c>
      <c r="J123" s="76">
        <v>25.566421978159699</v>
      </c>
    </row>
    <row r="124" spans="1:10" x14ac:dyDescent="0.2">
      <c r="A124" s="1">
        <v>2001</v>
      </c>
      <c r="B124" s="1">
        <v>11</v>
      </c>
      <c r="C124" s="5" t="str">
        <f t="shared" si="1"/>
        <v>2001M11</v>
      </c>
      <c r="D124" s="76">
        <v>7.4384210526315799</v>
      </c>
      <c r="E124" s="76">
        <v>7.439473684210526</v>
      </c>
      <c r="F124" s="76">
        <v>7.5631578947368432</v>
      </c>
      <c r="G124" s="76">
        <v>7.9531578947368411</v>
      </c>
      <c r="H124" s="77">
        <v>9.7368852440720879</v>
      </c>
      <c r="I124" s="76">
        <v>10.205056664719971</v>
      </c>
      <c r="J124" s="76">
        <v>31.376468638036357</v>
      </c>
    </row>
    <row r="125" spans="1:10" x14ac:dyDescent="0.2">
      <c r="A125" s="1">
        <v>2001</v>
      </c>
      <c r="B125" s="1">
        <v>12</v>
      </c>
      <c r="C125" s="5" t="str">
        <f t="shared" si="1"/>
        <v>2001M12</v>
      </c>
      <c r="D125" s="76">
        <v>7.5250000000000004</v>
      </c>
      <c r="E125" s="76">
        <v>7.529473684210525</v>
      </c>
      <c r="F125" s="76">
        <v>7.8352631578947367</v>
      </c>
      <c r="G125" s="76">
        <v>8.2678947368421039</v>
      </c>
      <c r="H125" s="78">
        <v>10.229999999999999</v>
      </c>
      <c r="I125" s="76">
        <v>9.5992093814155695</v>
      </c>
      <c r="J125" s="76">
        <v>33.490795796409778</v>
      </c>
    </row>
    <row r="126" spans="1:10" x14ac:dyDescent="0.2">
      <c r="A126" s="1">
        <v>2002</v>
      </c>
      <c r="B126" s="1">
        <v>1</v>
      </c>
      <c r="C126" s="5" t="str">
        <f t="shared" si="1"/>
        <v>2002M1</v>
      </c>
      <c r="E126" s="76">
        <v>7.2752380952380955</v>
      </c>
      <c r="F126" s="76">
        <v>7.6571428571428575</v>
      </c>
      <c r="G126" s="76">
        <v>8.1290476190476202</v>
      </c>
      <c r="H126" s="78">
        <v>10.216956521739132</v>
      </c>
      <c r="I126" s="76">
        <v>9.4432924469184645</v>
      </c>
      <c r="J126" s="76">
        <v>31.172181167365746</v>
      </c>
    </row>
    <row r="127" spans="1:10" x14ac:dyDescent="0.2">
      <c r="A127" s="1">
        <v>2002</v>
      </c>
      <c r="B127" s="1">
        <v>2</v>
      </c>
      <c r="C127" s="5" t="str">
        <f t="shared" si="1"/>
        <v>2002M2</v>
      </c>
      <c r="E127" s="76">
        <v>7.1394736842105253</v>
      </c>
      <c r="F127" s="76">
        <v>7.535263157894736</v>
      </c>
      <c r="G127" s="76">
        <v>8.1842105263157894</v>
      </c>
      <c r="H127" s="78">
        <v>10.158999999999999</v>
      </c>
      <c r="I127" s="76">
        <v>9.501295707113302</v>
      </c>
      <c r="J127" s="76">
        <v>27.205162775062835</v>
      </c>
    </row>
    <row r="128" spans="1:10" x14ac:dyDescent="0.2">
      <c r="A128" s="1">
        <v>2002</v>
      </c>
      <c r="B128" s="1">
        <v>3</v>
      </c>
      <c r="C128" s="5" t="str">
        <f t="shared" si="1"/>
        <v>2002M3</v>
      </c>
      <c r="E128" s="76">
        <v>7.4219999999999988</v>
      </c>
      <c r="F128" s="76">
        <v>7.7575000000000021</v>
      </c>
      <c r="G128" s="76">
        <v>8.3149999999999995</v>
      </c>
      <c r="H128" s="78">
        <v>10.04809523809524</v>
      </c>
      <c r="I128" s="76">
        <v>9.4449983743477048</v>
      </c>
      <c r="J128" s="76">
        <v>28.905971837711817</v>
      </c>
    </row>
    <row r="129" spans="1:10" x14ac:dyDescent="0.2">
      <c r="A129" s="1">
        <v>2002</v>
      </c>
      <c r="B129" s="1">
        <v>4</v>
      </c>
      <c r="C129" s="5" t="str">
        <f t="shared" si="1"/>
        <v>2002M4</v>
      </c>
      <c r="E129" s="76">
        <v>7.380454545454544</v>
      </c>
      <c r="F129" s="76">
        <v>7.5677272727272742</v>
      </c>
      <c r="G129" s="76">
        <v>8.2536363636363657</v>
      </c>
      <c r="H129" s="78">
        <v>9.8304545454545469</v>
      </c>
      <c r="I129" s="76">
        <v>9.4259434088580463</v>
      </c>
      <c r="J129" s="76">
        <v>26.450481122952674</v>
      </c>
    </row>
    <row r="130" spans="1:10" x14ac:dyDescent="0.2">
      <c r="A130" s="1">
        <v>2002</v>
      </c>
      <c r="B130" s="1">
        <v>5</v>
      </c>
      <c r="C130" s="5" t="str">
        <f t="shared" si="1"/>
        <v>2002M5</v>
      </c>
      <c r="E130" s="76">
        <v>7.4340909090909095</v>
      </c>
      <c r="F130" s="76">
        <v>7.5245454545454544</v>
      </c>
      <c r="G130" s="76">
        <v>8.331363636363637</v>
      </c>
      <c r="H130" s="78">
        <v>9.3969565217391313</v>
      </c>
      <c r="I130" s="76">
        <v>9.3305340613791046</v>
      </c>
      <c r="J130" s="76">
        <v>23.049104430145057</v>
      </c>
    </row>
    <row r="131" spans="1:10" x14ac:dyDescent="0.2">
      <c r="A131" s="1">
        <v>2002</v>
      </c>
      <c r="B131" s="1">
        <v>6</v>
      </c>
      <c r="C131" s="5" t="str">
        <f t="shared" si="1"/>
        <v>2002M6</v>
      </c>
      <c r="E131" s="76">
        <v>7.3180000000000005</v>
      </c>
      <c r="F131" s="76">
        <v>7.4129999999999985</v>
      </c>
      <c r="G131" s="76">
        <v>8.2489999999999988</v>
      </c>
      <c r="H131" s="78">
        <v>9.4289999999999985</v>
      </c>
      <c r="I131" s="76">
        <v>9.5583060824033979</v>
      </c>
      <c r="J131" s="76">
        <v>23.504671687216195</v>
      </c>
    </row>
    <row r="132" spans="1:10" x14ac:dyDescent="0.2">
      <c r="A132" s="1">
        <v>2002</v>
      </c>
      <c r="B132" s="1">
        <v>7</v>
      </c>
      <c r="C132" s="5" t="str">
        <f t="shared" si="1"/>
        <v>2002M7</v>
      </c>
      <c r="E132" s="76">
        <v>7.2231818181818177</v>
      </c>
      <c r="F132" s="76">
        <v>7.3136363636363626</v>
      </c>
      <c r="G132" s="76">
        <v>8.0772727272727263</v>
      </c>
      <c r="H132" s="78">
        <v>9.4151217391304343</v>
      </c>
      <c r="I132" s="76">
        <v>10.321156829919307</v>
      </c>
      <c r="J132" s="76">
        <v>30.083768627069862</v>
      </c>
    </row>
    <row r="133" spans="1:10" x14ac:dyDescent="0.2">
      <c r="A133" s="1">
        <v>2002</v>
      </c>
      <c r="B133" s="1">
        <v>8</v>
      </c>
      <c r="C133" s="5" t="str">
        <f t="shared" si="1"/>
        <v>2002M8</v>
      </c>
      <c r="E133" s="76">
        <v>7.1004545454545456</v>
      </c>
      <c r="F133" s="76">
        <v>7.173181818181817</v>
      </c>
      <c r="G133" s="76">
        <v>7.7431818181818182</v>
      </c>
      <c r="H133" s="78">
        <v>9.9373363636363656</v>
      </c>
      <c r="I133" s="76">
        <v>10.85397147891554</v>
      </c>
      <c r="J133" s="76">
        <v>29.032462021688772</v>
      </c>
    </row>
    <row r="134" spans="1:10" x14ac:dyDescent="0.2">
      <c r="A134" s="1">
        <v>2002</v>
      </c>
      <c r="B134" s="1">
        <v>9</v>
      </c>
      <c r="C134" s="5" t="str">
        <f t="shared" si="1"/>
        <v>2002M9</v>
      </c>
      <c r="E134" s="76">
        <v>6.9799999999999995</v>
      </c>
      <c r="F134" s="76">
        <v>7.0770000000000008</v>
      </c>
      <c r="G134" s="76">
        <v>7.6174999999999997</v>
      </c>
      <c r="H134" s="78">
        <v>9.5904952380952384</v>
      </c>
      <c r="I134" s="76">
        <v>10.328220271664216</v>
      </c>
      <c r="J134" s="76">
        <v>31.687776094814936</v>
      </c>
    </row>
    <row r="135" spans="1:10" x14ac:dyDescent="0.2">
      <c r="A135" s="1">
        <v>2002</v>
      </c>
      <c r="B135" s="1">
        <v>10</v>
      </c>
      <c r="C135" s="5" t="str">
        <f t="shared" ref="C135:C198" si="2">CONCATENATE(A135,"M",B135)</f>
        <v>2002M10</v>
      </c>
      <c r="E135" s="76">
        <v>7.0649999999999986</v>
      </c>
      <c r="F135" s="76">
        <v>7.2259090909090897</v>
      </c>
      <c r="G135" s="76">
        <v>7.9909090909090885</v>
      </c>
      <c r="H135" s="78">
        <v>10.241200000000001</v>
      </c>
      <c r="I135" s="76">
        <v>10.96714119991762</v>
      </c>
      <c r="J135" s="76">
        <v>35.712728823563701</v>
      </c>
    </row>
    <row r="136" spans="1:10" x14ac:dyDescent="0.2">
      <c r="A136" s="1">
        <v>2002</v>
      </c>
      <c r="B136" s="1">
        <v>11</v>
      </c>
      <c r="C136" s="5" t="str">
        <f t="shared" si="2"/>
        <v>2002M11</v>
      </c>
      <c r="E136" s="76">
        <v>7.0273684210526319</v>
      </c>
      <c r="F136" s="76">
        <v>7.143684210526315</v>
      </c>
      <c r="G136" s="76">
        <v>7.755789473684211</v>
      </c>
      <c r="H136" s="78">
        <v>10.469495238095238</v>
      </c>
      <c r="I136" s="76">
        <v>10.817773819756777</v>
      </c>
      <c r="J136" s="76">
        <v>35.528187248838073</v>
      </c>
    </row>
    <row r="137" spans="1:10" x14ac:dyDescent="0.2">
      <c r="A137" s="1">
        <v>2002</v>
      </c>
      <c r="B137" s="1">
        <v>12</v>
      </c>
      <c r="C137" s="5" t="str">
        <f t="shared" si="2"/>
        <v>2002M12</v>
      </c>
      <c r="E137" s="76">
        <v>6.9404761904761889</v>
      </c>
      <c r="F137" s="76">
        <v>7.0671428571428585</v>
      </c>
      <c r="G137" s="76">
        <v>7.6080952380952382</v>
      </c>
      <c r="H137" s="78">
        <v>9.9437363636363632</v>
      </c>
      <c r="I137" s="76">
        <v>10.282523017314274</v>
      </c>
      <c r="J137" s="76">
        <v>33.589023092983375</v>
      </c>
    </row>
    <row r="138" spans="1:10" x14ac:dyDescent="0.2">
      <c r="A138" s="1">
        <v>2003</v>
      </c>
      <c r="B138" s="1">
        <v>1</v>
      </c>
      <c r="C138" s="5" t="str">
        <f t="shared" si="2"/>
        <v>2003M1</v>
      </c>
      <c r="E138" s="76">
        <v>6.8704761904761904</v>
      </c>
      <c r="F138" s="76">
        <v>7.0647619047619044</v>
      </c>
      <c r="G138" s="76">
        <v>7.4642857142857144</v>
      </c>
      <c r="H138" s="78">
        <v>10.024121739130434</v>
      </c>
      <c r="I138" s="76">
        <v>9.9998773908636895</v>
      </c>
      <c r="J138" s="76">
        <v>23.592878030781808</v>
      </c>
    </row>
    <row r="139" spans="1:10" x14ac:dyDescent="0.2">
      <c r="A139" s="1">
        <v>2003</v>
      </c>
      <c r="B139" s="1">
        <v>2</v>
      </c>
      <c r="C139" s="5" t="str">
        <f t="shared" si="2"/>
        <v>2003M2</v>
      </c>
      <c r="E139" s="76">
        <v>6.655263157894737</v>
      </c>
      <c r="F139" s="76">
        <v>6.9284210526315801</v>
      </c>
      <c r="G139" s="76">
        <v>7.1668421052631572</v>
      </c>
      <c r="H139" s="78">
        <v>9.4419649999999997</v>
      </c>
      <c r="I139" s="76">
        <v>9.9773505416217763</v>
      </c>
      <c r="J139" s="76">
        <v>20.840325570284428</v>
      </c>
    </row>
    <row r="140" spans="1:10" x14ac:dyDescent="0.2">
      <c r="A140" s="1">
        <v>2003</v>
      </c>
      <c r="B140" s="1">
        <v>3</v>
      </c>
      <c r="C140" s="5" t="str">
        <f t="shared" si="2"/>
        <v>2003M3</v>
      </c>
      <c r="E140" s="76">
        <v>6.5647619047619044</v>
      </c>
      <c r="F140" s="76">
        <v>6.78857142857143</v>
      </c>
      <c r="G140" s="76">
        <v>7.0485714285714289</v>
      </c>
      <c r="H140" s="78">
        <v>9.0182333333333329</v>
      </c>
      <c r="I140" s="76">
        <v>9.8790704145957378</v>
      </c>
      <c r="J140" s="76">
        <v>21.548811952496578</v>
      </c>
    </row>
    <row r="141" spans="1:10" x14ac:dyDescent="0.2">
      <c r="A141" s="1">
        <v>2003</v>
      </c>
      <c r="B141" s="1">
        <v>4</v>
      </c>
      <c r="C141" s="5" t="str">
        <f t="shared" si="2"/>
        <v>2003M4</v>
      </c>
      <c r="E141" s="76">
        <v>6.4680952380952386</v>
      </c>
      <c r="F141" s="76">
        <v>6.6223809523809507</v>
      </c>
      <c r="G141" s="76">
        <v>6.9423809523809519</v>
      </c>
      <c r="H141" s="78">
        <v>8.5678499999999982</v>
      </c>
      <c r="I141" s="76">
        <v>9.5777418767778393</v>
      </c>
      <c r="J141" s="76">
        <v>18.266286288601453</v>
      </c>
    </row>
    <row r="142" spans="1:10" x14ac:dyDescent="0.2">
      <c r="A142" s="1">
        <v>2003</v>
      </c>
      <c r="B142" s="1">
        <v>5</v>
      </c>
      <c r="C142" s="5" t="str">
        <f t="shared" si="2"/>
        <v>2003M5</v>
      </c>
      <c r="E142" s="76">
        <v>6.2142105263157887</v>
      </c>
      <c r="F142" s="76">
        <v>6.3457142857142852</v>
      </c>
      <c r="G142" s="76">
        <v>6.4514285714285711</v>
      </c>
      <c r="H142" s="78">
        <v>8.3638227272727264</v>
      </c>
      <c r="I142" s="76">
        <v>9.310028280617292</v>
      </c>
      <c r="J142" s="76">
        <v>15.607205846361733</v>
      </c>
    </row>
    <row r="143" spans="1:10" x14ac:dyDescent="0.2">
      <c r="A143" s="1">
        <v>2003</v>
      </c>
      <c r="B143" s="1">
        <v>6</v>
      </c>
      <c r="C143" s="5" t="str">
        <f t="shared" si="2"/>
        <v>2003M6</v>
      </c>
      <c r="E143" s="76">
        <v>6.1176190476190486</v>
      </c>
      <c r="F143" s="76">
        <v>6.2104761904761903</v>
      </c>
      <c r="G143" s="76">
        <v>6.3019047619047619</v>
      </c>
      <c r="H143" s="78">
        <v>7.8144952380952368</v>
      </c>
      <c r="I143" s="76">
        <v>9.1342039872395233</v>
      </c>
      <c r="J143" s="76">
        <v>13.346224181767127</v>
      </c>
    </row>
    <row r="144" spans="1:10" x14ac:dyDescent="0.2">
      <c r="A144" s="1">
        <v>2003</v>
      </c>
      <c r="B144" s="1">
        <v>7</v>
      </c>
      <c r="C144" s="5" t="str">
        <f t="shared" si="2"/>
        <v>2003M7</v>
      </c>
      <c r="E144" s="76">
        <v>6.3654545454545453</v>
      </c>
      <c r="F144" s="76">
        <v>6.56</v>
      </c>
      <c r="G144" s="76">
        <v>6.6713636363636368</v>
      </c>
      <c r="H144" s="78">
        <v>7.7446000000000002</v>
      </c>
      <c r="I144" s="76">
        <v>9.049748319160738</v>
      </c>
      <c r="J144" s="76">
        <v>11.782447634277181</v>
      </c>
    </row>
    <row r="145" spans="1:10" x14ac:dyDescent="0.2">
      <c r="A145" s="1">
        <v>2003</v>
      </c>
      <c r="B145" s="1">
        <v>8</v>
      </c>
      <c r="C145" s="5" t="str">
        <f t="shared" si="2"/>
        <v>2003M8</v>
      </c>
      <c r="E145" s="76">
        <v>6.4814285714285704</v>
      </c>
      <c r="F145" s="76">
        <v>6.7876190476190477</v>
      </c>
      <c r="G145" s="76">
        <v>7.0857142857142845</v>
      </c>
      <c r="H145" s="78">
        <v>8.0122904761904774</v>
      </c>
      <c r="I145" s="76">
        <v>9.2903646145882117</v>
      </c>
      <c r="J145" s="76">
        <v>11.215873432321722</v>
      </c>
    </row>
    <row r="146" spans="1:10" x14ac:dyDescent="0.2">
      <c r="A146" s="1">
        <v>2003</v>
      </c>
      <c r="B146" s="1">
        <v>9</v>
      </c>
      <c r="C146" s="5" t="str">
        <f t="shared" si="2"/>
        <v>2003M9</v>
      </c>
      <c r="D146" s="1">
        <v>0</v>
      </c>
      <c r="E146" s="76">
        <v>6.303809523809524</v>
      </c>
      <c r="F146" s="76">
        <v>6.5614285714285714</v>
      </c>
      <c r="G146" s="76">
        <v>6.8709523809523816</v>
      </c>
      <c r="H146" s="78">
        <v>7.8701227272727268</v>
      </c>
      <c r="I146" s="76">
        <v>8.9428962240944063</v>
      </c>
      <c r="J146" s="76">
        <v>9.5899192340039434</v>
      </c>
    </row>
    <row r="147" spans="1:10" x14ac:dyDescent="0.2">
      <c r="A147" s="1">
        <v>2003</v>
      </c>
      <c r="B147" s="1">
        <v>10</v>
      </c>
      <c r="C147" s="5" t="str">
        <f t="shared" si="2"/>
        <v>2003M10</v>
      </c>
      <c r="E147" s="76">
        <v>6.2772727272727273</v>
      </c>
      <c r="F147" s="76">
        <v>6.4277272727272727</v>
      </c>
      <c r="G147" s="76">
        <v>6.7913636363636378</v>
      </c>
      <c r="H147" s="78">
        <v>7.4592608695652194</v>
      </c>
      <c r="I147" s="76">
        <v>8.7810061445538903</v>
      </c>
      <c r="J147" s="76">
        <v>9.6717400281321009</v>
      </c>
    </row>
    <row r="148" spans="1:10" x14ac:dyDescent="0.2">
      <c r="A148" s="1">
        <v>2003</v>
      </c>
      <c r="B148" s="1">
        <v>11</v>
      </c>
      <c r="C148" s="5" t="str">
        <f t="shared" si="2"/>
        <v>2003M11</v>
      </c>
      <c r="E148" s="76">
        <v>6.2552941176470593</v>
      </c>
      <c r="F148" s="76">
        <v>6.3682352941176461</v>
      </c>
      <c r="G148" s="76">
        <v>6.6876470588235293</v>
      </c>
      <c r="H148" s="78">
        <v>7.095533333333333</v>
      </c>
      <c r="I148" s="76">
        <v>8.6611341547461826</v>
      </c>
      <c r="J148" s="76">
        <v>9.8103318814377367</v>
      </c>
    </row>
    <row r="149" spans="1:10" x14ac:dyDescent="0.2">
      <c r="A149" s="1">
        <v>2003</v>
      </c>
      <c r="B149" s="1">
        <v>12</v>
      </c>
      <c r="C149" s="5" t="str">
        <f t="shared" si="2"/>
        <v>2003M12</v>
      </c>
      <c r="E149" s="76">
        <v>6.1827272727272735</v>
      </c>
      <c r="F149" s="76">
        <v>6.2718181818181815</v>
      </c>
      <c r="G149" s="76">
        <v>6.6104545454545445</v>
      </c>
      <c r="H149" s="77">
        <v>8.0930415530717141</v>
      </c>
      <c r="I149" s="76">
        <v>8.4945572344248816</v>
      </c>
      <c r="J149" s="76">
        <v>9.8214770337462465</v>
      </c>
    </row>
    <row r="150" spans="1:10" x14ac:dyDescent="0.2">
      <c r="A150" s="1">
        <v>2004</v>
      </c>
      <c r="B150" s="1">
        <v>1</v>
      </c>
      <c r="C150" s="5" t="str">
        <f t="shared" si="2"/>
        <v>2004M1</v>
      </c>
      <c r="E150" s="76">
        <v>6.0644999999999989</v>
      </c>
      <c r="F150" s="76">
        <v>6.1515000000000004</v>
      </c>
      <c r="G150" s="76">
        <v>6.471000000000001</v>
      </c>
      <c r="H150" s="77">
        <v>7.9223102632083879</v>
      </c>
      <c r="I150" s="76">
        <v>8.3273242130705896</v>
      </c>
      <c r="J150" s="76">
        <v>9.1199914120955548</v>
      </c>
    </row>
    <row r="151" spans="1:10" x14ac:dyDescent="0.2">
      <c r="A151" s="1">
        <v>2004</v>
      </c>
      <c r="B151" s="1">
        <v>2</v>
      </c>
      <c r="C151" s="5" t="str">
        <f t="shared" si="2"/>
        <v>2004M2</v>
      </c>
      <c r="E151" s="76">
        <v>6.0957894736842109</v>
      </c>
      <c r="F151" s="76">
        <v>6.148421052631579</v>
      </c>
      <c r="G151" s="76">
        <v>6.2831578947368421</v>
      </c>
      <c r="H151" s="77">
        <v>7.6923390936226985</v>
      </c>
      <c r="I151" s="76">
        <v>8.3936933058939349</v>
      </c>
      <c r="J151" s="76">
        <v>9.2216753680848313</v>
      </c>
    </row>
    <row r="152" spans="1:10" x14ac:dyDescent="0.2">
      <c r="A152" s="1">
        <v>2004</v>
      </c>
      <c r="B152" s="1">
        <v>3</v>
      </c>
      <c r="C152" s="5" t="str">
        <f t="shared" si="2"/>
        <v>2004M3</v>
      </c>
      <c r="E152" s="76">
        <v>5.925217391304348</v>
      </c>
      <c r="F152" s="76">
        <v>5.9673913043478262</v>
      </c>
      <c r="G152" s="76">
        <v>6.1234782608695655</v>
      </c>
      <c r="H152" s="77">
        <v>7.4968466500726931</v>
      </c>
      <c r="I152" s="76">
        <v>8.3709027336005626</v>
      </c>
      <c r="J152" s="76">
        <v>9.7088340884682189</v>
      </c>
    </row>
    <row r="153" spans="1:10" x14ac:dyDescent="0.2">
      <c r="A153" s="1">
        <v>2004</v>
      </c>
      <c r="B153" s="1">
        <v>4</v>
      </c>
      <c r="C153" s="5" t="str">
        <f t="shared" si="2"/>
        <v>2004M4</v>
      </c>
      <c r="E153" s="76">
        <v>6.3323809523809516</v>
      </c>
      <c r="F153" s="76">
        <v>6.3466666666666667</v>
      </c>
      <c r="G153" s="76">
        <v>6.4585714285714309</v>
      </c>
      <c r="H153" s="77">
        <v>7.9070942225677481</v>
      </c>
      <c r="I153" s="76">
        <v>8.3742281526269995</v>
      </c>
      <c r="J153" s="76">
        <v>10.120504422097653</v>
      </c>
    </row>
    <row r="154" spans="1:10" x14ac:dyDescent="0.2">
      <c r="A154" s="1">
        <v>2004</v>
      </c>
      <c r="B154" s="1">
        <v>5</v>
      </c>
      <c r="C154" s="5" t="str">
        <f t="shared" si="2"/>
        <v>2004M5</v>
      </c>
      <c r="E154" s="76">
        <v>6.6635000000000009</v>
      </c>
      <c r="F154" s="76">
        <v>6.6240000000000006</v>
      </c>
      <c r="G154" s="76">
        <v>6.7545000000000002</v>
      </c>
      <c r="H154" s="77">
        <v>8.2693933971319815</v>
      </c>
      <c r="I154" s="76">
        <v>8.6430035787804087</v>
      </c>
      <c r="J154" s="76">
        <v>10.575859580646437</v>
      </c>
    </row>
    <row r="155" spans="1:10" x14ac:dyDescent="0.2">
      <c r="A155" s="1">
        <v>2004</v>
      </c>
      <c r="B155" s="1">
        <v>6</v>
      </c>
      <c r="C155" s="5" t="str">
        <f t="shared" si="2"/>
        <v>2004M6</v>
      </c>
      <c r="E155" s="76">
        <v>6.3014285714285707</v>
      </c>
      <c r="F155" s="76">
        <v>6.45714285714286</v>
      </c>
      <c r="G155" s="76">
        <v>6.8376190476190493</v>
      </c>
      <c r="H155" s="77">
        <v>8.3711543126041636</v>
      </c>
      <c r="I155" s="76">
        <v>8.6335817714827776</v>
      </c>
      <c r="J155" s="76">
        <v>10.095085756471166</v>
      </c>
    </row>
    <row r="156" spans="1:10" x14ac:dyDescent="0.2">
      <c r="A156" s="1">
        <v>2004</v>
      </c>
      <c r="B156" s="1">
        <v>7</v>
      </c>
      <c r="C156" s="5" t="str">
        <f t="shared" si="2"/>
        <v>2004M7</v>
      </c>
      <c r="E156" s="76">
        <v>6.0895238095238096</v>
      </c>
      <c r="F156" s="76">
        <v>6.2680952380952393</v>
      </c>
      <c r="G156" s="76">
        <v>6.6661904761904767</v>
      </c>
      <c r="H156" s="77">
        <v>8.1612778899746274</v>
      </c>
      <c r="I156" s="76">
        <v>8.5410654752572057</v>
      </c>
      <c r="J156" s="76">
        <v>10.365892699421117</v>
      </c>
    </row>
    <row r="157" spans="1:10" x14ac:dyDescent="0.2">
      <c r="A157" s="1">
        <v>2004</v>
      </c>
      <c r="B157" s="1">
        <v>8</v>
      </c>
      <c r="C157" s="5" t="str">
        <f t="shared" si="2"/>
        <v>2004M8</v>
      </c>
      <c r="E157" s="76">
        <v>5.9468181818181813</v>
      </c>
      <c r="F157" s="76">
        <v>6.1368181818181826</v>
      </c>
      <c r="G157" s="76">
        <v>6.4545454545454541</v>
      </c>
      <c r="H157" s="77">
        <v>7.9021653065817477</v>
      </c>
      <c r="I157" s="76">
        <v>8.4771970145077589</v>
      </c>
      <c r="J157" s="76">
        <v>11.186917063005183</v>
      </c>
    </row>
    <row r="158" spans="1:10" x14ac:dyDescent="0.2">
      <c r="A158" s="1">
        <v>2004</v>
      </c>
      <c r="B158" s="1">
        <v>9</v>
      </c>
      <c r="C158" s="5" t="str">
        <f t="shared" si="2"/>
        <v>2004M9</v>
      </c>
      <c r="E158" s="76">
        <v>5.7919047619047621</v>
      </c>
      <c r="F158" s="76">
        <v>5.9795238095238084</v>
      </c>
      <c r="G158" s="76">
        <v>6.2652380952380948</v>
      </c>
      <c r="H158" s="77">
        <v>7.6704002570466576</v>
      </c>
      <c r="I158" s="76">
        <v>8.3452471492256119</v>
      </c>
      <c r="J158" s="76">
        <v>11.403445184796109</v>
      </c>
    </row>
    <row r="159" spans="1:10" x14ac:dyDescent="0.2">
      <c r="A159" s="1">
        <v>2004</v>
      </c>
      <c r="B159" s="1">
        <v>10</v>
      </c>
      <c r="C159" s="5" t="str">
        <f t="shared" si="2"/>
        <v>2004M10</v>
      </c>
      <c r="E159" s="76">
        <v>5.7365000000000013</v>
      </c>
      <c r="F159" s="76">
        <v>5.9870000000000001</v>
      </c>
      <c r="G159" s="76">
        <v>6.173</v>
      </c>
      <c r="H159" s="77">
        <v>7.5574750818707104</v>
      </c>
      <c r="I159" s="76">
        <v>8.2594199612592369</v>
      </c>
      <c r="J159" s="76">
        <v>11.342469018244687</v>
      </c>
    </row>
    <row r="160" spans="1:10" x14ac:dyDescent="0.2">
      <c r="A160" s="1">
        <v>2004</v>
      </c>
      <c r="B160" s="1">
        <v>11</v>
      </c>
      <c r="C160" s="5" t="str">
        <f t="shared" si="2"/>
        <v>2004M11</v>
      </c>
      <c r="E160" s="76">
        <v>5.7844999999999995</v>
      </c>
      <c r="F160" s="76">
        <v>5.9620000000000006</v>
      </c>
      <c r="G160" s="76">
        <v>6.1579999999999995</v>
      </c>
      <c r="H160" s="77">
        <v>7.5391108948906256</v>
      </c>
      <c r="I160" s="76">
        <v>8.1064896476010055</v>
      </c>
      <c r="J160" s="76">
        <v>10.549767646676855</v>
      </c>
    </row>
    <row r="161" spans="1:10" x14ac:dyDescent="0.2">
      <c r="A161" s="1">
        <v>2004</v>
      </c>
      <c r="B161" s="1">
        <v>12</v>
      </c>
      <c r="C161" s="5" t="str">
        <f t="shared" si="2"/>
        <v>2004M12</v>
      </c>
      <c r="E161" s="76">
        <v>5.7804545454545453</v>
      </c>
      <c r="F161" s="76">
        <v>5.918181818181818</v>
      </c>
      <c r="G161" s="76">
        <v>6.1027272727272752</v>
      </c>
      <c r="H161" s="77">
        <v>7.4714416483215915</v>
      </c>
      <c r="I161" s="76">
        <v>8.0313756274121388</v>
      </c>
      <c r="J161" s="76">
        <v>9.96188918477106</v>
      </c>
    </row>
    <row r="162" spans="1:10" x14ac:dyDescent="0.2">
      <c r="A162" s="1">
        <v>2005</v>
      </c>
      <c r="B162" s="1">
        <v>1</v>
      </c>
      <c r="C162" s="5" t="str">
        <f t="shared" si="2"/>
        <v>2005M1</v>
      </c>
      <c r="E162" s="76">
        <v>5.6770000000000014</v>
      </c>
      <c r="F162" s="76">
        <v>5.7820000000000009</v>
      </c>
      <c r="G162" s="76">
        <v>5.948500000000001</v>
      </c>
      <c r="H162" s="77">
        <v>7.2826244167354499</v>
      </c>
      <c r="I162" s="76">
        <v>8.0641696296675907</v>
      </c>
      <c r="J162" s="76">
        <v>10.484665505630597</v>
      </c>
    </row>
    <row r="163" spans="1:10" x14ac:dyDescent="0.2">
      <c r="A163" s="1">
        <v>2005</v>
      </c>
      <c r="B163" s="1">
        <v>2</v>
      </c>
      <c r="C163" s="5" t="str">
        <f t="shared" si="2"/>
        <v>2005M2</v>
      </c>
      <c r="E163" s="76">
        <v>5.5499999999999989</v>
      </c>
      <c r="F163" s="76">
        <v>5.6147368421052626</v>
      </c>
      <c r="G163" s="76">
        <v>5.7594736842105263</v>
      </c>
      <c r="H163" s="77">
        <v>7.051203442914491</v>
      </c>
      <c r="I163" s="76">
        <v>7.9962479076709903</v>
      </c>
      <c r="J163" s="76">
        <v>10.716011352035782</v>
      </c>
    </row>
    <row r="164" spans="1:10" x14ac:dyDescent="0.2">
      <c r="A164" s="1">
        <v>2005</v>
      </c>
      <c r="B164" s="1">
        <v>3</v>
      </c>
      <c r="C164" s="5" t="str">
        <f t="shared" si="2"/>
        <v>2005M3</v>
      </c>
      <c r="E164" s="76">
        <v>5.7590909090909088</v>
      </c>
      <c r="F164" s="76">
        <v>5.825909090909092</v>
      </c>
      <c r="G164" s="76">
        <v>6.0050000000000008</v>
      </c>
      <c r="H164" s="77">
        <v>7.3517961876937674</v>
      </c>
      <c r="I164" s="76">
        <v>8.0240013465889284</v>
      </c>
      <c r="J164" s="76">
        <v>11.270573120770386</v>
      </c>
    </row>
    <row r="165" spans="1:10" x14ac:dyDescent="0.2">
      <c r="A165" s="1">
        <v>2005</v>
      </c>
      <c r="B165" s="1">
        <v>4</v>
      </c>
      <c r="C165" s="5" t="str">
        <f t="shared" si="2"/>
        <v>2005M4</v>
      </c>
      <c r="E165" s="76">
        <v>5.5604761904761899</v>
      </c>
      <c r="F165" s="76">
        <v>5.6395238095238103</v>
      </c>
      <c r="G165" s="76">
        <v>5.9471428571428566</v>
      </c>
      <c r="H165" s="77">
        <v>7.2809628950562972</v>
      </c>
      <c r="I165" s="76">
        <v>8.2161291296157533</v>
      </c>
      <c r="J165" s="76">
        <v>12.048400373043602</v>
      </c>
    </row>
    <row r="166" spans="1:10" x14ac:dyDescent="0.2">
      <c r="A166" s="1">
        <v>2005</v>
      </c>
      <c r="B166" s="1">
        <v>5</v>
      </c>
      <c r="C166" s="5" t="str">
        <f t="shared" si="2"/>
        <v>2005M5</v>
      </c>
      <c r="E166" s="76">
        <v>5.3947619047619044</v>
      </c>
      <c r="F166" s="76">
        <v>5.5333333333333332</v>
      </c>
      <c r="G166" s="76">
        <v>5.8766666666666669</v>
      </c>
      <c r="H166" s="77">
        <v>7.1946803657530447</v>
      </c>
      <c r="I166" s="76">
        <v>8.354488015494292</v>
      </c>
      <c r="J166" s="76">
        <v>12.970288587559367</v>
      </c>
    </row>
    <row r="167" spans="1:10" x14ac:dyDescent="0.2">
      <c r="A167" s="1">
        <v>2005</v>
      </c>
      <c r="B167" s="1">
        <v>6</v>
      </c>
      <c r="C167" s="5" t="str">
        <f t="shared" si="2"/>
        <v>2005M6</v>
      </c>
      <c r="E167" s="76">
        <v>5.0645454545454536</v>
      </c>
      <c r="F167" s="76">
        <v>5.3995454545454544</v>
      </c>
      <c r="G167" s="76">
        <v>5.7013636363636389</v>
      </c>
      <c r="H167" s="77">
        <v>6.9800605239756983</v>
      </c>
      <c r="I167" s="76">
        <v>8.2773307585496347</v>
      </c>
      <c r="J167" s="76">
        <v>15.331074315859444</v>
      </c>
    </row>
    <row r="168" spans="1:10" x14ac:dyDescent="0.2">
      <c r="A168" s="1">
        <v>2005</v>
      </c>
      <c r="B168" s="1">
        <v>7</v>
      </c>
      <c r="C168" s="5" t="str">
        <f t="shared" si="2"/>
        <v>2005M7</v>
      </c>
      <c r="E168" s="76">
        <v>5.1775000000000002</v>
      </c>
      <c r="F168" s="76">
        <v>5.5084999999999997</v>
      </c>
      <c r="G168" s="76">
        <v>5.8049999999999997</v>
      </c>
      <c r="H168" s="77">
        <v>7.106940361292641</v>
      </c>
      <c r="I168" s="76">
        <v>8.1752594828578946</v>
      </c>
      <c r="J168" s="76">
        <v>14.990019519540526</v>
      </c>
    </row>
    <row r="169" spans="1:10" x14ac:dyDescent="0.2">
      <c r="A169" s="1">
        <v>2005</v>
      </c>
      <c r="B169" s="1">
        <v>8</v>
      </c>
      <c r="C169" s="5" t="str">
        <f t="shared" si="2"/>
        <v>2005M8</v>
      </c>
      <c r="E169" s="76">
        <v>5.2321739130434795</v>
      </c>
      <c r="F169" s="76">
        <v>5.4991304347826082</v>
      </c>
      <c r="G169" s="76">
        <v>5.8034782608695652</v>
      </c>
      <c r="H169" s="77">
        <v>7.1050773278308936</v>
      </c>
      <c r="I169" s="76">
        <v>8.1474068037359775</v>
      </c>
      <c r="J169" s="76">
        <v>15.411463670936563</v>
      </c>
    </row>
    <row r="170" spans="1:10" x14ac:dyDescent="0.2">
      <c r="A170" s="1">
        <v>2005</v>
      </c>
      <c r="B170" s="1">
        <v>9</v>
      </c>
      <c r="C170" s="5" t="str">
        <f t="shared" si="2"/>
        <v>2005M9</v>
      </c>
      <c r="E170" s="76">
        <v>5.2695238095238093</v>
      </c>
      <c r="F170" s="76">
        <v>5.5190476190476199</v>
      </c>
      <c r="G170" s="76">
        <v>5.8323809523809516</v>
      </c>
      <c r="H170" s="77">
        <v>7.14046228990708</v>
      </c>
      <c r="I170" s="76">
        <v>8.1720168522799455</v>
      </c>
      <c r="J170" s="76">
        <v>15.128851185586061</v>
      </c>
    </row>
    <row r="171" spans="1:10" x14ac:dyDescent="0.2">
      <c r="A171" s="1">
        <v>2005</v>
      </c>
      <c r="B171" s="1">
        <v>10</v>
      </c>
      <c r="C171" s="5" t="str">
        <f t="shared" si="2"/>
        <v>2005M10</v>
      </c>
      <c r="E171" s="76">
        <v>5.4995238095238097</v>
      </c>
      <c r="F171" s="76">
        <v>5.7866666666666653</v>
      </c>
      <c r="G171" s="76">
        <v>6.0842857142857145</v>
      </c>
      <c r="H171" s="77">
        <v>7.4488640331599267</v>
      </c>
      <c r="I171" s="76">
        <v>8.2713409507005657</v>
      </c>
      <c r="J171" s="76">
        <v>14.543947540579364</v>
      </c>
    </row>
    <row r="172" spans="1:10" x14ac:dyDescent="0.2">
      <c r="A172" s="1">
        <v>2005</v>
      </c>
      <c r="B172" s="1">
        <v>11</v>
      </c>
      <c r="C172" s="5" t="str">
        <f t="shared" si="2"/>
        <v>2005M11</v>
      </c>
      <c r="E172" s="76">
        <v>5.5866666666666678</v>
      </c>
      <c r="F172" s="76">
        <v>5.8790476190476184</v>
      </c>
      <c r="G172" s="76">
        <v>6.1866666666666656</v>
      </c>
      <c r="H172" s="77">
        <v>7.5742068966747862</v>
      </c>
      <c r="I172" s="76">
        <v>8.3805169427474837</v>
      </c>
      <c r="J172" s="76">
        <v>14.545757710286475</v>
      </c>
    </row>
    <row r="173" spans="1:10" x14ac:dyDescent="0.2">
      <c r="A173" s="1">
        <v>2005</v>
      </c>
      <c r="B173" s="1">
        <v>12</v>
      </c>
      <c r="C173" s="5" t="str">
        <f t="shared" si="2"/>
        <v>2005M12</v>
      </c>
      <c r="E173" s="76">
        <v>5.5471428571428554</v>
      </c>
      <c r="F173" s="76">
        <v>5.7942857142857163</v>
      </c>
      <c r="G173" s="76">
        <v>6.1361904761904755</v>
      </c>
      <c r="H173" s="77">
        <v>7.5124099500116461</v>
      </c>
      <c r="I173" s="76">
        <v>8.3043200253667884</v>
      </c>
      <c r="J173" s="76">
        <v>16.058393744124054</v>
      </c>
    </row>
    <row r="174" spans="1:10" x14ac:dyDescent="0.2">
      <c r="A174" s="1">
        <v>2006</v>
      </c>
      <c r="B174" s="1">
        <v>1</v>
      </c>
      <c r="C174" s="5" t="str">
        <f t="shared" si="2"/>
        <v>2006M1</v>
      </c>
      <c r="E174" s="76">
        <v>5.4994999999999994</v>
      </c>
      <c r="F174" s="76">
        <v>5.7449999999999992</v>
      </c>
      <c r="G174" s="76">
        <v>6.0635000000000003</v>
      </c>
      <c r="H174" s="77">
        <v>7.4234165169160953</v>
      </c>
      <c r="I174" s="76">
        <v>8.2752205886781756</v>
      </c>
      <c r="J174" s="76">
        <v>14.176964541199469</v>
      </c>
    </row>
    <row r="175" spans="1:10" x14ac:dyDescent="0.2">
      <c r="A175" s="1">
        <v>2006</v>
      </c>
      <c r="B175" s="1">
        <v>2</v>
      </c>
      <c r="C175" s="5" t="str">
        <f t="shared" si="2"/>
        <v>2006M2</v>
      </c>
      <c r="E175" s="76">
        <v>5.5494736842105263</v>
      </c>
      <c r="F175" s="76">
        <v>5.8168421052631576</v>
      </c>
      <c r="G175" s="76">
        <v>6.1057894736842107</v>
      </c>
      <c r="H175" s="77">
        <v>7.4751906370511749</v>
      </c>
      <c r="I175" s="76">
        <v>8.2371193134162652</v>
      </c>
      <c r="J175" s="76">
        <v>15.065888231439081</v>
      </c>
    </row>
    <row r="176" spans="1:10" x14ac:dyDescent="0.2">
      <c r="A176" s="1">
        <v>2006</v>
      </c>
      <c r="B176" s="1">
        <v>3</v>
      </c>
      <c r="C176" s="5" t="str">
        <f t="shared" si="2"/>
        <v>2006M3</v>
      </c>
      <c r="E176" s="76">
        <v>5.7100000000000009</v>
      </c>
      <c r="F176" s="76">
        <v>5.9847826086956513</v>
      </c>
      <c r="G176" s="76">
        <v>6.2647826086956533</v>
      </c>
      <c r="H176" s="77">
        <v>7.6698426143778367</v>
      </c>
      <c r="I176" s="76">
        <v>8.2140154186313215</v>
      </c>
      <c r="J176" s="76">
        <v>14.670132862290444</v>
      </c>
    </row>
    <row r="177" spans="1:10" x14ac:dyDescent="0.2">
      <c r="A177" s="1">
        <v>2006</v>
      </c>
      <c r="B177" s="1">
        <v>4</v>
      </c>
      <c r="C177" s="5" t="str">
        <f t="shared" si="2"/>
        <v>2006M4</v>
      </c>
      <c r="E177" s="76">
        <v>6.0184210526315782</v>
      </c>
      <c r="F177" s="76">
        <v>6.2878947368421052</v>
      </c>
      <c r="G177" s="76">
        <v>6.5373684210526308</v>
      </c>
      <c r="H177" s="77">
        <v>8.0035637361272851</v>
      </c>
      <c r="I177" s="76">
        <v>8.215192734041791</v>
      </c>
      <c r="J177" s="76">
        <v>13.935944965280086</v>
      </c>
    </row>
    <row r="178" spans="1:10" x14ac:dyDescent="0.2">
      <c r="A178" s="1">
        <v>2006</v>
      </c>
      <c r="B178" s="1">
        <v>5</v>
      </c>
      <c r="C178" s="5" t="str">
        <f t="shared" si="2"/>
        <v>2006M5</v>
      </c>
      <c r="E178" s="76">
        <v>6.1581818181818191</v>
      </c>
      <c r="F178" s="76">
        <v>6.415</v>
      </c>
      <c r="G178" s="76">
        <v>6.5890909090909098</v>
      </c>
      <c r="H178" s="77">
        <v>8.0668864988879605</v>
      </c>
      <c r="I178" s="76">
        <v>8.2388847378285686</v>
      </c>
      <c r="J178" s="76">
        <v>13.379469869887311</v>
      </c>
    </row>
    <row r="179" spans="1:10" x14ac:dyDescent="0.2">
      <c r="A179" s="1">
        <v>2006</v>
      </c>
      <c r="B179" s="1">
        <v>6</v>
      </c>
      <c r="C179" s="5" t="str">
        <f t="shared" si="2"/>
        <v>2006M6</v>
      </c>
      <c r="E179" s="76">
        <v>6.1599999999999993</v>
      </c>
      <c r="F179" s="76">
        <v>6.4013636363636373</v>
      </c>
      <c r="G179" s="76">
        <v>6.6118181818181805</v>
      </c>
      <c r="H179" s="77">
        <v>8.0947110246153589</v>
      </c>
      <c r="I179" s="76">
        <v>8.3523428003969631</v>
      </c>
      <c r="J179" s="76">
        <v>13.365472649463261</v>
      </c>
    </row>
    <row r="180" spans="1:10" x14ac:dyDescent="0.2">
      <c r="A180" s="1">
        <v>2006</v>
      </c>
      <c r="B180" s="1">
        <v>7</v>
      </c>
      <c r="C180" s="5" t="str">
        <f t="shared" si="2"/>
        <v>2006M7</v>
      </c>
      <c r="E180" s="76">
        <v>6.1304999999999996</v>
      </c>
      <c r="F180" s="76">
        <v>6.3669999999999991</v>
      </c>
      <c r="G180" s="76">
        <v>6.605500000000001</v>
      </c>
      <c r="H180" s="78">
        <v>7.5995809523809532</v>
      </c>
      <c r="I180" s="76">
        <v>8.4288762890008773</v>
      </c>
      <c r="J180" s="76">
        <v>13.199307248151737</v>
      </c>
    </row>
    <row r="181" spans="1:10" x14ac:dyDescent="0.2">
      <c r="A181" s="1">
        <v>2006</v>
      </c>
      <c r="B181" s="1">
        <v>8</v>
      </c>
      <c r="C181" s="5" t="str">
        <f t="shared" si="2"/>
        <v>2006M8</v>
      </c>
      <c r="E181" s="76">
        <v>5.9686956521739134</v>
      </c>
      <c r="F181" s="76">
        <v>6.1960869565217385</v>
      </c>
      <c r="G181" s="76">
        <v>6.4278260869565234</v>
      </c>
      <c r="H181" s="78">
        <v>7.4296130434782608</v>
      </c>
      <c r="I181" s="76">
        <v>8.3968036926495646</v>
      </c>
      <c r="J181" s="76">
        <v>13.681667763848282</v>
      </c>
    </row>
    <row r="182" spans="1:10" x14ac:dyDescent="0.2">
      <c r="A182" s="1">
        <v>2006</v>
      </c>
      <c r="B182" s="1">
        <v>9</v>
      </c>
      <c r="C182" s="5" t="str">
        <f t="shared" si="2"/>
        <v>2006M9</v>
      </c>
      <c r="E182" s="76">
        <v>5.8105000000000002</v>
      </c>
      <c r="F182" s="76">
        <v>5.9960000000000004</v>
      </c>
      <c r="G182" s="76">
        <v>6.2634999999999996</v>
      </c>
      <c r="H182" s="78">
        <v>7.1544809523809514</v>
      </c>
      <c r="I182" s="76">
        <v>8.2917416954193222</v>
      </c>
      <c r="J182" s="76">
        <v>14.042386390268996</v>
      </c>
    </row>
    <row r="183" spans="1:10" x14ac:dyDescent="0.2">
      <c r="A183" s="1">
        <v>2006</v>
      </c>
      <c r="B183" s="1">
        <v>10</v>
      </c>
      <c r="C183" s="5" t="str">
        <f t="shared" si="2"/>
        <v>2006M10</v>
      </c>
      <c r="E183" s="76">
        <v>5.801904761904761</v>
      </c>
      <c r="F183" s="76">
        <v>5.9809523809523801</v>
      </c>
      <c r="G183" s="76">
        <v>6.2438095238095244</v>
      </c>
      <c r="H183" s="78">
        <v>7.055386363636365</v>
      </c>
      <c r="I183" s="76">
        <v>8.1553751761623001</v>
      </c>
      <c r="J183" s="76">
        <v>14.216465105503298</v>
      </c>
    </row>
    <row r="184" spans="1:10" x14ac:dyDescent="0.2">
      <c r="A184" s="1">
        <v>2006</v>
      </c>
      <c r="B184" s="1">
        <v>11</v>
      </c>
      <c r="C184" s="5" t="str">
        <f t="shared" si="2"/>
        <v>2006M11</v>
      </c>
      <c r="E184" s="76">
        <v>5.6104761904761897</v>
      </c>
      <c r="F184" s="76">
        <v>5.8019047619047619</v>
      </c>
      <c r="G184" s="76">
        <v>6.0438095238095233</v>
      </c>
      <c r="H184" s="78">
        <v>6.896936363636363</v>
      </c>
      <c r="I184" s="76">
        <v>8.0783628302025949</v>
      </c>
      <c r="J184" s="76">
        <v>12.843636939059792</v>
      </c>
    </row>
    <row r="185" spans="1:10" x14ac:dyDescent="0.2">
      <c r="A185" s="1">
        <v>2006</v>
      </c>
      <c r="B185" s="1">
        <v>12</v>
      </c>
      <c r="C185" s="5" t="str">
        <f t="shared" si="2"/>
        <v>2006M12</v>
      </c>
      <c r="E185" s="76">
        <v>5.6164999999999994</v>
      </c>
      <c r="F185" s="76">
        <v>5.8125000000000009</v>
      </c>
      <c r="G185" s="76">
        <v>6.0525000000000002</v>
      </c>
      <c r="H185" s="78">
        <v>6.9553476190476191</v>
      </c>
      <c r="I185" s="76">
        <v>8.0257723262483225</v>
      </c>
      <c r="J185" s="76">
        <v>12.710212483323687</v>
      </c>
    </row>
    <row r="186" spans="1:10" x14ac:dyDescent="0.2">
      <c r="A186" s="1">
        <v>2007</v>
      </c>
      <c r="B186" s="1">
        <v>1</v>
      </c>
      <c r="C186" s="5" t="str">
        <f t="shared" si="2"/>
        <v>2007M1</v>
      </c>
      <c r="E186" s="76">
        <v>5.7766666666666673</v>
      </c>
      <c r="F186" s="76">
        <v>5.955238095238097</v>
      </c>
      <c r="G186" s="76">
        <v>6.160000000000001</v>
      </c>
      <c r="H186" s="78">
        <v>7.1056869565217395</v>
      </c>
      <c r="I186" s="76">
        <v>7.9938219120795591</v>
      </c>
      <c r="J186" s="76">
        <v>11.868062486984874</v>
      </c>
    </row>
    <row r="187" spans="1:10" x14ac:dyDescent="0.2">
      <c r="A187" s="1">
        <v>2007</v>
      </c>
      <c r="B187" s="1">
        <v>2</v>
      </c>
      <c r="C187" s="5" t="str">
        <f t="shared" si="2"/>
        <v>2007M2</v>
      </c>
      <c r="E187" s="76">
        <v>5.7326315789473679</v>
      </c>
      <c r="F187" s="76">
        <v>5.9015789473684217</v>
      </c>
      <c r="G187" s="76">
        <v>6.1031578947368432</v>
      </c>
      <c r="H187" s="78">
        <v>7.1218349999999999</v>
      </c>
      <c r="I187" s="76">
        <v>7.921026589549049</v>
      </c>
      <c r="J187" s="76">
        <v>11.341266579723094</v>
      </c>
    </row>
    <row r="188" spans="1:10" x14ac:dyDescent="0.2">
      <c r="A188" s="1">
        <v>2007</v>
      </c>
      <c r="B188" s="1">
        <v>3</v>
      </c>
      <c r="C188" s="5" t="str">
        <f t="shared" si="2"/>
        <v>2007M3</v>
      </c>
      <c r="E188" s="76">
        <v>5.6618181818181821</v>
      </c>
      <c r="F188" s="76">
        <v>5.8490909090909078</v>
      </c>
      <c r="G188" s="76">
        <v>6.1031818181818176</v>
      </c>
      <c r="H188" s="78">
        <v>7.2655545454545436</v>
      </c>
      <c r="I188" s="76">
        <v>7.9602061669035011</v>
      </c>
      <c r="J188" s="76">
        <v>11.707443733656394</v>
      </c>
    </row>
    <row r="189" spans="1:10" x14ac:dyDescent="0.2">
      <c r="A189" s="1">
        <v>2007</v>
      </c>
      <c r="B189" s="1">
        <v>4</v>
      </c>
      <c r="C189" s="5" t="str">
        <f t="shared" si="2"/>
        <v>2007M4</v>
      </c>
      <c r="E189" s="76">
        <v>5.8276190476190477</v>
      </c>
      <c r="F189" s="76">
        <v>5.9690476190476192</v>
      </c>
      <c r="G189" s="76">
        <v>6.2385714285714284</v>
      </c>
      <c r="H189" s="78">
        <v>7.4095047619047625</v>
      </c>
      <c r="I189" s="76">
        <v>7.9504039429056466</v>
      </c>
      <c r="J189" s="76">
        <v>11.99690508762615</v>
      </c>
    </row>
    <row r="190" spans="1:10" x14ac:dyDescent="0.2">
      <c r="A190" s="1">
        <v>2007</v>
      </c>
      <c r="B190" s="1">
        <v>5</v>
      </c>
      <c r="C190" s="5" t="str">
        <f t="shared" si="2"/>
        <v>2007M5</v>
      </c>
      <c r="E190" s="76">
        <v>5.8609090909090922</v>
      </c>
      <c r="F190" s="76">
        <v>5.9859090909090904</v>
      </c>
      <c r="G190" s="76">
        <v>6.2304545454545455</v>
      </c>
      <c r="H190" s="78">
        <v>7.3956173913043486</v>
      </c>
      <c r="I190" s="76">
        <v>7.9005805676233134</v>
      </c>
      <c r="J190" s="76">
        <v>11.917188949727407</v>
      </c>
    </row>
    <row r="191" spans="1:10" x14ac:dyDescent="0.2">
      <c r="A191" s="1">
        <v>2007</v>
      </c>
      <c r="B191" s="1">
        <v>6</v>
      </c>
      <c r="C191" s="5" t="str">
        <f t="shared" si="2"/>
        <v>2007M6</v>
      </c>
      <c r="E191" s="76">
        <v>6.1814285714285706</v>
      </c>
      <c r="F191" s="76">
        <v>6.3028571428571434</v>
      </c>
      <c r="G191" s="76">
        <v>6.5447619047619048</v>
      </c>
      <c r="H191" s="78">
        <v>7.7330333333333341</v>
      </c>
      <c r="I191" s="76">
        <v>7.9768430472719949</v>
      </c>
      <c r="J191" s="76">
        <v>12.550063462472593</v>
      </c>
    </row>
    <row r="192" spans="1:10" x14ac:dyDescent="0.2">
      <c r="A192" s="1">
        <v>2007</v>
      </c>
      <c r="B192" s="1">
        <v>7</v>
      </c>
      <c r="C192" s="5" t="str">
        <f t="shared" si="2"/>
        <v>2007M7</v>
      </c>
      <c r="E192" s="76">
        <v>6.1128571428571421</v>
      </c>
      <c r="F192" s="76">
        <v>6.2461904761904767</v>
      </c>
      <c r="G192" s="76">
        <v>6.4895238095238108</v>
      </c>
      <c r="H192" s="78">
        <v>7.9813409090909087</v>
      </c>
      <c r="I192" s="76">
        <v>8.1731122882060863</v>
      </c>
      <c r="J192" s="76">
        <v>14.036663984385378</v>
      </c>
    </row>
    <row r="193" spans="1:10" x14ac:dyDescent="0.2">
      <c r="A193" s="1">
        <v>2007</v>
      </c>
      <c r="B193" s="1">
        <v>8</v>
      </c>
      <c r="C193" s="5" t="str">
        <f t="shared" si="2"/>
        <v>2007M8</v>
      </c>
      <c r="E193" s="76">
        <v>6.1069565217391304</v>
      </c>
      <c r="F193" s="76">
        <v>6.2365217391304348</v>
      </c>
      <c r="G193" s="76">
        <v>6.5082608695652171</v>
      </c>
      <c r="H193" s="78">
        <v>8.4946086956521736</v>
      </c>
      <c r="I193" s="76">
        <v>8.3507415917461767</v>
      </c>
      <c r="J193" s="76">
        <v>14.783958864111465</v>
      </c>
    </row>
    <row r="194" spans="1:10" x14ac:dyDescent="0.2">
      <c r="A194" s="1">
        <v>2007</v>
      </c>
      <c r="B194" s="1">
        <v>9</v>
      </c>
      <c r="C194" s="5" t="str">
        <f t="shared" si="2"/>
        <v>2007M9</v>
      </c>
      <c r="E194" s="76">
        <v>6.0957894736842118</v>
      </c>
      <c r="F194" s="76">
        <v>6.1805263157894732</v>
      </c>
      <c r="G194" s="76">
        <v>6.452105263157895</v>
      </c>
      <c r="H194" s="78">
        <v>8.9002250000000007</v>
      </c>
      <c r="I194" s="76">
        <v>8.271554486024197</v>
      </c>
      <c r="J194" s="76">
        <v>15.232887462710693</v>
      </c>
    </row>
    <row r="195" spans="1:10" x14ac:dyDescent="0.2">
      <c r="A195" s="1">
        <v>2007</v>
      </c>
      <c r="B195" s="1">
        <v>10</v>
      </c>
      <c r="C195" s="5" t="str">
        <f t="shared" si="2"/>
        <v>2007M10</v>
      </c>
      <c r="E195" s="76">
        <v>6.0381818181818172</v>
      </c>
      <c r="F195" s="76">
        <v>6.1122727272727273</v>
      </c>
      <c r="G195" s="76">
        <v>6.3595454545454544</v>
      </c>
      <c r="H195" s="78">
        <v>8.5344999999999978</v>
      </c>
      <c r="I195" s="76">
        <v>8.2002454022034428</v>
      </c>
      <c r="J195" s="76">
        <v>14.778188737079729</v>
      </c>
    </row>
    <row r="196" spans="1:10" x14ac:dyDescent="0.2">
      <c r="A196" s="1">
        <v>2007</v>
      </c>
      <c r="B196" s="1">
        <v>11</v>
      </c>
      <c r="C196" s="5" t="str">
        <f t="shared" si="2"/>
        <v>2007M11</v>
      </c>
      <c r="E196" s="76">
        <v>5.8734999999999991</v>
      </c>
      <c r="F196" s="76">
        <v>5.9659999999999993</v>
      </c>
      <c r="G196" s="76">
        <v>6.2739999999999991</v>
      </c>
      <c r="H196" s="78">
        <v>8.5015409090909095</v>
      </c>
      <c r="I196" s="76">
        <v>8.479352746424011</v>
      </c>
      <c r="J196" s="76">
        <v>16.708152440616335</v>
      </c>
    </row>
    <row r="197" spans="1:10" x14ac:dyDescent="0.2">
      <c r="A197" s="1">
        <v>2007</v>
      </c>
      <c r="B197" s="1">
        <v>12</v>
      </c>
      <c r="C197" s="5" t="str">
        <f t="shared" si="2"/>
        <v>2007M12</v>
      </c>
      <c r="E197" s="76">
        <v>6.0325000000000006</v>
      </c>
      <c r="F197" s="76">
        <v>6.1575000000000006</v>
      </c>
      <c r="G197" s="76">
        <v>6.5109999999999983</v>
      </c>
      <c r="H197" s="78">
        <v>8.4773666666666685</v>
      </c>
      <c r="I197" s="76">
        <v>8.5492222257975268</v>
      </c>
      <c r="J197" s="76">
        <v>16.801089569555842</v>
      </c>
    </row>
    <row r="198" spans="1:10" x14ac:dyDescent="0.2">
      <c r="A198" s="1">
        <v>2008</v>
      </c>
      <c r="B198" s="1">
        <v>1</v>
      </c>
      <c r="C198" s="5" t="str">
        <f t="shared" si="2"/>
        <v>2008M1</v>
      </c>
      <c r="E198" s="76">
        <v>5.8738095238095243</v>
      </c>
      <c r="F198" s="76">
        <v>6.0152380952380948</v>
      </c>
      <c r="G198" s="76">
        <v>6.3452380952380949</v>
      </c>
      <c r="H198" s="78">
        <v>7.8014217391304355</v>
      </c>
      <c r="I198" s="76">
        <v>8.7991857814256207</v>
      </c>
      <c r="J198" s="76">
        <v>16.176071285950723</v>
      </c>
    </row>
    <row r="199" spans="1:10" x14ac:dyDescent="0.2">
      <c r="A199" s="1">
        <v>2008</v>
      </c>
      <c r="B199" s="1">
        <v>2</v>
      </c>
      <c r="C199" s="5" t="str">
        <f t="shared" ref="C199:C262" si="3">CONCATENATE(A199,"M",B199)</f>
        <v>2008M2</v>
      </c>
      <c r="E199" s="76">
        <v>6.0355000000000008</v>
      </c>
      <c r="F199" s="76">
        <v>6.2140000000000004</v>
      </c>
      <c r="G199" s="76">
        <v>6.5969999999999995</v>
      </c>
      <c r="H199" s="78">
        <v>7.5101809523809537</v>
      </c>
      <c r="I199" s="76">
        <v>9.0010680379876096</v>
      </c>
      <c r="J199" s="76">
        <v>16.623254352856446</v>
      </c>
    </row>
    <row r="200" spans="1:10" x14ac:dyDescent="0.2">
      <c r="A200" s="1">
        <v>2008</v>
      </c>
      <c r="B200" s="1">
        <v>3</v>
      </c>
      <c r="C200" s="5" t="str">
        <f t="shared" si="3"/>
        <v>2008M3</v>
      </c>
      <c r="E200" s="76">
        <v>5.9885000000000002</v>
      </c>
      <c r="F200" s="76">
        <v>6.2090000000000005</v>
      </c>
      <c r="G200" s="76">
        <v>6.6820000000000004</v>
      </c>
      <c r="H200" s="78">
        <v>7.4683476190476181</v>
      </c>
      <c r="I200" s="76">
        <v>9.2795870879605307</v>
      </c>
      <c r="J200" s="76">
        <v>16.346269033722567</v>
      </c>
    </row>
    <row r="201" spans="1:10" x14ac:dyDescent="0.2">
      <c r="A201" s="1">
        <v>2008</v>
      </c>
      <c r="B201" s="1">
        <v>4</v>
      </c>
      <c r="C201" s="5" t="str">
        <f t="shared" si="3"/>
        <v>2008M4</v>
      </c>
      <c r="E201" s="76">
        <v>5.9918181818181804</v>
      </c>
      <c r="F201" s="76">
        <v>6.290454545454546</v>
      </c>
      <c r="G201" s="76">
        <v>6.8122727272727275</v>
      </c>
      <c r="H201" s="78">
        <v>7.3071227272727279</v>
      </c>
      <c r="I201" s="76">
        <v>9.0723927814607723</v>
      </c>
      <c r="J201" s="76">
        <v>17.414350566467572</v>
      </c>
    </row>
    <row r="202" spans="1:10" x14ac:dyDescent="0.2">
      <c r="A202" s="1">
        <v>2008</v>
      </c>
      <c r="B202" s="1">
        <v>5</v>
      </c>
      <c r="C202" s="5" t="str">
        <f t="shared" si="3"/>
        <v>2008M5</v>
      </c>
      <c r="E202" s="76">
        <v>6.0709523809523827</v>
      </c>
      <c r="F202" s="76">
        <v>6.2757142857142849</v>
      </c>
      <c r="G202" s="76">
        <v>6.7938095238095242</v>
      </c>
      <c r="H202" s="78">
        <v>7.2410681818181812</v>
      </c>
      <c r="I202" s="76">
        <v>8.8464881219538736</v>
      </c>
      <c r="J202" s="76">
        <v>17.229550470600959</v>
      </c>
    </row>
    <row r="203" spans="1:10" x14ac:dyDescent="0.2">
      <c r="A203" s="1">
        <v>2008</v>
      </c>
      <c r="B203" s="1">
        <v>6</v>
      </c>
      <c r="C203" s="5" t="str">
        <f t="shared" si="3"/>
        <v>2008M6</v>
      </c>
      <c r="E203" s="76">
        <v>6.1895238095238092</v>
      </c>
      <c r="F203" s="76">
        <v>6.3771428571428563</v>
      </c>
      <c r="G203" s="76">
        <v>6.9257142857142853</v>
      </c>
      <c r="H203" s="78">
        <v>7.3846619047619049</v>
      </c>
      <c r="I203" s="76">
        <v>9.0337487448086531</v>
      </c>
      <c r="J203" s="76">
        <v>17.350362330176612</v>
      </c>
    </row>
    <row r="204" spans="1:10" x14ac:dyDescent="0.2">
      <c r="A204" s="1">
        <v>2008</v>
      </c>
      <c r="B204" s="1">
        <v>7</v>
      </c>
      <c r="C204" s="5" t="str">
        <f t="shared" si="3"/>
        <v>2008M7</v>
      </c>
      <c r="E204" s="76">
        <v>6.133636363636362</v>
      </c>
      <c r="F204" s="76">
        <v>6.3968181818181815</v>
      </c>
      <c r="G204" s="76">
        <v>6.9650000000000007</v>
      </c>
      <c r="H204" s="78">
        <v>7.6139260869565213</v>
      </c>
      <c r="I204" s="76">
        <v>9.3545913067486239</v>
      </c>
      <c r="J204" s="76">
        <v>20.237920653152816</v>
      </c>
    </row>
    <row r="205" spans="1:10" x14ac:dyDescent="0.2">
      <c r="A205" s="1">
        <v>2008</v>
      </c>
      <c r="B205" s="1">
        <v>8</v>
      </c>
      <c r="C205" s="5" t="str">
        <f t="shared" si="3"/>
        <v>2008M8</v>
      </c>
      <c r="E205" s="76">
        <v>6.0928571428571425</v>
      </c>
      <c r="F205" s="76">
        <v>6.3709523809523807</v>
      </c>
      <c r="G205" s="76">
        <v>6.9790476190476189</v>
      </c>
      <c r="H205" s="78">
        <v>7.8757523809523802</v>
      </c>
      <c r="I205" s="76">
        <v>9.425463319008081</v>
      </c>
      <c r="J205" s="76">
        <v>20.974587440312487</v>
      </c>
    </row>
    <row r="206" spans="1:10" x14ac:dyDescent="0.2">
      <c r="A206" s="1">
        <v>2008</v>
      </c>
      <c r="B206" s="1">
        <v>9</v>
      </c>
      <c r="C206" s="5" t="str">
        <f t="shared" si="3"/>
        <v>2008M9</v>
      </c>
      <c r="E206" s="76">
        <v>6.1347619047619038</v>
      </c>
      <c r="F206" s="76">
        <v>6.4933333333333341</v>
      </c>
      <c r="G206" s="76">
        <v>7.1504761904761907</v>
      </c>
      <c r="H206" s="78">
        <v>8.0271409090909085</v>
      </c>
      <c r="I206" s="76">
        <v>9.6977091712694232</v>
      </c>
      <c r="J206" s="76">
        <v>22.628384297481638</v>
      </c>
    </row>
    <row r="207" spans="1:10" x14ac:dyDescent="0.2">
      <c r="A207" s="1">
        <v>2008</v>
      </c>
      <c r="B207" s="1">
        <v>10</v>
      </c>
      <c r="C207" s="5" t="str">
        <f t="shared" si="3"/>
        <v>2008M10</v>
      </c>
      <c r="E207" s="76">
        <v>6.9486363636363642</v>
      </c>
      <c r="F207" s="76">
        <v>7.5636363636363626</v>
      </c>
      <c r="G207" s="76">
        <v>8.5804545454545469</v>
      </c>
      <c r="H207" s="78">
        <v>9.117086956521737</v>
      </c>
      <c r="I207" s="76">
        <v>12.039403368493009</v>
      </c>
      <c r="J207" s="76">
        <v>34.71399713755968</v>
      </c>
    </row>
    <row r="208" spans="1:10" x14ac:dyDescent="0.2">
      <c r="A208" s="1">
        <v>2008</v>
      </c>
      <c r="B208" s="1">
        <v>11</v>
      </c>
      <c r="C208" s="5" t="str">
        <f t="shared" si="3"/>
        <v>2008M11</v>
      </c>
      <c r="E208" s="76">
        <v>6.83</v>
      </c>
      <c r="F208" s="76">
        <v>7.6011111111111109</v>
      </c>
      <c r="G208" s="76">
        <v>8.9799999999999986</v>
      </c>
      <c r="H208" s="78">
        <v>10.857364999999998</v>
      </c>
      <c r="I208" s="76">
        <v>12.835886640019847</v>
      </c>
      <c r="J208" s="76">
        <v>40.771399023094048</v>
      </c>
    </row>
    <row r="209" spans="1:10" x14ac:dyDescent="0.2">
      <c r="A209" s="1">
        <v>2008</v>
      </c>
      <c r="B209" s="1">
        <v>12</v>
      </c>
      <c r="C209" s="5" t="str">
        <f t="shared" si="3"/>
        <v>2008M12</v>
      </c>
      <c r="E209" s="76">
        <v>5.921818181818181</v>
      </c>
      <c r="F209" s="76">
        <v>6.5240909090909094</v>
      </c>
      <c r="G209" s="76">
        <v>8.1131818181818183</v>
      </c>
      <c r="H209" s="78">
        <v>10.301621739130436</v>
      </c>
      <c r="I209" s="76">
        <v>13.336150019850113</v>
      </c>
      <c r="J209" s="76">
        <v>27.713128877814245</v>
      </c>
    </row>
    <row r="210" spans="1:10" x14ac:dyDescent="0.2">
      <c r="A210" s="1">
        <v>2009</v>
      </c>
      <c r="B210" s="1">
        <v>1</v>
      </c>
      <c r="C210" s="5" t="str">
        <f t="shared" si="3"/>
        <v>2009M1</v>
      </c>
      <c r="E210" s="76">
        <v>6.0114999999999998</v>
      </c>
      <c r="F210" s="76">
        <v>6.3864999999999998</v>
      </c>
      <c r="G210" s="76">
        <v>7.8964999999999987</v>
      </c>
      <c r="H210" s="78">
        <v>9.9567590909090899</v>
      </c>
      <c r="I210" s="76">
        <v>11.802275076203031</v>
      </c>
      <c r="J210" s="76">
        <v>24.505092292564537</v>
      </c>
    </row>
    <row r="211" spans="1:10" x14ac:dyDescent="0.2">
      <c r="A211" s="1">
        <v>2009</v>
      </c>
      <c r="B211" s="1">
        <v>2</v>
      </c>
      <c r="C211" s="5" t="str">
        <f t="shared" si="3"/>
        <v>2009M2</v>
      </c>
      <c r="E211" s="76">
        <v>6.1068421052631585</v>
      </c>
      <c r="F211" s="76">
        <v>6.3042105263157886</v>
      </c>
      <c r="G211" s="76">
        <v>7.744210526315789</v>
      </c>
      <c r="H211" s="78">
        <v>9.7035049999999998</v>
      </c>
      <c r="I211" s="76">
        <v>11.486288850601511</v>
      </c>
      <c r="J211" s="76">
        <v>27.731289961215012</v>
      </c>
    </row>
    <row r="212" spans="1:10" x14ac:dyDescent="0.2">
      <c r="A212" s="1">
        <v>2009</v>
      </c>
      <c r="B212" s="1">
        <v>3</v>
      </c>
      <c r="C212" s="5" t="str">
        <f t="shared" si="3"/>
        <v>2009M3</v>
      </c>
      <c r="E212" s="76">
        <v>6.1413636363636366</v>
      </c>
      <c r="F212" s="76">
        <v>6.4231818181818179</v>
      </c>
      <c r="G212" s="76">
        <v>7.9959090909090893</v>
      </c>
      <c r="H212" s="78">
        <v>10.018845454545456</v>
      </c>
      <c r="I212" s="76">
        <v>12.171522428900108</v>
      </c>
      <c r="J212" s="76">
        <v>29.354965418959139</v>
      </c>
    </row>
    <row r="213" spans="1:10" x14ac:dyDescent="0.2">
      <c r="A213" s="1">
        <v>2009</v>
      </c>
      <c r="B213" s="1">
        <v>4</v>
      </c>
      <c r="C213" s="5" t="str">
        <f t="shared" si="3"/>
        <v>2009M4</v>
      </c>
      <c r="E213" s="76">
        <v>6.2009523809523808</v>
      </c>
      <c r="F213" s="76">
        <v>6.4847619047619034</v>
      </c>
      <c r="G213" s="76">
        <v>8.0285714285714302</v>
      </c>
      <c r="H213" s="78">
        <v>10.253972727272727</v>
      </c>
      <c r="I213" s="76">
        <v>11.034122689269092</v>
      </c>
      <c r="J213" s="76">
        <v>24.891490264961686</v>
      </c>
    </row>
    <row r="214" spans="1:10" x14ac:dyDescent="0.2">
      <c r="A214" s="1">
        <v>2009</v>
      </c>
      <c r="B214" s="1">
        <v>5</v>
      </c>
      <c r="C214" s="5" t="str">
        <f t="shared" si="3"/>
        <v>2009M5</v>
      </c>
      <c r="E214" s="76">
        <v>6.2335000000000003</v>
      </c>
      <c r="F214" s="76">
        <v>6.4904999999999999</v>
      </c>
      <c r="G214" s="76">
        <v>7.759500000000001</v>
      </c>
      <c r="H214" s="78">
        <v>10.289076190476193</v>
      </c>
      <c r="I214" s="76">
        <v>10.085096051602234</v>
      </c>
      <c r="J214" s="76">
        <v>19.696015012307193</v>
      </c>
    </row>
    <row r="215" spans="1:10" x14ac:dyDescent="0.2">
      <c r="A215" s="1">
        <v>2009</v>
      </c>
      <c r="B215" s="1">
        <v>6</v>
      </c>
      <c r="C215" s="5" t="str">
        <f t="shared" si="3"/>
        <v>2009M6</v>
      </c>
      <c r="E215" s="76">
        <v>6.1286363636363639</v>
      </c>
      <c r="F215" s="76">
        <v>6.1949999999999985</v>
      </c>
      <c r="G215" s="76">
        <v>7.2963636363636342</v>
      </c>
      <c r="H215" s="78">
        <v>9.8037909090909086</v>
      </c>
      <c r="I215" s="76">
        <v>9.6474096090218016</v>
      </c>
      <c r="J215" s="76">
        <v>14.611232383523884</v>
      </c>
    </row>
    <row r="216" spans="1:10" x14ac:dyDescent="0.2">
      <c r="A216" s="1">
        <v>2009</v>
      </c>
      <c r="B216" s="1">
        <v>7</v>
      </c>
      <c r="C216" s="5" t="str">
        <f t="shared" si="3"/>
        <v>2009M7</v>
      </c>
      <c r="E216" s="76">
        <v>5.6304545454545467</v>
      </c>
      <c r="F216" s="76">
        <v>5.9659090909090908</v>
      </c>
      <c r="G216" s="76">
        <v>6.8677272727272731</v>
      </c>
      <c r="H216" s="78">
        <v>9.4970739130434811</v>
      </c>
      <c r="I216" s="76">
        <v>9.5950920662939119</v>
      </c>
      <c r="J216" s="76">
        <v>13.869325345917934</v>
      </c>
    </row>
    <row r="217" spans="1:10" x14ac:dyDescent="0.2">
      <c r="A217" s="1">
        <v>2009</v>
      </c>
      <c r="B217" s="1">
        <v>8</v>
      </c>
      <c r="C217" s="5" t="str">
        <f t="shared" si="3"/>
        <v>2009M8</v>
      </c>
      <c r="E217" s="76">
        <v>5.3295238095238107</v>
      </c>
      <c r="F217" s="76">
        <v>5.7085714285714291</v>
      </c>
      <c r="G217" s="76">
        <v>6.3580952380952374</v>
      </c>
      <c r="H217" s="78">
        <v>8.9786238095238087</v>
      </c>
      <c r="I217" s="76">
        <v>9.3223107050314411</v>
      </c>
      <c r="J217" s="76">
        <v>12.330817053950682</v>
      </c>
    </row>
    <row r="218" spans="1:10" x14ac:dyDescent="0.2">
      <c r="A218" s="1">
        <v>2009</v>
      </c>
      <c r="B218" s="1">
        <v>9</v>
      </c>
      <c r="C218" s="5" t="str">
        <f t="shared" si="3"/>
        <v>2009M9</v>
      </c>
      <c r="E218" s="76">
        <v>5.1480952380952383</v>
      </c>
      <c r="F218" s="76">
        <v>5.5304761904761905</v>
      </c>
      <c r="G218" s="76">
        <v>6.1185714285714292</v>
      </c>
      <c r="H218" s="78">
        <v>8.6281045454545477</v>
      </c>
      <c r="I218" s="76">
        <v>9.2409994789100995</v>
      </c>
      <c r="J218" s="76">
        <v>11.947811387895195</v>
      </c>
    </row>
    <row r="219" spans="1:10" x14ac:dyDescent="0.2">
      <c r="A219" s="1">
        <v>2009</v>
      </c>
      <c r="B219" s="1">
        <v>10</v>
      </c>
      <c r="C219" s="5" t="str">
        <f t="shared" si="3"/>
        <v>2009M10</v>
      </c>
      <c r="E219" s="76">
        <v>5.2290476190476181</v>
      </c>
      <c r="F219" s="76">
        <v>5.5452380952380951</v>
      </c>
      <c r="G219" s="76">
        <v>6.1409523809523812</v>
      </c>
      <c r="H219" s="78">
        <v>8.1523272727272715</v>
      </c>
      <c r="I219" s="76">
        <v>8.9554143763102871</v>
      </c>
      <c r="J219" s="76">
        <v>11.264389473790628</v>
      </c>
    </row>
    <row r="220" spans="1:10" x14ac:dyDescent="0.2">
      <c r="A220" s="1">
        <v>2009</v>
      </c>
      <c r="B220" s="1">
        <v>11</v>
      </c>
      <c r="C220" s="5" t="str">
        <f t="shared" si="3"/>
        <v>2009M11</v>
      </c>
      <c r="E220" s="76">
        <v>5.3247368421052643</v>
      </c>
      <c r="F220" s="76">
        <v>5.6321052631578938</v>
      </c>
      <c r="G220" s="76">
        <v>6.174736842105264</v>
      </c>
      <c r="H220" s="78">
        <v>8.3454285714285721</v>
      </c>
      <c r="I220" s="76">
        <v>8.8447535978306018</v>
      </c>
      <c r="J220" s="76">
        <v>10.758768462378979</v>
      </c>
    </row>
    <row r="221" spans="1:10" x14ac:dyDescent="0.2">
      <c r="A221" s="1">
        <v>2009</v>
      </c>
      <c r="B221" s="1">
        <v>12</v>
      </c>
      <c r="C221" s="5" t="str">
        <f t="shared" si="3"/>
        <v>2009M12</v>
      </c>
      <c r="E221" s="76">
        <v>5.5154545454545465</v>
      </c>
      <c r="F221" s="76">
        <v>5.7881818181818181</v>
      </c>
      <c r="G221" s="76">
        <v>6.2622727272727277</v>
      </c>
      <c r="H221" s="78">
        <v>8.2370869565217397</v>
      </c>
      <c r="I221" s="76">
        <v>8.8182768300800838</v>
      </c>
      <c r="J221" s="76">
        <v>10.31404894460473</v>
      </c>
    </row>
    <row r="222" spans="1:10" x14ac:dyDescent="0.2">
      <c r="A222" s="1">
        <v>2010</v>
      </c>
      <c r="B222" s="1">
        <v>1</v>
      </c>
      <c r="C222" s="5" t="str">
        <f t="shared" si="3"/>
        <v>2010M1</v>
      </c>
      <c r="E222" s="76">
        <v>5.5510526315789477</v>
      </c>
      <c r="F222" s="76">
        <v>5.7726315789473688</v>
      </c>
      <c r="G222" s="76">
        <v>6.1557894736842114</v>
      </c>
      <c r="H222" s="78">
        <v>7.8615761904761889</v>
      </c>
      <c r="I222" s="76">
        <v>8.7209864780982809</v>
      </c>
      <c r="J222" s="76">
        <v>10.336816444490923</v>
      </c>
    </row>
    <row r="223" spans="1:10" x14ac:dyDescent="0.2">
      <c r="A223" s="1">
        <v>2010</v>
      </c>
      <c r="B223" s="1">
        <v>2</v>
      </c>
      <c r="C223" s="5" t="str">
        <f t="shared" si="3"/>
        <v>2010M2</v>
      </c>
      <c r="E223" s="76">
        <v>5.6873684210526312</v>
      </c>
      <c r="F223" s="76">
        <v>5.8705263157894736</v>
      </c>
      <c r="G223" s="76">
        <v>6.2463157894736838</v>
      </c>
      <c r="H223" s="78">
        <v>7.8308100000000014</v>
      </c>
      <c r="I223" s="76">
        <v>8.8116063633004309</v>
      </c>
      <c r="J223" s="76">
        <v>12.149555266232884</v>
      </c>
    </row>
    <row r="224" spans="1:10" x14ac:dyDescent="0.2">
      <c r="A224" s="1">
        <v>2010</v>
      </c>
      <c r="B224" s="1">
        <v>3</v>
      </c>
      <c r="C224" s="5" t="str">
        <f t="shared" si="3"/>
        <v>2010M3</v>
      </c>
      <c r="E224" s="76">
        <v>5.6417391304347824</v>
      </c>
      <c r="F224" s="76">
        <v>5.8439130434782607</v>
      </c>
      <c r="G224" s="76">
        <v>6.2234782608695642</v>
      </c>
      <c r="H224" s="78">
        <v>7.7614652173913043</v>
      </c>
      <c r="I224" s="76">
        <v>8.6649674895689426</v>
      </c>
      <c r="J224" s="76">
        <v>11.877687607968186</v>
      </c>
    </row>
    <row r="225" spans="1:10" x14ac:dyDescent="0.2">
      <c r="A225" s="1">
        <v>2010</v>
      </c>
      <c r="B225" s="1">
        <v>4</v>
      </c>
      <c r="C225" s="5" t="str">
        <f t="shared" si="3"/>
        <v>2010M4</v>
      </c>
      <c r="E225" s="76">
        <v>5.6231818181818189</v>
      </c>
      <c r="F225" s="76">
        <v>5.8136363636363635</v>
      </c>
      <c r="G225" s="76">
        <v>6.1868181818181816</v>
      </c>
      <c r="H225" s="78">
        <v>7.62845</v>
      </c>
      <c r="I225" s="76">
        <v>8.5417874112763297</v>
      </c>
      <c r="J225" s="76">
        <v>11.721366951819078</v>
      </c>
    </row>
    <row r="226" spans="1:10" x14ac:dyDescent="0.2">
      <c r="A226" s="1">
        <v>2010</v>
      </c>
      <c r="B226" s="1">
        <v>5</v>
      </c>
      <c r="C226" s="5" t="str">
        <f t="shared" si="3"/>
        <v>2010M5</v>
      </c>
      <c r="E226" s="76">
        <v>5.2909999999999995</v>
      </c>
      <c r="F226" s="76">
        <v>5.4969999999999981</v>
      </c>
      <c r="G226" s="76">
        <v>5.9700000000000015</v>
      </c>
      <c r="H226" s="78">
        <v>7.4115000000000002</v>
      </c>
      <c r="I226" s="76">
        <v>8.7440636402564564</v>
      </c>
      <c r="J226" s="76">
        <v>12.13220190118528</v>
      </c>
    </row>
    <row r="227" spans="1:10" x14ac:dyDescent="0.2">
      <c r="A227" s="1">
        <v>2010</v>
      </c>
      <c r="B227" s="1">
        <v>6</v>
      </c>
      <c r="C227" s="5" t="str">
        <f t="shared" si="3"/>
        <v>2010M6</v>
      </c>
      <c r="E227" s="76">
        <v>5.2163636363636359</v>
      </c>
      <c r="F227" s="76">
        <v>5.462727272727272</v>
      </c>
      <c r="G227" s="76">
        <v>6.1804545454545439</v>
      </c>
      <c r="H227" s="78">
        <v>7.5636909090909112</v>
      </c>
      <c r="I227" s="76">
        <v>8.9010562403012727</v>
      </c>
      <c r="J227" s="76">
        <v>12.388831277570747</v>
      </c>
    </row>
    <row r="228" spans="1:10" x14ac:dyDescent="0.2">
      <c r="A228" s="1">
        <v>2010</v>
      </c>
      <c r="B228" s="1">
        <v>7</v>
      </c>
      <c r="C228" s="5" t="str">
        <f t="shared" si="3"/>
        <v>2010M7</v>
      </c>
      <c r="E228" s="76">
        <v>4.9890476190476196</v>
      </c>
      <c r="F228" s="76">
        <v>5.2580952380952386</v>
      </c>
      <c r="G228" s="76">
        <v>5.9790476190476198</v>
      </c>
      <c r="H228" s="78">
        <v>7.5621863636363633</v>
      </c>
      <c r="I228" s="76">
        <v>8.7167733595399479</v>
      </c>
      <c r="J228" s="76">
        <v>12.169896614939583</v>
      </c>
    </row>
    <row r="229" spans="1:10" x14ac:dyDescent="0.2">
      <c r="A229" s="1">
        <v>2010</v>
      </c>
      <c r="B229" s="1">
        <v>8</v>
      </c>
      <c r="C229" s="5" t="str">
        <f t="shared" si="3"/>
        <v>2010M8</v>
      </c>
      <c r="E229" s="76">
        <v>4.7450000000000001</v>
      </c>
      <c r="F229" s="76">
        <v>5.0077272727272719</v>
      </c>
      <c r="G229" s="76">
        <v>5.5472727272727269</v>
      </c>
      <c r="H229" s="78">
        <v>6.9201863636363621</v>
      </c>
      <c r="I229" s="76">
        <v>8.5898058382429099</v>
      </c>
      <c r="J229" s="76">
        <v>12.081820303438882</v>
      </c>
    </row>
    <row r="230" spans="1:10" x14ac:dyDescent="0.2">
      <c r="A230" s="1">
        <v>2010</v>
      </c>
      <c r="B230" s="1">
        <v>9</v>
      </c>
      <c r="C230" s="5" t="str">
        <f t="shared" si="3"/>
        <v>2010M9</v>
      </c>
      <c r="E230" s="76">
        <v>4.7438095238095235</v>
      </c>
      <c r="F230" s="76">
        <v>5.0095238095238086</v>
      </c>
      <c r="G230" s="76">
        <v>5.5319047619047623</v>
      </c>
      <c r="H230" s="78">
        <v>6.6062454545454559</v>
      </c>
      <c r="I230" s="76">
        <v>8.5289293060357494</v>
      </c>
      <c r="J230" s="76">
        <v>12.071032871089809</v>
      </c>
    </row>
    <row r="231" spans="1:10" x14ac:dyDescent="0.2">
      <c r="A231" s="1">
        <v>2010</v>
      </c>
      <c r="B231" s="1">
        <v>10</v>
      </c>
      <c r="C231" s="5" t="str">
        <f t="shared" si="3"/>
        <v>2010M10</v>
      </c>
      <c r="E231" s="76">
        <v>4.8859999999999992</v>
      </c>
      <c r="F231" s="76">
        <v>5.1029999999999998</v>
      </c>
      <c r="G231" s="76">
        <v>5.62</v>
      </c>
      <c r="H231" s="78">
        <v>6.5443181818181815</v>
      </c>
      <c r="I231" s="76">
        <v>8.34479913841799</v>
      </c>
      <c r="J231" s="76">
        <v>11.323227089437975</v>
      </c>
    </row>
    <row r="232" spans="1:10" x14ac:dyDescent="0.2">
      <c r="A232" s="1">
        <v>2010</v>
      </c>
      <c r="B232" s="1">
        <v>11</v>
      </c>
      <c r="C232" s="5" t="str">
        <f t="shared" si="3"/>
        <v>2010M11</v>
      </c>
      <c r="E232" s="76">
        <v>5.1171428571428557</v>
      </c>
      <c r="F232" s="76">
        <v>5.3671428571428557</v>
      </c>
      <c r="G232" s="76">
        <v>5.854285714285715</v>
      </c>
      <c r="H232" s="77">
        <v>7.1672798327986333</v>
      </c>
      <c r="I232" s="76">
        <v>8.2657531222639822</v>
      </c>
      <c r="J232" s="76">
        <v>10.924967180427526</v>
      </c>
    </row>
    <row r="233" spans="1:10" x14ac:dyDescent="0.2">
      <c r="A233" s="1">
        <v>2010</v>
      </c>
      <c r="B233" s="1">
        <v>12</v>
      </c>
      <c r="C233" s="5" t="str">
        <f t="shared" si="3"/>
        <v>2010M12</v>
      </c>
      <c r="E233" s="76">
        <v>5.3190909090909093</v>
      </c>
      <c r="F233" s="76">
        <v>5.5590909090909104</v>
      </c>
      <c r="G233" s="76">
        <v>6.036363636363637</v>
      </c>
      <c r="H233" s="77">
        <v>7.3901940331975799</v>
      </c>
      <c r="I233" s="76">
        <v>8.3350232612320614</v>
      </c>
      <c r="J233" s="76">
        <v>10.663517180351176</v>
      </c>
    </row>
    <row r="234" spans="1:10" x14ac:dyDescent="0.2">
      <c r="A234" s="1">
        <v>2011</v>
      </c>
      <c r="B234" s="1">
        <v>1</v>
      </c>
      <c r="C234" s="5" t="str">
        <f t="shared" si="3"/>
        <v>2011M1</v>
      </c>
      <c r="E234" s="76">
        <v>5.2929999999999993</v>
      </c>
      <c r="F234" s="76">
        <v>5.5695000000000006</v>
      </c>
      <c r="G234" s="76">
        <v>6.0580000000000016</v>
      </c>
      <c r="H234" s="77">
        <v>7.4166829816900659</v>
      </c>
      <c r="I234" s="76">
        <v>8.2052362378205483</v>
      </c>
      <c r="J234" s="76">
        <v>10.445959952216297</v>
      </c>
    </row>
    <row r="235" spans="1:10" x14ac:dyDescent="0.2">
      <c r="A235" s="1">
        <v>2011</v>
      </c>
      <c r="B235" s="1">
        <v>2</v>
      </c>
      <c r="C235" s="5" t="str">
        <f t="shared" si="3"/>
        <v>2011M2</v>
      </c>
      <c r="E235" s="76">
        <v>5.4189473684210512</v>
      </c>
      <c r="F235" s="76">
        <v>5.6789473684210527</v>
      </c>
      <c r="G235" s="76">
        <v>6.1042105263157893</v>
      </c>
      <c r="H235" s="77">
        <v>7.4732575647374819</v>
      </c>
      <c r="I235" s="76">
        <v>8.1037270822163112</v>
      </c>
      <c r="J235" s="76">
        <v>10.077974604393608</v>
      </c>
    </row>
    <row r="236" spans="1:10" x14ac:dyDescent="0.2">
      <c r="A236" s="1">
        <v>2011</v>
      </c>
      <c r="B236" s="1">
        <v>3</v>
      </c>
      <c r="C236" s="5" t="str">
        <f t="shared" si="3"/>
        <v>2011M3</v>
      </c>
      <c r="E236" s="76">
        <v>5.3291304347826101</v>
      </c>
      <c r="F236" s="76">
        <v>5.5639130434782604</v>
      </c>
      <c r="G236" s="76">
        <v>5.9704347826086952</v>
      </c>
      <c r="H236" s="77">
        <v>7.3094787133483541</v>
      </c>
      <c r="I236" s="76">
        <v>8.1275183665207678</v>
      </c>
      <c r="J236" s="76">
        <v>10.379013114648998</v>
      </c>
    </row>
    <row r="237" spans="1:10" x14ac:dyDescent="0.2">
      <c r="A237" s="1">
        <v>2011</v>
      </c>
      <c r="B237" s="1">
        <v>4</v>
      </c>
      <c r="C237" s="5" t="str">
        <f t="shared" si="3"/>
        <v>2011M4</v>
      </c>
      <c r="E237" s="76">
        <v>5.3235000000000001</v>
      </c>
      <c r="F237" s="76">
        <v>5.5540000000000003</v>
      </c>
      <c r="G237" s="76">
        <v>5.9809999999999999</v>
      </c>
      <c r="H237" s="77">
        <v>7.3224134885256307</v>
      </c>
      <c r="I237" s="76">
        <v>8.079868175104135</v>
      </c>
      <c r="J237" s="76">
        <v>10.146270065993317</v>
      </c>
    </row>
    <row r="238" spans="1:10" x14ac:dyDescent="0.2">
      <c r="A238" s="1">
        <v>2011</v>
      </c>
      <c r="B238" s="1">
        <v>5</v>
      </c>
      <c r="C238" s="5" t="str">
        <f t="shared" si="3"/>
        <v>2011M5</v>
      </c>
      <c r="E238" s="76">
        <v>5.08</v>
      </c>
      <c r="F238" s="76">
        <v>5.3204761904761897</v>
      </c>
      <c r="G238" s="76">
        <v>5.7419047619047614</v>
      </c>
      <c r="H238" s="77">
        <v>7.029694177963715</v>
      </c>
      <c r="I238" s="76">
        <v>8.0648756424258288</v>
      </c>
      <c r="J238" s="76">
        <v>10.083424302399122</v>
      </c>
    </row>
    <row r="239" spans="1:10" x14ac:dyDescent="0.2">
      <c r="A239" s="1">
        <v>2011</v>
      </c>
      <c r="B239" s="1">
        <v>6</v>
      </c>
      <c r="C239" s="5" t="str">
        <f t="shared" si="3"/>
        <v>2011M6</v>
      </c>
      <c r="E239" s="76">
        <v>5.044090909090909</v>
      </c>
      <c r="F239" s="76">
        <v>5.2631818181818186</v>
      </c>
      <c r="G239" s="76">
        <v>5.6731818181818179</v>
      </c>
      <c r="H239" s="77">
        <v>6.9455581120737184</v>
      </c>
      <c r="I239" s="76">
        <v>8.1914662314296649</v>
      </c>
      <c r="J239" s="76">
        <v>10.382186863915841</v>
      </c>
    </row>
    <row r="240" spans="1:10" x14ac:dyDescent="0.2">
      <c r="A240" s="1">
        <v>2011</v>
      </c>
      <c r="B240" s="1">
        <v>7</v>
      </c>
      <c r="C240" s="5" t="str">
        <f t="shared" si="3"/>
        <v>2011M7</v>
      </c>
      <c r="E240" s="76">
        <v>5.0529999999999999</v>
      </c>
      <c r="F240" s="76">
        <v>5.2649999999999988</v>
      </c>
      <c r="G240" s="76">
        <v>5.6995000000000013</v>
      </c>
      <c r="H240" s="77">
        <v>6.9777789128660501</v>
      </c>
      <c r="I240" s="76">
        <v>8.1555972929311977</v>
      </c>
      <c r="J240" s="76">
        <v>10.457987254943021</v>
      </c>
    </row>
    <row r="241" spans="1:10" x14ac:dyDescent="0.2">
      <c r="A241" s="1">
        <v>2011</v>
      </c>
      <c r="B241" s="1">
        <v>8</v>
      </c>
      <c r="C241" s="5" t="str">
        <f t="shared" si="3"/>
        <v>2011M8</v>
      </c>
      <c r="E241" s="76">
        <v>4.4395652173913058</v>
      </c>
      <c r="F241" s="76">
        <v>4.6891304347826077</v>
      </c>
      <c r="G241" s="76">
        <v>5.223478260869566</v>
      </c>
      <c r="H241" s="77">
        <v>6.3949954312676338</v>
      </c>
      <c r="I241" s="76">
        <v>8.4907471871037465</v>
      </c>
      <c r="J241" s="76">
        <v>12.428114397949908</v>
      </c>
    </row>
    <row r="242" spans="1:10" x14ac:dyDescent="0.2">
      <c r="A242" s="1">
        <v>2011</v>
      </c>
      <c r="B242" s="1">
        <v>9</v>
      </c>
      <c r="C242" s="5" t="str">
        <f t="shared" si="3"/>
        <v>2011M9</v>
      </c>
      <c r="E242" s="76">
        <v>4.2423809523809508</v>
      </c>
      <c r="F242" s="76">
        <v>4.484285714285714</v>
      </c>
      <c r="G242" s="76">
        <v>5.1114285714285712</v>
      </c>
      <c r="H242" s="77">
        <v>6.2578153347373124</v>
      </c>
      <c r="I242" s="76">
        <v>8.6052771537936881</v>
      </c>
      <c r="J242" s="76">
        <v>15.490670351133826</v>
      </c>
    </row>
    <row r="243" spans="1:10" x14ac:dyDescent="0.2">
      <c r="A243" s="1">
        <v>2011</v>
      </c>
      <c r="B243" s="1">
        <v>10</v>
      </c>
      <c r="C243" s="5" t="str">
        <f t="shared" si="3"/>
        <v>2011M10</v>
      </c>
      <c r="E243" s="76">
        <v>4.2080000000000002</v>
      </c>
      <c r="F243" s="76">
        <v>4.5179999999999998</v>
      </c>
      <c r="G243" s="76">
        <v>5.2409999999999997</v>
      </c>
      <c r="H243" s="77">
        <v>6.4164469308414693</v>
      </c>
      <c r="I243" s="76">
        <v>8.7257525575893631</v>
      </c>
      <c r="J243" s="76">
        <v>15.981457721134968</v>
      </c>
    </row>
    <row r="244" spans="1:10" x14ac:dyDescent="0.2">
      <c r="A244" s="1">
        <v>2011</v>
      </c>
      <c r="B244" s="1">
        <v>11</v>
      </c>
      <c r="C244" s="5" t="str">
        <f t="shared" si="3"/>
        <v>2011M11</v>
      </c>
      <c r="E244" s="76">
        <v>3.9185000000000003</v>
      </c>
      <c r="F244" s="76">
        <v>4.2494999999999994</v>
      </c>
      <c r="G244" s="76">
        <v>4.9320000000000004</v>
      </c>
      <c r="H244" s="77">
        <v>6.038144679051733</v>
      </c>
      <c r="I244" s="76">
        <v>8.543381188704446</v>
      </c>
      <c r="J244" s="76">
        <v>15.912841697568497</v>
      </c>
    </row>
    <row r="245" spans="1:10" x14ac:dyDescent="0.2">
      <c r="A245" s="1">
        <v>2011</v>
      </c>
      <c r="B245" s="1">
        <v>12</v>
      </c>
      <c r="C245" s="5" t="str">
        <f t="shared" si="3"/>
        <v>2011M12</v>
      </c>
      <c r="E245" s="76">
        <v>4.0004761904761912</v>
      </c>
      <c r="F245" s="76">
        <v>4.3323809523809524</v>
      </c>
      <c r="G245" s="76">
        <v>5.07</v>
      </c>
      <c r="H245" s="77">
        <v>6.2070951992685091</v>
      </c>
      <c r="I245" s="76">
        <v>8.5068384909379713</v>
      </c>
      <c r="J245" s="76">
        <v>16.10011254052008</v>
      </c>
    </row>
    <row r="246" spans="1:10" x14ac:dyDescent="0.2">
      <c r="A246" s="1">
        <v>2012</v>
      </c>
      <c r="B246" s="1">
        <v>1</v>
      </c>
      <c r="C246" s="5" t="str">
        <f t="shared" si="3"/>
        <v>2012M1</v>
      </c>
      <c r="E246" s="76">
        <v>4.0280000000000005</v>
      </c>
      <c r="F246" s="76">
        <v>4.3374999999999995</v>
      </c>
      <c r="G246" s="76">
        <v>5.0610000000000008</v>
      </c>
      <c r="H246" s="77">
        <v>6.1960766870804589</v>
      </c>
      <c r="I246" s="76">
        <v>8.3406337937036525</v>
      </c>
      <c r="J246" s="76">
        <v>15.453559620057675</v>
      </c>
    </row>
    <row r="247" spans="1:10" x14ac:dyDescent="0.2">
      <c r="A247" s="1">
        <v>2012</v>
      </c>
      <c r="B247" s="1">
        <v>2</v>
      </c>
      <c r="C247" s="5" t="str">
        <f t="shared" si="3"/>
        <v>2012M2</v>
      </c>
      <c r="E247" s="76">
        <v>4.0229999999999997</v>
      </c>
      <c r="F247" s="76">
        <v>4.3594999999999988</v>
      </c>
      <c r="G247" s="76">
        <v>5.0214999999999987</v>
      </c>
      <c r="H247" s="77">
        <v>6.1477176613662348</v>
      </c>
      <c r="I247" s="76">
        <v>8.1897345782497624</v>
      </c>
      <c r="J247" s="76">
        <v>14.463235029797467</v>
      </c>
    </row>
    <row r="248" spans="1:10" x14ac:dyDescent="0.2">
      <c r="A248" s="1">
        <v>2012</v>
      </c>
      <c r="B248" s="1">
        <v>3</v>
      </c>
      <c r="C248" s="5" t="str">
        <f t="shared" si="3"/>
        <v>2012M3</v>
      </c>
      <c r="E248" s="76">
        <v>4.1595454545454551</v>
      </c>
      <c r="F248" s="76">
        <v>4.4763636363636365</v>
      </c>
      <c r="G248" s="76">
        <v>5.129999999999999</v>
      </c>
      <c r="H248" s="77">
        <v>6.2805519471888447</v>
      </c>
      <c r="I248" s="76">
        <v>8.1655096024948008</v>
      </c>
      <c r="J248" s="76">
        <v>14.590998846682316</v>
      </c>
    </row>
    <row r="249" spans="1:10" x14ac:dyDescent="0.2">
      <c r="A249" s="1">
        <v>2012</v>
      </c>
      <c r="B249" s="1">
        <v>4</v>
      </c>
      <c r="C249" s="5" t="str">
        <f t="shared" si="3"/>
        <v>2012M4</v>
      </c>
      <c r="E249" s="76">
        <v>4.097142857142857</v>
      </c>
      <c r="F249" s="76">
        <v>4.3980952380952365</v>
      </c>
      <c r="G249" s="76">
        <v>5.1109523809523809</v>
      </c>
      <c r="H249" s="77">
        <v>6.2572323446744527</v>
      </c>
      <c r="I249" s="76">
        <v>8.1757635753174576</v>
      </c>
      <c r="J249" s="76">
        <v>15.056556659426109</v>
      </c>
    </row>
    <row r="250" spans="1:10" x14ac:dyDescent="0.2">
      <c r="A250" s="1">
        <v>2012</v>
      </c>
      <c r="B250" s="1">
        <v>5</v>
      </c>
      <c r="C250" s="5" t="str">
        <f t="shared" si="3"/>
        <v>2012M5</v>
      </c>
      <c r="E250" s="76">
        <v>3.9172727272727275</v>
      </c>
      <c r="F250" s="76">
        <v>4.2018181818181821</v>
      </c>
      <c r="G250" s="76">
        <v>4.9654545454545449</v>
      </c>
      <c r="H250" s="77">
        <v>6.0791023809224658</v>
      </c>
      <c r="I250" s="76">
        <v>8.173241601908634</v>
      </c>
      <c r="J250" s="76">
        <v>16.554195819718682</v>
      </c>
    </row>
    <row r="251" spans="1:10" x14ac:dyDescent="0.2">
      <c r="A251" s="1">
        <v>2012</v>
      </c>
      <c r="B251" s="1">
        <v>6</v>
      </c>
      <c r="C251" s="5" t="str">
        <f t="shared" si="3"/>
        <v>2012M6</v>
      </c>
      <c r="E251" s="76">
        <v>3.7890476190476194</v>
      </c>
      <c r="F251" s="76">
        <v>4.0823809523809516</v>
      </c>
      <c r="G251" s="76">
        <v>4.9090476190476178</v>
      </c>
      <c r="H251" s="77">
        <v>6.010044558021888</v>
      </c>
      <c r="I251" s="76">
        <v>8.2703628632297068</v>
      </c>
      <c r="J251" s="76">
        <v>18.571613071094379</v>
      </c>
    </row>
    <row r="252" spans="1:10" x14ac:dyDescent="0.2">
      <c r="A252" s="1">
        <v>2012</v>
      </c>
      <c r="B252" s="1">
        <v>7</v>
      </c>
      <c r="C252" s="5" t="str">
        <f t="shared" si="3"/>
        <v>2012M7</v>
      </c>
      <c r="E252" s="76">
        <v>3.5847619047619039</v>
      </c>
      <c r="F252" s="76">
        <v>3.9280952380952372</v>
      </c>
      <c r="G252" s="76">
        <v>4.8499999999999996</v>
      </c>
      <c r="H252" s="77">
        <v>5.937753790227271</v>
      </c>
      <c r="I252" s="76">
        <v>8.0849517539181832</v>
      </c>
      <c r="J252" s="76">
        <v>18.564013480661355</v>
      </c>
    </row>
    <row r="253" spans="1:10" x14ac:dyDescent="0.2">
      <c r="A253" s="1">
        <v>2012</v>
      </c>
      <c r="B253" s="1">
        <v>8</v>
      </c>
      <c r="C253" s="5" t="str">
        <f t="shared" si="3"/>
        <v>2012M8</v>
      </c>
      <c r="E253" s="76">
        <v>3.6530434782608694</v>
      </c>
      <c r="F253" s="76">
        <v>3.9965217391304351</v>
      </c>
      <c r="G253" s="76">
        <v>4.8782608695652181</v>
      </c>
      <c r="H253" s="77">
        <v>5.9723529830883004</v>
      </c>
      <c r="I253" s="76">
        <v>7.9312391581833328</v>
      </c>
      <c r="J253" s="76">
        <v>17.449499729018072</v>
      </c>
    </row>
    <row r="254" spans="1:10" x14ac:dyDescent="0.2">
      <c r="A254" s="1">
        <v>2012</v>
      </c>
      <c r="B254" s="1">
        <v>9</v>
      </c>
      <c r="C254" s="5" t="str">
        <f t="shared" si="3"/>
        <v>2012M9</v>
      </c>
      <c r="E254" s="76">
        <v>3.6894736842105269</v>
      </c>
      <c r="F254" s="76">
        <v>4.0231578947368423</v>
      </c>
      <c r="G254" s="76">
        <v>4.8073684210526322</v>
      </c>
      <c r="H254" s="77">
        <v>5.8855608377575592</v>
      </c>
      <c r="I254" s="76">
        <v>7.7392751488914229</v>
      </c>
      <c r="J254" s="76">
        <v>16.568762807672506</v>
      </c>
    </row>
    <row r="255" spans="1:10" x14ac:dyDescent="0.2">
      <c r="A255" s="1">
        <v>2012</v>
      </c>
      <c r="B255" s="1">
        <v>10</v>
      </c>
      <c r="C255" s="5" t="str">
        <f t="shared" si="3"/>
        <v>2012M10</v>
      </c>
      <c r="E255" s="76">
        <v>3.6819047619047618</v>
      </c>
      <c r="F255" s="76">
        <v>3.9133333333333331</v>
      </c>
      <c r="G255" s="76">
        <v>4.5433333333333321</v>
      </c>
      <c r="H255" s="77">
        <v>5.5623081897455453</v>
      </c>
      <c r="I255" s="76">
        <v>7.6536806705897211</v>
      </c>
      <c r="J255" s="76">
        <v>17.259658671978347</v>
      </c>
    </row>
    <row r="256" spans="1:10" x14ac:dyDescent="0.2">
      <c r="A256" s="1">
        <v>2012</v>
      </c>
      <c r="B256" s="1">
        <v>11</v>
      </c>
      <c r="C256" s="5" t="str">
        <f t="shared" si="3"/>
        <v>2012M11</v>
      </c>
      <c r="E256" s="76">
        <v>3.5990000000000002</v>
      </c>
      <c r="F256" s="76">
        <v>3.8364999999999996</v>
      </c>
      <c r="G256" s="76">
        <v>4.4155000000000006</v>
      </c>
      <c r="H256" s="77">
        <v>5.4058045073708287</v>
      </c>
      <c r="I256" s="76">
        <v>7.616359343383218</v>
      </c>
      <c r="J256" s="76">
        <v>19.19226708765682</v>
      </c>
    </row>
    <row r="257" spans="1:10" x14ac:dyDescent="0.2">
      <c r="A257" s="1">
        <v>2012</v>
      </c>
      <c r="B257" s="1">
        <v>12</v>
      </c>
      <c r="C257" s="5" t="str">
        <f t="shared" si="3"/>
        <v>2012M12</v>
      </c>
      <c r="E257" s="76">
        <v>3.7525000000000004</v>
      </c>
      <c r="F257" s="76">
        <v>4.0004999999999997</v>
      </c>
      <c r="G257" s="76">
        <v>4.5549999999999997</v>
      </c>
      <c r="H257" s="77">
        <v>5.5765914462856125</v>
      </c>
      <c r="I257" s="76">
        <v>7.4746609752806004</v>
      </c>
      <c r="J257" s="76">
        <v>18.188737440914558</v>
      </c>
    </row>
    <row r="258" spans="1:10" x14ac:dyDescent="0.2">
      <c r="A258" s="1">
        <v>2013</v>
      </c>
      <c r="B258" s="1">
        <v>1</v>
      </c>
      <c r="C258" s="5" t="str">
        <f t="shared" si="3"/>
        <v>2013M1</v>
      </c>
      <c r="E258" s="76">
        <v>3.9023809523809532</v>
      </c>
      <c r="F258" s="76">
        <v>4.1476190476190471</v>
      </c>
      <c r="G258" s="76">
        <v>4.6585714285714275</v>
      </c>
      <c r="H258" s="77">
        <v>5.7033917849576223</v>
      </c>
      <c r="I258" s="76">
        <v>7.4362335666170498</v>
      </c>
      <c r="J258" s="76">
        <v>17.175975043873137</v>
      </c>
    </row>
    <row r="259" spans="1:10" x14ac:dyDescent="0.2">
      <c r="A259" s="1">
        <v>2013</v>
      </c>
      <c r="B259" s="1">
        <v>2</v>
      </c>
      <c r="C259" s="5" t="str">
        <f t="shared" si="3"/>
        <v>2013M2</v>
      </c>
      <c r="E259" s="76">
        <v>3.9473684210526314</v>
      </c>
      <c r="F259" s="76">
        <v>4.1847368421052638</v>
      </c>
      <c r="G259" s="76">
        <v>4.7447368421052625</v>
      </c>
      <c r="H259" s="77">
        <v>5.8088823026477314</v>
      </c>
      <c r="I259" s="76">
        <v>7.4933381367692151</v>
      </c>
      <c r="J259" s="76">
        <v>18.053886363840185</v>
      </c>
    </row>
    <row r="260" spans="1:10" x14ac:dyDescent="0.2">
      <c r="A260" s="1">
        <v>2013</v>
      </c>
      <c r="B260" s="1">
        <v>3</v>
      </c>
      <c r="C260" s="5" t="str">
        <f t="shared" si="3"/>
        <v>2013M3</v>
      </c>
      <c r="E260" s="76">
        <v>3.9515000000000007</v>
      </c>
      <c r="F260" s="76">
        <v>4.2</v>
      </c>
      <c r="G260" s="76">
        <v>4.7189999999999994</v>
      </c>
      <c r="H260" s="77">
        <v>5.7773732239345339</v>
      </c>
      <c r="I260" s="76">
        <v>7.3789473002599069</v>
      </c>
      <c r="J260" s="76">
        <v>18.954947485575026</v>
      </c>
    </row>
    <row r="261" spans="1:10" x14ac:dyDescent="0.2">
      <c r="A261" s="1">
        <v>2013</v>
      </c>
      <c r="B261" s="1">
        <v>4</v>
      </c>
      <c r="C261" s="5" t="str">
        <f t="shared" si="3"/>
        <v>2013M4</v>
      </c>
      <c r="E261" s="76">
        <v>3.7436363636363637</v>
      </c>
      <c r="F261" s="76">
        <v>4.0022727272727261</v>
      </c>
      <c r="G261" s="76">
        <v>4.4863636363636372</v>
      </c>
      <c r="H261" s="77">
        <v>5.4925613785888645</v>
      </c>
      <c r="I261" s="76">
        <v>7.3250642899544989</v>
      </c>
      <c r="J261" s="76">
        <v>18.161475496872683</v>
      </c>
    </row>
    <row r="262" spans="1:10" x14ac:dyDescent="0.2">
      <c r="A262" s="1">
        <v>2013</v>
      </c>
      <c r="B262" s="1">
        <v>5</v>
      </c>
      <c r="C262" s="5" t="str">
        <f t="shared" si="3"/>
        <v>2013M5</v>
      </c>
      <c r="E262" s="76">
        <v>3.9122727272727276</v>
      </c>
      <c r="F262" s="76">
        <v>4.167272727272727</v>
      </c>
      <c r="G262" s="76">
        <v>4.6477272727272725</v>
      </c>
      <c r="H262" s="77">
        <v>5.6901155112534063</v>
      </c>
      <c r="I262" s="76">
        <v>7.2088460219687924</v>
      </c>
      <c r="J262" s="76">
        <v>17.69337848719481</v>
      </c>
    </row>
    <row r="263" spans="1:10" x14ac:dyDescent="0.2">
      <c r="A263" s="1">
        <v>2013</v>
      </c>
      <c r="B263" s="1">
        <v>6</v>
      </c>
      <c r="C263" s="5" t="str">
        <f t="shared" ref="C263:C311" si="4">CONCATENATE(A263,"M",B263)</f>
        <v>2013M6</v>
      </c>
      <c r="E263" s="76">
        <v>4.2739999999999991</v>
      </c>
      <c r="F263" s="76">
        <v>4.5290000000000008</v>
      </c>
      <c r="G263" s="76">
        <v>5.0845000000000002</v>
      </c>
      <c r="H263" s="77">
        <v>6.2248472466825904</v>
      </c>
      <c r="I263" s="76">
        <v>7.4326716935578334</v>
      </c>
      <c r="J263" s="76">
        <v>19.332830580861966</v>
      </c>
    </row>
    <row r="264" spans="1:10" x14ac:dyDescent="0.2">
      <c r="A264" s="1">
        <v>2013</v>
      </c>
      <c r="B264" s="1">
        <v>7</v>
      </c>
      <c r="C264" s="5" t="str">
        <f t="shared" si="4"/>
        <v>2013M7</v>
      </c>
      <c r="E264" s="76">
        <v>4.4440909090909084</v>
      </c>
      <c r="F264" s="76">
        <v>4.6827272727272726</v>
      </c>
      <c r="G264" s="76">
        <v>5.209090909090909</v>
      </c>
      <c r="H264" s="77">
        <v>6.3773812967201993</v>
      </c>
      <c r="I264" s="76">
        <v>7.4204293519344722</v>
      </c>
      <c r="J264" s="76">
        <v>19.666141583612404</v>
      </c>
    </row>
    <row r="265" spans="1:10" x14ac:dyDescent="0.2">
      <c r="A265" s="1">
        <v>2013</v>
      </c>
      <c r="B265" s="1">
        <v>8</v>
      </c>
      <c r="C265" s="5" t="str">
        <f t="shared" si="4"/>
        <v>2013M8</v>
      </c>
      <c r="E265" s="76">
        <v>4.5350000000000001</v>
      </c>
      <c r="F265" s="76">
        <v>4.7300000000000004</v>
      </c>
      <c r="G265" s="76">
        <v>5.2759090909090904</v>
      </c>
      <c r="H265" s="77">
        <v>6.4591854023587567</v>
      </c>
      <c r="I265" s="76">
        <v>7.4101202732753695</v>
      </c>
      <c r="J265" s="76">
        <v>20.623831261274049</v>
      </c>
    </row>
    <row r="266" spans="1:10" x14ac:dyDescent="0.2">
      <c r="A266" s="1">
        <v>2013</v>
      </c>
      <c r="B266" s="1">
        <v>9</v>
      </c>
      <c r="C266" s="5" t="str">
        <f t="shared" si="4"/>
        <v>2013M9</v>
      </c>
      <c r="E266" s="76">
        <v>4.5825000000000005</v>
      </c>
      <c r="F266" s="76">
        <v>4.8030000000000008</v>
      </c>
      <c r="G266" s="76">
        <v>5.3079999999999998</v>
      </c>
      <c r="H266" s="77">
        <v>6.4984736326858465</v>
      </c>
      <c r="I266" s="76">
        <v>7.3743688694866956</v>
      </c>
      <c r="J266" s="76">
        <v>21.50195265572604</v>
      </c>
    </row>
    <row r="267" spans="1:10" x14ac:dyDescent="0.2">
      <c r="A267" s="1">
        <v>2013</v>
      </c>
      <c r="B267" s="1">
        <v>10</v>
      </c>
      <c r="C267" s="5" t="str">
        <f t="shared" si="4"/>
        <v>2013M10</v>
      </c>
      <c r="E267" s="76">
        <v>4.4763636363636374</v>
      </c>
      <c r="F267" s="76">
        <v>4.6959090909090913</v>
      </c>
      <c r="G267" s="76">
        <v>5.1700000000000008</v>
      </c>
      <c r="H267" s="77">
        <v>6.3295231124690723</v>
      </c>
      <c r="I267" s="76">
        <v>7.2594480298225132</v>
      </c>
      <c r="J267" s="76">
        <v>22.316946458401262</v>
      </c>
    </row>
    <row r="268" spans="1:10" x14ac:dyDescent="0.2">
      <c r="A268" s="1">
        <v>2013</v>
      </c>
      <c r="B268" s="1">
        <v>11</v>
      </c>
      <c r="C268" s="5" t="str">
        <f t="shared" si="4"/>
        <v>2013M11</v>
      </c>
      <c r="E268" s="76">
        <v>4.5552631578947382</v>
      </c>
      <c r="F268" s="76">
        <v>4.774210526315791</v>
      </c>
      <c r="G268" s="76">
        <v>5.2436842105263155</v>
      </c>
      <c r="H268" s="77">
        <v>6.4197331537747484</v>
      </c>
      <c r="I268" s="76">
        <v>7.1882661299401569</v>
      </c>
      <c r="J268" s="76">
        <v>20.764446464104363</v>
      </c>
    </row>
    <row r="269" spans="1:10" x14ac:dyDescent="0.2">
      <c r="A269" s="1">
        <v>2013</v>
      </c>
      <c r="B269" s="1">
        <v>12</v>
      </c>
      <c r="C269" s="5" t="str">
        <f t="shared" si="4"/>
        <v>2013M12</v>
      </c>
      <c r="E269" s="76">
        <v>4.5923809523809531</v>
      </c>
      <c r="F269" s="76">
        <v>4.8090476190476199</v>
      </c>
      <c r="G269" s="76">
        <v>5.2523809523809524</v>
      </c>
      <c r="H269" s="77">
        <v>6.4303803933438202</v>
      </c>
      <c r="I269" s="76">
        <v>7.1717609429094091</v>
      </c>
      <c r="J269" s="76">
        <v>21.286703694549562</v>
      </c>
    </row>
    <row r="270" spans="1:10" x14ac:dyDescent="0.2">
      <c r="A270" s="1">
        <v>2014</v>
      </c>
      <c r="B270" s="1">
        <v>1</v>
      </c>
      <c r="C270" s="5" t="str">
        <f t="shared" si="4"/>
        <v>2014M1</v>
      </c>
      <c r="E270" s="76">
        <v>4.4433333333333325</v>
      </c>
      <c r="F270" s="76">
        <v>4.6309523809523814</v>
      </c>
      <c r="G270" s="76">
        <v>5.093809523809524</v>
      </c>
      <c r="H270" s="77">
        <v>6.2362447024114998</v>
      </c>
      <c r="I270" s="76">
        <v>7.1553890862224661</v>
      </c>
      <c r="J270" s="76">
        <v>21.964687800696034</v>
      </c>
    </row>
    <row r="271" spans="1:10" x14ac:dyDescent="0.2">
      <c r="A271" s="1">
        <v>2014</v>
      </c>
      <c r="B271" s="1">
        <v>2</v>
      </c>
      <c r="C271" s="5" t="str">
        <f t="shared" si="4"/>
        <v>2014M2</v>
      </c>
      <c r="E271" s="76">
        <v>4.384736842105263</v>
      </c>
      <c r="F271" s="76">
        <v>4.5347368421052634</v>
      </c>
      <c r="G271" s="76">
        <v>5.0089473684210519</v>
      </c>
      <c r="H271" s="77">
        <v>6.1323497364723751</v>
      </c>
      <c r="I271" s="76">
        <v>7.1243191611878931</v>
      </c>
      <c r="J271" s="76">
        <v>22.871958829712312</v>
      </c>
    </row>
    <row r="272" spans="1:10" x14ac:dyDescent="0.2">
      <c r="A272" s="1">
        <v>2014</v>
      </c>
      <c r="B272" s="1">
        <v>3</v>
      </c>
      <c r="C272" s="5" t="str">
        <f t="shared" si="4"/>
        <v>2014M3</v>
      </c>
      <c r="E272" s="76">
        <v>4.397619047619048</v>
      </c>
      <c r="F272" s="76">
        <v>4.5090476190476183</v>
      </c>
      <c r="G272" s="76">
        <v>4.9952380952380953</v>
      </c>
      <c r="H272" s="77">
        <v>6.1155657593995167</v>
      </c>
      <c r="I272" s="76">
        <v>7.0579963981826683</v>
      </c>
      <c r="J272" s="76">
        <v>24.281694867945244</v>
      </c>
    </row>
    <row r="273" spans="1:10" x14ac:dyDescent="0.2">
      <c r="A273" s="1">
        <v>2014</v>
      </c>
      <c r="B273" s="1">
        <v>4</v>
      </c>
      <c r="C273" s="5" t="str">
        <f t="shared" si="4"/>
        <v>2014M4</v>
      </c>
      <c r="E273" s="76">
        <v>4.2976190476190466</v>
      </c>
      <c r="F273" s="76">
        <v>4.408095238095239</v>
      </c>
      <c r="G273" s="76">
        <v>4.8480952380952385</v>
      </c>
      <c r="H273" s="77">
        <v>5.9354218299758328</v>
      </c>
      <c r="I273" s="76">
        <v>6.9805830749418556</v>
      </c>
      <c r="J273" s="76">
        <v>17.632914835071634</v>
      </c>
    </row>
    <row r="274" spans="1:10" x14ac:dyDescent="0.2">
      <c r="A274" s="1">
        <v>2014</v>
      </c>
      <c r="B274" s="1">
        <v>5</v>
      </c>
      <c r="C274" s="5" t="str">
        <f t="shared" si="4"/>
        <v>2014M5</v>
      </c>
      <c r="E274" s="76">
        <v>4.159523809523809</v>
      </c>
      <c r="F274" s="76">
        <v>4.2557142857142871</v>
      </c>
      <c r="G274" s="76">
        <v>4.6880952380952392</v>
      </c>
      <c r="H274" s="77">
        <v>5.7395371688549339</v>
      </c>
      <c r="I274" s="76">
        <v>6.8817631044854721</v>
      </c>
      <c r="J274" s="76">
        <v>14.974216622902464</v>
      </c>
    </row>
    <row r="275" spans="1:10" x14ac:dyDescent="0.2">
      <c r="A275" s="1">
        <v>2014</v>
      </c>
      <c r="B275" s="1">
        <v>6</v>
      </c>
      <c r="C275" s="5" t="str">
        <f t="shared" si="4"/>
        <v>2014M6</v>
      </c>
      <c r="E275" s="76">
        <v>4.2299999999999995</v>
      </c>
      <c r="F275" s="76">
        <v>4.2938095238095233</v>
      </c>
      <c r="G275" s="76">
        <v>4.7261904761904754</v>
      </c>
      <c r="H275" s="77">
        <v>5.7861763738837171</v>
      </c>
      <c r="I275" s="76">
        <v>6.8035722909770886</v>
      </c>
      <c r="J275" s="76">
        <v>16.14134926917631</v>
      </c>
    </row>
    <row r="276" spans="1:10" x14ac:dyDescent="0.2">
      <c r="A276" s="1">
        <v>2014</v>
      </c>
      <c r="B276" s="1">
        <v>7</v>
      </c>
      <c r="C276" s="5" t="str">
        <f t="shared" si="4"/>
        <v>2014M7</v>
      </c>
      <c r="E276" s="76">
        <v>4.1590909090909092</v>
      </c>
      <c r="F276" s="76">
        <v>4.2263636363636357</v>
      </c>
      <c r="G276" s="76">
        <v>4.6627272727272722</v>
      </c>
      <c r="H276" s="77">
        <v>5.7084796982334902</v>
      </c>
      <c r="I276" s="76">
        <v>6.807061553863365</v>
      </c>
      <c r="J276" s="76">
        <v>16.554432478524976</v>
      </c>
    </row>
    <row r="277" spans="1:10" x14ac:dyDescent="0.2">
      <c r="A277" s="1">
        <v>2014</v>
      </c>
      <c r="B277" s="1">
        <v>8</v>
      </c>
      <c r="C277" s="5" t="str">
        <f t="shared" si="4"/>
        <v>2014M8</v>
      </c>
      <c r="E277" s="76">
        <v>4.0699999999999994</v>
      </c>
      <c r="F277" s="76">
        <v>4.1309523809523805</v>
      </c>
      <c r="G277" s="76">
        <v>4.6542857142857148</v>
      </c>
      <c r="H277" s="77">
        <v>5.6981448743918861</v>
      </c>
      <c r="I277" s="76">
        <v>6.8387940396725106</v>
      </c>
      <c r="J277" s="76">
        <v>18.784067251717765</v>
      </c>
    </row>
    <row r="278" spans="1:10" x14ac:dyDescent="0.2">
      <c r="A278" s="1">
        <v>2014</v>
      </c>
      <c r="B278" s="1">
        <v>9</v>
      </c>
      <c r="C278" s="5" t="str">
        <f t="shared" si="4"/>
        <v>2014M9</v>
      </c>
      <c r="E278" s="76">
        <v>4.1766666666666667</v>
      </c>
      <c r="F278" s="76">
        <v>4.2376190476190487</v>
      </c>
      <c r="G278" s="76">
        <v>4.7857142857142865</v>
      </c>
      <c r="H278" s="77">
        <v>5.8590501317411965</v>
      </c>
      <c r="I278" s="76">
        <v>6.8844189044481512</v>
      </c>
      <c r="J278" s="76">
        <v>19.314638921532229</v>
      </c>
    </row>
    <row r="279" spans="1:10" x14ac:dyDescent="0.2">
      <c r="A279" s="1">
        <v>2014</v>
      </c>
      <c r="B279" s="1">
        <v>10</v>
      </c>
      <c r="C279" s="5" t="str">
        <f t="shared" si="4"/>
        <v>2014M10</v>
      </c>
      <c r="E279" s="76">
        <v>3.9781818181818185</v>
      </c>
      <c r="F279" s="76">
        <v>4.0595454545454537</v>
      </c>
      <c r="G279" s="76">
        <v>4.6695454545454531</v>
      </c>
      <c r="H279" s="77">
        <v>5.7168270559517094</v>
      </c>
      <c r="I279" s="76">
        <v>6.9598709325505475</v>
      </c>
      <c r="J279" s="76">
        <v>21.747212328167205</v>
      </c>
    </row>
    <row r="280" spans="1:10" x14ac:dyDescent="0.2">
      <c r="A280" s="1">
        <v>2014</v>
      </c>
      <c r="B280" s="1">
        <v>11</v>
      </c>
      <c r="C280" s="5" t="str">
        <f t="shared" si="4"/>
        <v>2014M11</v>
      </c>
      <c r="E280" s="76">
        <v>4.0326315789473677</v>
      </c>
      <c r="F280" s="76">
        <v>4.09</v>
      </c>
      <c r="G280" s="76">
        <v>4.7473684210526308</v>
      </c>
      <c r="H280" s="77">
        <v>5.81210408983722</v>
      </c>
      <c r="I280" s="76">
        <v>6.9631324956250618</v>
      </c>
      <c r="J280" s="76">
        <v>24.16865732722535</v>
      </c>
    </row>
    <row r="281" spans="1:10" x14ac:dyDescent="0.2">
      <c r="A281" s="1">
        <v>2014</v>
      </c>
      <c r="B281" s="1">
        <v>12</v>
      </c>
      <c r="C281" s="5" t="str">
        <f t="shared" si="4"/>
        <v>2014M12</v>
      </c>
      <c r="E281" s="76">
        <v>3.8981818181818189</v>
      </c>
      <c r="F281" s="76">
        <v>3.9459090909090908</v>
      </c>
      <c r="G281" s="76">
        <v>4.6968181818181822</v>
      </c>
      <c r="H281" s="77">
        <v>5.7502164868245922</v>
      </c>
      <c r="I281" s="76">
        <v>7.1773935654226833</v>
      </c>
      <c r="J281" s="76">
        <v>22.823723031049106</v>
      </c>
    </row>
    <row r="282" spans="1:10" x14ac:dyDescent="0.2">
      <c r="A282" s="1">
        <v>2015</v>
      </c>
      <c r="B282" s="1">
        <v>1</v>
      </c>
      <c r="C282" s="5" t="str">
        <f t="shared" si="4"/>
        <v>2015M1</v>
      </c>
      <c r="E282" s="76">
        <v>3.5220000000000007</v>
      </c>
      <c r="F282" s="76">
        <v>3.5800000000000005</v>
      </c>
      <c r="G282" s="76">
        <v>4.3935000000000004</v>
      </c>
      <c r="H282" s="77">
        <v>5.378870366466705</v>
      </c>
      <c r="I282" s="76">
        <v>7.1699080477091366</v>
      </c>
      <c r="J282" s="76">
        <v>17.703210933536067</v>
      </c>
    </row>
    <row r="283" spans="1:10" x14ac:dyDescent="0.2">
      <c r="A283" s="1">
        <v>2015</v>
      </c>
      <c r="B283" s="1">
        <v>2</v>
      </c>
      <c r="C283" s="5" t="str">
        <f t="shared" si="4"/>
        <v>2015M2</v>
      </c>
      <c r="E283" s="76">
        <v>3.6247368421052628</v>
      </c>
      <c r="F283" s="76">
        <v>3.6721052631578943</v>
      </c>
      <c r="G283" s="76">
        <v>4.438421052631579</v>
      </c>
      <c r="H283" s="77">
        <v>5.4338662737912733</v>
      </c>
      <c r="I283" s="76">
        <v>7.0326800680119677</v>
      </c>
      <c r="J283" s="76">
        <v>15.165107602605296</v>
      </c>
    </row>
    <row r="284" spans="1:10" x14ac:dyDescent="0.2">
      <c r="A284" s="1">
        <v>2015</v>
      </c>
      <c r="B284" s="1">
        <v>3</v>
      </c>
      <c r="C284" s="5" t="str">
        <f t="shared" si="4"/>
        <v>2015M3</v>
      </c>
      <c r="E284" s="76">
        <v>3.6704545454545454</v>
      </c>
      <c r="F284" s="76">
        <v>3.7445454545454542</v>
      </c>
      <c r="G284" s="76">
        <v>4.5109090909090916</v>
      </c>
      <c r="H284" s="77">
        <v>5.522611866374457</v>
      </c>
      <c r="I284" s="76">
        <v>7.0262837733147609</v>
      </c>
      <c r="J284" s="76">
        <v>17.564204615659484</v>
      </c>
    </row>
    <row r="285" spans="1:10" x14ac:dyDescent="0.2">
      <c r="A285" s="1">
        <v>2015</v>
      </c>
      <c r="B285" s="1">
        <v>4</v>
      </c>
      <c r="C285" s="5" t="str">
        <f t="shared" si="4"/>
        <v>2015M4</v>
      </c>
      <c r="E285" s="76">
        <v>3.6309090909090909</v>
      </c>
      <c r="F285" s="76">
        <v>3.7504545454545455</v>
      </c>
      <c r="G285" s="76">
        <v>4.5104545454545457</v>
      </c>
      <c r="H285" s="77">
        <v>5.5220553758599085</v>
      </c>
      <c r="I285" s="76">
        <v>6.9409461763124503</v>
      </c>
      <c r="J285" s="76">
        <v>20.879482515515317</v>
      </c>
    </row>
    <row r="286" spans="1:10" x14ac:dyDescent="0.2">
      <c r="A286" s="1">
        <v>2015</v>
      </c>
      <c r="B286" s="1">
        <v>5</v>
      </c>
      <c r="C286" s="5" t="str">
        <f t="shared" si="4"/>
        <v>2015M5</v>
      </c>
      <c r="E286" s="76">
        <v>4.0490000000000004</v>
      </c>
      <c r="F286" s="76">
        <v>4.1715</v>
      </c>
      <c r="G286" s="76">
        <v>4.9069999999999991</v>
      </c>
      <c r="H286" s="77">
        <v>6.0075377007515911</v>
      </c>
      <c r="I286" s="76">
        <v>6.8859833923668958</v>
      </c>
      <c r="J286" s="76">
        <v>20.270474486814678</v>
      </c>
    </row>
    <row r="287" spans="1:10" x14ac:dyDescent="0.2">
      <c r="A287" s="1">
        <v>2015</v>
      </c>
      <c r="B287" s="1">
        <v>6</v>
      </c>
      <c r="C287" s="5" t="str">
        <f t="shared" si="4"/>
        <v>2015M6</v>
      </c>
      <c r="E287" s="76">
        <v>4.2854545454545452</v>
      </c>
      <c r="F287" s="76">
        <v>4.3890909090909087</v>
      </c>
      <c r="G287" s="76">
        <v>5.125454545454545</v>
      </c>
      <c r="H287" s="77">
        <v>6.2749870420433655</v>
      </c>
      <c r="I287" s="76">
        <v>6.9099110897918408</v>
      </c>
      <c r="J287" s="76">
        <v>21.434816233956653</v>
      </c>
    </row>
    <row r="288" spans="1:10" x14ac:dyDescent="0.2">
      <c r="A288" s="1">
        <v>2015</v>
      </c>
      <c r="B288" s="1">
        <v>7</v>
      </c>
      <c r="C288" s="5" t="str">
        <f t="shared" si="4"/>
        <v>2015M7</v>
      </c>
      <c r="E288" s="76">
        <v>4.2718181818181824</v>
      </c>
      <c r="F288" s="76">
        <v>4.3977272727272725</v>
      </c>
      <c r="G288" s="76">
        <v>5.2218181818181826</v>
      </c>
      <c r="H288" s="77">
        <v>6.3929630311275449</v>
      </c>
      <c r="I288" s="76">
        <v>6.9921647520646282</v>
      </c>
      <c r="J288" s="76">
        <v>27.086128849351869</v>
      </c>
    </row>
    <row r="289" spans="1:10" x14ac:dyDescent="0.2">
      <c r="A289" s="1">
        <v>2015</v>
      </c>
      <c r="B289" s="1">
        <v>8</v>
      </c>
      <c r="C289" s="5" t="str">
        <f t="shared" si="4"/>
        <v>2015M8</v>
      </c>
      <c r="E289" s="76">
        <v>4.1338095238095232</v>
      </c>
      <c r="F289" s="76">
        <v>4.2476190476190467</v>
      </c>
      <c r="G289" s="76">
        <v>5.225714285714286</v>
      </c>
      <c r="H289" s="77">
        <v>6.3977329498236699</v>
      </c>
      <c r="I289" s="76">
        <v>7.1376644449482551</v>
      </c>
      <c r="J289" s="76">
        <v>21.24434380641976</v>
      </c>
    </row>
    <row r="290" spans="1:10" x14ac:dyDescent="0.2">
      <c r="A290" s="1">
        <v>2015</v>
      </c>
      <c r="B290" s="1">
        <v>9</v>
      </c>
      <c r="C290" s="5" t="str">
        <f t="shared" si="4"/>
        <v>2015M9</v>
      </c>
      <c r="E290" s="76">
        <v>4.2452380952380953</v>
      </c>
      <c r="F290" s="76">
        <v>4.3866666666666658</v>
      </c>
      <c r="G290" s="76">
        <v>5.4214285714285708</v>
      </c>
      <c r="H290" s="77">
        <v>6.6373418656590557</v>
      </c>
      <c r="I290" s="76">
        <v>7.2066368980410145</v>
      </c>
      <c r="J290" s="76">
        <v>22.073487250095695</v>
      </c>
    </row>
    <row r="291" spans="1:10" x14ac:dyDescent="0.2">
      <c r="A291" s="1">
        <v>2015</v>
      </c>
      <c r="B291" s="1">
        <v>10</v>
      </c>
      <c r="C291" s="5" t="str">
        <f t="shared" si="4"/>
        <v>2015M10</v>
      </c>
      <c r="E291" s="76">
        <v>4.1252380952380943</v>
      </c>
      <c r="F291" s="76">
        <v>4.2919047619047621</v>
      </c>
      <c r="G291" s="76">
        <v>5.4661904761904756</v>
      </c>
      <c r="H291" s="77">
        <v>6.6921429315678784</v>
      </c>
      <c r="I291" s="76">
        <v>7.260087990573548</v>
      </c>
      <c r="J291" s="76">
        <v>24.610036702055204</v>
      </c>
    </row>
    <row r="292" spans="1:10" x14ac:dyDescent="0.2">
      <c r="A292" s="1">
        <v>2015</v>
      </c>
      <c r="B292" s="1">
        <v>11</v>
      </c>
      <c r="C292" s="5" t="str">
        <f t="shared" si="4"/>
        <v>2015M11</v>
      </c>
      <c r="E292" s="76">
        <v>4.2178947368421049</v>
      </c>
      <c r="F292" s="76">
        <v>4.403157894736843</v>
      </c>
      <c r="G292" s="76">
        <v>5.569473684210525</v>
      </c>
      <c r="H292" s="77">
        <v>6.8185904078334207</v>
      </c>
      <c r="I292" s="76">
        <v>7.2772936214957689</v>
      </c>
      <c r="J292" s="76">
        <v>25.713262019415961</v>
      </c>
    </row>
    <row r="293" spans="1:10" x14ac:dyDescent="0.2">
      <c r="A293" s="1">
        <v>2015</v>
      </c>
      <c r="B293" s="1">
        <v>12</v>
      </c>
      <c r="C293" s="5" t="str">
        <f t="shared" si="4"/>
        <v>2015M12</v>
      </c>
      <c r="E293" s="76">
        <v>4.1577272727272723</v>
      </c>
      <c r="F293" s="76">
        <v>4.3536363636363635</v>
      </c>
      <c r="G293" s="76">
        <v>5.5500000000000007</v>
      </c>
      <c r="H293" s="77">
        <v>6.7947491826312083</v>
      </c>
      <c r="I293" s="76">
        <v>7.4825073730136786</v>
      </c>
      <c r="J293" s="76">
        <v>31.257324862052865</v>
      </c>
    </row>
    <row r="294" spans="1:10" x14ac:dyDescent="0.2">
      <c r="A294" s="1">
        <v>2016</v>
      </c>
      <c r="B294" s="1">
        <v>1</v>
      </c>
      <c r="C294" s="5" t="str">
        <f t="shared" si="4"/>
        <v>2016M1</v>
      </c>
      <c r="E294" s="76">
        <v>4.0900000000000007</v>
      </c>
      <c r="F294" s="76">
        <v>4.2689473684210517</v>
      </c>
      <c r="G294" s="76">
        <v>5.4889473684210541</v>
      </c>
      <c r="H294" s="77">
        <v>6.720003719835077</v>
      </c>
      <c r="I294" s="76">
        <v>7.6459125928068969</v>
      </c>
      <c r="J294" s="76">
        <v>30.007212456959039</v>
      </c>
    </row>
    <row r="295" spans="1:10" x14ac:dyDescent="0.2">
      <c r="A295" s="1">
        <v>2016</v>
      </c>
      <c r="B295" s="1">
        <v>2</v>
      </c>
      <c r="C295" s="5" t="str">
        <f t="shared" si="4"/>
        <v>2016M2</v>
      </c>
      <c r="E295" s="76">
        <v>3.9389999999999992</v>
      </c>
      <c r="F295" s="76">
        <v>4.1084999999999994</v>
      </c>
      <c r="G295" s="76">
        <v>5.2785000000000002</v>
      </c>
      <c r="H295" s="77">
        <v>6.4623573982916813</v>
      </c>
      <c r="I295" s="76">
        <v>7.7049540869481241</v>
      </c>
      <c r="J295" s="76">
        <v>39.971553613469659</v>
      </c>
    </row>
    <row r="296" spans="1:10" x14ac:dyDescent="0.2">
      <c r="A296" s="1">
        <v>2016</v>
      </c>
      <c r="B296" s="1">
        <v>3</v>
      </c>
      <c r="C296" s="5" t="str">
        <f t="shared" si="4"/>
        <v>2016M3</v>
      </c>
      <c r="E296" s="76">
        <v>3.9299999999999997</v>
      </c>
      <c r="F296" s="76">
        <v>4.1577272727272723</v>
      </c>
      <c r="G296" s="76">
        <v>5.1231818181818181</v>
      </c>
      <c r="H296" s="77">
        <v>6.2722045894706255</v>
      </c>
      <c r="I296" s="76">
        <v>7.2192726864998544</v>
      </c>
      <c r="J296" s="76">
        <v>29.064342417946825</v>
      </c>
    </row>
    <row r="297" spans="1:10" x14ac:dyDescent="0.2">
      <c r="A297" s="1">
        <v>2016</v>
      </c>
      <c r="B297" s="1">
        <v>4</v>
      </c>
      <c r="C297" s="5" t="str">
        <f t="shared" si="4"/>
        <v>2016M4</v>
      </c>
      <c r="E297" s="76">
        <v>3.7385714285714289</v>
      </c>
      <c r="F297" s="76">
        <v>3.9980952380952379</v>
      </c>
      <c r="G297" s="76">
        <v>4.7452380952380953</v>
      </c>
      <c r="H297" s="77">
        <v>5.8094959763981109</v>
      </c>
      <c r="I297" s="76">
        <v>7.0313243006280395</v>
      </c>
      <c r="J297" s="76">
        <v>20.652721669299272</v>
      </c>
    </row>
    <row r="298" spans="1:10" x14ac:dyDescent="0.2">
      <c r="A298" s="1">
        <v>2016</v>
      </c>
      <c r="B298" s="1">
        <v>5</v>
      </c>
      <c r="C298" s="5" t="str">
        <f t="shared" si="4"/>
        <v>2016M5</v>
      </c>
      <c r="E298" s="76">
        <v>3.6547619047619042</v>
      </c>
      <c r="F298" s="76">
        <v>3.9257142857142857</v>
      </c>
      <c r="G298" s="76">
        <v>4.5966666666666658</v>
      </c>
      <c r="H298" s="77">
        <v>5.6276030767858458</v>
      </c>
      <c r="I298" s="76">
        <v>6.9910922954481158</v>
      </c>
      <c r="J298" s="76">
        <v>17.025030213920108</v>
      </c>
    </row>
    <row r="299" spans="1:10" x14ac:dyDescent="0.2">
      <c r="A299" s="1">
        <v>2016</v>
      </c>
      <c r="B299" s="1">
        <v>6</v>
      </c>
      <c r="C299" s="5" t="str">
        <f t="shared" si="4"/>
        <v>2016M6</v>
      </c>
      <c r="E299" s="76">
        <v>3.5568181818181825</v>
      </c>
      <c r="F299" s="76">
        <v>3.7759090909090918</v>
      </c>
      <c r="G299" s="76">
        <v>4.4654545454545458</v>
      </c>
      <c r="H299" s="77">
        <v>5.466962814919655</v>
      </c>
      <c r="I299" s="76">
        <v>6.9456238339984226</v>
      </c>
      <c r="J299" s="76">
        <v>15.320591214201576</v>
      </c>
    </row>
    <row r="300" spans="1:10" x14ac:dyDescent="0.2">
      <c r="A300" s="1">
        <v>2016</v>
      </c>
      <c r="B300" s="1">
        <v>7</v>
      </c>
      <c r="C300" s="5" t="str">
        <f t="shared" si="4"/>
        <v>2016M7</v>
      </c>
      <c r="E300" s="76">
        <v>3.3590000000000004</v>
      </c>
      <c r="F300" s="76">
        <v>3.5729999999999995</v>
      </c>
      <c r="G300" s="76">
        <v>4.1589999999999998</v>
      </c>
      <c r="H300" s="77">
        <v>5.0917769100113857</v>
      </c>
      <c r="I300" s="76">
        <v>6.8029474756244728</v>
      </c>
      <c r="J300" s="76">
        <v>14.838287597224948</v>
      </c>
    </row>
    <row r="301" spans="1:10" x14ac:dyDescent="0.2">
      <c r="A301" s="1">
        <v>2016</v>
      </c>
      <c r="B301" s="1">
        <v>8</v>
      </c>
      <c r="C301" s="5" t="str">
        <f t="shared" si="4"/>
        <v>2016M8</v>
      </c>
      <c r="E301" s="76">
        <v>3.390869565217391</v>
      </c>
      <c r="F301" s="76">
        <v>3.5852173913043477</v>
      </c>
      <c r="G301" s="76">
        <v>4.2030434782608692</v>
      </c>
      <c r="H301" s="77">
        <v>5.1456984213471113</v>
      </c>
      <c r="I301" s="76">
        <v>6.6963986171565324</v>
      </c>
      <c r="J301" s="76">
        <v>13.955723623837169</v>
      </c>
    </row>
    <row r="302" spans="1:10" x14ac:dyDescent="0.2">
      <c r="A302" s="1">
        <v>2016</v>
      </c>
      <c r="B302" s="1">
        <v>9</v>
      </c>
      <c r="C302" s="5" t="str">
        <f t="shared" si="4"/>
        <v>2016M9</v>
      </c>
      <c r="E302" s="76">
        <v>3.4671428571428566</v>
      </c>
      <c r="F302" s="76">
        <v>3.6590476190476187</v>
      </c>
      <c r="G302" s="76">
        <v>4.2695238095238102</v>
      </c>
      <c r="H302" s="77">
        <v>5.2270889036011514</v>
      </c>
      <c r="I302" s="76">
        <v>6.6554125534600423</v>
      </c>
      <c r="J302" s="76">
        <v>14.221426450665891</v>
      </c>
    </row>
    <row r="303" spans="1:10" x14ac:dyDescent="0.2">
      <c r="A303" s="1">
        <v>2016</v>
      </c>
      <c r="B303" s="1">
        <v>10</v>
      </c>
      <c r="C303" s="5" t="str">
        <f t="shared" si="4"/>
        <v>2016M10</v>
      </c>
      <c r="E303" s="76">
        <v>3.5905000000000009</v>
      </c>
      <c r="F303" s="76">
        <v>3.7734999999999999</v>
      </c>
      <c r="G303" s="76">
        <v>4.3435000000000006</v>
      </c>
      <c r="H303" s="77">
        <v>5.3176564098664239</v>
      </c>
      <c r="I303" s="76">
        <v>6.6058539539608914</v>
      </c>
      <c r="J303" s="76">
        <v>13.808184497129741</v>
      </c>
    </row>
    <row r="304" spans="1:10" x14ac:dyDescent="0.2">
      <c r="A304" s="1">
        <v>2016</v>
      </c>
      <c r="B304" s="1">
        <v>11</v>
      </c>
      <c r="C304" s="5" t="str">
        <f t="shared" si="4"/>
        <v>2016M11</v>
      </c>
      <c r="E304" s="76">
        <v>3.9089999999999989</v>
      </c>
      <c r="F304" s="76">
        <v>4.077</v>
      </c>
      <c r="G304" s="76">
        <v>4.6368421052631579</v>
      </c>
      <c r="H304" s="77">
        <v>5.6767890278787041</v>
      </c>
      <c r="I304" s="76">
        <v>6.6879127564704195</v>
      </c>
      <c r="J304" s="76">
        <v>13.926784413733733</v>
      </c>
    </row>
    <row r="305" spans="1:10" x14ac:dyDescent="0.2">
      <c r="A305" s="1">
        <v>2016</v>
      </c>
      <c r="B305" s="1">
        <v>12</v>
      </c>
      <c r="C305" s="5" t="str">
        <f t="shared" si="4"/>
        <v>2016M12</v>
      </c>
      <c r="E305" s="76">
        <v>4.1090476190476188</v>
      </c>
      <c r="F305" s="76">
        <v>4.2728571428571422</v>
      </c>
      <c r="G305" s="76">
        <v>4.7938095238095242</v>
      </c>
      <c r="H305" s="77">
        <v>5.8689609628098136</v>
      </c>
      <c r="I305" s="76">
        <v>6.5795509720185938</v>
      </c>
      <c r="J305" s="76">
        <v>12.902419583185566</v>
      </c>
    </row>
    <row r="306" spans="1:10" x14ac:dyDescent="0.2">
      <c r="A306" s="1">
        <v>2017</v>
      </c>
      <c r="B306" s="1">
        <v>1</v>
      </c>
      <c r="C306" s="5" t="str">
        <f t="shared" si="4"/>
        <v>2017M1</v>
      </c>
      <c r="E306" s="76">
        <v>3.9574999999999996</v>
      </c>
      <c r="F306" s="76">
        <v>4.1399999999999988</v>
      </c>
      <c r="G306" s="76">
        <v>4.6190000000000007</v>
      </c>
      <c r="H306" s="77">
        <v>5.6549453107339733</v>
      </c>
      <c r="I306" s="76">
        <v>6.5062984961252361</v>
      </c>
      <c r="J306" s="76">
        <v>11.772595908795809</v>
      </c>
    </row>
    <row r="307" spans="1:10" x14ac:dyDescent="0.2">
      <c r="A307" s="1">
        <v>2017</v>
      </c>
      <c r="B307" s="1">
        <v>2</v>
      </c>
      <c r="C307" s="5" t="str">
        <f t="shared" si="4"/>
        <v>2017M2</v>
      </c>
      <c r="E307" s="76">
        <v>3.9905263157894741</v>
      </c>
      <c r="F307" s="76">
        <v>4.1778947368421049</v>
      </c>
      <c r="G307" s="76">
        <v>4.5763157894736839</v>
      </c>
      <c r="H307" s="77">
        <v>5.6026879225204693</v>
      </c>
      <c r="I307" s="76">
        <v>6.477607286484095</v>
      </c>
      <c r="J307" s="76">
        <v>11.770014456246374</v>
      </c>
    </row>
    <row r="308" spans="1:10" x14ac:dyDescent="0.2">
      <c r="A308" s="1">
        <v>2017</v>
      </c>
      <c r="B308" s="1">
        <v>3</v>
      </c>
      <c r="C308" s="5" t="str">
        <f t="shared" si="4"/>
        <v>2017M3</v>
      </c>
      <c r="E308" s="76">
        <v>4.0413043478260864</v>
      </c>
      <c r="F308" s="76">
        <v>4.2282608695652177</v>
      </c>
      <c r="G308" s="76">
        <v>4.6160869565217393</v>
      </c>
      <c r="H308" s="77">
        <v>5.6513789323929133</v>
      </c>
      <c r="I308" s="76">
        <v>6.5989135798770953</v>
      </c>
      <c r="J308" s="76">
        <v>10.418280626438127</v>
      </c>
    </row>
    <row r="309" spans="1:10" x14ac:dyDescent="0.2">
      <c r="A309" s="1">
        <v>2017</v>
      </c>
      <c r="B309" s="1">
        <v>4</v>
      </c>
      <c r="C309" s="5" t="str">
        <f t="shared" si="4"/>
        <v>2017M4</v>
      </c>
      <c r="E309" s="76">
        <v>3.9284210526315797</v>
      </c>
      <c r="F309" s="76">
        <v>4.1184210526315796</v>
      </c>
      <c r="G309" s="76">
        <v>4.5121052631578946</v>
      </c>
      <c r="H309" s="77">
        <v>5.5240763150969503</v>
      </c>
      <c r="I309" s="76">
        <v>6.5780736673641442</v>
      </c>
      <c r="J309" s="76">
        <v>10.570215697975383</v>
      </c>
    </row>
    <row r="310" spans="1:10" x14ac:dyDescent="0.2">
      <c r="A310" s="1">
        <v>2017</v>
      </c>
      <c r="B310" s="1">
        <v>5</v>
      </c>
      <c r="C310" s="5" t="str">
        <f t="shared" si="4"/>
        <v>2017M5</v>
      </c>
      <c r="E310" s="76">
        <v>3.9371428571428568</v>
      </c>
      <c r="F310" s="76">
        <v>4.125238095238096</v>
      </c>
      <c r="G310" s="76">
        <v>4.5004761904761903</v>
      </c>
      <c r="H310" s="77">
        <v>5.5098390840881635</v>
      </c>
      <c r="I310" s="76">
        <v>6.5293524957093378</v>
      </c>
      <c r="J310" s="76">
        <v>10.849404135636901</v>
      </c>
    </row>
    <row r="311" spans="1:10" x14ac:dyDescent="0.2">
      <c r="A311" s="1">
        <v>2017</v>
      </c>
      <c r="B311" s="1">
        <v>6</v>
      </c>
      <c r="C311" s="5" t="str">
        <f t="shared" si="4"/>
        <v>2017M6</v>
      </c>
      <c r="E311" s="76">
        <v>3.85</v>
      </c>
      <c r="F311" s="76">
        <v>4.0199999999999996</v>
      </c>
      <c r="G311" s="76">
        <v>4.4000000000000004</v>
      </c>
      <c r="H311" s="77">
        <v>5.3868281808247414</v>
      </c>
      <c r="I311" s="76">
        <v>6.4883268482490282</v>
      </c>
      <c r="J311" s="76">
        <v>11.112581029236672</v>
      </c>
    </row>
    <row r="312" spans="1:10" x14ac:dyDescent="0.2">
      <c r="H312" s="78"/>
    </row>
    <row r="313" spans="1:10" x14ac:dyDescent="0.2">
      <c r="H313" s="78"/>
    </row>
    <row r="314" spans="1:10" x14ac:dyDescent="0.2">
      <c r="H314" s="78"/>
    </row>
    <row r="315" spans="1:10" x14ac:dyDescent="0.2">
      <c r="H315" s="78"/>
    </row>
    <row r="316" spans="1:10" x14ac:dyDescent="0.2">
      <c r="H316" s="78"/>
    </row>
    <row r="317" spans="1:10" x14ac:dyDescent="0.2">
      <c r="H317" s="78"/>
    </row>
    <row r="318" spans="1:10" x14ac:dyDescent="0.2">
      <c r="H318" s="78"/>
    </row>
    <row r="319" spans="1:10" x14ac:dyDescent="0.2">
      <c r="H319" s="78"/>
    </row>
    <row r="320" spans="1:10" x14ac:dyDescent="0.2">
      <c r="H320" s="78"/>
    </row>
    <row r="321" spans="8:8" x14ac:dyDescent="0.2">
      <c r="H321" s="78"/>
    </row>
    <row r="322" spans="8:8" x14ac:dyDescent="0.2">
      <c r="H322" s="78"/>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2:K29"/>
  <sheetViews>
    <sheetView workbookViewId="0">
      <pane ySplit="6" topLeftCell="A7" activePane="bottomLeft" state="frozen"/>
      <selection activeCell="I17" sqref="I17"/>
      <selection pane="bottomLeft" activeCell="I25" sqref="I25"/>
    </sheetView>
  </sheetViews>
  <sheetFormatPr defaultColWidth="8" defaultRowHeight="12.75" x14ac:dyDescent="0.2"/>
  <cols>
    <col min="1" max="1" width="10.28515625" style="123" customWidth="1"/>
    <col min="2" max="2" width="7.140625" style="123" bestFit="1" customWidth="1"/>
    <col min="3" max="3" width="10.42578125" style="123" customWidth="1"/>
    <col min="4" max="4" width="7.140625" style="123" customWidth="1"/>
    <col min="5" max="8" width="12.140625" style="123" bestFit="1" customWidth="1"/>
    <col min="9" max="9" width="20.140625" style="137" customWidth="1"/>
    <col min="10" max="10" width="13.85546875" style="137" customWidth="1"/>
    <col min="11" max="12" width="17.5703125" style="123" customWidth="1"/>
    <col min="13" max="258" width="8" style="123"/>
    <col min="259" max="259" width="0" style="123" hidden="1" customWidth="1"/>
    <col min="260" max="260" width="7.140625" style="123" bestFit="1" customWidth="1"/>
    <col min="261" max="264" width="12.140625" style="123" bestFit="1" customWidth="1"/>
    <col min="265" max="265" width="20.140625" style="123" customWidth="1"/>
    <col min="266" max="266" width="0" style="123" hidden="1" customWidth="1"/>
    <col min="267" max="268" width="17.5703125" style="123" customWidth="1"/>
    <col min="269" max="514" width="8" style="123"/>
    <col min="515" max="515" width="0" style="123" hidden="1" customWidth="1"/>
    <col min="516" max="516" width="7.140625" style="123" bestFit="1" customWidth="1"/>
    <col min="517" max="520" width="12.140625" style="123" bestFit="1" customWidth="1"/>
    <col min="521" max="521" width="20.140625" style="123" customWidth="1"/>
    <col min="522" max="522" width="0" style="123" hidden="1" customWidth="1"/>
    <col min="523" max="524" width="17.5703125" style="123" customWidth="1"/>
    <col min="525" max="770" width="8" style="123"/>
    <col min="771" max="771" width="0" style="123" hidden="1" customWidth="1"/>
    <col min="772" max="772" width="7.140625" style="123" bestFit="1" customWidth="1"/>
    <col min="773" max="776" width="12.140625" style="123" bestFit="1" customWidth="1"/>
    <col min="777" max="777" width="20.140625" style="123" customWidth="1"/>
    <col min="778" max="778" width="0" style="123" hidden="1" customWidth="1"/>
    <col min="779" max="780" width="17.5703125" style="123" customWidth="1"/>
    <col min="781" max="1026" width="8" style="123"/>
    <col min="1027" max="1027" width="0" style="123" hidden="1" customWidth="1"/>
    <col min="1028" max="1028" width="7.140625" style="123" bestFit="1" customWidth="1"/>
    <col min="1029" max="1032" width="12.140625" style="123" bestFit="1" customWidth="1"/>
    <col min="1033" max="1033" width="20.140625" style="123" customWidth="1"/>
    <col min="1034" max="1034" width="0" style="123" hidden="1" customWidth="1"/>
    <col min="1035" max="1036" width="17.5703125" style="123" customWidth="1"/>
    <col min="1037" max="1282" width="8" style="123"/>
    <col min="1283" max="1283" width="0" style="123" hidden="1" customWidth="1"/>
    <col min="1284" max="1284" width="7.140625" style="123" bestFit="1" customWidth="1"/>
    <col min="1285" max="1288" width="12.140625" style="123" bestFit="1" customWidth="1"/>
    <col min="1289" max="1289" width="20.140625" style="123" customWidth="1"/>
    <col min="1290" max="1290" width="0" style="123" hidden="1" customWidth="1"/>
    <col min="1291" max="1292" width="17.5703125" style="123" customWidth="1"/>
    <col min="1293" max="1538" width="8" style="123"/>
    <col min="1539" max="1539" width="0" style="123" hidden="1" customWidth="1"/>
    <col min="1540" max="1540" width="7.140625" style="123" bestFit="1" customWidth="1"/>
    <col min="1541" max="1544" width="12.140625" style="123" bestFit="1" customWidth="1"/>
    <col min="1545" max="1545" width="20.140625" style="123" customWidth="1"/>
    <col min="1546" max="1546" width="0" style="123" hidden="1" customWidth="1"/>
    <col min="1547" max="1548" width="17.5703125" style="123" customWidth="1"/>
    <col min="1549" max="1794" width="8" style="123"/>
    <col min="1795" max="1795" width="0" style="123" hidden="1" customWidth="1"/>
    <col min="1796" max="1796" width="7.140625" style="123" bestFit="1" customWidth="1"/>
    <col min="1797" max="1800" width="12.140625" style="123" bestFit="1" customWidth="1"/>
    <col min="1801" max="1801" width="20.140625" style="123" customWidth="1"/>
    <col min="1802" max="1802" width="0" style="123" hidden="1" customWidth="1"/>
    <col min="1803" max="1804" width="17.5703125" style="123" customWidth="1"/>
    <col min="1805" max="2050" width="8" style="123"/>
    <col min="2051" max="2051" width="0" style="123" hidden="1" customWidth="1"/>
    <col min="2052" max="2052" width="7.140625" style="123" bestFit="1" customWidth="1"/>
    <col min="2053" max="2056" width="12.140625" style="123" bestFit="1" customWidth="1"/>
    <col min="2057" max="2057" width="20.140625" style="123" customWidth="1"/>
    <col min="2058" max="2058" width="0" style="123" hidden="1" customWidth="1"/>
    <col min="2059" max="2060" width="17.5703125" style="123" customWidth="1"/>
    <col min="2061" max="2306" width="8" style="123"/>
    <col min="2307" max="2307" width="0" style="123" hidden="1" customWidth="1"/>
    <col min="2308" max="2308" width="7.140625" style="123" bestFit="1" customWidth="1"/>
    <col min="2309" max="2312" width="12.140625" style="123" bestFit="1" customWidth="1"/>
    <col min="2313" max="2313" width="20.140625" style="123" customWidth="1"/>
    <col min="2314" max="2314" width="0" style="123" hidden="1" customWidth="1"/>
    <col min="2315" max="2316" width="17.5703125" style="123" customWidth="1"/>
    <col min="2317" max="2562" width="8" style="123"/>
    <col min="2563" max="2563" width="0" style="123" hidden="1" customWidth="1"/>
    <col min="2564" max="2564" width="7.140625" style="123" bestFit="1" customWidth="1"/>
    <col min="2565" max="2568" width="12.140625" style="123" bestFit="1" customWidth="1"/>
    <col min="2569" max="2569" width="20.140625" style="123" customWidth="1"/>
    <col min="2570" max="2570" width="0" style="123" hidden="1" customWidth="1"/>
    <col min="2571" max="2572" width="17.5703125" style="123" customWidth="1"/>
    <col min="2573" max="2818" width="8" style="123"/>
    <col min="2819" max="2819" width="0" style="123" hidden="1" customWidth="1"/>
    <col min="2820" max="2820" width="7.140625" style="123" bestFit="1" customWidth="1"/>
    <col min="2821" max="2824" width="12.140625" style="123" bestFit="1" customWidth="1"/>
    <col min="2825" max="2825" width="20.140625" style="123" customWidth="1"/>
    <col min="2826" max="2826" width="0" style="123" hidden="1" customWidth="1"/>
    <col min="2827" max="2828" width="17.5703125" style="123" customWidth="1"/>
    <col min="2829" max="3074" width="8" style="123"/>
    <col min="3075" max="3075" width="0" style="123" hidden="1" customWidth="1"/>
    <col min="3076" max="3076" width="7.140625" style="123" bestFit="1" customWidth="1"/>
    <col min="3077" max="3080" width="12.140625" style="123" bestFit="1" customWidth="1"/>
    <col min="3081" max="3081" width="20.140625" style="123" customWidth="1"/>
    <col min="3082" max="3082" width="0" style="123" hidden="1" customWidth="1"/>
    <col min="3083" max="3084" width="17.5703125" style="123" customWidth="1"/>
    <col min="3085" max="3330" width="8" style="123"/>
    <col min="3331" max="3331" width="0" style="123" hidden="1" customWidth="1"/>
    <col min="3332" max="3332" width="7.140625" style="123" bestFit="1" customWidth="1"/>
    <col min="3333" max="3336" width="12.140625" style="123" bestFit="1" customWidth="1"/>
    <col min="3337" max="3337" width="20.140625" style="123" customWidth="1"/>
    <col min="3338" max="3338" width="0" style="123" hidden="1" customWidth="1"/>
    <col min="3339" max="3340" width="17.5703125" style="123" customWidth="1"/>
    <col min="3341" max="3586" width="8" style="123"/>
    <col min="3587" max="3587" width="0" style="123" hidden="1" customWidth="1"/>
    <col min="3588" max="3588" width="7.140625" style="123" bestFit="1" customWidth="1"/>
    <col min="3589" max="3592" width="12.140625" style="123" bestFit="1" customWidth="1"/>
    <col min="3593" max="3593" width="20.140625" style="123" customWidth="1"/>
    <col min="3594" max="3594" width="0" style="123" hidden="1" customWidth="1"/>
    <col min="3595" max="3596" width="17.5703125" style="123" customWidth="1"/>
    <col min="3597" max="3842" width="8" style="123"/>
    <col min="3843" max="3843" width="0" style="123" hidden="1" customWidth="1"/>
    <col min="3844" max="3844" width="7.140625" style="123" bestFit="1" customWidth="1"/>
    <col min="3845" max="3848" width="12.140625" style="123" bestFit="1" customWidth="1"/>
    <col min="3849" max="3849" width="20.140625" style="123" customWidth="1"/>
    <col min="3850" max="3850" width="0" style="123" hidden="1" customWidth="1"/>
    <col min="3851" max="3852" width="17.5703125" style="123" customWidth="1"/>
    <col min="3853" max="4098" width="8" style="123"/>
    <col min="4099" max="4099" width="0" style="123" hidden="1" customWidth="1"/>
    <col min="4100" max="4100" width="7.140625" style="123" bestFit="1" customWidth="1"/>
    <col min="4101" max="4104" width="12.140625" style="123" bestFit="1" customWidth="1"/>
    <col min="4105" max="4105" width="20.140625" style="123" customWidth="1"/>
    <col min="4106" max="4106" width="0" style="123" hidden="1" customWidth="1"/>
    <col min="4107" max="4108" width="17.5703125" style="123" customWidth="1"/>
    <col min="4109" max="4354" width="8" style="123"/>
    <col min="4355" max="4355" width="0" style="123" hidden="1" customWidth="1"/>
    <col min="4356" max="4356" width="7.140625" style="123" bestFit="1" customWidth="1"/>
    <col min="4357" max="4360" width="12.140625" style="123" bestFit="1" customWidth="1"/>
    <col min="4361" max="4361" width="20.140625" style="123" customWidth="1"/>
    <col min="4362" max="4362" width="0" style="123" hidden="1" customWidth="1"/>
    <col min="4363" max="4364" width="17.5703125" style="123" customWidth="1"/>
    <col min="4365" max="4610" width="8" style="123"/>
    <col min="4611" max="4611" width="0" style="123" hidden="1" customWidth="1"/>
    <col min="4612" max="4612" width="7.140625" style="123" bestFit="1" customWidth="1"/>
    <col min="4613" max="4616" width="12.140625" style="123" bestFit="1" customWidth="1"/>
    <col min="4617" max="4617" width="20.140625" style="123" customWidth="1"/>
    <col min="4618" max="4618" width="0" style="123" hidden="1" customWidth="1"/>
    <col min="4619" max="4620" width="17.5703125" style="123" customWidth="1"/>
    <col min="4621" max="4866" width="8" style="123"/>
    <col min="4867" max="4867" width="0" style="123" hidden="1" customWidth="1"/>
    <col min="4868" max="4868" width="7.140625" style="123" bestFit="1" customWidth="1"/>
    <col min="4869" max="4872" width="12.140625" style="123" bestFit="1" customWidth="1"/>
    <col min="4873" max="4873" width="20.140625" style="123" customWidth="1"/>
    <col min="4874" max="4874" width="0" style="123" hidden="1" customWidth="1"/>
    <col min="4875" max="4876" width="17.5703125" style="123" customWidth="1"/>
    <col min="4877" max="5122" width="8" style="123"/>
    <col min="5123" max="5123" width="0" style="123" hidden="1" customWidth="1"/>
    <col min="5124" max="5124" width="7.140625" style="123" bestFit="1" customWidth="1"/>
    <col min="5125" max="5128" width="12.140625" style="123" bestFit="1" customWidth="1"/>
    <col min="5129" max="5129" width="20.140625" style="123" customWidth="1"/>
    <col min="5130" max="5130" width="0" style="123" hidden="1" customWidth="1"/>
    <col min="5131" max="5132" width="17.5703125" style="123" customWidth="1"/>
    <col min="5133" max="5378" width="8" style="123"/>
    <col min="5379" max="5379" width="0" style="123" hidden="1" customWidth="1"/>
    <col min="5380" max="5380" width="7.140625" style="123" bestFit="1" customWidth="1"/>
    <col min="5381" max="5384" width="12.140625" style="123" bestFit="1" customWidth="1"/>
    <col min="5385" max="5385" width="20.140625" style="123" customWidth="1"/>
    <col min="5386" max="5386" width="0" style="123" hidden="1" customWidth="1"/>
    <col min="5387" max="5388" width="17.5703125" style="123" customWidth="1"/>
    <col min="5389" max="5634" width="8" style="123"/>
    <col min="5635" max="5635" width="0" style="123" hidden="1" customWidth="1"/>
    <col min="5636" max="5636" width="7.140625" style="123" bestFit="1" customWidth="1"/>
    <col min="5637" max="5640" width="12.140625" style="123" bestFit="1" customWidth="1"/>
    <col min="5641" max="5641" width="20.140625" style="123" customWidth="1"/>
    <col min="5642" max="5642" width="0" style="123" hidden="1" customWidth="1"/>
    <col min="5643" max="5644" width="17.5703125" style="123" customWidth="1"/>
    <col min="5645" max="5890" width="8" style="123"/>
    <col min="5891" max="5891" width="0" style="123" hidden="1" customWidth="1"/>
    <col min="5892" max="5892" width="7.140625" style="123" bestFit="1" customWidth="1"/>
    <col min="5893" max="5896" width="12.140625" style="123" bestFit="1" customWidth="1"/>
    <col min="5897" max="5897" width="20.140625" style="123" customWidth="1"/>
    <col min="5898" max="5898" width="0" style="123" hidden="1" customWidth="1"/>
    <col min="5899" max="5900" width="17.5703125" style="123" customWidth="1"/>
    <col min="5901" max="6146" width="8" style="123"/>
    <col min="6147" max="6147" width="0" style="123" hidden="1" customWidth="1"/>
    <col min="6148" max="6148" width="7.140625" style="123" bestFit="1" customWidth="1"/>
    <col min="6149" max="6152" width="12.140625" style="123" bestFit="1" customWidth="1"/>
    <col min="6153" max="6153" width="20.140625" style="123" customWidth="1"/>
    <col min="6154" max="6154" width="0" style="123" hidden="1" customWidth="1"/>
    <col min="6155" max="6156" width="17.5703125" style="123" customWidth="1"/>
    <col min="6157" max="6402" width="8" style="123"/>
    <col min="6403" max="6403" width="0" style="123" hidden="1" customWidth="1"/>
    <col min="6404" max="6404" width="7.140625" style="123" bestFit="1" customWidth="1"/>
    <col min="6405" max="6408" width="12.140625" style="123" bestFit="1" customWidth="1"/>
    <col min="6409" max="6409" width="20.140625" style="123" customWidth="1"/>
    <col min="6410" max="6410" width="0" style="123" hidden="1" customWidth="1"/>
    <col min="6411" max="6412" width="17.5703125" style="123" customWidth="1"/>
    <col min="6413" max="6658" width="8" style="123"/>
    <col min="6659" max="6659" width="0" style="123" hidden="1" customWidth="1"/>
    <col min="6660" max="6660" width="7.140625" style="123" bestFit="1" customWidth="1"/>
    <col min="6661" max="6664" width="12.140625" style="123" bestFit="1" customWidth="1"/>
    <col min="6665" max="6665" width="20.140625" style="123" customWidth="1"/>
    <col min="6666" max="6666" width="0" style="123" hidden="1" customWidth="1"/>
    <col min="6667" max="6668" width="17.5703125" style="123" customWidth="1"/>
    <col min="6669" max="6914" width="8" style="123"/>
    <col min="6915" max="6915" width="0" style="123" hidden="1" customWidth="1"/>
    <col min="6916" max="6916" width="7.140625" style="123" bestFit="1" customWidth="1"/>
    <col min="6917" max="6920" width="12.140625" style="123" bestFit="1" customWidth="1"/>
    <col min="6921" max="6921" width="20.140625" style="123" customWidth="1"/>
    <col min="6922" max="6922" width="0" style="123" hidden="1" customWidth="1"/>
    <col min="6923" max="6924" width="17.5703125" style="123" customWidth="1"/>
    <col min="6925" max="7170" width="8" style="123"/>
    <col min="7171" max="7171" width="0" style="123" hidden="1" customWidth="1"/>
    <col min="7172" max="7172" width="7.140625" style="123" bestFit="1" customWidth="1"/>
    <col min="7173" max="7176" width="12.140625" style="123" bestFit="1" customWidth="1"/>
    <col min="7177" max="7177" width="20.140625" style="123" customWidth="1"/>
    <col min="7178" max="7178" width="0" style="123" hidden="1" customWidth="1"/>
    <col min="7179" max="7180" width="17.5703125" style="123" customWidth="1"/>
    <col min="7181" max="7426" width="8" style="123"/>
    <col min="7427" max="7427" width="0" style="123" hidden="1" customWidth="1"/>
    <col min="7428" max="7428" width="7.140625" style="123" bestFit="1" customWidth="1"/>
    <col min="7429" max="7432" width="12.140625" style="123" bestFit="1" customWidth="1"/>
    <col min="7433" max="7433" width="20.140625" style="123" customWidth="1"/>
    <col min="7434" max="7434" width="0" style="123" hidden="1" customWidth="1"/>
    <col min="7435" max="7436" width="17.5703125" style="123" customWidth="1"/>
    <col min="7437" max="7682" width="8" style="123"/>
    <col min="7683" max="7683" width="0" style="123" hidden="1" customWidth="1"/>
    <col min="7684" max="7684" width="7.140625" style="123" bestFit="1" customWidth="1"/>
    <col min="7685" max="7688" width="12.140625" style="123" bestFit="1" customWidth="1"/>
    <col min="7689" max="7689" width="20.140625" style="123" customWidth="1"/>
    <col min="7690" max="7690" width="0" style="123" hidden="1" customWidth="1"/>
    <col min="7691" max="7692" width="17.5703125" style="123" customWidth="1"/>
    <col min="7693" max="7938" width="8" style="123"/>
    <col min="7939" max="7939" width="0" style="123" hidden="1" customWidth="1"/>
    <col min="7940" max="7940" width="7.140625" style="123" bestFit="1" customWidth="1"/>
    <col min="7941" max="7944" width="12.140625" style="123" bestFit="1" customWidth="1"/>
    <col min="7945" max="7945" width="20.140625" style="123" customWidth="1"/>
    <col min="7946" max="7946" width="0" style="123" hidden="1" customWidth="1"/>
    <col min="7947" max="7948" width="17.5703125" style="123" customWidth="1"/>
    <col min="7949" max="8194" width="8" style="123"/>
    <col min="8195" max="8195" width="0" style="123" hidden="1" customWidth="1"/>
    <col min="8196" max="8196" width="7.140625" style="123" bestFit="1" customWidth="1"/>
    <col min="8197" max="8200" width="12.140625" style="123" bestFit="1" customWidth="1"/>
    <col min="8201" max="8201" width="20.140625" style="123" customWidth="1"/>
    <col min="8202" max="8202" width="0" style="123" hidden="1" customWidth="1"/>
    <col min="8203" max="8204" width="17.5703125" style="123" customWidth="1"/>
    <col min="8205" max="8450" width="8" style="123"/>
    <col min="8451" max="8451" width="0" style="123" hidden="1" customWidth="1"/>
    <col min="8452" max="8452" width="7.140625" style="123" bestFit="1" customWidth="1"/>
    <col min="8453" max="8456" width="12.140625" style="123" bestFit="1" customWidth="1"/>
    <col min="8457" max="8457" width="20.140625" style="123" customWidth="1"/>
    <col min="8458" max="8458" width="0" style="123" hidden="1" customWidth="1"/>
    <col min="8459" max="8460" width="17.5703125" style="123" customWidth="1"/>
    <col min="8461" max="8706" width="8" style="123"/>
    <col min="8707" max="8707" width="0" style="123" hidden="1" customWidth="1"/>
    <col min="8708" max="8708" width="7.140625" style="123" bestFit="1" customWidth="1"/>
    <col min="8709" max="8712" width="12.140625" style="123" bestFit="1" customWidth="1"/>
    <col min="8713" max="8713" width="20.140625" style="123" customWidth="1"/>
    <col min="8714" max="8714" width="0" style="123" hidden="1" customWidth="1"/>
    <col min="8715" max="8716" width="17.5703125" style="123" customWidth="1"/>
    <col min="8717" max="8962" width="8" style="123"/>
    <col min="8963" max="8963" width="0" style="123" hidden="1" customWidth="1"/>
    <col min="8964" max="8964" width="7.140625" style="123" bestFit="1" customWidth="1"/>
    <col min="8965" max="8968" width="12.140625" style="123" bestFit="1" customWidth="1"/>
    <col min="8969" max="8969" width="20.140625" style="123" customWidth="1"/>
    <col min="8970" max="8970" width="0" style="123" hidden="1" customWidth="1"/>
    <col min="8971" max="8972" width="17.5703125" style="123" customWidth="1"/>
    <col min="8973" max="9218" width="8" style="123"/>
    <col min="9219" max="9219" width="0" style="123" hidden="1" customWidth="1"/>
    <col min="9220" max="9220" width="7.140625" style="123" bestFit="1" customWidth="1"/>
    <col min="9221" max="9224" width="12.140625" style="123" bestFit="1" customWidth="1"/>
    <col min="9225" max="9225" width="20.140625" style="123" customWidth="1"/>
    <col min="9226" max="9226" width="0" style="123" hidden="1" customWidth="1"/>
    <col min="9227" max="9228" width="17.5703125" style="123" customWidth="1"/>
    <col min="9229" max="9474" width="8" style="123"/>
    <col min="9475" max="9475" width="0" style="123" hidden="1" customWidth="1"/>
    <col min="9476" max="9476" width="7.140625" style="123" bestFit="1" customWidth="1"/>
    <col min="9477" max="9480" width="12.140625" style="123" bestFit="1" customWidth="1"/>
    <col min="9481" max="9481" width="20.140625" style="123" customWidth="1"/>
    <col min="9482" max="9482" width="0" style="123" hidden="1" customWidth="1"/>
    <col min="9483" max="9484" width="17.5703125" style="123" customWidth="1"/>
    <col min="9485" max="9730" width="8" style="123"/>
    <col min="9731" max="9731" width="0" style="123" hidden="1" customWidth="1"/>
    <col min="9732" max="9732" width="7.140625" style="123" bestFit="1" customWidth="1"/>
    <col min="9733" max="9736" width="12.140625" style="123" bestFit="1" customWidth="1"/>
    <col min="9737" max="9737" width="20.140625" style="123" customWidth="1"/>
    <col min="9738" max="9738" width="0" style="123" hidden="1" customWidth="1"/>
    <col min="9739" max="9740" width="17.5703125" style="123" customWidth="1"/>
    <col min="9741" max="9986" width="8" style="123"/>
    <col min="9987" max="9987" width="0" style="123" hidden="1" customWidth="1"/>
    <col min="9988" max="9988" width="7.140625" style="123" bestFit="1" customWidth="1"/>
    <col min="9989" max="9992" width="12.140625" style="123" bestFit="1" customWidth="1"/>
    <col min="9993" max="9993" width="20.140625" style="123" customWidth="1"/>
    <col min="9994" max="9994" width="0" style="123" hidden="1" customWidth="1"/>
    <col min="9995" max="9996" width="17.5703125" style="123" customWidth="1"/>
    <col min="9997" max="10242" width="8" style="123"/>
    <col min="10243" max="10243" width="0" style="123" hidden="1" customWidth="1"/>
    <col min="10244" max="10244" width="7.140625" style="123" bestFit="1" customWidth="1"/>
    <col min="10245" max="10248" width="12.140625" style="123" bestFit="1" customWidth="1"/>
    <col min="10249" max="10249" width="20.140625" style="123" customWidth="1"/>
    <col min="10250" max="10250" width="0" style="123" hidden="1" customWidth="1"/>
    <col min="10251" max="10252" width="17.5703125" style="123" customWidth="1"/>
    <col min="10253" max="10498" width="8" style="123"/>
    <col min="10499" max="10499" width="0" style="123" hidden="1" customWidth="1"/>
    <col min="10500" max="10500" width="7.140625" style="123" bestFit="1" customWidth="1"/>
    <col min="10501" max="10504" width="12.140625" style="123" bestFit="1" customWidth="1"/>
    <col min="10505" max="10505" width="20.140625" style="123" customWidth="1"/>
    <col min="10506" max="10506" width="0" style="123" hidden="1" customWidth="1"/>
    <col min="10507" max="10508" width="17.5703125" style="123" customWidth="1"/>
    <col min="10509" max="10754" width="8" style="123"/>
    <col min="10755" max="10755" width="0" style="123" hidden="1" customWidth="1"/>
    <col min="10756" max="10756" width="7.140625" style="123" bestFit="1" customWidth="1"/>
    <col min="10757" max="10760" width="12.140625" style="123" bestFit="1" customWidth="1"/>
    <col min="10761" max="10761" width="20.140625" style="123" customWidth="1"/>
    <col min="10762" max="10762" width="0" style="123" hidden="1" customWidth="1"/>
    <col min="10763" max="10764" width="17.5703125" style="123" customWidth="1"/>
    <col min="10765" max="11010" width="8" style="123"/>
    <col min="11011" max="11011" width="0" style="123" hidden="1" customWidth="1"/>
    <col min="11012" max="11012" width="7.140625" style="123" bestFit="1" customWidth="1"/>
    <col min="11013" max="11016" width="12.140625" style="123" bestFit="1" customWidth="1"/>
    <col min="11017" max="11017" width="20.140625" style="123" customWidth="1"/>
    <col min="11018" max="11018" width="0" style="123" hidden="1" customWidth="1"/>
    <col min="11019" max="11020" width="17.5703125" style="123" customWidth="1"/>
    <col min="11021" max="11266" width="8" style="123"/>
    <col min="11267" max="11267" width="0" style="123" hidden="1" customWidth="1"/>
    <col min="11268" max="11268" width="7.140625" style="123" bestFit="1" customWidth="1"/>
    <col min="11269" max="11272" width="12.140625" style="123" bestFit="1" customWidth="1"/>
    <col min="11273" max="11273" width="20.140625" style="123" customWidth="1"/>
    <col min="11274" max="11274" width="0" style="123" hidden="1" customWidth="1"/>
    <col min="11275" max="11276" width="17.5703125" style="123" customWidth="1"/>
    <col min="11277" max="11522" width="8" style="123"/>
    <col min="11523" max="11523" width="0" style="123" hidden="1" customWidth="1"/>
    <col min="11524" max="11524" width="7.140625" style="123" bestFit="1" customWidth="1"/>
    <col min="11525" max="11528" width="12.140625" style="123" bestFit="1" customWidth="1"/>
    <col min="11529" max="11529" width="20.140625" style="123" customWidth="1"/>
    <col min="11530" max="11530" width="0" style="123" hidden="1" customWidth="1"/>
    <col min="11531" max="11532" width="17.5703125" style="123" customWidth="1"/>
    <col min="11533" max="11778" width="8" style="123"/>
    <col min="11779" max="11779" width="0" style="123" hidden="1" customWidth="1"/>
    <col min="11780" max="11780" width="7.140625" style="123" bestFit="1" customWidth="1"/>
    <col min="11781" max="11784" width="12.140625" style="123" bestFit="1" customWidth="1"/>
    <col min="11785" max="11785" width="20.140625" style="123" customWidth="1"/>
    <col min="11786" max="11786" width="0" style="123" hidden="1" customWidth="1"/>
    <col min="11787" max="11788" width="17.5703125" style="123" customWidth="1"/>
    <col min="11789" max="12034" width="8" style="123"/>
    <col min="12035" max="12035" width="0" style="123" hidden="1" customWidth="1"/>
    <col min="12036" max="12036" width="7.140625" style="123" bestFit="1" customWidth="1"/>
    <col min="12037" max="12040" width="12.140625" style="123" bestFit="1" customWidth="1"/>
    <col min="12041" max="12041" width="20.140625" style="123" customWidth="1"/>
    <col min="12042" max="12042" width="0" style="123" hidden="1" customWidth="1"/>
    <col min="12043" max="12044" width="17.5703125" style="123" customWidth="1"/>
    <col min="12045" max="12290" width="8" style="123"/>
    <col min="12291" max="12291" width="0" style="123" hidden="1" customWidth="1"/>
    <col min="12292" max="12292" width="7.140625" style="123" bestFit="1" customWidth="1"/>
    <col min="12293" max="12296" width="12.140625" style="123" bestFit="1" customWidth="1"/>
    <col min="12297" max="12297" width="20.140625" style="123" customWidth="1"/>
    <col min="12298" max="12298" width="0" style="123" hidden="1" customWidth="1"/>
    <col min="12299" max="12300" width="17.5703125" style="123" customWidth="1"/>
    <col min="12301" max="12546" width="8" style="123"/>
    <col min="12547" max="12547" width="0" style="123" hidden="1" customWidth="1"/>
    <col min="12548" max="12548" width="7.140625" style="123" bestFit="1" customWidth="1"/>
    <col min="12549" max="12552" width="12.140625" style="123" bestFit="1" customWidth="1"/>
    <col min="12553" max="12553" width="20.140625" style="123" customWidth="1"/>
    <col min="12554" max="12554" width="0" style="123" hidden="1" customWidth="1"/>
    <col min="12555" max="12556" width="17.5703125" style="123" customWidth="1"/>
    <col min="12557" max="12802" width="8" style="123"/>
    <col min="12803" max="12803" width="0" style="123" hidden="1" customWidth="1"/>
    <col min="12804" max="12804" width="7.140625" style="123" bestFit="1" customWidth="1"/>
    <col min="12805" max="12808" width="12.140625" style="123" bestFit="1" customWidth="1"/>
    <col min="12809" max="12809" width="20.140625" style="123" customWidth="1"/>
    <col min="12810" max="12810" width="0" style="123" hidden="1" customWidth="1"/>
    <col min="12811" max="12812" width="17.5703125" style="123" customWidth="1"/>
    <col min="12813" max="13058" width="8" style="123"/>
    <col min="13059" max="13059" width="0" style="123" hidden="1" customWidth="1"/>
    <col min="13060" max="13060" width="7.140625" style="123" bestFit="1" customWidth="1"/>
    <col min="13061" max="13064" width="12.140625" style="123" bestFit="1" customWidth="1"/>
    <col min="13065" max="13065" width="20.140625" style="123" customWidth="1"/>
    <col min="13066" max="13066" width="0" style="123" hidden="1" customWidth="1"/>
    <col min="13067" max="13068" width="17.5703125" style="123" customWidth="1"/>
    <col min="13069" max="13314" width="8" style="123"/>
    <col min="13315" max="13315" width="0" style="123" hidden="1" customWidth="1"/>
    <col min="13316" max="13316" width="7.140625" style="123" bestFit="1" customWidth="1"/>
    <col min="13317" max="13320" width="12.140625" style="123" bestFit="1" customWidth="1"/>
    <col min="13321" max="13321" width="20.140625" style="123" customWidth="1"/>
    <col min="13322" max="13322" width="0" style="123" hidden="1" customWidth="1"/>
    <col min="13323" max="13324" width="17.5703125" style="123" customWidth="1"/>
    <col min="13325" max="13570" width="8" style="123"/>
    <col min="13571" max="13571" width="0" style="123" hidden="1" customWidth="1"/>
    <col min="13572" max="13572" width="7.140625" style="123" bestFit="1" customWidth="1"/>
    <col min="13573" max="13576" width="12.140625" style="123" bestFit="1" customWidth="1"/>
    <col min="13577" max="13577" width="20.140625" style="123" customWidth="1"/>
    <col min="13578" max="13578" width="0" style="123" hidden="1" customWidth="1"/>
    <col min="13579" max="13580" width="17.5703125" style="123" customWidth="1"/>
    <col min="13581" max="13826" width="8" style="123"/>
    <col min="13827" max="13827" width="0" style="123" hidden="1" customWidth="1"/>
    <col min="13828" max="13828" width="7.140625" style="123" bestFit="1" customWidth="1"/>
    <col min="13829" max="13832" width="12.140625" style="123" bestFit="1" customWidth="1"/>
    <col min="13833" max="13833" width="20.140625" style="123" customWidth="1"/>
    <col min="13834" max="13834" width="0" style="123" hidden="1" customWidth="1"/>
    <col min="13835" max="13836" width="17.5703125" style="123" customWidth="1"/>
    <col min="13837" max="14082" width="8" style="123"/>
    <col min="14083" max="14083" width="0" style="123" hidden="1" customWidth="1"/>
    <col min="14084" max="14084" width="7.140625" style="123" bestFit="1" customWidth="1"/>
    <col min="14085" max="14088" width="12.140625" style="123" bestFit="1" customWidth="1"/>
    <col min="14089" max="14089" width="20.140625" style="123" customWidth="1"/>
    <col min="14090" max="14090" width="0" style="123" hidden="1" customWidth="1"/>
    <col min="14091" max="14092" width="17.5703125" style="123" customWidth="1"/>
    <col min="14093" max="14338" width="8" style="123"/>
    <col min="14339" max="14339" width="0" style="123" hidden="1" customWidth="1"/>
    <col min="14340" max="14340" width="7.140625" style="123" bestFit="1" customWidth="1"/>
    <col min="14341" max="14344" width="12.140625" style="123" bestFit="1" customWidth="1"/>
    <col min="14345" max="14345" width="20.140625" style="123" customWidth="1"/>
    <col min="14346" max="14346" width="0" style="123" hidden="1" customWidth="1"/>
    <col min="14347" max="14348" width="17.5703125" style="123" customWidth="1"/>
    <col min="14349" max="14594" width="8" style="123"/>
    <col min="14595" max="14595" width="0" style="123" hidden="1" customWidth="1"/>
    <col min="14596" max="14596" width="7.140625" style="123" bestFit="1" customWidth="1"/>
    <col min="14597" max="14600" width="12.140625" style="123" bestFit="1" customWidth="1"/>
    <col min="14601" max="14601" width="20.140625" style="123" customWidth="1"/>
    <col min="14602" max="14602" width="0" style="123" hidden="1" customWidth="1"/>
    <col min="14603" max="14604" width="17.5703125" style="123" customWidth="1"/>
    <col min="14605" max="14850" width="8" style="123"/>
    <col min="14851" max="14851" width="0" style="123" hidden="1" customWidth="1"/>
    <col min="14852" max="14852" width="7.140625" style="123" bestFit="1" customWidth="1"/>
    <col min="14853" max="14856" width="12.140625" style="123" bestFit="1" customWidth="1"/>
    <col min="14857" max="14857" width="20.140625" style="123" customWidth="1"/>
    <col min="14858" max="14858" width="0" style="123" hidden="1" customWidth="1"/>
    <col min="14859" max="14860" width="17.5703125" style="123" customWidth="1"/>
    <col min="14861" max="15106" width="8" style="123"/>
    <col min="15107" max="15107" width="0" style="123" hidden="1" customWidth="1"/>
    <col min="15108" max="15108" width="7.140625" style="123" bestFit="1" customWidth="1"/>
    <col min="15109" max="15112" width="12.140625" style="123" bestFit="1" customWidth="1"/>
    <col min="15113" max="15113" width="20.140625" style="123" customWidth="1"/>
    <col min="15114" max="15114" width="0" style="123" hidden="1" customWidth="1"/>
    <col min="15115" max="15116" width="17.5703125" style="123" customWidth="1"/>
    <col min="15117" max="15362" width="8" style="123"/>
    <col min="15363" max="15363" width="0" style="123" hidden="1" customWidth="1"/>
    <col min="15364" max="15364" width="7.140625" style="123" bestFit="1" customWidth="1"/>
    <col min="15365" max="15368" width="12.140625" style="123" bestFit="1" customWidth="1"/>
    <col min="15369" max="15369" width="20.140625" style="123" customWidth="1"/>
    <col min="15370" max="15370" width="0" style="123" hidden="1" customWidth="1"/>
    <col min="15371" max="15372" width="17.5703125" style="123" customWidth="1"/>
    <col min="15373" max="15618" width="8" style="123"/>
    <col min="15619" max="15619" width="0" style="123" hidden="1" customWidth="1"/>
    <col min="15620" max="15620" width="7.140625" style="123" bestFit="1" customWidth="1"/>
    <col min="15621" max="15624" width="12.140625" style="123" bestFit="1" customWidth="1"/>
    <col min="15625" max="15625" width="20.140625" style="123" customWidth="1"/>
    <col min="15626" max="15626" width="0" style="123" hidden="1" customWidth="1"/>
    <col min="15627" max="15628" width="17.5703125" style="123" customWidth="1"/>
    <col min="15629" max="15874" width="8" style="123"/>
    <col min="15875" max="15875" width="0" style="123" hidden="1" customWidth="1"/>
    <col min="15876" max="15876" width="7.140625" style="123" bestFit="1" customWidth="1"/>
    <col min="15877" max="15880" width="12.140625" style="123" bestFit="1" customWidth="1"/>
    <col min="15881" max="15881" width="20.140625" style="123" customWidth="1"/>
    <col min="15882" max="15882" width="0" style="123" hidden="1" customWidth="1"/>
    <col min="15883" max="15884" width="17.5703125" style="123" customWidth="1"/>
    <col min="15885" max="16130" width="8" style="123"/>
    <col min="16131" max="16131" width="0" style="123" hidden="1" customWidth="1"/>
    <col min="16132" max="16132" width="7.140625" style="123" bestFit="1" customWidth="1"/>
    <col min="16133" max="16136" width="12.140625" style="123" bestFit="1" customWidth="1"/>
    <col min="16137" max="16137" width="20.140625" style="123" customWidth="1"/>
    <col min="16138" max="16138" width="0" style="123" hidden="1" customWidth="1"/>
    <col min="16139" max="16140" width="17.5703125" style="123" customWidth="1"/>
    <col min="16141" max="16384" width="8" style="123"/>
  </cols>
  <sheetData>
    <row r="2" spans="1:11" ht="18.75" customHeight="1" x14ac:dyDescent="0.2">
      <c r="E2" s="124" t="s">
        <v>204</v>
      </c>
      <c r="F2" s="124" t="s">
        <v>204</v>
      </c>
      <c r="G2" s="124" t="s">
        <v>204</v>
      </c>
      <c r="H2" s="124" t="s">
        <v>204</v>
      </c>
      <c r="I2" s="125" t="s">
        <v>205</v>
      </c>
      <c r="J2" s="124" t="s">
        <v>206</v>
      </c>
      <c r="K2" s="124" t="s">
        <v>206</v>
      </c>
    </row>
    <row r="3" spans="1:11" s="126" customFormat="1" ht="17.25" customHeight="1" x14ac:dyDescent="0.2">
      <c r="E3" s="127" t="s">
        <v>207</v>
      </c>
      <c r="F3" s="127" t="s">
        <v>207</v>
      </c>
      <c r="G3" s="127" t="s">
        <v>207</v>
      </c>
      <c r="H3" s="127" t="s">
        <v>207</v>
      </c>
      <c r="I3" s="127" t="s">
        <v>207</v>
      </c>
      <c r="J3" s="127" t="s">
        <v>208</v>
      </c>
      <c r="K3" s="127" t="s">
        <v>208</v>
      </c>
    </row>
    <row r="4" spans="1:11" x14ac:dyDescent="0.2">
      <c r="E4" s="128"/>
      <c r="F4" s="128"/>
      <c r="G4" s="128"/>
      <c r="H4" s="128"/>
      <c r="I4" s="129"/>
      <c r="J4" s="128"/>
      <c r="K4" s="128"/>
    </row>
    <row r="5" spans="1:11" x14ac:dyDescent="0.2">
      <c r="B5" s="130" t="s">
        <v>209</v>
      </c>
      <c r="C5" s="130" t="s">
        <v>0</v>
      </c>
      <c r="D5" s="130" t="s">
        <v>97</v>
      </c>
      <c r="E5" s="131" t="s">
        <v>99</v>
      </c>
      <c r="F5" s="131" t="s">
        <v>100</v>
      </c>
      <c r="G5" s="131" t="s">
        <v>101</v>
      </c>
      <c r="H5" s="131" t="s">
        <v>102</v>
      </c>
      <c r="I5" s="132" t="s">
        <v>103</v>
      </c>
      <c r="J5" s="131" t="s">
        <v>104</v>
      </c>
      <c r="K5" s="131" t="s">
        <v>105</v>
      </c>
    </row>
    <row r="6" spans="1:11" x14ac:dyDescent="0.2">
      <c r="A6" s="133" t="s">
        <v>209</v>
      </c>
      <c r="I6" s="123"/>
      <c r="J6" s="123"/>
    </row>
    <row r="7" spans="1:11" x14ac:dyDescent="0.2">
      <c r="A7" s="134">
        <v>33269</v>
      </c>
      <c r="B7" s="134" t="str">
        <f>MONTH(A7)&amp;"_"&amp;YEAR(A7)</f>
        <v>1_1991</v>
      </c>
      <c r="C7" s="138">
        <f>YEAR(A7)</f>
        <v>1991</v>
      </c>
      <c r="D7" s="138">
        <f>MONTH(A7)</f>
        <v>1</v>
      </c>
      <c r="E7" s="123">
        <v>9.17</v>
      </c>
      <c r="F7" s="123">
        <v>9.39</v>
      </c>
      <c r="G7" s="123">
        <v>9.7100000000000009</v>
      </c>
      <c r="H7" s="123">
        <v>9.9600000000000009</v>
      </c>
      <c r="I7" s="135">
        <v>12.147080976934404</v>
      </c>
      <c r="J7" s="136">
        <v>15.323810844543059</v>
      </c>
      <c r="K7" s="136"/>
    </row>
    <row r="8" spans="1:11" x14ac:dyDescent="0.2">
      <c r="A8" s="134">
        <v>33297</v>
      </c>
      <c r="B8" s="134" t="str">
        <f t="shared" ref="B8:B29" si="0">MONTH(A8)&amp;"_"&amp;YEAR(A8)</f>
        <v>2_1991</v>
      </c>
      <c r="C8" s="138">
        <f t="shared" ref="C8:C29" si="1">YEAR(A8)</f>
        <v>1991</v>
      </c>
      <c r="D8" s="138">
        <f t="shared" ref="D8:D29" si="2">MONTH(A8)</f>
        <v>2</v>
      </c>
      <c r="E8" s="123">
        <v>8.92</v>
      </c>
      <c r="F8" s="123">
        <v>9.16</v>
      </c>
      <c r="G8" s="123">
        <v>9.4700000000000006</v>
      </c>
      <c r="H8" s="123">
        <v>9.68</v>
      </c>
      <c r="I8" s="135">
        <v>11.805596772763556</v>
      </c>
      <c r="J8" s="136">
        <v>13.284544777970728</v>
      </c>
      <c r="K8" s="136"/>
    </row>
    <row r="9" spans="1:11" x14ac:dyDescent="0.2">
      <c r="A9" s="134">
        <v>33328</v>
      </c>
      <c r="B9" s="134" t="str">
        <f t="shared" si="0"/>
        <v>3_1991</v>
      </c>
      <c r="C9" s="138">
        <f t="shared" si="1"/>
        <v>1991</v>
      </c>
      <c r="D9" s="138">
        <f t="shared" si="2"/>
        <v>3</v>
      </c>
      <c r="E9" s="123">
        <v>9.0399999999999991</v>
      </c>
      <c r="F9" s="123">
        <v>9.23</v>
      </c>
      <c r="G9" s="123">
        <v>9.5500000000000007</v>
      </c>
      <c r="H9" s="123">
        <v>9.74</v>
      </c>
      <c r="I9" s="135">
        <v>11.878771959371596</v>
      </c>
      <c r="J9" s="136">
        <v>12.468438138751955</v>
      </c>
      <c r="K9" s="136"/>
    </row>
    <row r="10" spans="1:11" x14ac:dyDescent="0.2">
      <c r="A10" s="134">
        <v>33358</v>
      </c>
      <c r="B10" s="134" t="str">
        <f t="shared" si="0"/>
        <v>4_1991</v>
      </c>
      <c r="C10" s="138">
        <f t="shared" si="1"/>
        <v>1991</v>
      </c>
      <c r="D10" s="138">
        <f t="shared" si="2"/>
        <v>4</v>
      </c>
      <c r="E10" s="123">
        <v>8.9499999999999993</v>
      </c>
      <c r="F10" s="123">
        <v>9.14</v>
      </c>
      <c r="G10" s="123">
        <v>9.4600000000000009</v>
      </c>
      <c r="H10" s="123">
        <v>9.64</v>
      </c>
      <c r="I10" s="135">
        <v>11.756813315024866</v>
      </c>
      <c r="J10" s="136">
        <v>12.115860120098905</v>
      </c>
      <c r="K10" s="136"/>
    </row>
    <row r="11" spans="1:11" x14ac:dyDescent="0.2">
      <c r="A11" s="134">
        <v>33389</v>
      </c>
      <c r="B11" s="134" t="str">
        <f t="shared" si="0"/>
        <v>5_1991</v>
      </c>
      <c r="C11" s="138">
        <f t="shared" si="1"/>
        <v>1991</v>
      </c>
      <c r="D11" s="138">
        <f t="shared" si="2"/>
        <v>5</v>
      </c>
      <c r="E11" s="123">
        <v>8.93</v>
      </c>
      <c r="F11" s="123">
        <v>9.16</v>
      </c>
      <c r="G11" s="123">
        <v>9.44</v>
      </c>
      <c r="H11" s="123">
        <v>9.64</v>
      </c>
      <c r="I11" s="135">
        <v>11.756813315024866</v>
      </c>
      <c r="J11" s="136">
        <v>12.188496515885202</v>
      </c>
      <c r="K11" s="136"/>
    </row>
    <row r="12" spans="1:11" x14ac:dyDescent="0.2">
      <c r="A12" s="134">
        <v>33419</v>
      </c>
      <c r="B12" s="134" t="str">
        <f t="shared" si="0"/>
        <v>6_1991</v>
      </c>
      <c r="C12" s="138">
        <f t="shared" si="1"/>
        <v>1991</v>
      </c>
      <c r="D12" s="138">
        <f t="shared" si="2"/>
        <v>6</v>
      </c>
      <c r="E12" s="123">
        <v>9.1</v>
      </c>
      <c r="F12" s="123">
        <v>9.2799999999999994</v>
      </c>
      <c r="G12" s="123">
        <v>9.59</v>
      </c>
      <c r="H12" s="123">
        <v>9.7899999999999991</v>
      </c>
      <c r="I12" s="135">
        <v>11.939751281544959</v>
      </c>
      <c r="J12" s="136">
        <v>12.072945521698985</v>
      </c>
      <c r="K12" s="136"/>
    </row>
    <row r="13" spans="1:11" x14ac:dyDescent="0.2">
      <c r="A13" s="134">
        <v>33450</v>
      </c>
      <c r="B13" s="134" t="str">
        <f t="shared" si="0"/>
        <v>7_1991</v>
      </c>
      <c r="C13" s="138">
        <f t="shared" si="1"/>
        <v>1991</v>
      </c>
      <c r="D13" s="138">
        <f t="shared" si="2"/>
        <v>7</v>
      </c>
      <c r="E13" s="123">
        <v>9.1</v>
      </c>
      <c r="F13" s="123">
        <v>9.26</v>
      </c>
      <c r="G13" s="123">
        <v>9.5500000000000007</v>
      </c>
      <c r="H13" s="123">
        <v>9.69</v>
      </c>
      <c r="I13" s="135">
        <v>11.817792637198229</v>
      </c>
      <c r="J13" s="136">
        <v>11.595339457763835</v>
      </c>
      <c r="K13" s="136"/>
    </row>
    <row r="14" spans="1:11" x14ac:dyDescent="0.2">
      <c r="A14" s="134">
        <v>33481</v>
      </c>
      <c r="B14" s="134" t="str">
        <f t="shared" si="0"/>
        <v>8_1991</v>
      </c>
      <c r="C14" s="138">
        <f t="shared" si="1"/>
        <v>1991</v>
      </c>
      <c r="D14" s="138">
        <f t="shared" si="2"/>
        <v>8</v>
      </c>
      <c r="E14" s="123">
        <v>8.81</v>
      </c>
      <c r="F14" s="123">
        <v>9.06</v>
      </c>
      <c r="G14" s="123">
        <v>9.2899999999999991</v>
      </c>
      <c r="H14" s="123">
        <v>9.4700000000000006</v>
      </c>
      <c r="I14" s="135">
        <v>11.549483619635422</v>
      </c>
      <c r="J14" s="136">
        <v>11.559573781078464</v>
      </c>
      <c r="K14" s="136"/>
    </row>
    <row r="15" spans="1:11" x14ac:dyDescent="0.2">
      <c r="A15" s="134">
        <v>33511</v>
      </c>
      <c r="B15" s="134" t="str">
        <f t="shared" si="0"/>
        <v>9_1991</v>
      </c>
      <c r="C15" s="138">
        <f t="shared" si="1"/>
        <v>1991</v>
      </c>
      <c r="D15" s="138">
        <f t="shared" si="2"/>
        <v>9</v>
      </c>
      <c r="E15" s="123">
        <v>8.65</v>
      </c>
      <c r="F15" s="123">
        <v>8.94</v>
      </c>
      <c r="G15" s="123">
        <v>9.15</v>
      </c>
      <c r="H15" s="123">
        <v>9.35</v>
      </c>
      <c r="I15" s="135">
        <v>11.403133246419344</v>
      </c>
      <c r="J15" s="136">
        <v>11.651110395880268</v>
      </c>
      <c r="K15" s="136"/>
    </row>
    <row r="16" spans="1:11" x14ac:dyDescent="0.2">
      <c r="A16" s="134">
        <v>33542</v>
      </c>
      <c r="B16" s="134" t="str">
        <f t="shared" si="0"/>
        <v>10_1991</v>
      </c>
      <c r="C16" s="138">
        <f t="shared" si="1"/>
        <v>1991</v>
      </c>
      <c r="D16" s="138">
        <f t="shared" si="2"/>
        <v>10</v>
      </c>
      <c r="E16" s="123">
        <v>8.57</v>
      </c>
      <c r="F16" s="123">
        <v>8.92</v>
      </c>
      <c r="G16" s="123">
        <v>9.1199999999999992</v>
      </c>
      <c r="H16" s="123">
        <v>9.32</v>
      </c>
      <c r="I16" s="135">
        <v>11.366545653115326</v>
      </c>
      <c r="J16" s="136">
        <v>11.343314618423788</v>
      </c>
      <c r="K16" s="136"/>
    </row>
    <row r="17" spans="1:11" x14ac:dyDescent="0.2">
      <c r="A17" s="134">
        <v>33572</v>
      </c>
      <c r="B17" s="134" t="str">
        <f t="shared" si="0"/>
        <v>11_1991</v>
      </c>
      <c r="C17" s="138">
        <f t="shared" si="1"/>
        <v>1991</v>
      </c>
      <c r="D17" s="138">
        <f t="shared" si="2"/>
        <v>11</v>
      </c>
      <c r="E17" s="123">
        <v>8.52</v>
      </c>
      <c r="F17" s="123">
        <v>8.8699999999999992</v>
      </c>
      <c r="G17" s="123">
        <v>9.0500000000000007</v>
      </c>
      <c r="H17" s="123">
        <v>9.2799999999999994</v>
      </c>
      <c r="I17" s="135">
        <v>11.317762195376632</v>
      </c>
      <c r="J17" s="136">
        <v>11.276306145953303</v>
      </c>
      <c r="K17" s="136"/>
    </row>
    <row r="18" spans="1:11" x14ac:dyDescent="0.2">
      <c r="A18" s="134">
        <v>33603</v>
      </c>
      <c r="B18" s="134" t="str">
        <f t="shared" si="0"/>
        <v>12_1991</v>
      </c>
      <c r="C18" s="138">
        <f t="shared" si="1"/>
        <v>1991</v>
      </c>
      <c r="D18" s="138">
        <f t="shared" si="2"/>
        <v>12</v>
      </c>
      <c r="E18" s="123">
        <v>8.3800000000000008</v>
      </c>
      <c r="F18" s="123">
        <v>8.7100000000000009</v>
      </c>
      <c r="G18" s="123">
        <v>8.8800000000000008</v>
      </c>
      <c r="H18" s="123">
        <v>9.07</v>
      </c>
      <c r="I18" s="135">
        <v>11.061649042248499</v>
      </c>
      <c r="J18" s="136">
        <v>11.509083402146986</v>
      </c>
      <c r="K18" s="136"/>
    </row>
    <row r="19" spans="1:11" x14ac:dyDescent="0.2">
      <c r="A19" s="134">
        <v>33634</v>
      </c>
      <c r="B19" s="134" t="str">
        <f t="shared" si="0"/>
        <v>1_1992</v>
      </c>
      <c r="C19" s="138">
        <f t="shared" si="1"/>
        <v>1992</v>
      </c>
      <c r="D19" s="138">
        <f t="shared" si="2"/>
        <v>1</v>
      </c>
      <c r="E19" s="123">
        <v>8.2200000000000006</v>
      </c>
      <c r="F19" s="123">
        <v>8.6300000000000008</v>
      </c>
      <c r="G19" s="123">
        <v>8.84</v>
      </c>
      <c r="H19" s="123">
        <v>8.98</v>
      </c>
      <c r="I19" s="135">
        <v>10.951886262336441</v>
      </c>
      <c r="J19" s="136">
        <v>11.107763382544942</v>
      </c>
      <c r="K19" s="136"/>
    </row>
    <row r="20" spans="1:11" x14ac:dyDescent="0.2">
      <c r="A20" s="134">
        <v>33663</v>
      </c>
      <c r="B20" s="134" t="str">
        <f t="shared" si="0"/>
        <v>2_1992</v>
      </c>
      <c r="C20" s="138">
        <f t="shared" si="1"/>
        <v>1992</v>
      </c>
      <c r="D20" s="138">
        <f t="shared" si="2"/>
        <v>2</v>
      </c>
      <c r="E20" s="123">
        <v>8.3000000000000007</v>
      </c>
      <c r="F20" s="123">
        <v>8.76</v>
      </c>
      <c r="G20" s="123">
        <v>8.93</v>
      </c>
      <c r="H20" s="123">
        <v>9.09</v>
      </c>
      <c r="I20" s="135">
        <v>11.086040771117844</v>
      </c>
      <c r="J20" s="136">
        <v>10.866343969179097</v>
      </c>
      <c r="K20" s="136"/>
    </row>
    <row r="21" spans="1:11" x14ac:dyDescent="0.2">
      <c r="A21" s="134">
        <v>33694</v>
      </c>
      <c r="B21" s="134" t="str">
        <f t="shared" si="0"/>
        <v>3_1992</v>
      </c>
      <c r="C21" s="138">
        <f t="shared" si="1"/>
        <v>1992</v>
      </c>
      <c r="D21" s="138">
        <f t="shared" si="2"/>
        <v>3</v>
      </c>
      <c r="E21" s="123">
        <v>8.39</v>
      </c>
      <c r="F21" s="123">
        <v>8.82</v>
      </c>
      <c r="G21" s="123">
        <v>8.9700000000000006</v>
      </c>
      <c r="H21" s="123">
        <v>9.16</v>
      </c>
      <c r="I21" s="135">
        <v>11.171411822160556</v>
      </c>
      <c r="J21" s="136">
        <v>10.970045625867883</v>
      </c>
      <c r="K21" s="136"/>
    </row>
    <row r="22" spans="1:11" x14ac:dyDescent="0.2">
      <c r="A22" s="134">
        <v>33724</v>
      </c>
      <c r="B22" s="134" t="str">
        <f t="shared" si="0"/>
        <v>4_1992</v>
      </c>
      <c r="C22" s="138">
        <f t="shared" si="1"/>
        <v>1992</v>
      </c>
      <c r="D22" s="138">
        <f t="shared" si="2"/>
        <v>4</v>
      </c>
      <c r="E22" s="123">
        <v>8.36</v>
      </c>
      <c r="F22" s="123">
        <v>8.76</v>
      </c>
      <c r="G22" s="123">
        <v>8.93</v>
      </c>
      <c r="H22" s="123">
        <v>9.11</v>
      </c>
      <c r="I22" s="135">
        <v>11.110432499987191</v>
      </c>
      <c r="J22" s="136">
        <v>11.13974231912785</v>
      </c>
      <c r="K22" s="136"/>
    </row>
    <row r="23" spans="1:11" x14ac:dyDescent="0.2">
      <c r="A23" s="134">
        <v>33755</v>
      </c>
      <c r="B23" s="134" t="str">
        <f t="shared" si="0"/>
        <v>5_1992</v>
      </c>
      <c r="C23" s="138">
        <f t="shared" si="1"/>
        <v>1992</v>
      </c>
      <c r="D23" s="138">
        <f t="shared" si="2"/>
        <v>5</v>
      </c>
      <c r="E23" s="123">
        <v>8.32</v>
      </c>
      <c r="F23" s="123">
        <v>8.69</v>
      </c>
      <c r="G23" s="123">
        <v>8.8699999999999992</v>
      </c>
      <c r="H23" s="123">
        <v>9.01</v>
      </c>
      <c r="I23" s="135">
        <v>10.988473855640459</v>
      </c>
      <c r="J23" s="136">
        <v>11.303230906036951</v>
      </c>
      <c r="K23" s="136"/>
    </row>
    <row r="24" spans="1:11" x14ac:dyDescent="0.2">
      <c r="A24" s="134">
        <v>33785</v>
      </c>
      <c r="B24" s="134" t="str">
        <f t="shared" si="0"/>
        <v>6_1992</v>
      </c>
      <c r="C24" s="138">
        <f t="shared" si="1"/>
        <v>1992</v>
      </c>
      <c r="D24" s="138">
        <f t="shared" si="2"/>
        <v>6</v>
      </c>
      <c r="E24" s="123">
        <v>8.26</v>
      </c>
      <c r="F24" s="123">
        <v>8.6300000000000008</v>
      </c>
      <c r="G24" s="123">
        <v>8.7799999999999994</v>
      </c>
      <c r="H24" s="123">
        <v>8.9</v>
      </c>
      <c r="I24" s="135">
        <v>10.854319346859056</v>
      </c>
      <c r="J24" s="136">
        <v>11.162515995668866</v>
      </c>
      <c r="K24" s="136"/>
    </row>
    <row r="25" spans="1:11" x14ac:dyDescent="0.2">
      <c r="A25" s="134">
        <v>33816</v>
      </c>
      <c r="B25" s="134" t="str">
        <f t="shared" si="0"/>
        <v>7_1992</v>
      </c>
      <c r="C25" s="138">
        <f t="shared" si="1"/>
        <v>1992</v>
      </c>
      <c r="D25" s="138">
        <f t="shared" si="2"/>
        <v>7</v>
      </c>
      <c r="E25" s="123">
        <v>8.1199999999999992</v>
      </c>
      <c r="F25" s="123">
        <v>8.4499999999999993</v>
      </c>
      <c r="G25" s="123">
        <v>8.57</v>
      </c>
      <c r="H25" s="123">
        <v>8.69</v>
      </c>
      <c r="I25" s="135">
        <v>10.59820619373092</v>
      </c>
      <c r="J25" s="136">
        <v>11.020688302774781</v>
      </c>
      <c r="K25" s="136"/>
    </row>
    <row r="26" spans="1:11" x14ac:dyDescent="0.2">
      <c r="A26" s="134">
        <v>33847</v>
      </c>
      <c r="B26" s="134" t="str">
        <f t="shared" si="0"/>
        <v>8_1992</v>
      </c>
      <c r="C26" s="138">
        <f t="shared" si="1"/>
        <v>1992</v>
      </c>
      <c r="D26" s="138">
        <f t="shared" si="2"/>
        <v>8</v>
      </c>
      <c r="E26" s="123">
        <v>8.0399999999999991</v>
      </c>
      <c r="F26" s="123">
        <v>8.3000000000000007</v>
      </c>
      <c r="G26" s="123">
        <v>8.44</v>
      </c>
      <c r="H26" s="123">
        <v>8.58</v>
      </c>
      <c r="I26" s="135">
        <v>10.464051684949517</v>
      </c>
      <c r="J26" s="136">
        <v>10.940555338287055</v>
      </c>
      <c r="K26" s="136"/>
    </row>
    <row r="27" spans="1:11" x14ac:dyDescent="0.2">
      <c r="A27" s="134">
        <v>33877</v>
      </c>
      <c r="B27" s="134" t="str">
        <f t="shared" si="0"/>
        <v>9_1992</v>
      </c>
      <c r="C27" s="138">
        <f t="shared" si="1"/>
        <v>1992</v>
      </c>
      <c r="D27" s="138">
        <f t="shared" si="2"/>
        <v>9</v>
      </c>
      <c r="E27" s="123">
        <v>8.0399999999999991</v>
      </c>
      <c r="F27" s="123">
        <v>8.2799999999999994</v>
      </c>
      <c r="G27" s="123">
        <v>8.4</v>
      </c>
      <c r="H27" s="123">
        <v>8.5399999999999991</v>
      </c>
      <c r="I27" s="135">
        <v>10.415268227210824</v>
      </c>
      <c r="J27" s="136">
        <v>10.917287338298706</v>
      </c>
      <c r="K27" s="136"/>
    </row>
    <row r="28" spans="1:11" x14ac:dyDescent="0.2">
      <c r="A28" s="134">
        <v>33908</v>
      </c>
      <c r="B28" s="134" t="str">
        <f t="shared" si="0"/>
        <v>10_1992</v>
      </c>
      <c r="C28" s="138">
        <f t="shared" si="1"/>
        <v>1992</v>
      </c>
      <c r="D28" s="138">
        <f t="shared" si="2"/>
        <v>10</v>
      </c>
      <c r="E28" s="123">
        <v>8.06</v>
      </c>
      <c r="F28" s="123">
        <v>8.42</v>
      </c>
      <c r="G28" s="123">
        <v>8.5399999999999991</v>
      </c>
      <c r="H28" s="123">
        <v>8.76</v>
      </c>
      <c r="I28" s="135">
        <v>10.683577244773632</v>
      </c>
      <c r="J28" s="136">
        <v>11.106655974338411</v>
      </c>
      <c r="K28" s="136"/>
    </row>
    <row r="29" spans="1:11" x14ac:dyDescent="0.2">
      <c r="A29" s="134">
        <v>33938</v>
      </c>
      <c r="B29" s="134" t="str">
        <f t="shared" si="0"/>
        <v>11_1992</v>
      </c>
      <c r="C29" s="138">
        <f t="shared" si="1"/>
        <v>1992</v>
      </c>
      <c r="D29" s="138">
        <f t="shared" si="2"/>
        <v>11</v>
      </c>
      <c r="E29" s="123">
        <v>8.11</v>
      </c>
      <c r="F29" s="123">
        <v>8.51</v>
      </c>
      <c r="G29" s="123">
        <v>8.6300000000000008</v>
      </c>
      <c r="H29" s="123">
        <v>8.86</v>
      </c>
      <c r="I29" s="135">
        <v>10.805535889120362</v>
      </c>
      <c r="J29" s="136">
        <v>11.034620373141774</v>
      </c>
      <c r="K29" s="136"/>
    </row>
  </sheetData>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D8"/>
  <sheetViews>
    <sheetView workbookViewId="0">
      <selection activeCell="C26" sqref="C26"/>
    </sheetView>
  </sheetViews>
  <sheetFormatPr defaultRowHeight="15" x14ac:dyDescent="0.25"/>
  <cols>
    <col min="3" max="3" width="10.7109375" bestFit="1" customWidth="1"/>
  </cols>
  <sheetData>
    <row r="1" spans="1:4" x14ac:dyDescent="0.25">
      <c r="A1" t="s">
        <v>106</v>
      </c>
      <c r="D1" t="s">
        <v>107</v>
      </c>
    </row>
    <row r="2" spans="1:4" x14ac:dyDescent="0.25">
      <c r="A2" t="s">
        <v>108</v>
      </c>
      <c r="D2" t="s">
        <v>109</v>
      </c>
    </row>
    <row r="4" spans="1:4" x14ac:dyDescent="0.25">
      <c r="A4" s="79" t="s">
        <v>110</v>
      </c>
      <c r="B4" s="79" t="s">
        <v>111</v>
      </c>
      <c r="C4" s="80" t="s">
        <v>112</v>
      </c>
    </row>
    <row r="5" spans="1:4" x14ac:dyDescent="0.25">
      <c r="A5" s="79" t="s">
        <v>113</v>
      </c>
      <c r="B5" s="79"/>
      <c r="C5" s="81">
        <v>42174</v>
      </c>
    </row>
    <row r="6" spans="1:4" x14ac:dyDescent="0.25">
      <c r="A6" s="79" t="s">
        <v>114</v>
      </c>
      <c r="B6" s="79" t="s">
        <v>115</v>
      </c>
      <c r="C6" s="81">
        <v>41977</v>
      </c>
    </row>
    <row r="7" spans="1:4" x14ac:dyDescent="0.25">
      <c r="A7" s="79" t="s">
        <v>114</v>
      </c>
      <c r="B7" s="79"/>
      <c r="C7" s="81">
        <v>37243</v>
      </c>
    </row>
    <row r="8" spans="1:4" x14ac:dyDescent="0.25">
      <c r="A8" s="79" t="s">
        <v>101</v>
      </c>
      <c r="B8" s="79"/>
      <c r="C8" s="81">
        <v>36914</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255"/>
  <sheetViews>
    <sheetView workbookViewId="0">
      <selection activeCell="F25" sqref="F25"/>
    </sheetView>
  </sheetViews>
  <sheetFormatPr defaultRowHeight="15" x14ac:dyDescent="0.25"/>
  <cols>
    <col min="1" max="1" width="9.42578125" bestFit="1" customWidth="1"/>
    <col min="2" max="2" width="9.42578125" customWidth="1"/>
  </cols>
  <sheetData>
    <row r="1" spans="1:13" x14ac:dyDescent="0.25">
      <c r="A1" t="s">
        <v>171</v>
      </c>
    </row>
    <row r="2" spans="1:13" x14ac:dyDescent="0.25">
      <c r="A2" t="s">
        <v>134</v>
      </c>
    </row>
    <row r="3" spans="1:13" x14ac:dyDescent="0.25">
      <c r="A3" t="s">
        <v>135</v>
      </c>
    </row>
    <row r="4" spans="1:13" x14ac:dyDescent="0.25">
      <c r="A4" t="s">
        <v>136</v>
      </c>
    </row>
    <row r="5" spans="1:13" x14ac:dyDescent="0.25">
      <c r="A5" t="s">
        <v>137</v>
      </c>
      <c r="C5" t="s">
        <v>138</v>
      </c>
    </row>
    <row r="6" spans="1:13" x14ac:dyDescent="0.25">
      <c r="A6" t="s">
        <v>139</v>
      </c>
      <c r="C6" t="s">
        <v>140</v>
      </c>
    </row>
    <row r="7" spans="1:13" x14ac:dyDescent="0.25">
      <c r="A7" s="91">
        <v>5115</v>
      </c>
      <c r="B7" s="96">
        <f>YEAR(A7)</f>
        <v>1914</v>
      </c>
      <c r="C7">
        <v>6</v>
      </c>
    </row>
    <row r="8" spans="1:13" ht="15.75" x14ac:dyDescent="0.25">
      <c r="A8" s="91">
        <v>5146</v>
      </c>
      <c r="B8" s="96">
        <f t="shared" ref="B8:B71" si="0">YEAR(A8)</f>
        <v>1914</v>
      </c>
      <c r="C8">
        <v>6</v>
      </c>
      <c r="M8" s="140"/>
    </row>
    <row r="9" spans="1:13" x14ac:dyDescent="0.25">
      <c r="A9" s="91">
        <v>5174</v>
      </c>
      <c r="B9" s="96">
        <f t="shared" si="0"/>
        <v>1914</v>
      </c>
      <c r="C9">
        <v>6</v>
      </c>
    </row>
    <row r="10" spans="1:13" x14ac:dyDescent="0.25">
      <c r="A10" s="91">
        <v>5205</v>
      </c>
      <c r="B10" s="96">
        <f t="shared" si="0"/>
        <v>1914</v>
      </c>
      <c r="C10">
        <v>6</v>
      </c>
    </row>
    <row r="11" spans="1:13" x14ac:dyDescent="0.25">
      <c r="A11" s="91">
        <v>5235</v>
      </c>
      <c r="B11" s="96">
        <f t="shared" si="0"/>
        <v>1914</v>
      </c>
      <c r="C11">
        <v>5.9</v>
      </c>
    </row>
    <row r="12" spans="1:13" x14ac:dyDescent="0.25">
      <c r="A12" s="91">
        <v>5266</v>
      </c>
      <c r="B12" s="96">
        <f t="shared" si="0"/>
        <v>1914</v>
      </c>
      <c r="C12">
        <v>6</v>
      </c>
    </row>
    <row r="13" spans="1:13" x14ac:dyDescent="0.25">
      <c r="A13" s="91">
        <v>5296</v>
      </c>
      <c r="B13" s="96">
        <f t="shared" si="0"/>
        <v>1914</v>
      </c>
      <c r="C13">
        <v>5.9</v>
      </c>
    </row>
    <row r="14" spans="1:13" x14ac:dyDescent="0.25">
      <c r="A14" s="91">
        <v>5327</v>
      </c>
      <c r="B14" s="96">
        <f t="shared" si="0"/>
        <v>1914</v>
      </c>
      <c r="C14">
        <v>6</v>
      </c>
    </row>
    <row r="15" spans="1:13" x14ac:dyDescent="0.25">
      <c r="A15" s="91">
        <v>5358</v>
      </c>
      <c r="B15" s="96">
        <f t="shared" si="0"/>
        <v>1914</v>
      </c>
      <c r="C15">
        <v>6</v>
      </c>
    </row>
    <row r="16" spans="1:13" x14ac:dyDescent="0.25">
      <c r="A16" s="91">
        <v>5388</v>
      </c>
      <c r="B16" s="96">
        <f t="shared" si="0"/>
        <v>1914</v>
      </c>
      <c r="C16">
        <v>6.1</v>
      </c>
    </row>
    <row r="17" spans="1:3" x14ac:dyDescent="0.25">
      <c r="A17" s="91">
        <v>5419</v>
      </c>
      <c r="B17" s="96">
        <f t="shared" si="0"/>
        <v>1914</v>
      </c>
      <c r="C17">
        <v>6.1</v>
      </c>
    </row>
    <row r="18" spans="1:3" x14ac:dyDescent="0.25">
      <c r="A18" s="91">
        <v>5449</v>
      </c>
      <c r="B18" s="96">
        <f t="shared" si="0"/>
        <v>1914</v>
      </c>
      <c r="C18">
        <v>6.1</v>
      </c>
    </row>
    <row r="19" spans="1:3" x14ac:dyDescent="0.25">
      <c r="A19" s="91">
        <v>5480</v>
      </c>
      <c r="B19" s="96">
        <f t="shared" si="0"/>
        <v>1915</v>
      </c>
      <c r="C19">
        <v>6.1</v>
      </c>
    </row>
    <row r="20" spans="1:3" x14ac:dyDescent="0.25">
      <c r="A20" s="91">
        <v>5511</v>
      </c>
      <c r="B20" s="96">
        <f t="shared" si="0"/>
        <v>1915</v>
      </c>
      <c r="C20">
        <v>6.1</v>
      </c>
    </row>
    <row r="21" spans="1:3" x14ac:dyDescent="0.25">
      <c r="A21" s="91">
        <v>5539</v>
      </c>
      <c r="B21" s="96">
        <f t="shared" si="0"/>
        <v>1915</v>
      </c>
      <c r="C21">
        <v>6.1</v>
      </c>
    </row>
    <row r="22" spans="1:3" x14ac:dyDescent="0.25">
      <c r="A22" s="91">
        <v>5570</v>
      </c>
      <c r="B22" s="96">
        <f t="shared" si="0"/>
        <v>1915</v>
      </c>
      <c r="C22">
        <v>6.1</v>
      </c>
    </row>
    <row r="23" spans="1:3" x14ac:dyDescent="0.25">
      <c r="A23" s="91">
        <v>5600</v>
      </c>
      <c r="B23" s="96">
        <f t="shared" si="0"/>
        <v>1915</v>
      </c>
      <c r="C23">
        <v>6.1</v>
      </c>
    </row>
    <row r="24" spans="1:3" x14ac:dyDescent="0.25">
      <c r="A24" s="91">
        <v>5631</v>
      </c>
      <c r="B24" s="96">
        <f t="shared" si="0"/>
        <v>1915</v>
      </c>
      <c r="C24">
        <v>6.1</v>
      </c>
    </row>
    <row r="25" spans="1:3" x14ac:dyDescent="0.25">
      <c r="A25" s="91">
        <v>5661</v>
      </c>
      <c r="B25" s="96">
        <f t="shared" si="0"/>
        <v>1915</v>
      </c>
      <c r="C25">
        <v>6.1</v>
      </c>
    </row>
    <row r="26" spans="1:3" x14ac:dyDescent="0.25">
      <c r="A26" s="91">
        <v>5692</v>
      </c>
      <c r="B26" s="96">
        <f t="shared" si="0"/>
        <v>1915</v>
      </c>
      <c r="C26">
        <v>6.1</v>
      </c>
    </row>
    <row r="27" spans="1:3" x14ac:dyDescent="0.25">
      <c r="A27" s="91">
        <v>5723</v>
      </c>
      <c r="B27" s="96">
        <f t="shared" si="0"/>
        <v>1915</v>
      </c>
      <c r="C27">
        <v>6.1</v>
      </c>
    </row>
    <row r="28" spans="1:3" x14ac:dyDescent="0.25">
      <c r="A28" s="91">
        <v>5753</v>
      </c>
      <c r="B28" s="96">
        <f t="shared" si="0"/>
        <v>1915</v>
      </c>
      <c r="C28">
        <v>6.1</v>
      </c>
    </row>
    <row r="29" spans="1:3" x14ac:dyDescent="0.25">
      <c r="A29" s="91">
        <v>5784</v>
      </c>
      <c r="B29" s="96">
        <f t="shared" si="0"/>
        <v>1915</v>
      </c>
      <c r="C29">
        <v>6.3</v>
      </c>
    </row>
    <row r="30" spans="1:3" x14ac:dyDescent="0.25">
      <c r="A30" s="91">
        <v>5814</v>
      </c>
      <c r="B30" s="96">
        <f t="shared" si="0"/>
        <v>1915</v>
      </c>
      <c r="C30">
        <v>6.3</v>
      </c>
    </row>
    <row r="31" spans="1:3" x14ac:dyDescent="0.25">
      <c r="A31" s="91">
        <v>5845</v>
      </c>
      <c r="B31" s="96">
        <f t="shared" si="0"/>
        <v>1916</v>
      </c>
      <c r="C31">
        <v>6.4</v>
      </c>
    </row>
    <row r="32" spans="1:3" x14ac:dyDescent="0.25">
      <c r="A32" s="91">
        <v>5876</v>
      </c>
      <c r="B32" s="96">
        <f t="shared" si="0"/>
        <v>1916</v>
      </c>
      <c r="C32">
        <v>6.5</v>
      </c>
    </row>
    <row r="33" spans="1:3" x14ac:dyDescent="0.25">
      <c r="A33" s="91">
        <v>5905</v>
      </c>
      <c r="B33" s="96">
        <f t="shared" si="0"/>
        <v>1916</v>
      </c>
      <c r="C33">
        <v>6.5</v>
      </c>
    </row>
    <row r="34" spans="1:3" x14ac:dyDescent="0.25">
      <c r="A34" s="91">
        <v>5936</v>
      </c>
      <c r="B34" s="96">
        <f t="shared" si="0"/>
        <v>1916</v>
      </c>
      <c r="C34">
        <v>6.5</v>
      </c>
    </row>
    <row r="35" spans="1:3" x14ac:dyDescent="0.25">
      <c r="A35" s="91">
        <v>5966</v>
      </c>
      <c r="B35" s="96">
        <f t="shared" si="0"/>
        <v>1916</v>
      </c>
      <c r="C35">
        <v>6.5</v>
      </c>
    </row>
    <row r="36" spans="1:3" x14ac:dyDescent="0.25">
      <c r="A36" s="91">
        <v>5997</v>
      </c>
      <c r="B36" s="96">
        <f t="shared" si="0"/>
        <v>1916</v>
      </c>
      <c r="C36">
        <v>6.6</v>
      </c>
    </row>
    <row r="37" spans="1:3" x14ac:dyDescent="0.25">
      <c r="A37" s="91">
        <v>6027</v>
      </c>
      <c r="B37" s="96">
        <f t="shared" si="0"/>
        <v>1916</v>
      </c>
      <c r="C37">
        <v>6.6</v>
      </c>
    </row>
    <row r="38" spans="1:3" x14ac:dyDescent="0.25">
      <c r="A38" s="91">
        <v>6058</v>
      </c>
      <c r="B38" s="96">
        <f t="shared" si="0"/>
        <v>1916</v>
      </c>
      <c r="C38">
        <v>6.6</v>
      </c>
    </row>
    <row r="39" spans="1:3" x14ac:dyDescent="0.25">
      <c r="A39" s="91">
        <v>6089</v>
      </c>
      <c r="B39" s="96">
        <f t="shared" si="0"/>
        <v>1916</v>
      </c>
      <c r="C39">
        <v>6.8</v>
      </c>
    </row>
    <row r="40" spans="1:3" x14ac:dyDescent="0.25">
      <c r="A40" s="91">
        <v>6119</v>
      </c>
      <c r="B40" s="96">
        <f t="shared" si="0"/>
        <v>1916</v>
      </c>
      <c r="C40">
        <v>6.9</v>
      </c>
    </row>
    <row r="41" spans="1:3" x14ac:dyDescent="0.25">
      <c r="A41" s="91">
        <v>6150</v>
      </c>
      <c r="B41" s="96">
        <f t="shared" si="0"/>
        <v>1916</v>
      </c>
      <c r="C41">
        <v>7.1</v>
      </c>
    </row>
    <row r="42" spans="1:3" x14ac:dyDescent="0.25">
      <c r="A42" s="91">
        <v>6180</v>
      </c>
      <c r="B42" s="96">
        <f t="shared" si="0"/>
        <v>1916</v>
      </c>
      <c r="C42">
        <v>7.2</v>
      </c>
    </row>
    <row r="43" spans="1:3" x14ac:dyDescent="0.25">
      <c r="A43" s="91">
        <v>6211</v>
      </c>
      <c r="B43" s="96">
        <f t="shared" si="0"/>
        <v>1917</v>
      </c>
      <c r="C43">
        <v>7.4</v>
      </c>
    </row>
    <row r="44" spans="1:3" x14ac:dyDescent="0.25">
      <c r="A44" s="91">
        <v>6242</v>
      </c>
      <c r="B44" s="96">
        <f t="shared" si="0"/>
        <v>1917</v>
      </c>
      <c r="C44">
        <v>7.4</v>
      </c>
    </row>
    <row r="45" spans="1:3" x14ac:dyDescent="0.25">
      <c r="A45" s="91">
        <v>6270</v>
      </c>
      <c r="B45" s="96">
        <f t="shared" si="0"/>
        <v>1917</v>
      </c>
      <c r="C45">
        <v>7.6</v>
      </c>
    </row>
    <row r="46" spans="1:3" x14ac:dyDescent="0.25">
      <c r="A46" s="91">
        <v>6301</v>
      </c>
      <c r="B46" s="96">
        <f t="shared" si="0"/>
        <v>1917</v>
      </c>
      <c r="C46">
        <v>7.6</v>
      </c>
    </row>
    <row r="47" spans="1:3" x14ac:dyDescent="0.25">
      <c r="A47" s="91">
        <v>6331</v>
      </c>
      <c r="B47" s="96">
        <f t="shared" si="0"/>
        <v>1917</v>
      </c>
      <c r="C47">
        <v>7.9</v>
      </c>
    </row>
    <row r="48" spans="1:3" x14ac:dyDescent="0.25">
      <c r="A48" s="91">
        <v>6362</v>
      </c>
      <c r="B48" s="96">
        <f t="shared" si="0"/>
        <v>1917</v>
      </c>
      <c r="C48">
        <v>8</v>
      </c>
    </row>
    <row r="49" spans="1:3" x14ac:dyDescent="0.25">
      <c r="A49" s="91">
        <v>6392</v>
      </c>
      <c r="B49" s="96">
        <f t="shared" si="0"/>
        <v>1917</v>
      </c>
      <c r="C49">
        <v>8</v>
      </c>
    </row>
    <row r="50" spans="1:3" x14ac:dyDescent="0.25">
      <c r="A50" s="91">
        <v>6423</v>
      </c>
      <c r="B50" s="96">
        <f t="shared" si="0"/>
        <v>1917</v>
      </c>
      <c r="C50">
        <v>8</v>
      </c>
    </row>
    <row r="51" spans="1:3" x14ac:dyDescent="0.25">
      <c r="A51" s="91">
        <v>6454</v>
      </c>
      <c r="B51" s="96">
        <f t="shared" si="0"/>
        <v>1917</v>
      </c>
      <c r="C51">
        <v>8</v>
      </c>
    </row>
    <row r="52" spans="1:3" x14ac:dyDescent="0.25">
      <c r="A52" s="91">
        <v>6484</v>
      </c>
      <c r="B52" s="96">
        <f t="shared" si="0"/>
        <v>1917</v>
      </c>
      <c r="C52">
        <v>8.1999999999999993</v>
      </c>
    </row>
    <row r="53" spans="1:3" x14ac:dyDescent="0.25">
      <c r="A53" s="91">
        <v>6515</v>
      </c>
      <c r="B53" s="96">
        <f t="shared" si="0"/>
        <v>1917</v>
      </c>
      <c r="C53">
        <v>8.1999999999999993</v>
      </c>
    </row>
    <row r="54" spans="1:3" x14ac:dyDescent="0.25">
      <c r="A54" s="91">
        <v>6545</v>
      </c>
      <c r="B54" s="96">
        <f t="shared" si="0"/>
        <v>1917</v>
      </c>
      <c r="C54">
        <v>8.3000000000000007</v>
      </c>
    </row>
    <row r="55" spans="1:3" x14ac:dyDescent="0.25">
      <c r="A55" s="91">
        <v>6576</v>
      </c>
      <c r="B55" s="96">
        <f t="shared" si="0"/>
        <v>1918</v>
      </c>
      <c r="C55">
        <v>8.4</v>
      </c>
    </row>
    <row r="56" spans="1:3" x14ac:dyDescent="0.25">
      <c r="A56" s="91">
        <v>6607</v>
      </c>
      <c r="B56" s="96">
        <f t="shared" si="0"/>
        <v>1918</v>
      </c>
      <c r="C56">
        <v>8.5</v>
      </c>
    </row>
    <row r="57" spans="1:3" x14ac:dyDescent="0.25">
      <c r="A57" s="91">
        <v>6635</v>
      </c>
      <c r="B57" s="96">
        <f t="shared" si="0"/>
        <v>1918</v>
      </c>
      <c r="C57">
        <v>8.6</v>
      </c>
    </row>
    <row r="58" spans="1:3" x14ac:dyDescent="0.25">
      <c r="A58" s="91">
        <v>6666</v>
      </c>
      <c r="B58" s="96">
        <f t="shared" si="0"/>
        <v>1918</v>
      </c>
      <c r="C58">
        <v>8.6</v>
      </c>
    </row>
    <row r="59" spans="1:3" x14ac:dyDescent="0.25">
      <c r="A59" s="91">
        <v>6696</v>
      </c>
      <c r="B59" s="96">
        <f t="shared" si="0"/>
        <v>1918</v>
      </c>
      <c r="C59">
        <v>8.6999999999999993</v>
      </c>
    </row>
    <row r="60" spans="1:3" x14ac:dyDescent="0.25">
      <c r="A60" s="91">
        <v>6727</v>
      </c>
      <c r="B60" s="96">
        <f t="shared" si="0"/>
        <v>1918</v>
      </c>
      <c r="C60">
        <v>8.8000000000000007</v>
      </c>
    </row>
    <row r="61" spans="1:3" x14ac:dyDescent="0.25">
      <c r="A61" s="91">
        <v>6757</v>
      </c>
      <c r="B61" s="96">
        <f t="shared" si="0"/>
        <v>1918</v>
      </c>
      <c r="C61">
        <v>8.9</v>
      </c>
    </row>
    <row r="62" spans="1:3" x14ac:dyDescent="0.25">
      <c r="A62" s="91">
        <v>6788</v>
      </c>
      <c r="B62" s="96">
        <f t="shared" si="0"/>
        <v>1918</v>
      </c>
      <c r="C62">
        <v>9.1999999999999993</v>
      </c>
    </row>
    <row r="63" spans="1:3" x14ac:dyDescent="0.25">
      <c r="A63" s="91">
        <v>6819</v>
      </c>
      <c r="B63" s="96">
        <f t="shared" si="0"/>
        <v>1918</v>
      </c>
      <c r="C63">
        <v>9.1999999999999993</v>
      </c>
    </row>
    <row r="64" spans="1:3" x14ac:dyDescent="0.25">
      <c r="A64" s="91">
        <v>6849</v>
      </c>
      <c r="B64" s="96">
        <f t="shared" si="0"/>
        <v>1918</v>
      </c>
      <c r="C64">
        <v>9.3000000000000007</v>
      </c>
    </row>
    <row r="65" spans="1:3" x14ac:dyDescent="0.25">
      <c r="A65" s="91">
        <v>6880</v>
      </c>
      <c r="B65" s="96">
        <f t="shared" si="0"/>
        <v>1918</v>
      </c>
      <c r="C65">
        <v>9.4</v>
      </c>
    </row>
    <row r="66" spans="1:3" x14ac:dyDescent="0.25">
      <c r="A66" s="91">
        <v>6910</v>
      </c>
      <c r="B66" s="96">
        <f t="shared" si="0"/>
        <v>1918</v>
      </c>
      <c r="C66">
        <v>9.4</v>
      </c>
    </row>
    <row r="67" spans="1:3" x14ac:dyDescent="0.25">
      <c r="A67" s="91">
        <v>6941</v>
      </c>
      <c r="B67" s="96">
        <f t="shared" si="0"/>
        <v>1919</v>
      </c>
      <c r="C67">
        <v>9.5</v>
      </c>
    </row>
    <row r="68" spans="1:3" x14ac:dyDescent="0.25">
      <c r="A68" s="91">
        <v>6972</v>
      </c>
      <c r="B68" s="96">
        <f t="shared" si="0"/>
        <v>1919</v>
      </c>
      <c r="C68">
        <v>9.4</v>
      </c>
    </row>
    <row r="69" spans="1:3" x14ac:dyDescent="0.25">
      <c r="A69" s="91">
        <v>7000</v>
      </c>
      <c r="B69" s="96">
        <f t="shared" si="0"/>
        <v>1919</v>
      </c>
      <c r="C69">
        <v>9.4</v>
      </c>
    </row>
    <row r="70" spans="1:3" x14ac:dyDescent="0.25">
      <c r="A70" s="91">
        <v>7031</v>
      </c>
      <c r="B70" s="96">
        <f t="shared" si="0"/>
        <v>1919</v>
      </c>
      <c r="C70">
        <v>9.4</v>
      </c>
    </row>
    <row r="71" spans="1:3" x14ac:dyDescent="0.25">
      <c r="A71" s="91">
        <v>7061</v>
      </c>
      <c r="B71" s="96">
        <f t="shared" si="0"/>
        <v>1919</v>
      </c>
      <c r="C71">
        <v>9.6999999999999993</v>
      </c>
    </row>
    <row r="72" spans="1:3" x14ac:dyDescent="0.25">
      <c r="A72" s="91">
        <v>7092</v>
      </c>
      <c r="B72" s="96">
        <f t="shared" ref="B72:B135" si="1">YEAR(A72)</f>
        <v>1919</v>
      </c>
      <c r="C72">
        <v>9.6999999999999993</v>
      </c>
    </row>
    <row r="73" spans="1:3" x14ac:dyDescent="0.25">
      <c r="A73" s="91">
        <v>7122</v>
      </c>
      <c r="B73" s="96">
        <f t="shared" si="1"/>
        <v>1919</v>
      </c>
      <c r="C73">
        <v>9.8000000000000007</v>
      </c>
    </row>
    <row r="74" spans="1:3" x14ac:dyDescent="0.25">
      <c r="A74" s="91">
        <v>7153</v>
      </c>
      <c r="B74" s="96">
        <f t="shared" si="1"/>
        <v>1919</v>
      </c>
      <c r="C74">
        <v>10</v>
      </c>
    </row>
    <row r="75" spans="1:3" x14ac:dyDescent="0.25">
      <c r="A75" s="91">
        <v>7184</v>
      </c>
      <c r="B75" s="96">
        <f t="shared" si="1"/>
        <v>1919</v>
      </c>
      <c r="C75">
        <v>10</v>
      </c>
    </row>
    <row r="76" spans="1:3" x14ac:dyDescent="0.25">
      <c r="A76" s="91">
        <v>7214</v>
      </c>
      <c r="B76" s="96">
        <f t="shared" si="1"/>
        <v>1919</v>
      </c>
      <c r="C76">
        <v>10</v>
      </c>
    </row>
    <row r="77" spans="1:3" x14ac:dyDescent="0.25">
      <c r="A77" s="91">
        <v>7245</v>
      </c>
      <c r="B77" s="96">
        <f t="shared" si="1"/>
        <v>1919</v>
      </c>
      <c r="C77">
        <v>10.1</v>
      </c>
    </row>
    <row r="78" spans="1:3" x14ac:dyDescent="0.25">
      <c r="A78" s="91">
        <v>7275</v>
      </c>
      <c r="B78" s="96">
        <f t="shared" si="1"/>
        <v>1919</v>
      </c>
      <c r="C78">
        <v>10.199999999999999</v>
      </c>
    </row>
    <row r="79" spans="1:3" x14ac:dyDescent="0.25">
      <c r="A79" s="91">
        <v>7306</v>
      </c>
      <c r="B79" s="96">
        <f t="shared" si="1"/>
        <v>1920</v>
      </c>
      <c r="C79">
        <v>10.6</v>
      </c>
    </row>
    <row r="80" spans="1:3" x14ac:dyDescent="0.25">
      <c r="A80" s="91">
        <v>7337</v>
      </c>
      <c r="B80" s="96">
        <f t="shared" si="1"/>
        <v>1920</v>
      </c>
      <c r="C80">
        <v>10.8</v>
      </c>
    </row>
    <row r="81" spans="1:3" x14ac:dyDescent="0.25">
      <c r="A81" s="91">
        <v>7366</v>
      </c>
      <c r="B81" s="96">
        <f t="shared" si="1"/>
        <v>1920</v>
      </c>
      <c r="C81">
        <v>11.2</v>
      </c>
    </row>
    <row r="82" spans="1:3" x14ac:dyDescent="0.25">
      <c r="A82" s="91">
        <v>7397</v>
      </c>
      <c r="B82" s="96">
        <f t="shared" si="1"/>
        <v>1920</v>
      </c>
      <c r="C82">
        <v>11.3</v>
      </c>
    </row>
    <row r="83" spans="1:3" x14ac:dyDescent="0.25">
      <c r="A83" s="91">
        <v>7427</v>
      </c>
      <c r="B83" s="96">
        <f t="shared" si="1"/>
        <v>1920</v>
      </c>
      <c r="C83">
        <v>11.6</v>
      </c>
    </row>
    <row r="84" spans="1:3" x14ac:dyDescent="0.25">
      <c r="A84" s="91">
        <v>7458</v>
      </c>
      <c r="B84" s="96">
        <f t="shared" si="1"/>
        <v>1920</v>
      </c>
      <c r="C84">
        <v>11.8</v>
      </c>
    </row>
    <row r="85" spans="1:3" x14ac:dyDescent="0.25">
      <c r="A85" s="91">
        <v>7488</v>
      </c>
      <c r="B85" s="96">
        <f t="shared" si="1"/>
        <v>1920</v>
      </c>
      <c r="C85">
        <v>11.8</v>
      </c>
    </row>
    <row r="86" spans="1:3" x14ac:dyDescent="0.25">
      <c r="A86" s="91">
        <v>7519</v>
      </c>
      <c r="B86" s="96">
        <f t="shared" si="1"/>
        <v>1920</v>
      </c>
      <c r="C86">
        <v>11.7</v>
      </c>
    </row>
    <row r="87" spans="1:3" x14ac:dyDescent="0.25">
      <c r="A87" s="91">
        <v>7550</v>
      </c>
      <c r="B87" s="96">
        <f t="shared" si="1"/>
        <v>1920</v>
      </c>
      <c r="C87">
        <v>11.5</v>
      </c>
    </row>
    <row r="88" spans="1:3" x14ac:dyDescent="0.25">
      <c r="A88" s="91">
        <v>7580</v>
      </c>
      <c r="B88" s="96">
        <f t="shared" si="1"/>
        <v>1920</v>
      </c>
      <c r="C88">
        <v>11.5</v>
      </c>
    </row>
    <row r="89" spans="1:3" x14ac:dyDescent="0.25">
      <c r="A89" s="91">
        <v>7611</v>
      </c>
      <c r="B89" s="96">
        <f t="shared" si="1"/>
        <v>1920</v>
      </c>
      <c r="C89">
        <v>11.3</v>
      </c>
    </row>
    <row r="90" spans="1:3" x14ac:dyDescent="0.25">
      <c r="A90" s="91">
        <v>7641</v>
      </c>
      <c r="B90" s="96">
        <f t="shared" si="1"/>
        <v>1920</v>
      </c>
      <c r="C90">
        <v>11.2</v>
      </c>
    </row>
    <row r="91" spans="1:3" x14ac:dyDescent="0.25">
      <c r="A91" s="91">
        <v>7672</v>
      </c>
      <c r="B91" s="96">
        <f t="shared" si="1"/>
        <v>1921</v>
      </c>
      <c r="C91">
        <v>11</v>
      </c>
    </row>
    <row r="92" spans="1:3" x14ac:dyDescent="0.25">
      <c r="A92" s="91">
        <v>7703</v>
      </c>
      <c r="B92" s="96">
        <f t="shared" si="1"/>
        <v>1921</v>
      </c>
      <c r="C92">
        <v>10.8</v>
      </c>
    </row>
    <row r="93" spans="1:3" x14ac:dyDescent="0.25">
      <c r="A93" s="91">
        <v>7731</v>
      </c>
      <c r="B93" s="96">
        <f t="shared" si="1"/>
        <v>1921</v>
      </c>
      <c r="C93">
        <v>10.5</v>
      </c>
    </row>
    <row r="94" spans="1:3" x14ac:dyDescent="0.25">
      <c r="A94" s="91">
        <v>7762</v>
      </c>
      <c r="B94" s="96">
        <f t="shared" si="1"/>
        <v>1921</v>
      </c>
      <c r="C94">
        <v>10.199999999999999</v>
      </c>
    </row>
    <row r="95" spans="1:3" x14ac:dyDescent="0.25">
      <c r="A95" s="91">
        <v>7792</v>
      </c>
      <c r="B95" s="96">
        <f t="shared" si="1"/>
        <v>1921</v>
      </c>
      <c r="C95">
        <v>10</v>
      </c>
    </row>
    <row r="96" spans="1:3" x14ac:dyDescent="0.25">
      <c r="A96" s="91">
        <v>7823</v>
      </c>
      <c r="B96" s="96">
        <f t="shared" si="1"/>
        <v>1921</v>
      </c>
      <c r="C96">
        <v>9.6999999999999993</v>
      </c>
    </row>
    <row r="97" spans="1:3" x14ac:dyDescent="0.25">
      <c r="A97" s="91">
        <v>7853</v>
      </c>
      <c r="B97" s="96">
        <f t="shared" si="1"/>
        <v>1921</v>
      </c>
      <c r="C97">
        <v>9.6999999999999993</v>
      </c>
    </row>
    <row r="98" spans="1:3" x14ac:dyDescent="0.25">
      <c r="A98" s="91">
        <v>7884</v>
      </c>
      <c r="B98" s="96">
        <f t="shared" si="1"/>
        <v>1921</v>
      </c>
      <c r="C98">
        <v>9.6999999999999993</v>
      </c>
    </row>
    <row r="99" spans="1:3" x14ac:dyDescent="0.25">
      <c r="A99" s="91">
        <v>7915</v>
      </c>
      <c r="B99" s="96">
        <f t="shared" si="1"/>
        <v>1921</v>
      </c>
      <c r="C99">
        <v>9.6999999999999993</v>
      </c>
    </row>
    <row r="100" spans="1:3" x14ac:dyDescent="0.25">
      <c r="A100" s="91">
        <v>7945</v>
      </c>
      <c r="B100" s="96">
        <f t="shared" si="1"/>
        <v>1921</v>
      </c>
      <c r="C100">
        <v>9.6999999999999993</v>
      </c>
    </row>
    <row r="101" spans="1:3" x14ac:dyDescent="0.25">
      <c r="A101" s="91">
        <v>7976</v>
      </c>
      <c r="B101" s="96">
        <f t="shared" si="1"/>
        <v>1921</v>
      </c>
      <c r="C101">
        <v>9.4</v>
      </c>
    </row>
    <row r="102" spans="1:3" x14ac:dyDescent="0.25">
      <c r="A102" s="91">
        <v>8006</v>
      </c>
      <c r="B102" s="96">
        <f t="shared" si="1"/>
        <v>1921</v>
      </c>
      <c r="C102">
        <v>9.4</v>
      </c>
    </row>
    <row r="103" spans="1:3" x14ac:dyDescent="0.25">
      <c r="A103" s="91">
        <v>8037</v>
      </c>
      <c r="B103" s="96">
        <f t="shared" si="1"/>
        <v>1922</v>
      </c>
      <c r="C103">
        <v>9.4</v>
      </c>
    </row>
    <row r="104" spans="1:3" x14ac:dyDescent="0.25">
      <c r="A104" s="91">
        <v>8068</v>
      </c>
      <c r="B104" s="96">
        <f t="shared" si="1"/>
        <v>1922</v>
      </c>
      <c r="C104">
        <v>9.3000000000000007</v>
      </c>
    </row>
    <row r="105" spans="1:3" x14ac:dyDescent="0.25">
      <c r="A105" s="91">
        <v>8096</v>
      </c>
      <c r="B105" s="96">
        <f t="shared" si="1"/>
        <v>1922</v>
      </c>
      <c r="C105">
        <v>9.1999999999999993</v>
      </c>
    </row>
    <row r="106" spans="1:3" x14ac:dyDescent="0.25">
      <c r="A106" s="91">
        <v>8127</v>
      </c>
      <c r="B106" s="96">
        <f t="shared" si="1"/>
        <v>1922</v>
      </c>
      <c r="C106">
        <v>9.1999999999999993</v>
      </c>
    </row>
    <row r="107" spans="1:3" x14ac:dyDescent="0.25">
      <c r="A107" s="91">
        <v>8157</v>
      </c>
      <c r="B107" s="96">
        <f t="shared" si="1"/>
        <v>1922</v>
      </c>
      <c r="C107">
        <v>9.1</v>
      </c>
    </row>
    <row r="108" spans="1:3" x14ac:dyDescent="0.25">
      <c r="A108" s="91">
        <v>8188</v>
      </c>
      <c r="B108" s="96">
        <f t="shared" si="1"/>
        <v>1922</v>
      </c>
      <c r="C108">
        <v>9.1</v>
      </c>
    </row>
    <row r="109" spans="1:3" x14ac:dyDescent="0.25">
      <c r="A109" s="91">
        <v>8218</v>
      </c>
      <c r="B109" s="96">
        <f t="shared" si="1"/>
        <v>1922</v>
      </c>
      <c r="C109">
        <v>9.1</v>
      </c>
    </row>
    <row r="110" spans="1:3" x14ac:dyDescent="0.25">
      <c r="A110" s="91">
        <v>8249</v>
      </c>
      <c r="B110" s="96">
        <f t="shared" si="1"/>
        <v>1922</v>
      </c>
      <c r="C110">
        <v>9.1999999999999993</v>
      </c>
    </row>
    <row r="111" spans="1:3" x14ac:dyDescent="0.25">
      <c r="A111" s="91">
        <v>8280</v>
      </c>
      <c r="B111" s="96">
        <f t="shared" si="1"/>
        <v>1922</v>
      </c>
      <c r="C111">
        <v>9.1999999999999993</v>
      </c>
    </row>
    <row r="112" spans="1:3" x14ac:dyDescent="0.25">
      <c r="A112" s="91">
        <v>8310</v>
      </c>
      <c r="B112" s="96">
        <f t="shared" si="1"/>
        <v>1922</v>
      </c>
      <c r="C112">
        <v>9.1999999999999993</v>
      </c>
    </row>
    <row r="113" spans="1:3" x14ac:dyDescent="0.25">
      <c r="A113" s="91">
        <v>8341</v>
      </c>
      <c r="B113" s="96">
        <f t="shared" si="1"/>
        <v>1922</v>
      </c>
      <c r="C113">
        <v>9.1999999999999993</v>
      </c>
    </row>
    <row r="114" spans="1:3" x14ac:dyDescent="0.25">
      <c r="A114" s="91">
        <v>8371</v>
      </c>
      <c r="B114" s="96">
        <f t="shared" si="1"/>
        <v>1922</v>
      </c>
      <c r="C114">
        <v>9.1999999999999993</v>
      </c>
    </row>
    <row r="115" spans="1:3" x14ac:dyDescent="0.25">
      <c r="A115" s="91">
        <v>8402</v>
      </c>
      <c r="B115" s="96">
        <f t="shared" si="1"/>
        <v>1923</v>
      </c>
      <c r="C115">
        <v>9.1999999999999993</v>
      </c>
    </row>
    <row r="116" spans="1:3" x14ac:dyDescent="0.25">
      <c r="A116" s="91">
        <v>8433</v>
      </c>
      <c r="B116" s="96">
        <f t="shared" si="1"/>
        <v>1923</v>
      </c>
      <c r="C116">
        <v>9.1999999999999993</v>
      </c>
    </row>
    <row r="117" spans="1:3" x14ac:dyDescent="0.25">
      <c r="A117" s="91">
        <v>8461</v>
      </c>
      <c r="B117" s="96">
        <f t="shared" si="1"/>
        <v>1923</v>
      </c>
      <c r="C117">
        <v>9.3000000000000007</v>
      </c>
    </row>
    <row r="118" spans="1:3" x14ac:dyDescent="0.25">
      <c r="A118" s="91">
        <v>8492</v>
      </c>
      <c r="B118" s="96">
        <f t="shared" si="1"/>
        <v>1923</v>
      </c>
      <c r="C118">
        <v>9.1999999999999993</v>
      </c>
    </row>
    <row r="119" spans="1:3" x14ac:dyDescent="0.25">
      <c r="A119" s="91">
        <v>8522</v>
      </c>
      <c r="B119" s="96">
        <f t="shared" si="1"/>
        <v>1923</v>
      </c>
      <c r="C119">
        <v>9.1999999999999993</v>
      </c>
    </row>
    <row r="120" spans="1:3" x14ac:dyDescent="0.25">
      <c r="A120" s="91">
        <v>8553</v>
      </c>
      <c r="B120" s="96">
        <f t="shared" si="1"/>
        <v>1923</v>
      </c>
      <c r="C120">
        <v>9.1999999999999993</v>
      </c>
    </row>
    <row r="121" spans="1:3" x14ac:dyDescent="0.25">
      <c r="A121" s="91">
        <v>8583</v>
      </c>
      <c r="B121" s="96">
        <f t="shared" si="1"/>
        <v>1923</v>
      </c>
      <c r="C121">
        <v>9.1</v>
      </c>
    </row>
    <row r="122" spans="1:3" x14ac:dyDescent="0.25">
      <c r="A122" s="91">
        <v>8614</v>
      </c>
      <c r="B122" s="96">
        <f t="shared" si="1"/>
        <v>1923</v>
      </c>
      <c r="C122">
        <v>9.1999999999999993</v>
      </c>
    </row>
    <row r="123" spans="1:3" x14ac:dyDescent="0.25">
      <c r="A123" s="91">
        <v>8645</v>
      </c>
      <c r="B123" s="96">
        <f t="shared" si="1"/>
        <v>1923</v>
      </c>
      <c r="C123">
        <v>9.1999999999999993</v>
      </c>
    </row>
    <row r="124" spans="1:3" x14ac:dyDescent="0.25">
      <c r="A124" s="91">
        <v>8675</v>
      </c>
      <c r="B124" s="96">
        <f t="shared" si="1"/>
        <v>1923</v>
      </c>
      <c r="C124">
        <v>9.1999999999999993</v>
      </c>
    </row>
    <row r="125" spans="1:3" x14ac:dyDescent="0.25">
      <c r="A125" s="91">
        <v>8706</v>
      </c>
      <c r="B125" s="96">
        <f t="shared" si="1"/>
        <v>1923</v>
      </c>
      <c r="C125">
        <v>9.1999999999999993</v>
      </c>
    </row>
    <row r="126" spans="1:3" x14ac:dyDescent="0.25">
      <c r="A126" s="91">
        <v>8736</v>
      </c>
      <c r="B126" s="96">
        <f t="shared" si="1"/>
        <v>1923</v>
      </c>
      <c r="C126">
        <v>9.1999999999999993</v>
      </c>
    </row>
    <row r="127" spans="1:3" x14ac:dyDescent="0.25">
      <c r="A127" s="91">
        <v>8767</v>
      </c>
      <c r="B127" s="96">
        <f t="shared" si="1"/>
        <v>1924</v>
      </c>
      <c r="C127">
        <v>9.1999999999999993</v>
      </c>
    </row>
    <row r="128" spans="1:3" x14ac:dyDescent="0.25">
      <c r="A128" s="91">
        <v>8798</v>
      </c>
      <c r="B128" s="96">
        <f t="shared" si="1"/>
        <v>1924</v>
      </c>
      <c r="C128">
        <v>9.1999999999999993</v>
      </c>
    </row>
    <row r="129" spans="1:3" x14ac:dyDescent="0.25">
      <c r="A129" s="91">
        <v>8827</v>
      </c>
      <c r="B129" s="96">
        <f t="shared" si="1"/>
        <v>1924</v>
      </c>
      <c r="C129">
        <v>9.1999999999999993</v>
      </c>
    </row>
    <row r="130" spans="1:3" x14ac:dyDescent="0.25">
      <c r="A130" s="91">
        <v>8858</v>
      </c>
      <c r="B130" s="96">
        <f t="shared" si="1"/>
        <v>1924</v>
      </c>
      <c r="C130">
        <v>9</v>
      </c>
    </row>
    <row r="131" spans="1:3" x14ac:dyDescent="0.25">
      <c r="A131" s="91">
        <v>8888</v>
      </c>
      <c r="B131" s="96">
        <f t="shared" si="1"/>
        <v>1924</v>
      </c>
      <c r="C131">
        <v>8.9</v>
      </c>
    </row>
    <row r="132" spans="1:3" x14ac:dyDescent="0.25">
      <c r="A132" s="91">
        <v>8919</v>
      </c>
      <c r="B132" s="96">
        <f t="shared" si="1"/>
        <v>1924</v>
      </c>
      <c r="C132">
        <v>8.8000000000000007</v>
      </c>
    </row>
    <row r="133" spans="1:3" x14ac:dyDescent="0.25">
      <c r="A133" s="91">
        <v>8949</v>
      </c>
      <c r="B133" s="96">
        <f t="shared" si="1"/>
        <v>1924</v>
      </c>
      <c r="C133">
        <v>8.8000000000000007</v>
      </c>
    </row>
    <row r="134" spans="1:3" x14ac:dyDescent="0.25">
      <c r="A134" s="91">
        <v>8980</v>
      </c>
      <c r="B134" s="96">
        <f t="shared" si="1"/>
        <v>1924</v>
      </c>
      <c r="C134">
        <v>9</v>
      </c>
    </row>
    <row r="135" spans="1:3" x14ac:dyDescent="0.25">
      <c r="A135" s="91">
        <v>9011</v>
      </c>
      <c r="B135" s="96">
        <f t="shared" si="1"/>
        <v>1924</v>
      </c>
      <c r="C135">
        <v>9</v>
      </c>
    </row>
    <row r="136" spans="1:3" x14ac:dyDescent="0.25">
      <c r="A136" s="91">
        <v>9041</v>
      </c>
      <c r="B136" s="96">
        <f t="shared" ref="B136:B199" si="2">YEAR(A136)</f>
        <v>1924</v>
      </c>
      <c r="C136">
        <v>9</v>
      </c>
    </row>
    <row r="137" spans="1:3" x14ac:dyDescent="0.25">
      <c r="A137" s="91">
        <v>9072</v>
      </c>
      <c r="B137" s="96">
        <f t="shared" si="2"/>
        <v>1924</v>
      </c>
      <c r="C137">
        <v>9.1</v>
      </c>
    </row>
    <row r="138" spans="1:3" x14ac:dyDescent="0.25">
      <c r="A138" s="91">
        <v>9102</v>
      </c>
      <c r="B138" s="96">
        <f t="shared" si="2"/>
        <v>1924</v>
      </c>
      <c r="C138">
        <v>9.1</v>
      </c>
    </row>
    <row r="139" spans="1:3" x14ac:dyDescent="0.25">
      <c r="A139" s="91">
        <v>9133</v>
      </c>
      <c r="B139" s="96">
        <f t="shared" si="2"/>
        <v>1925</v>
      </c>
      <c r="C139">
        <v>9.1999999999999993</v>
      </c>
    </row>
    <row r="140" spans="1:3" x14ac:dyDescent="0.25">
      <c r="A140" s="91">
        <v>9164</v>
      </c>
      <c r="B140" s="96">
        <f t="shared" si="2"/>
        <v>1925</v>
      </c>
      <c r="C140">
        <v>9.1999999999999993</v>
      </c>
    </row>
    <row r="141" spans="1:3" x14ac:dyDescent="0.25">
      <c r="A141" s="91">
        <v>9192</v>
      </c>
      <c r="B141" s="96">
        <f t="shared" si="2"/>
        <v>1925</v>
      </c>
      <c r="C141">
        <v>9.1999999999999993</v>
      </c>
    </row>
    <row r="142" spans="1:3" x14ac:dyDescent="0.25">
      <c r="A142" s="91">
        <v>9223</v>
      </c>
      <c r="B142" s="96">
        <f t="shared" si="2"/>
        <v>1925</v>
      </c>
      <c r="C142">
        <v>9.1</v>
      </c>
    </row>
    <row r="143" spans="1:3" x14ac:dyDescent="0.25">
      <c r="A143" s="91">
        <v>9253</v>
      </c>
      <c r="B143" s="96">
        <f t="shared" si="2"/>
        <v>1925</v>
      </c>
      <c r="C143">
        <v>9</v>
      </c>
    </row>
    <row r="144" spans="1:3" x14ac:dyDescent="0.25">
      <c r="A144" s="91">
        <v>9284</v>
      </c>
      <c r="B144" s="96">
        <f t="shared" si="2"/>
        <v>1925</v>
      </c>
      <c r="C144">
        <v>9</v>
      </c>
    </row>
    <row r="145" spans="1:3" x14ac:dyDescent="0.25">
      <c r="A145" s="91">
        <v>9314</v>
      </c>
      <c r="B145" s="96">
        <f t="shared" si="2"/>
        <v>1925</v>
      </c>
      <c r="C145">
        <v>9</v>
      </c>
    </row>
    <row r="146" spans="1:3" x14ac:dyDescent="0.25">
      <c r="A146" s="91">
        <v>9345</v>
      </c>
      <c r="B146" s="96">
        <f t="shared" si="2"/>
        <v>1925</v>
      </c>
      <c r="C146">
        <v>9.1</v>
      </c>
    </row>
    <row r="147" spans="1:3" x14ac:dyDescent="0.25">
      <c r="A147" s="91">
        <v>9376</v>
      </c>
      <c r="B147" s="96">
        <f t="shared" si="2"/>
        <v>1925</v>
      </c>
      <c r="C147">
        <v>9.1</v>
      </c>
    </row>
    <row r="148" spans="1:3" x14ac:dyDescent="0.25">
      <c r="A148" s="91">
        <v>9406</v>
      </c>
      <c r="B148" s="96">
        <f t="shared" si="2"/>
        <v>1925</v>
      </c>
      <c r="C148">
        <v>9.1999999999999993</v>
      </c>
    </row>
    <row r="149" spans="1:3" x14ac:dyDescent="0.25">
      <c r="A149" s="91">
        <v>9437</v>
      </c>
      <c r="B149" s="96">
        <f t="shared" si="2"/>
        <v>1925</v>
      </c>
      <c r="C149">
        <v>9.1999999999999993</v>
      </c>
    </row>
    <row r="150" spans="1:3" x14ac:dyDescent="0.25">
      <c r="A150" s="91">
        <v>9467</v>
      </c>
      <c r="B150" s="96">
        <f t="shared" si="2"/>
        <v>1925</v>
      </c>
      <c r="C150">
        <v>9.3000000000000007</v>
      </c>
    </row>
    <row r="151" spans="1:3" x14ac:dyDescent="0.25">
      <c r="A151" s="91">
        <v>9498</v>
      </c>
      <c r="B151" s="96">
        <f t="shared" si="2"/>
        <v>1926</v>
      </c>
      <c r="C151">
        <v>9.1999999999999993</v>
      </c>
    </row>
    <row r="152" spans="1:3" x14ac:dyDescent="0.25">
      <c r="A152" s="91">
        <v>9529</v>
      </c>
      <c r="B152" s="96">
        <f t="shared" si="2"/>
        <v>1926</v>
      </c>
      <c r="C152">
        <v>9.1999999999999993</v>
      </c>
    </row>
    <row r="153" spans="1:3" x14ac:dyDescent="0.25">
      <c r="A153" s="91">
        <v>9557</v>
      </c>
      <c r="B153" s="96">
        <f t="shared" si="2"/>
        <v>1926</v>
      </c>
      <c r="C153">
        <v>9.1999999999999993</v>
      </c>
    </row>
    <row r="154" spans="1:3" x14ac:dyDescent="0.25">
      <c r="A154" s="91">
        <v>9588</v>
      </c>
      <c r="B154" s="96">
        <f t="shared" si="2"/>
        <v>1926</v>
      </c>
      <c r="C154">
        <v>9.1999999999999993</v>
      </c>
    </row>
    <row r="155" spans="1:3" x14ac:dyDescent="0.25">
      <c r="A155" s="91">
        <v>9618</v>
      </c>
      <c r="B155" s="96">
        <f t="shared" si="2"/>
        <v>1926</v>
      </c>
      <c r="C155">
        <v>9.1999999999999993</v>
      </c>
    </row>
    <row r="156" spans="1:3" x14ac:dyDescent="0.25">
      <c r="A156" s="91">
        <v>9649</v>
      </c>
      <c r="B156" s="96">
        <f t="shared" si="2"/>
        <v>1926</v>
      </c>
      <c r="C156">
        <v>9.1999999999999993</v>
      </c>
    </row>
    <row r="157" spans="1:3" x14ac:dyDescent="0.25">
      <c r="A157" s="91">
        <v>9679</v>
      </c>
      <c r="B157" s="96">
        <f t="shared" si="2"/>
        <v>1926</v>
      </c>
      <c r="C157">
        <v>9.1999999999999993</v>
      </c>
    </row>
    <row r="158" spans="1:3" x14ac:dyDescent="0.25">
      <c r="A158" s="91">
        <v>9710</v>
      </c>
      <c r="B158" s="96">
        <f t="shared" si="2"/>
        <v>1926</v>
      </c>
      <c r="C158">
        <v>9.1999999999999993</v>
      </c>
    </row>
    <row r="159" spans="1:3" x14ac:dyDescent="0.25">
      <c r="A159" s="91">
        <v>9741</v>
      </c>
      <c r="B159" s="96">
        <f t="shared" si="2"/>
        <v>1926</v>
      </c>
      <c r="C159">
        <v>9.1999999999999993</v>
      </c>
    </row>
    <row r="160" spans="1:3" x14ac:dyDescent="0.25">
      <c r="A160" s="91">
        <v>9771</v>
      </c>
      <c r="B160" s="96">
        <f t="shared" si="2"/>
        <v>1926</v>
      </c>
      <c r="C160">
        <v>9.1999999999999993</v>
      </c>
    </row>
    <row r="161" spans="1:3" x14ac:dyDescent="0.25">
      <c r="A161" s="91">
        <v>9802</v>
      </c>
      <c r="B161" s="96">
        <f t="shared" si="2"/>
        <v>1926</v>
      </c>
      <c r="C161">
        <v>9.1999999999999993</v>
      </c>
    </row>
    <row r="162" spans="1:3" x14ac:dyDescent="0.25">
      <c r="A162" s="91">
        <v>9832</v>
      </c>
      <c r="B162" s="96">
        <f t="shared" si="2"/>
        <v>1926</v>
      </c>
      <c r="C162">
        <v>9.1999999999999993</v>
      </c>
    </row>
    <row r="163" spans="1:3" x14ac:dyDescent="0.25">
      <c r="A163" s="91">
        <v>9863</v>
      </c>
      <c r="B163" s="96">
        <f t="shared" si="2"/>
        <v>1927</v>
      </c>
      <c r="C163">
        <v>9.1999999999999993</v>
      </c>
    </row>
    <row r="164" spans="1:3" x14ac:dyDescent="0.25">
      <c r="A164" s="91">
        <v>9894</v>
      </c>
      <c r="B164" s="96">
        <f t="shared" si="2"/>
        <v>1927</v>
      </c>
      <c r="C164">
        <v>9.1999999999999993</v>
      </c>
    </row>
    <row r="165" spans="1:3" x14ac:dyDescent="0.25">
      <c r="A165" s="91">
        <v>9922</v>
      </c>
      <c r="B165" s="96">
        <f t="shared" si="2"/>
        <v>1927</v>
      </c>
      <c r="C165">
        <v>9.1</v>
      </c>
    </row>
    <row r="166" spans="1:3" x14ac:dyDescent="0.25">
      <c r="A166" s="91">
        <v>9953</v>
      </c>
      <c r="B166" s="96">
        <f t="shared" si="2"/>
        <v>1927</v>
      </c>
      <c r="C166">
        <v>9</v>
      </c>
    </row>
    <row r="167" spans="1:3" x14ac:dyDescent="0.25">
      <c r="A167" s="91">
        <v>9983</v>
      </c>
      <c r="B167" s="96">
        <f t="shared" si="2"/>
        <v>1927</v>
      </c>
      <c r="C167">
        <v>9</v>
      </c>
    </row>
    <row r="168" spans="1:3" x14ac:dyDescent="0.25">
      <c r="A168" s="91">
        <v>10014</v>
      </c>
      <c r="B168" s="96">
        <f t="shared" si="2"/>
        <v>1927</v>
      </c>
      <c r="C168">
        <v>9</v>
      </c>
    </row>
    <row r="169" spans="1:3" x14ac:dyDescent="0.25">
      <c r="A169" s="91">
        <v>10044</v>
      </c>
      <c r="B169" s="96">
        <f t="shared" si="2"/>
        <v>1927</v>
      </c>
      <c r="C169">
        <v>9.1</v>
      </c>
    </row>
    <row r="170" spans="1:3" x14ac:dyDescent="0.25">
      <c r="A170" s="91">
        <v>10075</v>
      </c>
      <c r="B170" s="96">
        <f t="shared" si="2"/>
        <v>1927</v>
      </c>
      <c r="C170">
        <v>9</v>
      </c>
    </row>
    <row r="171" spans="1:3" x14ac:dyDescent="0.25">
      <c r="A171" s="91">
        <v>10106</v>
      </c>
      <c r="B171" s="96">
        <f t="shared" si="2"/>
        <v>1927</v>
      </c>
      <c r="C171">
        <v>9</v>
      </c>
    </row>
    <row r="172" spans="1:3" x14ac:dyDescent="0.25">
      <c r="A172" s="91">
        <v>10136</v>
      </c>
      <c r="B172" s="96">
        <f t="shared" si="2"/>
        <v>1927</v>
      </c>
      <c r="C172">
        <v>9</v>
      </c>
    </row>
    <row r="173" spans="1:3" x14ac:dyDescent="0.25">
      <c r="A173" s="91">
        <v>10167</v>
      </c>
      <c r="B173" s="96">
        <f t="shared" si="2"/>
        <v>1927</v>
      </c>
      <c r="C173">
        <v>9.1</v>
      </c>
    </row>
    <row r="174" spans="1:3" x14ac:dyDescent="0.25">
      <c r="A174" s="91">
        <v>10197</v>
      </c>
      <c r="B174" s="96">
        <f t="shared" si="2"/>
        <v>1927</v>
      </c>
      <c r="C174">
        <v>9.1</v>
      </c>
    </row>
    <row r="175" spans="1:3" x14ac:dyDescent="0.25">
      <c r="A175" s="91">
        <v>10228</v>
      </c>
      <c r="B175" s="96">
        <f t="shared" si="2"/>
        <v>1928</v>
      </c>
      <c r="C175">
        <v>9.1999999999999993</v>
      </c>
    </row>
    <row r="176" spans="1:3" x14ac:dyDescent="0.25">
      <c r="A176" s="91">
        <v>10259</v>
      </c>
      <c r="B176" s="96">
        <f t="shared" si="2"/>
        <v>1928</v>
      </c>
      <c r="C176">
        <v>9.1999999999999993</v>
      </c>
    </row>
    <row r="177" spans="1:3" x14ac:dyDescent="0.25">
      <c r="A177" s="91">
        <v>10288</v>
      </c>
      <c r="B177" s="96">
        <f t="shared" si="2"/>
        <v>1928</v>
      </c>
      <c r="C177">
        <v>9.1</v>
      </c>
    </row>
    <row r="178" spans="1:3" x14ac:dyDescent="0.25">
      <c r="A178" s="91">
        <v>10319</v>
      </c>
      <c r="B178" s="96">
        <f t="shared" si="2"/>
        <v>1928</v>
      </c>
      <c r="C178">
        <v>9.1</v>
      </c>
    </row>
    <row r="179" spans="1:3" x14ac:dyDescent="0.25">
      <c r="A179" s="91">
        <v>10349</v>
      </c>
      <c r="B179" s="96">
        <f t="shared" si="2"/>
        <v>1928</v>
      </c>
      <c r="C179">
        <v>9</v>
      </c>
    </row>
    <row r="180" spans="1:3" x14ac:dyDescent="0.25">
      <c r="A180" s="91">
        <v>10380</v>
      </c>
      <c r="B180" s="96">
        <f t="shared" si="2"/>
        <v>1928</v>
      </c>
      <c r="C180">
        <v>9</v>
      </c>
    </row>
    <row r="181" spans="1:3" x14ac:dyDescent="0.25">
      <c r="A181" s="91">
        <v>10410</v>
      </c>
      <c r="B181" s="96">
        <f t="shared" si="2"/>
        <v>1928</v>
      </c>
      <c r="C181">
        <v>9</v>
      </c>
    </row>
    <row r="182" spans="1:3" x14ac:dyDescent="0.25">
      <c r="A182" s="91">
        <v>10441</v>
      </c>
      <c r="B182" s="96">
        <f t="shared" si="2"/>
        <v>1928</v>
      </c>
      <c r="C182">
        <v>9.1999999999999993</v>
      </c>
    </row>
    <row r="183" spans="1:3" x14ac:dyDescent="0.25">
      <c r="A183" s="91">
        <v>10472</v>
      </c>
      <c r="B183" s="96">
        <f t="shared" si="2"/>
        <v>1928</v>
      </c>
      <c r="C183">
        <v>9.1999999999999993</v>
      </c>
    </row>
    <row r="184" spans="1:3" x14ac:dyDescent="0.25">
      <c r="A184" s="91">
        <v>10502</v>
      </c>
      <c r="B184" s="96">
        <f t="shared" si="2"/>
        <v>1928</v>
      </c>
      <c r="C184">
        <v>9.1999999999999993</v>
      </c>
    </row>
    <row r="185" spans="1:3" x14ac:dyDescent="0.25">
      <c r="A185" s="91">
        <v>10533</v>
      </c>
      <c r="B185" s="96">
        <f t="shared" si="2"/>
        <v>1928</v>
      </c>
      <c r="C185">
        <v>9.1999999999999993</v>
      </c>
    </row>
    <row r="186" spans="1:3" x14ac:dyDescent="0.25">
      <c r="A186" s="91">
        <v>10563</v>
      </c>
      <c r="B186" s="96">
        <f t="shared" si="2"/>
        <v>1928</v>
      </c>
      <c r="C186">
        <v>9.1999999999999993</v>
      </c>
    </row>
    <row r="187" spans="1:3" x14ac:dyDescent="0.25">
      <c r="A187" s="91">
        <v>10594</v>
      </c>
      <c r="B187" s="96">
        <f t="shared" si="2"/>
        <v>1929</v>
      </c>
      <c r="C187">
        <v>9.1999999999999993</v>
      </c>
    </row>
    <row r="188" spans="1:3" x14ac:dyDescent="0.25">
      <c r="A188" s="91">
        <v>10625</v>
      </c>
      <c r="B188" s="96">
        <f t="shared" si="2"/>
        <v>1929</v>
      </c>
      <c r="C188">
        <v>9.1999999999999993</v>
      </c>
    </row>
    <row r="189" spans="1:3" x14ac:dyDescent="0.25">
      <c r="A189" s="91">
        <v>10653</v>
      </c>
      <c r="B189" s="96">
        <f t="shared" si="2"/>
        <v>1929</v>
      </c>
      <c r="C189">
        <v>9.1999999999999993</v>
      </c>
    </row>
    <row r="190" spans="1:3" x14ac:dyDescent="0.25">
      <c r="A190" s="91">
        <v>10684</v>
      </c>
      <c r="B190" s="96">
        <f t="shared" si="2"/>
        <v>1929</v>
      </c>
      <c r="C190">
        <v>9.1</v>
      </c>
    </row>
    <row r="191" spans="1:3" x14ac:dyDescent="0.25">
      <c r="A191" s="91">
        <v>10714</v>
      </c>
      <c r="B191" s="96">
        <f t="shared" si="2"/>
        <v>1929</v>
      </c>
      <c r="C191">
        <v>9.1999999999999993</v>
      </c>
    </row>
    <row r="192" spans="1:3" x14ac:dyDescent="0.25">
      <c r="A192" s="91">
        <v>10745</v>
      </c>
      <c r="B192" s="96">
        <f t="shared" si="2"/>
        <v>1929</v>
      </c>
      <c r="C192">
        <v>9.1999999999999993</v>
      </c>
    </row>
    <row r="193" spans="1:3" x14ac:dyDescent="0.25">
      <c r="A193" s="91">
        <v>10775</v>
      </c>
      <c r="B193" s="96">
        <f t="shared" si="2"/>
        <v>1929</v>
      </c>
      <c r="C193">
        <v>9.1999999999999993</v>
      </c>
    </row>
    <row r="194" spans="1:3" x14ac:dyDescent="0.25">
      <c r="A194" s="91">
        <v>10806</v>
      </c>
      <c r="B194" s="96">
        <f t="shared" si="2"/>
        <v>1929</v>
      </c>
      <c r="C194">
        <v>9.1999999999999993</v>
      </c>
    </row>
    <row r="195" spans="1:3" x14ac:dyDescent="0.25">
      <c r="A195" s="91">
        <v>10837</v>
      </c>
      <c r="B195" s="96">
        <f t="shared" si="2"/>
        <v>1929</v>
      </c>
      <c r="C195">
        <v>9.1999999999999993</v>
      </c>
    </row>
    <row r="196" spans="1:3" x14ac:dyDescent="0.25">
      <c r="A196" s="91">
        <v>10867</v>
      </c>
      <c r="B196" s="96">
        <f t="shared" si="2"/>
        <v>1929</v>
      </c>
      <c r="C196">
        <v>9.3000000000000007</v>
      </c>
    </row>
    <row r="197" spans="1:3" x14ac:dyDescent="0.25">
      <c r="A197" s="91">
        <v>10898</v>
      </c>
      <c r="B197" s="96">
        <f t="shared" si="2"/>
        <v>1929</v>
      </c>
      <c r="C197">
        <v>9.3000000000000007</v>
      </c>
    </row>
    <row r="198" spans="1:3" x14ac:dyDescent="0.25">
      <c r="A198" s="91">
        <v>10928</v>
      </c>
      <c r="B198" s="96">
        <f t="shared" si="2"/>
        <v>1929</v>
      </c>
      <c r="C198">
        <v>9.4</v>
      </c>
    </row>
    <row r="199" spans="1:3" x14ac:dyDescent="0.25">
      <c r="A199" s="91">
        <v>10959</v>
      </c>
      <c r="B199" s="96">
        <f t="shared" si="2"/>
        <v>1930</v>
      </c>
      <c r="C199">
        <v>9.4</v>
      </c>
    </row>
    <row r="200" spans="1:3" x14ac:dyDescent="0.25">
      <c r="A200" s="91">
        <v>10990</v>
      </c>
      <c r="B200" s="96">
        <f t="shared" ref="B200:B263" si="3">YEAR(A200)</f>
        <v>1930</v>
      </c>
      <c r="C200">
        <v>9.4</v>
      </c>
    </row>
    <row r="201" spans="1:3" x14ac:dyDescent="0.25">
      <c r="A201" s="91">
        <v>11018</v>
      </c>
      <c r="B201" s="96">
        <f t="shared" si="3"/>
        <v>1930</v>
      </c>
      <c r="C201">
        <v>9.3000000000000007</v>
      </c>
    </row>
    <row r="202" spans="1:3" x14ac:dyDescent="0.25">
      <c r="A202" s="91">
        <v>11049</v>
      </c>
      <c r="B202" s="96">
        <f t="shared" si="3"/>
        <v>1930</v>
      </c>
      <c r="C202">
        <v>9.1999999999999993</v>
      </c>
    </row>
    <row r="203" spans="1:3" x14ac:dyDescent="0.25">
      <c r="A203" s="91">
        <v>11079</v>
      </c>
      <c r="B203" s="96">
        <f t="shared" si="3"/>
        <v>1930</v>
      </c>
      <c r="C203">
        <v>9.1999999999999993</v>
      </c>
    </row>
    <row r="204" spans="1:3" x14ac:dyDescent="0.25">
      <c r="A204" s="91">
        <v>11110</v>
      </c>
      <c r="B204" s="96">
        <f t="shared" si="3"/>
        <v>1930</v>
      </c>
      <c r="C204">
        <v>9.1999999999999993</v>
      </c>
    </row>
    <row r="205" spans="1:3" x14ac:dyDescent="0.25">
      <c r="A205" s="91">
        <v>11140</v>
      </c>
      <c r="B205" s="96">
        <f t="shared" si="3"/>
        <v>1930</v>
      </c>
      <c r="C205">
        <v>9.1999999999999993</v>
      </c>
    </row>
    <row r="206" spans="1:3" x14ac:dyDescent="0.25">
      <c r="A206" s="91">
        <v>11171</v>
      </c>
      <c r="B206" s="96">
        <f t="shared" si="3"/>
        <v>1930</v>
      </c>
      <c r="C206">
        <v>9.1999999999999993</v>
      </c>
    </row>
    <row r="207" spans="1:3" x14ac:dyDescent="0.25">
      <c r="A207" s="91">
        <v>11202</v>
      </c>
      <c r="B207" s="96">
        <f t="shared" si="3"/>
        <v>1930</v>
      </c>
      <c r="C207">
        <v>8.9</v>
      </c>
    </row>
    <row r="208" spans="1:3" x14ac:dyDescent="0.25">
      <c r="A208" s="91">
        <v>11232</v>
      </c>
      <c r="B208" s="96">
        <f t="shared" si="3"/>
        <v>1930</v>
      </c>
      <c r="C208">
        <v>8.9</v>
      </c>
    </row>
    <row r="209" spans="1:3" x14ac:dyDescent="0.25">
      <c r="A209" s="91">
        <v>11263</v>
      </c>
      <c r="B209" s="96">
        <f t="shared" si="3"/>
        <v>1930</v>
      </c>
      <c r="C209">
        <v>8.9</v>
      </c>
    </row>
    <row r="210" spans="1:3" x14ac:dyDescent="0.25">
      <c r="A210" s="91">
        <v>11293</v>
      </c>
      <c r="B210" s="96">
        <f t="shared" si="3"/>
        <v>1930</v>
      </c>
      <c r="C210">
        <v>8.8000000000000007</v>
      </c>
    </row>
    <row r="211" spans="1:3" x14ac:dyDescent="0.25">
      <c r="A211" s="91">
        <v>11324</v>
      </c>
      <c r="B211" s="96">
        <f t="shared" si="3"/>
        <v>1931</v>
      </c>
      <c r="C211">
        <v>8.6999999999999993</v>
      </c>
    </row>
    <row r="212" spans="1:3" x14ac:dyDescent="0.25">
      <c r="A212" s="91">
        <v>11355</v>
      </c>
      <c r="B212" s="96">
        <f t="shared" si="3"/>
        <v>1931</v>
      </c>
      <c r="C212">
        <v>8.6</v>
      </c>
    </row>
    <row r="213" spans="1:3" x14ac:dyDescent="0.25">
      <c r="A213" s="91">
        <v>11383</v>
      </c>
      <c r="B213" s="96">
        <f t="shared" si="3"/>
        <v>1931</v>
      </c>
      <c r="C213">
        <v>8.5</v>
      </c>
    </row>
    <row r="214" spans="1:3" x14ac:dyDescent="0.25">
      <c r="A214" s="91">
        <v>11414</v>
      </c>
      <c r="B214" s="96">
        <f t="shared" si="3"/>
        <v>1931</v>
      </c>
      <c r="C214">
        <v>8.4</v>
      </c>
    </row>
    <row r="215" spans="1:3" x14ac:dyDescent="0.25">
      <c r="A215" s="91">
        <v>11444</v>
      </c>
      <c r="B215" s="96">
        <f t="shared" si="3"/>
        <v>1931</v>
      </c>
      <c r="C215">
        <v>8.3000000000000007</v>
      </c>
    </row>
    <row r="216" spans="1:3" x14ac:dyDescent="0.25">
      <c r="A216" s="91">
        <v>11475</v>
      </c>
      <c r="B216" s="96">
        <f t="shared" si="3"/>
        <v>1931</v>
      </c>
      <c r="C216">
        <v>8.1999999999999993</v>
      </c>
    </row>
    <row r="217" spans="1:3" x14ac:dyDescent="0.25">
      <c r="A217" s="91">
        <v>11505</v>
      </c>
      <c r="B217" s="96">
        <f t="shared" si="3"/>
        <v>1931</v>
      </c>
      <c r="C217">
        <v>8.1</v>
      </c>
    </row>
    <row r="218" spans="1:3" x14ac:dyDescent="0.25">
      <c r="A218" s="91">
        <v>11536</v>
      </c>
      <c r="B218" s="96">
        <f t="shared" si="3"/>
        <v>1931</v>
      </c>
      <c r="C218">
        <v>8.1999999999999993</v>
      </c>
    </row>
    <row r="219" spans="1:3" x14ac:dyDescent="0.25">
      <c r="A219" s="91">
        <v>11567</v>
      </c>
      <c r="B219" s="96">
        <f t="shared" si="3"/>
        <v>1931</v>
      </c>
      <c r="C219">
        <v>8.1</v>
      </c>
    </row>
    <row r="220" spans="1:3" x14ac:dyDescent="0.25">
      <c r="A220" s="91">
        <v>11597</v>
      </c>
      <c r="B220" s="96">
        <f t="shared" si="3"/>
        <v>1931</v>
      </c>
      <c r="C220">
        <v>7.9</v>
      </c>
    </row>
    <row r="221" spans="1:3" x14ac:dyDescent="0.25">
      <c r="A221" s="91">
        <v>11628</v>
      </c>
      <c r="B221" s="96">
        <f t="shared" si="3"/>
        <v>1931</v>
      </c>
      <c r="C221">
        <v>7.9</v>
      </c>
    </row>
    <row r="222" spans="1:3" x14ac:dyDescent="0.25">
      <c r="A222" s="91">
        <v>11658</v>
      </c>
      <c r="B222" s="96">
        <f t="shared" si="3"/>
        <v>1931</v>
      </c>
      <c r="C222">
        <v>7.9</v>
      </c>
    </row>
    <row r="223" spans="1:3" x14ac:dyDescent="0.25">
      <c r="A223" s="91">
        <v>11689</v>
      </c>
      <c r="B223" s="96">
        <f t="shared" si="3"/>
        <v>1932</v>
      </c>
      <c r="C223">
        <v>7.8</v>
      </c>
    </row>
    <row r="224" spans="1:3" x14ac:dyDescent="0.25">
      <c r="A224" s="91">
        <v>11720</v>
      </c>
      <c r="B224" s="96">
        <f t="shared" si="3"/>
        <v>1932</v>
      </c>
      <c r="C224">
        <v>7.6</v>
      </c>
    </row>
    <row r="225" spans="1:3" x14ac:dyDescent="0.25">
      <c r="A225" s="91">
        <v>11749</v>
      </c>
      <c r="B225" s="96">
        <f t="shared" si="3"/>
        <v>1932</v>
      </c>
      <c r="C225">
        <v>7.6</v>
      </c>
    </row>
    <row r="226" spans="1:3" x14ac:dyDescent="0.25">
      <c r="A226" s="91">
        <v>11780</v>
      </c>
      <c r="B226" s="96">
        <f t="shared" si="3"/>
        <v>1932</v>
      </c>
      <c r="C226">
        <v>7.6</v>
      </c>
    </row>
    <row r="227" spans="1:3" x14ac:dyDescent="0.25">
      <c r="A227" s="91">
        <v>11810</v>
      </c>
      <c r="B227" s="96">
        <f t="shared" si="3"/>
        <v>1932</v>
      </c>
      <c r="C227">
        <v>7.4</v>
      </c>
    </row>
    <row r="228" spans="1:3" x14ac:dyDescent="0.25">
      <c r="A228" s="91">
        <v>11841</v>
      </c>
      <c r="B228" s="96">
        <f t="shared" si="3"/>
        <v>1932</v>
      </c>
      <c r="C228">
        <v>7.4</v>
      </c>
    </row>
    <row r="229" spans="1:3" x14ac:dyDescent="0.25">
      <c r="A229" s="91">
        <v>11871</v>
      </c>
      <c r="B229" s="96">
        <f t="shared" si="3"/>
        <v>1932</v>
      </c>
      <c r="C229">
        <v>7.4</v>
      </c>
    </row>
    <row r="230" spans="1:3" x14ac:dyDescent="0.25">
      <c r="A230" s="91">
        <v>11902</v>
      </c>
      <c r="B230" s="96">
        <f t="shared" si="3"/>
        <v>1932</v>
      </c>
      <c r="C230">
        <v>7.4</v>
      </c>
    </row>
    <row r="231" spans="1:3" x14ac:dyDescent="0.25">
      <c r="A231" s="91">
        <v>11933</v>
      </c>
      <c r="B231" s="96">
        <f t="shared" si="3"/>
        <v>1932</v>
      </c>
      <c r="C231">
        <v>7.4</v>
      </c>
    </row>
    <row r="232" spans="1:3" x14ac:dyDescent="0.25">
      <c r="A232" s="91">
        <v>11963</v>
      </c>
      <c r="B232" s="96">
        <f t="shared" si="3"/>
        <v>1932</v>
      </c>
      <c r="C232">
        <v>7.3</v>
      </c>
    </row>
    <row r="233" spans="1:3" x14ac:dyDescent="0.25">
      <c r="A233" s="91">
        <v>11994</v>
      </c>
      <c r="B233" s="96">
        <f t="shared" si="3"/>
        <v>1932</v>
      </c>
      <c r="C233">
        <v>7.3</v>
      </c>
    </row>
    <row r="234" spans="1:3" x14ac:dyDescent="0.25">
      <c r="A234" s="91">
        <v>12024</v>
      </c>
      <c r="B234" s="96">
        <f t="shared" si="3"/>
        <v>1932</v>
      </c>
      <c r="C234">
        <v>7.3</v>
      </c>
    </row>
    <row r="235" spans="1:3" x14ac:dyDescent="0.25">
      <c r="A235" s="91">
        <v>12055</v>
      </c>
      <c r="B235" s="96">
        <f t="shared" si="3"/>
        <v>1933</v>
      </c>
      <c r="C235">
        <v>7.2</v>
      </c>
    </row>
    <row r="236" spans="1:3" x14ac:dyDescent="0.25">
      <c r="A236" s="91">
        <v>12086</v>
      </c>
      <c r="B236" s="96">
        <f t="shared" si="3"/>
        <v>1933</v>
      </c>
      <c r="C236">
        <v>7.2</v>
      </c>
    </row>
    <row r="237" spans="1:3" x14ac:dyDescent="0.25">
      <c r="A237" s="91">
        <v>12114</v>
      </c>
      <c r="B237" s="96">
        <f t="shared" si="3"/>
        <v>1933</v>
      </c>
      <c r="C237">
        <v>7.1</v>
      </c>
    </row>
    <row r="238" spans="1:3" x14ac:dyDescent="0.25">
      <c r="A238" s="91">
        <v>12145</v>
      </c>
      <c r="B238" s="96">
        <f t="shared" si="3"/>
        <v>1933</v>
      </c>
      <c r="C238">
        <v>7.1</v>
      </c>
    </row>
    <row r="239" spans="1:3" x14ac:dyDescent="0.25">
      <c r="A239" s="91">
        <v>12175</v>
      </c>
      <c r="B239" s="96">
        <f t="shared" si="3"/>
        <v>1933</v>
      </c>
      <c r="C239">
        <v>7.1</v>
      </c>
    </row>
    <row r="240" spans="1:3" x14ac:dyDescent="0.25">
      <c r="A240" s="91">
        <v>12206</v>
      </c>
      <c r="B240" s="96">
        <f t="shared" si="3"/>
        <v>1933</v>
      </c>
      <c r="C240">
        <v>7.1</v>
      </c>
    </row>
    <row r="241" spans="1:3" x14ac:dyDescent="0.25">
      <c r="A241" s="91">
        <v>12236</v>
      </c>
      <c r="B241" s="96">
        <f t="shared" si="3"/>
        <v>1933</v>
      </c>
      <c r="C241">
        <v>7.1</v>
      </c>
    </row>
    <row r="242" spans="1:3" x14ac:dyDescent="0.25">
      <c r="A242" s="91">
        <v>12267</v>
      </c>
      <c r="B242" s="96">
        <f t="shared" si="3"/>
        <v>1933</v>
      </c>
      <c r="C242">
        <v>7.2</v>
      </c>
    </row>
    <row r="243" spans="1:3" x14ac:dyDescent="0.25">
      <c r="A243" s="91">
        <v>12298</v>
      </c>
      <c r="B243" s="96">
        <f t="shared" si="3"/>
        <v>1933</v>
      </c>
      <c r="C243">
        <v>7.2</v>
      </c>
    </row>
    <row r="244" spans="1:3" x14ac:dyDescent="0.25">
      <c r="A244" s="91">
        <v>12328</v>
      </c>
      <c r="B244" s="96">
        <f t="shared" si="3"/>
        <v>1933</v>
      </c>
      <c r="C244">
        <v>7.1</v>
      </c>
    </row>
    <row r="245" spans="1:3" x14ac:dyDescent="0.25">
      <c r="A245" s="91">
        <v>12359</v>
      </c>
      <c r="B245" s="96">
        <f t="shared" si="3"/>
        <v>1933</v>
      </c>
      <c r="C245">
        <v>7.1</v>
      </c>
    </row>
    <row r="246" spans="1:3" x14ac:dyDescent="0.25">
      <c r="A246" s="91">
        <v>12389</v>
      </c>
      <c r="B246" s="96">
        <f t="shared" si="3"/>
        <v>1933</v>
      </c>
      <c r="C246">
        <v>7.1</v>
      </c>
    </row>
    <row r="247" spans="1:3" x14ac:dyDescent="0.25">
      <c r="A247" s="91">
        <v>12420</v>
      </c>
      <c r="B247" s="96">
        <f t="shared" si="3"/>
        <v>1934</v>
      </c>
      <c r="C247">
        <v>7.2</v>
      </c>
    </row>
    <row r="248" spans="1:3" x14ac:dyDescent="0.25">
      <c r="A248" s="91">
        <v>12451</v>
      </c>
      <c r="B248" s="96">
        <f t="shared" si="3"/>
        <v>1934</v>
      </c>
      <c r="C248">
        <v>7.2</v>
      </c>
    </row>
    <row r="249" spans="1:3" x14ac:dyDescent="0.25">
      <c r="A249" s="91">
        <v>12479</v>
      </c>
      <c r="B249" s="96">
        <f t="shared" si="3"/>
        <v>1934</v>
      </c>
      <c r="C249">
        <v>7.3</v>
      </c>
    </row>
    <row r="250" spans="1:3" x14ac:dyDescent="0.25">
      <c r="A250" s="91">
        <v>12510</v>
      </c>
      <c r="B250" s="96">
        <f t="shared" si="3"/>
        <v>1934</v>
      </c>
      <c r="C250">
        <v>7.3</v>
      </c>
    </row>
    <row r="251" spans="1:3" x14ac:dyDescent="0.25">
      <c r="A251" s="91">
        <v>12540</v>
      </c>
      <c r="B251" s="96">
        <f t="shared" si="3"/>
        <v>1934</v>
      </c>
      <c r="C251">
        <v>7.2</v>
      </c>
    </row>
    <row r="252" spans="1:3" x14ac:dyDescent="0.25">
      <c r="A252" s="91">
        <v>12571</v>
      </c>
      <c r="B252" s="96">
        <f t="shared" si="3"/>
        <v>1934</v>
      </c>
      <c r="C252">
        <v>7.2</v>
      </c>
    </row>
    <row r="253" spans="1:3" x14ac:dyDescent="0.25">
      <c r="A253" s="91">
        <v>12601</v>
      </c>
      <c r="B253" s="96">
        <f t="shared" si="3"/>
        <v>1934</v>
      </c>
      <c r="C253">
        <v>7.2</v>
      </c>
    </row>
    <row r="254" spans="1:3" x14ac:dyDescent="0.25">
      <c r="A254" s="91">
        <v>12632</v>
      </c>
      <c r="B254" s="96">
        <f t="shared" si="3"/>
        <v>1934</v>
      </c>
      <c r="C254">
        <v>7.2</v>
      </c>
    </row>
    <row r="255" spans="1:3" x14ac:dyDescent="0.25">
      <c r="A255" s="91">
        <v>12663</v>
      </c>
      <c r="B255" s="96">
        <f t="shared" si="3"/>
        <v>1934</v>
      </c>
      <c r="C255">
        <v>7.2</v>
      </c>
    </row>
    <row r="256" spans="1:3" x14ac:dyDescent="0.25">
      <c r="A256" s="91">
        <v>12693</v>
      </c>
      <c r="B256" s="96">
        <f t="shared" si="3"/>
        <v>1934</v>
      </c>
      <c r="C256">
        <v>7.2</v>
      </c>
    </row>
    <row r="257" spans="1:3" x14ac:dyDescent="0.25">
      <c r="A257" s="91">
        <v>12724</v>
      </c>
      <c r="B257" s="96">
        <f t="shared" si="3"/>
        <v>1934</v>
      </c>
      <c r="C257">
        <v>7.2</v>
      </c>
    </row>
    <row r="258" spans="1:3" x14ac:dyDescent="0.25">
      <c r="A258" s="91">
        <v>12754</v>
      </c>
      <c r="B258" s="96">
        <f t="shared" si="3"/>
        <v>1934</v>
      </c>
      <c r="C258">
        <v>7.2</v>
      </c>
    </row>
    <row r="259" spans="1:3" x14ac:dyDescent="0.25">
      <c r="A259" s="91">
        <v>12785</v>
      </c>
      <c r="B259" s="96">
        <f t="shared" si="3"/>
        <v>1935</v>
      </c>
      <c r="C259">
        <v>7.2</v>
      </c>
    </row>
    <row r="260" spans="1:3" x14ac:dyDescent="0.25">
      <c r="A260" s="91">
        <v>12816</v>
      </c>
      <c r="B260" s="96">
        <f t="shared" si="3"/>
        <v>1935</v>
      </c>
      <c r="C260">
        <v>7.2</v>
      </c>
    </row>
    <row r="261" spans="1:3" x14ac:dyDescent="0.25">
      <c r="A261" s="91">
        <v>12844</v>
      </c>
      <c r="B261" s="96">
        <f t="shared" si="3"/>
        <v>1935</v>
      </c>
      <c r="C261">
        <v>7.2</v>
      </c>
    </row>
    <row r="262" spans="1:3" x14ac:dyDescent="0.25">
      <c r="A262" s="91">
        <v>12875</v>
      </c>
      <c r="B262" s="96">
        <f t="shared" si="3"/>
        <v>1935</v>
      </c>
      <c r="C262">
        <v>7.2</v>
      </c>
    </row>
    <row r="263" spans="1:3" x14ac:dyDescent="0.25">
      <c r="A263" s="91">
        <v>12905</v>
      </c>
      <c r="B263" s="96">
        <f t="shared" si="3"/>
        <v>1935</v>
      </c>
      <c r="C263">
        <v>7.2</v>
      </c>
    </row>
    <row r="264" spans="1:3" x14ac:dyDescent="0.25">
      <c r="A264" s="91">
        <v>12936</v>
      </c>
      <c r="B264" s="96">
        <f t="shared" ref="B264:B327" si="4">YEAR(A264)</f>
        <v>1935</v>
      </c>
      <c r="C264">
        <v>7.2</v>
      </c>
    </row>
    <row r="265" spans="1:3" x14ac:dyDescent="0.25">
      <c r="A265" s="91">
        <v>12966</v>
      </c>
      <c r="B265" s="96">
        <f t="shared" si="4"/>
        <v>1935</v>
      </c>
      <c r="C265">
        <v>7.2</v>
      </c>
    </row>
    <row r="266" spans="1:3" x14ac:dyDescent="0.25">
      <c r="A266" s="91">
        <v>12997</v>
      </c>
      <c r="B266" s="96">
        <f t="shared" si="4"/>
        <v>1935</v>
      </c>
      <c r="C266">
        <v>7.2</v>
      </c>
    </row>
    <row r="267" spans="1:3" x14ac:dyDescent="0.25">
      <c r="A267" s="91">
        <v>13028</v>
      </c>
      <c r="B267" s="96">
        <f t="shared" si="4"/>
        <v>1935</v>
      </c>
      <c r="C267">
        <v>7.3</v>
      </c>
    </row>
    <row r="268" spans="1:3" x14ac:dyDescent="0.25">
      <c r="A268" s="91">
        <v>13058</v>
      </c>
      <c r="B268" s="96">
        <f t="shared" si="4"/>
        <v>1935</v>
      </c>
      <c r="C268">
        <v>7.3</v>
      </c>
    </row>
    <row r="269" spans="1:3" x14ac:dyDescent="0.25">
      <c r="A269" s="91">
        <v>13089</v>
      </c>
      <c r="B269" s="96">
        <f t="shared" si="4"/>
        <v>1935</v>
      </c>
      <c r="C269">
        <v>7.4</v>
      </c>
    </row>
    <row r="270" spans="1:3" x14ac:dyDescent="0.25">
      <c r="A270" s="91">
        <v>13119</v>
      </c>
      <c r="B270" s="96">
        <f t="shared" si="4"/>
        <v>1935</v>
      </c>
      <c r="C270">
        <v>7.4</v>
      </c>
    </row>
    <row r="271" spans="1:3" x14ac:dyDescent="0.25">
      <c r="A271" s="91">
        <v>13150</v>
      </c>
      <c r="B271" s="96">
        <f t="shared" si="4"/>
        <v>1936</v>
      </c>
      <c r="C271">
        <v>7.4</v>
      </c>
    </row>
    <row r="272" spans="1:3" x14ac:dyDescent="0.25">
      <c r="A272" s="91">
        <v>13181</v>
      </c>
      <c r="B272" s="96">
        <f t="shared" si="4"/>
        <v>1936</v>
      </c>
      <c r="C272">
        <v>7.4</v>
      </c>
    </row>
    <row r="273" spans="1:3" x14ac:dyDescent="0.25">
      <c r="A273" s="91">
        <v>13210</v>
      </c>
      <c r="B273" s="96">
        <f t="shared" si="4"/>
        <v>1936</v>
      </c>
      <c r="C273">
        <v>7.4</v>
      </c>
    </row>
    <row r="274" spans="1:3" x14ac:dyDescent="0.25">
      <c r="A274" s="91">
        <v>13241</v>
      </c>
      <c r="B274" s="96">
        <f t="shared" si="4"/>
        <v>1936</v>
      </c>
      <c r="C274">
        <v>7.3</v>
      </c>
    </row>
    <row r="275" spans="1:3" x14ac:dyDescent="0.25">
      <c r="A275" s="91">
        <v>13271</v>
      </c>
      <c r="B275" s="96">
        <f t="shared" si="4"/>
        <v>1936</v>
      </c>
      <c r="C275">
        <v>7.3</v>
      </c>
    </row>
    <row r="276" spans="1:3" x14ac:dyDescent="0.25">
      <c r="A276" s="91">
        <v>13302</v>
      </c>
      <c r="B276" s="96">
        <f t="shared" si="4"/>
        <v>1936</v>
      </c>
      <c r="C276">
        <v>7.3</v>
      </c>
    </row>
    <row r="277" spans="1:3" x14ac:dyDescent="0.25">
      <c r="A277" s="91">
        <v>13332</v>
      </c>
      <c r="B277" s="96">
        <f t="shared" si="4"/>
        <v>1936</v>
      </c>
      <c r="C277">
        <v>7.4</v>
      </c>
    </row>
    <row r="278" spans="1:3" x14ac:dyDescent="0.25">
      <c r="A278" s="91">
        <v>13363</v>
      </c>
      <c r="B278" s="96">
        <f t="shared" si="4"/>
        <v>1936</v>
      </c>
      <c r="C278">
        <v>7.4</v>
      </c>
    </row>
    <row r="279" spans="1:3" x14ac:dyDescent="0.25">
      <c r="A279" s="91">
        <v>13394</v>
      </c>
      <c r="B279" s="96">
        <f t="shared" si="4"/>
        <v>1936</v>
      </c>
      <c r="C279">
        <v>7.4</v>
      </c>
    </row>
    <row r="280" spans="1:3" x14ac:dyDescent="0.25">
      <c r="A280" s="91">
        <v>13424</v>
      </c>
      <c r="B280" s="96">
        <f t="shared" si="4"/>
        <v>1936</v>
      </c>
      <c r="C280">
        <v>7.5</v>
      </c>
    </row>
    <row r="281" spans="1:3" x14ac:dyDescent="0.25">
      <c r="A281" s="91">
        <v>13455</v>
      </c>
      <c r="B281" s="96">
        <f t="shared" si="4"/>
        <v>1936</v>
      </c>
      <c r="C281">
        <v>7.5</v>
      </c>
    </row>
    <row r="282" spans="1:3" x14ac:dyDescent="0.25">
      <c r="A282" s="91">
        <v>13485</v>
      </c>
      <c r="B282" s="96">
        <f t="shared" si="4"/>
        <v>1936</v>
      </c>
      <c r="C282">
        <v>7.5</v>
      </c>
    </row>
    <row r="283" spans="1:3" x14ac:dyDescent="0.25">
      <c r="A283" s="91">
        <v>13516</v>
      </c>
      <c r="B283" s="96">
        <f t="shared" si="4"/>
        <v>1937</v>
      </c>
      <c r="C283">
        <v>7.6</v>
      </c>
    </row>
    <row r="284" spans="1:3" x14ac:dyDescent="0.25">
      <c r="A284" s="91">
        <v>13547</v>
      </c>
      <c r="B284" s="96">
        <f t="shared" si="4"/>
        <v>1937</v>
      </c>
      <c r="C284">
        <v>7.6</v>
      </c>
    </row>
    <row r="285" spans="1:3" x14ac:dyDescent="0.25">
      <c r="A285" s="91">
        <v>13575</v>
      </c>
      <c r="B285" s="96">
        <f t="shared" si="4"/>
        <v>1937</v>
      </c>
      <c r="C285">
        <v>7.6</v>
      </c>
    </row>
    <row r="286" spans="1:3" x14ac:dyDescent="0.25">
      <c r="A286" s="91">
        <v>13606</v>
      </c>
      <c r="B286" s="96">
        <f t="shared" si="4"/>
        <v>1937</v>
      </c>
      <c r="C286">
        <v>7.6</v>
      </c>
    </row>
    <row r="287" spans="1:3" x14ac:dyDescent="0.25">
      <c r="A287" s="91">
        <v>13636</v>
      </c>
      <c r="B287" s="96">
        <f t="shared" si="4"/>
        <v>1937</v>
      </c>
      <c r="C287">
        <v>7.6</v>
      </c>
    </row>
    <row r="288" spans="1:3" x14ac:dyDescent="0.25">
      <c r="A288" s="91">
        <v>13667</v>
      </c>
      <c r="B288" s="96">
        <f t="shared" si="4"/>
        <v>1937</v>
      </c>
      <c r="C288">
        <v>7.6</v>
      </c>
    </row>
    <row r="289" spans="1:3" x14ac:dyDescent="0.25">
      <c r="A289" s="91">
        <v>13697</v>
      </c>
      <c r="B289" s="96">
        <f t="shared" si="4"/>
        <v>1937</v>
      </c>
      <c r="C289">
        <v>7.6</v>
      </c>
    </row>
    <row r="290" spans="1:3" x14ac:dyDescent="0.25">
      <c r="A290" s="91">
        <v>13728</v>
      </c>
      <c r="B290" s="96">
        <f t="shared" si="4"/>
        <v>1937</v>
      </c>
      <c r="C290">
        <v>7.7</v>
      </c>
    </row>
    <row r="291" spans="1:3" x14ac:dyDescent="0.25">
      <c r="A291" s="91">
        <v>13759</v>
      </c>
      <c r="B291" s="96">
        <f t="shared" si="4"/>
        <v>1937</v>
      </c>
      <c r="C291">
        <v>7.7</v>
      </c>
    </row>
    <row r="292" spans="1:3" x14ac:dyDescent="0.25">
      <c r="A292" s="91">
        <v>13789</v>
      </c>
      <c r="B292" s="96">
        <f t="shared" si="4"/>
        <v>1937</v>
      </c>
      <c r="C292">
        <v>7.8</v>
      </c>
    </row>
    <row r="293" spans="1:3" x14ac:dyDescent="0.25">
      <c r="A293" s="91">
        <v>13820</v>
      </c>
      <c r="B293" s="96">
        <f t="shared" si="4"/>
        <v>1937</v>
      </c>
      <c r="C293">
        <v>7.8</v>
      </c>
    </row>
    <row r="294" spans="1:3" x14ac:dyDescent="0.25">
      <c r="A294" s="91">
        <v>13850</v>
      </c>
      <c r="B294" s="96">
        <f t="shared" si="4"/>
        <v>1937</v>
      </c>
      <c r="C294">
        <v>7.8</v>
      </c>
    </row>
    <row r="295" spans="1:3" x14ac:dyDescent="0.25">
      <c r="A295" s="91">
        <v>13881</v>
      </c>
      <c r="B295" s="96">
        <f t="shared" si="4"/>
        <v>1938</v>
      </c>
      <c r="C295">
        <v>7.7</v>
      </c>
    </row>
    <row r="296" spans="1:3" x14ac:dyDescent="0.25">
      <c r="A296" s="91">
        <v>13912</v>
      </c>
      <c r="B296" s="96">
        <f t="shared" si="4"/>
        <v>1938</v>
      </c>
      <c r="C296">
        <v>7.7</v>
      </c>
    </row>
    <row r="297" spans="1:3" x14ac:dyDescent="0.25">
      <c r="A297" s="91">
        <v>13940</v>
      </c>
      <c r="B297" s="96">
        <f t="shared" si="4"/>
        <v>1938</v>
      </c>
      <c r="C297">
        <v>7.8</v>
      </c>
    </row>
    <row r="298" spans="1:3" x14ac:dyDescent="0.25">
      <c r="A298" s="91">
        <v>13971</v>
      </c>
      <c r="B298" s="96">
        <f t="shared" si="4"/>
        <v>1938</v>
      </c>
      <c r="C298">
        <v>7.8</v>
      </c>
    </row>
    <row r="299" spans="1:3" x14ac:dyDescent="0.25">
      <c r="A299" s="91">
        <v>14001</v>
      </c>
      <c r="B299" s="96">
        <f t="shared" si="4"/>
        <v>1938</v>
      </c>
      <c r="C299">
        <v>7.7</v>
      </c>
    </row>
    <row r="300" spans="1:3" x14ac:dyDescent="0.25">
      <c r="A300" s="91">
        <v>14032</v>
      </c>
      <c r="B300" s="96">
        <f t="shared" si="4"/>
        <v>1938</v>
      </c>
      <c r="C300">
        <v>7.7</v>
      </c>
    </row>
    <row r="301" spans="1:3" x14ac:dyDescent="0.25">
      <c r="A301" s="91">
        <v>14062</v>
      </c>
      <c r="B301" s="96">
        <f t="shared" si="4"/>
        <v>1938</v>
      </c>
      <c r="C301">
        <v>7.8</v>
      </c>
    </row>
    <row r="302" spans="1:3" x14ac:dyDescent="0.25">
      <c r="A302" s="91">
        <v>14093</v>
      </c>
      <c r="B302" s="96">
        <f t="shared" si="4"/>
        <v>1938</v>
      </c>
      <c r="C302">
        <v>7.8</v>
      </c>
    </row>
    <row r="303" spans="1:3" x14ac:dyDescent="0.25">
      <c r="A303" s="91">
        <v>14124</v>
      </c>
      <c r="B303" s="96">
        <f t="shared" si="4"/>
        <v>1938</v>
      </c>
      <c r="C303">
        <v>7.7</v>
      </c>
    </row>
    <row r="304" spans="1:3" x14ac:dyDescent="0.25">
      <c r="A304" s="91">
        <v>14154</v>
      </c>
      <c r="B304" s="96">
        <f t="shared" si="4"/>
        <v>1938</v>
      </c>
      <c r="C304">
        <v>7.6</v>
      </c>
    </row>
    <row r="305" spans="1:3" x14ac:dyDescent="0.25">
      <c r="A305" s="91">
        <v>14185</v>
      </c>
      <c r="B305" s="96">
        <f t="shared" si="4"/>
        <v>1938</v>
      </c>
      <c r="C305">
        <v>7.6</v>
      </c>
    </row>
    <row r="306" spans="1:3" x14ac:dyDescent="0.25">
      <c r="A306" s="91">
        <v>14215</v>
      </c>
      <c r="B306" s="96">
        <f t="shared" si="4"/>
        <v>1938</v>
      </c>
      <c r="C306">
        <v>7.6</v>
      </c>
    </row>
    <row r="307" spans="1:3" x14ac:dyDescent="0.25">
      <c r="A307" s="91">
        <v>14246</v>
      </c>
      <c r="B307" s="96">
        <f t="shared" si="4"/>
        <v>1939</v>
      </c>
      <c r="C307">
        <v>7.6</v>
      </c>
    </row>
    <row r="308" spans="1:3" x14ac:dyDescent="0.25">
      <c r="A308" s="91">
        <v>14277</v>
      </c>
      <c r="B308" s="96">
        <f t="shared" si="4"/>
        <v>1939</v>
      </c>
      <c r="C308">
        <v>7.6</v>
      </c>
    </row>
    <row r="309" spans="1:3" x14ac:dyDescent="0.25">
      <c r="A309" s="91">
        <v>14305</v>
      </c>
      <c r="B309" s="96">
        <f t="shared" si="4"/>
        <v>1939</v>
      </c>
      <c r="C309">
        <v>7.6</v>
      </c>
    </row>
    <row r="310" spans="1:3" x14ac:dyDescent="0.25">
      <c r="A310" s="91">
        <v>14336</v>
      </c>
      <c r="B310" s="96">
        <f t="shared" si="4"/>
        <v>1939</v>
      </c>
      <c r="C310">
        <v>7.6</v>
      </c>
    </row>
    <row r="311" spans="1:3" x14ac:dyDescent="0.25">
      <c r="A311" s="91">
        <v>14366</v>
      </c>
      <c r="B311" s="96">
        <f t="shared" si="4"/>
        <v>1939</v>
      </c>
      <c r="C311">
        <v>7.6</v>
      </c>
    </row>
    <row r="312" spans="1:3" x14ac:dyDescent="0.25">
      <c r="A312" s="91">
        <v>14397</v>
      </c>
      <c r="B312" s="96">
        <f t="shared" si="4"/>
        <v>1939</v>
      </c>
      <c r="C312">
        <v>7.6</v>
      </c>
    </row>
    <row r="313" spans="1:3" x14ac:dyDescent="0.25">
      <c r="A313" s="91">
        <v>14427</v>
      </c>
      <c r="B313" s="96">
        <f t="shared" si="4"/>
        <v>1939</v>
      </c>
      <c r="C313">
        <v>7.6</v>
      </c>
    </row>
    <row r="314" spans="1:3" x14ac:dyDescent="0.25">
      <c r="A314" s="91">
        <v>14458</v>
      </c>
      <c r="B314" s="96">
        <f t="shared" si="4"/>
        <v>1939</v>
      </c>
      <c r="C314">
        <v>7.6</v>
      </c>
    </row>
    <row r="315" spans="1:3" x14ac:dyDescent="0.25">
      <c r="A315" s="91">
        <v>14489</v>
      </c>
      <c r="B315" s="96">
        <f t="shared" si="4"/>
        <v>1939</v>
      </c>
      <c r="C315">
        <v>7.6</v>
      </c>
    </row>
    <row r="316" spans="1:3" x14ac:dyDescent="0.25">
      <c r="A316" s="91">
        <v>14519</v>
      </c>
      <c r="B316" s="96">
        <f t="shared" si="4"/>
        <v>1939</v>
      </c>
      <c r="C316">
        <v>7.8</v>
      </c>
    </row>
    <row r="317" spans="1:3" x14ac:dyDescent="0.25">
      <c r="A317" s="91">
        <v>14550</v>
      </c>
      <c r="B317" s="96">
        <f t="shared" si="4"/>
        <v>1939</v>
      </c>
      <c r="C317">
        <v>7.8</v>
      </c>
    </row>
    <row r="318" spans="1:3" x14ac:dyDescent="0.25">
      <c r="A318" s="91">
        <v>14580</v>
      </c>
      <c r="B318" s="96">
        <f t="shared" si="4"/>
        <v>1939</v>
      </c>
      <c r="C318">
        <v>7.8</v>
      </c>
    </row>
    <row r="319" spans="1:3" x14ac:dyDescent="0.25">
      <c r="A319" s="91">
        <v>14611</v>
      </c>
      <c r="B319" s="96">
        <f t="shared" si="4"/>
        <v>1940</v>
      </c>
      <c r="C319">
        <v>7.8</v>
      </c>
    </row>
    <row r="320" spans="1:3" x14ac:dyDescent="0.25">
      <c r="A320" s="91">
        <v>14642</v>
      </c>
      <c r="B320" s="96">
        <f t="shared" si="4"/>
        <v>1940</v>
      </c>
      <c r="C320">
        <v>7.8</v>
      </c>
    </row>
    <row r="321" spans="1:3" x14ac:dyDescent="0.25">
      <c r="A321" s="91">
        <v>14671</v>
      </c>
      <c r="B321" s="96">
        <f t="shared" si="4"/>
        <v>1940</v>
      </c>
      <c r="C321">
        <v>7.9</v>
      </c>
    </row>
    <row r="322" spans="1:3" x14ac:dyDescent="0.25">
      <c r="A322" s="91">
        <v>14702</v>
      </c>
      <c r="B322" s="96">
        <f t="shared" si="4"/>
        <v>1940</v>
      </c>
      <c r="C322">
        <v>7.9</v>
      </c>
    </row>
    <row r="323" spans="1:3" x14ac:dyDescent="0.25">
      <c r="A323" s="91">
        <v>14732</v>
      </c>
      <c r="B323" s="96">
        <f t="shared" si="4"/>
        <v>1940</v>
      </c>
      <c r="C323">
        <v>7.9</v>
      </c>
    </row>
    <row r="324" spans="1:3" x14ac:dyDescent="0.25">
      <c r="A324" s="91">
        <v>14763</v>
      </c>
      <c r="B324" s="96">
        <f t="shared" si="4"/>
        <v>1940</v>
      </c>
      <c r="C324">
        <v>7.9</v>
      </c>
    </row>
    <row r="325" spans="1:3" x14ac:dyDescent="0.25">
      <c r="A325" s="91">
        <v>14793</v>
      </c>
      <c r="B325" s="96">
        <f t="shared" si="4"/>
        <v>1940</v>
      </c>
      <c r="C325">
        <v>8</v>
      </c>
    </row>
    <row r="326" spans="1:3" x14ac:dyDescent="0.25">
      <c r="A326" s="91">
        <v>14824</v>
      </c>
      <c r="B326" s="96">
        <f t="shared" si="4"/>
        <v>1940</v>
      </c>
      <c r="C326">
        <v>8</v>
      </c>
    </row>
    <row r="327" spans="1:3" x14ac:dyDescent="0.25">
      <c r="A327" s="91">
        <v>14855</v>
      </c>
      <c r="B327" s="96">
        <f t="shared" si="4"/>
        <v>1940</v>
      </c>
      <c r="C327">
        <v>8.1</v>
      </c>
    </row>
    <row r="328" spans="1:3" x14ac:dyDescent="0.25">
      <c r="A328" s="91">
        <v>14885</v>
      </c>
      <c r="B328" s="96">
        <f t="shared" ref="B328:B391" si="5">YEAR(A328)</f>
        <v>1940</v>
      </c>
      <c r="C328">
        <v>8.1</v>
      </c>
    </row>
    <row r="329" spans="1:3" x14ac:dyDescent="0.25">
      <c r="A329" s="91">
        <v>14916</v>
      </c>
      <c r="B329" s="96">
        <f t="shared" si="5"/>
        <v>1940</v>
      </c>
      <c r="C329">
        <v>8.1</v>
      </c>
    </row>
    <row r="330" spans="1:3" x14ac:dyDescent="0.25">
      <c r="A330" s="91">
        <v>14946</v>
      </c>
      <c r="B330" s="96">
        <f t="shared" si="5"/>
        <v>1940</v>
      </c>
      <c r="C330">
        <v>8.1999999999999993</v>
      </c>
    </row>
    <row r="331" spans="1:3" x14ac:dyDescent="0.25">
      <c r="A331" s="91">
        <v>14977</v>
      </c>
      <c r="B331" s="96">
        <f t="shared" si="5"/>
        <v>1941</v>
      </c>
      <c r="C331">
        <v>8.1999999999999993</v>
      </c>
    </row>
    <row r="332" spans="1:3" x14ac:dyDescent="0.25">
      <c r="A332" s="91">
        <v>15008</v>
      </c>
      <c r="B332" s="96">
        <f t="shared" si="5"/>
        <v>1941</v>
      </c>
      <c r="C332">
        <v>8.1999999999999993</v>
      </c>
    </row>
    <row r="333" spans="1:3" x14ac:dyDescent="0.25">
      <c r="A333" s="91">
        <v>15036</v>
      </c>
      <c r="B333" s="96">
        <f t="shared" si="5"/>
        <v>1941</v>
      </c>
      <c r="C333">
        <v>8.1999999999999993</v>
      </c>
    </row>
    <row r="334" spans="1:3" x14ac:dyDescent="0.25">
      <c r="A334" s="91">
        <v>15067</v>
      </c>
      <c r="B334" s="96">
        <f t="shared" si="5"/>
        <v>1941</v>
      </c>
      <c r="C334">
        <v>8.1999999999999993</v>
      </c>
    </row>
    <row r="335" spans="1:3" x14ac:dyDescent="0.25">
      <c r="A335" s="91">
        <v>15097</v>
      </c>
      <c r="B335" s="96">
        <f t="shared" si="5"/>
        <v>1941</v>
      </c>
      <c r="C335">
        <v>8.1999999999999993</v>
      </c>
    </row>
    <row r="336" spans="1:3" x14ac:dyDescent="0.25">
      <c r="A336" s="91">
        <v>15128</v>
      </c>
      <c r="B336" s="96">
        <f t="shared" si="5"/>
        <v>1941</v>
      </c>
      <c r="C336">
        <v>8.4</v>
      </c>
    </row>
    <row r="337" spans="1:3" x14ac:dyDescent="0.25">
      <c r="A337" s="91">
        <v>15158</v>
      </c>
      <c r="B337" s="96">
        <f t="shared" si="5"/>
        <v>1941</v>
      </c>
      <c r="C337">
        <v>8.5</v>
      </c>
    </row>
    <row r="338" spans="1:3" x14ac:dyDescent="0.25">
      <c r="A338" s="91">
        <v>15189</v>
      </c>
      <c r="B338" s="96">
        <f t="shared" si="5"/>
        <v>1941</v>
      </c>
      <c r="C338">
        <v>8.6</v>
      </c>
    </row>
    <row r="339" spans="1:3" x14ac:dyDescent="0.25">
      <c r="A339" s="91">
        <v>15220</v>
      </c>
      <c r="B339" s="96">
        <f t="shared" si="5"/>
        <v>1941</v>
      </c>
      <c r="C339">
        <v>8.6999999999999993</v>
      </c>
    </row>
    <row r="340" spans="1:3" x14ac:dyDescent="0.25">
      <c r="A340" s="91">
        <v>15250</v>
      </c>
      <c r="B340" s="96">
        <f t="shared" si="5"/>
        <v>1941</v>
      </c>
      <c r="C340">
        <v>8.6999999999999993</v>
      </c>
    </row>
    <row r="341" spans="1:3" x14ac:dyDescent="0.25">
      <c r="A341" s="91">
        <v>15281</v>
      </c>
      <c r="B341" s="96">
        <f t="shared" si="5"/>
        <v>1941</v>
      </c>
      <c r="C341">
        <v>8.8000000000000007</v>
      </c>
    </row>
    <row r="342" spans="1:3" x14ac:dyDescent="0.25">
      <c r="A342" s="91">
        <v>15311</v>
      </c>
      <c r="B342" s="96">
        <f t="shared" si="5"/>
        <v>1941</v>
      </c>
      <c r="C342">
        <v>8.6999999999999993</v>
      </c>
    </row>
    <row r="343" spans="1:3" x14ac:dyDescent="0.25">
      <c r="A343" s="91">
        <v>15342</v>
      </c>
      <c r="B343" s="96">
        <f t="shared" si="5"/>
        <v>1942</v>
      </c>
      <c r="C343">
        <v>8.6999999999999993</v>
      </c>
    </row>
    <row r="344" spans="1:3" x14ac:dyDescent="0.25">
      <c r="A344" s="91">
        <v>15373</v>
      </c>
      <c r="B344" s="96">
        <f t="shared" si="5"/>
        <v>1942</v>
      </c>
      <c r="C344">
        <v>8.6999999999999993</v>
      </c>
    </row>
    <row r="345" spans="1:3" x14ac:dyDescent="0.25">
      <c r="A345" s="91">
        <v>15401</v>
      </c>
      <c r="B345" s="96">
        <f t="shared" si="5"/>
        <v>1942</v>
      </c>
      <c r="C345">
        <v>8.8000000000000007</v>
      </c>
    </row>
    <row r="346" spans="1:3" x14ac:dyDescent="0.25">
      <c r="A346" s="91">
        <v>15432</v>
      </c>
      <c r="B346" s="96">
        <f t="shared" si="5"/>
        <v>1942</v>
      </c>
      <c r="C346">
        <v>8.8000000000000007</v>
      </c>
    </row>
    <row r="347" spans="1:3" x14ac:dyDescent="0.25">
      <c r="A347" s="91">
        <v>15462</v>
      </c>
      <c r="B347" s="96">
        <f t="shared" si="5"/>
        <v>1942</v>
      </c>
      <c r="C347">
        <v>8.8000000000000007</v>
      </c>
    </row>
    <row r="348" spans="1:3" x14ac:dyDescent="0.25">
      <c r="A348" s="91">
        <v>15493</v>
      </c>
      <c r="B348" s="96">
        <f t="shared" si="5"/>
        <v>1942</v>
      </c>
      <c r="C348">
        <v>8.8000000000000007</v>
      </c>
    </row>
    <row r="349" spans="1:3" x14ac:dyDescent="0.25">
      <c r="A349" s="91">
        <v>15523</v>
      </c>
      <c r="B349" s="96">
        <f t="shared" si="5"/>
        <v>1942</v>
      </c>
      <c r="C349">
        <v>8.9</v>
      </c>
    </row>
    <row r="350" spans="1:3" x14ac:dyDescent="0.25">
      <c r="A350" s="91">
        <v>15554</v>
      </c>
      <c r="B350" s="96">
        <f t="shared" si="5"/>
        <v>1942</v>
      </c>
      <c r="C350">
        <v>8.9</v>
      </c>
    </row>
    <row r="351" spans="1:3" x14ac:dyDescent="0.25">
      <c r="A351" s="91">
        <v>15585</v>
      </c>
      <c r="B351" s="96">
        <f t="shared" si="5"/>
        <v>1942</v>
      </c>
      <c r="C351">
        <v>8.8000000000000007</v>
      </c>
    </row>
    <row r="352" spans="1:3" x14ac:dyDescent="0.25">
      <c r="A352" s="91">
        <v>15615</v>
      </c>
      <c r="B352" s="96">
        <f t="shared" si="5"/>
        <v>1942</v>
      </c>
      <c r="C352">
        <v>8.9</v>
      </c>
    </row>
    <row r="353" spans="1:3" x14ac:dyDescent="0.25">
      <c r="A353" s="91">
        <v>15646</v>
      </c>
      <c r="B353" s="96">
        <f t="shared" si="5"/>
        <v>1942</v>
      </c>
      <c r="C353">
        <v>9</v>
      </c>
    </row>
    <row r="354" spans="1:3" x14ac:dyDescent="0.25">
      <c r="A354" s="91">
        <v>15676</v>
      </c>
      <c r="B354" s="96">
        <f t="shared" si="5"/>
        <v>1942</v>
      </c>
      <c r="C354">
        <v>9</v>
      </c>
    </row>
    <row r="355" spans="1:3" x14ac:dyDescent="0.25">
      <c r="A355" s="91">
        <v>15707</v>
      </c>
      <c r="B355" s="96">
        <f t="shared" si="5"/>
        <v>1943</v>
      </c>
      <c r="C355">
        <v>8.8000000000000007</v>
      </c>
    </row>
    <row r="356" spans="1:3" x14ac:dyDescent="0.25">
      <c r="A356" s="91">
        <v>15738</v>
      </c>
      <c r="B356" s="96">
        <f t="shared" si="5"/>
        <v>1943</v>
      </c>
      <c r="C356">
        <v>8.8000000000000007</v>
      </c>
    </row>
    <row r="357" spans="1:3" x14ac:dyDescent="0.25">
      <c r="A357" s="91">
        <v>15766</v>
      </c>
      <c r="B357" s="96">
        <f t="shared" si="5"/>
        <v>1943</v>
      </c>
      <c r="C357">
        <v>8.8000000000000007</v>
      </c>
    </row>
    <row r="358" spans="1:3" x14ac:dyDescent="0.25">
      <c r="A358" s="91">
        <v>15797</v>
      </c>
      <c r="B358" s="96">
        <f t="shared" si="5"/>
        <v>1943</v>
      </c>
      <c r="C358">
        <v>9</v>
      </c>
    </row>
    <row r="359" spans="1:3" x14ac:dyDescent="0.25">
      <c r="A359" s="91">
        <v>15827</v>
      </c>
      <c r="B359" s="96">
        <f t="shared" si="5"/>
        <v>1943</v>
      </c>
      <c r="C359">
        <v>9</v>
      </c>
    </row>
    <row r="360" spans="1:3" x14ac:dyDescent="0.25">
      <c r="A360" s="91">
        <v>15858</v>
      </c>
      <c r="B360" s="96">
        <f t="shared" si="5"/>
        <v>1943</v>
      </c>
      <c r="C360">
        <v>9</v>
      </c>
    </row>
    <row r="361" spans="1:3" x14ac:dyDescent="0.25">
      <c r="A361" s="91">
        <v>15888</v>
      </c>
      <c r="B361" s="96">
        <f t="shared" si="5"/>
        <v>1943</v>
      </c>
      <c r="C361">
        <v>9.1</v>
      </c>
    </row>
    <row r="362" spans="1:3" x14ac:dyDescent="0.25">
      <c r="A362" s="91">
        <v>15919</v>
      </c>
      <c r="B362" s="96">
        <f t="shared" si="5"/>
        <v>1943</v>
      </c>
      <c r="C362">
        <v>9.1</v>
      </c>
    </row>
    <row r="363" spans="1:3" x14ac:dyDescent="0.25">
      <c r="A363" s="91">
        <v>15950</v>
      </c>
      <c r="B363" s="96">
        <f t="shared" si="5"/>
        <v>1943</v>
      </c>
      <c r="C363">
        <v>9.1999999999999993</v>
      </c>
    </row>
    <row r="364" spans="1:3" x14ac:dyDescent="0.25">
      <c r="A364" s="91">
        <v>15980</v>
      </c>
      <c r="B364" s="96">
        <f t="shared" si="5"/>
        <v>1943</v>
      </c>
      <c r="C364">
        <v>9.1999999999999993</v>
      </c>
    </row>
    <row r="365" spans="1:3" x14ac:dyDescent="0.25">
      <c r="A365" s="91">
        <v>16011</v>
      </c>
      <c r="B365" s="96">
        <f t="shared" si="5"/>
        <v>1943</v>
      </c>
      <c r="C365">
        <v>9.1999999999999993</v>
      </c>
    </row>
    <row r="366" spans="1:3" x14ac:dyDescent="0.25">
      <c r="A366" s="91">
        <v>16041</v>
      </c>
      <c r="B366" s="96">
        <f t="shared" si="5"/>
        <v>1943</v>
      </c>
      <c r="C366">
        <v>9.1999999999999993</v>
      </c>
    </row>
    <row r="367" spans="1:3" x14ac:dyDescent="0.25">
      <c r="A367" s="91">
        <v>16072</v>
      </c>
      <c r="B367" s="96">
        <f t="shared" si="5"/>
        <v>1944</v>
      </c>
      <c r="C367">
        <v>9.1</v>
      </c>
    </row>
    <row r="368" spans="1:3" x14ac:dyDescent="0.25">
      <c r="A368" s="91">
        <v>16103</v>
      </c>
      <c r="B368" s="96">
        <f t="shared" si="5"/>
        <v>1944</v>
      </c>
      <c r="C368">
        <v>9.1</v>
      </c>
    </row>
    <row r="369" spans="1:3" x14ac:dyDescent="0.25">
      <c r="A369" s="91">
        <v>16132</v>
      </c>
      <c r="B369" s="96">
        <f t="shared" si="5"/>
        <v>1944</v>
      </c>
      <c r="C369">
        <v>9.1</v>
      </c>
    </row>
    <row r="370" spans="1:3" x14ac:dyDescent="0.25">
      <c r="A370" s="91">
        <v>16163</v>
      </c>
      <c r="B370" s="96">
        <f t="shared" si="5"/>
        <v>1944</v>
      </c>
      <c r="C370">
        <v>9.1</v>
      </c>
    </row>
    <row r="371" spans="1:3" x14ac:dyDescent="0.25">
      <c r="A371" s="91">
        <v>16193</v>
      </c>
      <c r="B371" s="96">
        <f t="shared" si="5"/>
        <v>1944</v>
      </c>
      <c r="C371">
        <v>9.1</v>
      </c>
    </row>
    <row r="372" spans="1:3" x14ac:dyDescent="0.25">
      <c r="A372" s="91">
        <v>16224</v>
      </c>
      <c r="B372" s="96">
        <f t="shared" si="5"/>
        <v>1944</v>
      </c>
      <c r="C372">
        <v>9.1</v>
      </c>
    </row>
    <row r="373" spans="1:3" x14ac:dyDescent="0.25">
      <c r="A373" s="91">
        <v>16254</v>
      </c>
      <c r="B373" s="96">
        <f t="shared" si="5"/>
        <v>1944</v>
      </c>
      <c r="C373">
        <v>9.1</v>
      </c>
    </row>
    <row r="374" spans="1:3" x14ac:dyDescent="0.25">
      <c r="A374" s="91">
        <v>16285</v>
      </c>
      <c r="B374" s="96">
        <f t="shared" si="5"/>
        <v>1944</v>
      </c>
      <c r="C374">
        <v>9.1</v>
      </c>
    </row>
    <row r="375" spans="1:3" x14ac:dyDescent="0.25">
      <c r="A375" s="91">
        <v>16316</v>
      </c>
      <c r="B375" s="96">
        <f t="shared" si="5"/>
        <v>1944</v>
      </c>
      <c r="C375">
        <v>9.1</v>
      </c>
    </row>
    <row r="376" spans="1:3" x14ac:dyDescent="0.25">
      <c r="A376" s="91">
        <v>16346</v>
      </c>
      <c r="B376" s="96">
        <f t="shared" si="5"/>
        <v>1944</v>
      </c>
      <c r="C376">
        <v>9.1</v>
      </c>
    </row>
    <row r="377" spans="1:3" x14ac:dyDescent="0.25">
      <c r="A377" s="91">
        <v>16377</v>
      </c>
      <c r="B377" s="96">
        <f t="shared" si="5"/>
        <v>1944</v>
      </c>
      <c r="C377">
        <v>9.1</v>
      </c>
    </row>
    <row r="378" spans="1:3" x14ac:dyDescent="0.25">
      <c r="A378" s="91">
        <v>16407</v>
      </c>
      <c r="B378" s="96">
        <f t="shared" si="5"/>
        <v>1944</v>
      </c>
      <c r="C378">
        <v>9</v>
      </c>
    </row>
    <row r="379" spans="1:3" x14ac:dyDescent="0.25">
      <c r="A379" s="91">
        <v>16438</v>
      </c>
      <c r="B379" s="96">
        <f t="shared" si="5"/>
        <v>1945</v>
      </c>
      <c r="C379">
        <v>9</v>
      </c>
    </row>
    <row r="380" spans="1:3" x14ac:dyDescent="0.25">
      <c r="A380" s="91">
        <v>16469</v>
      </c>
      <c r="B380" s="96">
        <f t="shared" si="5"/>
        <v>1945</v>
      </c>
      <c r="C380">
        <v>9.1</v>
      </c>
    </row>
    <row r="381" spans="1:3" x14ac:dyDescent="0.25">
      <c r="A381" s="91">
        <v>16497</v>
      </c>
      <c r="B381" s="96">
        <f t="shared" si="5"/>
        <v>1945</v>
      </c>
      <c r="C381">
        <v>9.1</v>
      </c>
    </row>
    <row r="382" spans="1:3" x14ac:dyDescent="0.25">
      <c r="A382" s="91">
        <v>16528</v>
      </c>
      <c r="B382" s="96">
        <f t="shared" si="5"/>
        <v>1945</v>
      </c>
      <c r="C382">
        <v>9.1</v>
      </c>
    </row>
    <row r="383" spans="1:3" x14ac:dyDescent="0.25">
      <c r="A383" s="91">
        <v>16558</v>
      </c>
      <c r="B383" s="96">
        <f t="shared" si="5"/>
        <v>1945</v>
      </c>
      <c r="C383">
        <v>9.1</v>
      </c>
    </row>
    <row r="384" spans="1:3" x14ac:dyDescent="0.25">
      <c r="A384" s="91">
        <v>16589</v>
      </c>
      <c r="B384" s="96">
        <f t="shared" si="5"/>
        <v>1945</v>
      </c>
      <c r="C384">
        <v>9.1999999999999993</v>
      </c>
    </row>
    <row r="385" spans="1:3" x14ac:dyDescent="0.25">
      <c r="A385" s="91">
        <v>16619</v>
      </c>
      <c r="B385" s="96">
        <f t="shared" si="5"/>
        <v>1945</v>
      </c>
      <c r="C385">
        <v>9.1999999999999993</v>
      </c>
    </row>
    <row r="386" spans="1:3" x14ac:dyDescent="0.25">
      <c r="A386" s="91">
        <v>16650</v>
      </c>
      <c r="B386" s="96">
        <f t="shared" si="5"/>
        <v>1945</v>
      </c>
      <c r="C386">
        <v>9.1999999999999993</v>
      </c>
    </row>
    <row r="387" spans="1:3" x14ac:dyDescent="0.25">
      <c r="A387" s="91">
        <v>16681</v>
      </c>
      <c r="B387" s="96">
        <f t="shared" si="5"/>
        <v>1945</v>
      </c>
      <c r="C387">
        <v>9.1999999999999993</v>
      </c>
    </row>
    <row r="388" spans="1:3" x14ac:dyDescent="0.25">
      <c r="A388" s="91">
        <v>16711</v>
      </c>
      <c r="B388" s="96">
        <f t="shared" si="5"/>
        <v>1945</v>
      </c>
      <c r="C388">
        <v>9.1999999999999993</v>
      </c>
    </row>
    <row r="389" spans="1:3" x14ac:dyDescent="0.25">
      <c r="A389" s="91">
        <v>16742</v>
      </c>
      <c r="B389" s="96">
        <f t="shared" si="5"/>
        <v>1945</v>
      </c>
      <c r="C389">
        <v>9.1999999999999993</v>
      </c>
    </row>
    <row r="390" spans="1:3" x14ac:dyDescent="0.25">
      <c r="A390" s="91">
        <v>16772</v>
      </c>
      <c r="B390" s="96">
        <f t="shared" si="5"/>
        <v>1945</v>
      </c>
      <c r="C390">
        <v>9.1999999999999993</v>
      </c>
    </row>
    <row r="391" spans="1:3" x14ac:dyDescent="0.25">
      <c r="A391" s="91">
        <v>16803</v>
      </c>
      <c r="B391" s="96">
        <f t="shared" si="5"/>
        <v>1946</v>
      </c>
      <c r="C391">
        <v>9.1999999999999993</v>
      </c>
    </row>
    <row r="392" spans="1:3" x14ac:dyDescent="0.25">
      <c r="A392" s="91">
        <v>16834</v>
      </c>
      <c r="B392" s="96">
        <f t="shared" ref="B392:B455" si="6">YEAR(A392)</f>
        <v>1946</v>
      </c>
      <c r="C392">
        <v>9.1999999999999993</v>
      </c>
    </row>
    <row r="393" spans="1:3" x14ac:dyDescent="0.25">
      <c r="A393" s="91">
        <v>16862</v>
      </c>
      <c r="B393" s="96">
        <f t="shared" si="6"/>
        <v>1946</v>
      </c>
      <c r="C393">
        <v>9.1999999999999993</v>
      </c>
    </row>
    <row r="394" spans="1:3" x14ac:dyDescent="0.25">
      <c r="A394" s="91">
        <v>16893</v>
      </c>
      <c r="B394" s="96">
        <f t="shared" si="6"/>
        <v>1946</v>
      </c>
      <c r="C394">
        <v>9.1999999999999993</v>
      </c>
    </row>
    <row r="395" spans="1:3" x14ac:dyDescent="0.25">
      <c r="A395" s="91">
        <v>16923</v>
      </c>
      <c r="B395" s="96">
        <f t="shared" si="6"/>
        <v>1946</v>
      </c>
      <c r="C395">
        <v>9.1999999999999993</v>
      </c>
    </row>
    <row r="396" spans="1:3" x14ac:dyDescent="0.25">
      <c r="A396" s="91">
        <v>16954</v>
      </c>
      <c r="B396" s="96">
        <f t="shared" si="6"/>
        <v>1946</v>
      </c>
      <c r="C396">
        <v>9.4</v>
      </c>
    </row>
    <row r="397" spans="1:3" x14ac:dyDescent="0.25">
      <c r="A397" s="91">
        <v>16984</v>
      </c>
      <c r="B397" s="96">
        <f t="shared" si="6"/>
        <v>1946</v>
      </c>
      <c r="C397">
        <v>9.5</v>
      </c>
    </row>
    <row r="398" spans="1:3" x14ac:dyDescent="0.25">
      <c r="A398" s="91">
        <v>17015</v>
      </c>
      <c r="B398" s="96">
        <f t="shared" si="6"/>
        <v>1946</v>
      </c>
      <c r="C398">
        <v>9.6</v>
      </c>
    </row>
    <row r="399" spans="1:3" x14ac:dyDescent="0.25">
      <c r="A399" s="91">
        <v>17046</v>
      </c>
      <c r="B399" s="96">
        <f t="shared" si="6"/>
        <v>1946</v>
      </c>
      <c r="C399">
        <v>9.6</v>
      </c>
    </row>
    <row r="400" spans="1:3" x14ac:dyDescent="0.25">
      <c r="A400" s="91">
        <v>17076</v>
      </c>
      <c r="B400" s="96">
        <f t="shared" si="6"/>
        <v>1946</v>
      </c>
      <c r="C400">
        <v>9.6999999999999993</v>
      </c>
    </row>
    <row r="401" spans="1:3" x14ac:dyDescent="0.25">
      <c r="A401" s="91">
        <v>17107</v>
      </c>
      <c r="B401" s="96">
        <f t="shared" si="6"/>
        <v>1946</v>
      </c>
      <c r="C401">
        <v>9.6999999999999993</v>
      </c>
    </row>
    <row r="402" spans="1:3" x14ac:dyDescent="0.25">
      <c r="A402" s="91">
        <v>17137</v>
      </c>
      <c r="B402" s="96">
        <f t="shared" si="6"/>
        <v>1946</v>
      </c>
      <c r="C402">
        <v>9.6999999999999993</v>
      </c>
    </row>
    <row r="403" spans="1:3" x14ac:dyDescent="0.25">
      <c r="A403" s="91">
        <v>17168</v>
      </c>
      <c r="B403" s="96">
        <f t="shared" si="6"/>
        <v>1947</v>
      </c>
      <c r="C403">
        <v>9.6999999999999993</v>
      </c>
    </row>
    <row r="404" spans="1:3" x14ac:dyDescent="0.25">
      <c r="A404" s="91">
        <v>17199</v>
      </c>
      <c r="B404" s="96">
        <f t="shared" si="6"/>
        <v>1947</v>
      </c>
      <c r="C404">
        <v>9.6999999999999993</v>
      </c>
    </row>
    <row r="405" spans="1:3" x14ac:dyDescent="0.25">
      <c r="A405" s="91">
        <v>17227</v>
      </c>
      <c r="B405" s="96">
        <f t="shared" si="6"/>
        <v>1947</v>
      </c>
      <c r="C405">
        <v>9.8000000000000007</v>
      </c>
    </row>
    <row r="406" spans="1:3" x14ac:dyDescent="0.25">
      <c r="A406" s="91">
        <v>17258</v>
      </c>
      <c r="B406" s="96">
        <f t="shared" si="6"/>
        <v>1947</v>
      </c>
      <c r="C406">
        <v>9.9</v>
      </c>
    </row>
    <row r="407" spans="1:3" x14ac:dyDescent="0.25">
      <c r="A407" s="91">
        <v>17288</v>
      </c>
      <c r="B407" s="96">
        <f t="shared" si="6"/>
        <v>1947</v>
      </c>
      <c r="C407">
        <v>10.1</v>
      </c>
    </row>
    <row r="408" spans="1:3" x14ac:dyDescent="0.25">
      <c r="A408" s="91">
        <v>17319</v>
      </c>
      <c r="B408" s="96">
        <f t="shared" si="6"/>
        <v>1947</v>
      </c>
      <c r="C408">
        <v>10.199999999999999</v>
      </c>
    </row>
    <row r="409" spans="1:3" x14ac:dyDescent="0.25">
      <c r="A409" s="91">
        <v>17349</v>
      </c>
      <c r="B409" s="96">
        <f t="shared" si="6"/>
        <v>1947</v>
      </c>
      <c r="C409">
        <v>10.3</v>
      </c>
    </row>
    <row r="410" spans="1:3" x14ac:dyDescent="0.25">
      <c r="A410" s="91">
        <v>17380</v>
      </c>
      <c r="B410" s="96">
        <f t="shared" si="6"/>
        <v>1947</v>
      </c>
      <c r="C410">
        <v>10.3</v>
      </c>
    </row>
    <row r="411" spans="1:3" x14ac:dyDescent="0.25">
      <c r="A411" s="91">
        <v>17411</v>
      </c>
      <c r="B411" s="96">
        <f t="shared" si="6"/>
        <v>1947</v>
      </c>
      <c r="C411">
        <v>10.6</v>
      </c>
    </row>
    <row r="412" spans="1:3" x14ac:dyDescent="0.25">
      <c r="A412" s="91">
        <v>17441</v>
      </c>
      <c r="B412" s="96">
        <f t="shared" si="6"/>
        <v>1947</v>
      </c>
      <c r="C412">
        <v>10.8</v>
      </c>
    </row>
    <row r="413" spans="1:3" x14ac:dyDescent="0.25">
      <c r="A413" s="91">
        <v>17472</v>
      </c>
      <c r="B413" s="96">
        <f t="shared" si="6"/>
        <v>1947</v>
      </c>
      <c r="C413">
        <v>10.9</v>
      </c>
    </row>
    <row r="414" spans="1:3" x14ac:dyDescent="0.25">
      <c r="A414" s="91">
        <v>17502</v>
      </c>
      <c r="B414" s="96">
        <f t="shared" si="6"/>
        <v>1947</v>
      </c>
      <c r="C414">
        <v>11.1</v>
      </c>
    </row>
    <row r="415" spans="1:3" x14ac:dyDescent="0.25">
      <c r="A415" s="91">
        <v>17533</v>
      </c>
      <c r="B415" s="96">
        <f t="shared" si="6"/>
        <v>1948</v>
      </c>
      <c r="C415">
        <v>11.2</v>
      </c>
    </row>
    <row r="416" spans="1:3" x14ac:dyDescent="0.25">
      <c r="A416" s="91">
        <v>17564</v>
      </c>
      <c r="B416" s="96">
        <f t="shared" si="6"/>
        <v>1948</v>
      </c>
      <c r="C416">
        <v>11.4</v>
      </c>
    </row>
    <row r="417" spans="1:3" x14ac:dyDescent="0.25">
      <c r="A417" s="91">
        <v>17593</v>
      </c>
      <c r="B417" s="96">
        <f t="shared" si="6"/>
        <v>1948</v>
      </c>
      <c r="C417">
        <v>11.4</v>
      </c>
    </row>
    <row r="418" spans="1:3" x14ac:dyDescent="0.25">
      <c r="A418" s="91">
        <v>17624</v>
      </c>
      <c r="B418" s="96">
        <f t="shared" si="6"/>
        <v>1948</v>
      </c>
      <c r="C418">
        <v>11.5</v>
      </c>
    </row>
    <row r="419" spans="1:3" x14ac:dyDescent="0.25">
      <c r="A419" s="91">
        <v>17654</v>
      </c>
      <c r="B419" s="96">
        <f t="shared" si="6"/>
        <v>1948</v>
      </c>
      <c r="C419">
        <v>11.6</v>
      </c>
    </row>
    <row r="420" spans="1:3" x14ac:dyDescent="0.25">
      <c r="A420" s="91">
        <v>17685</v>
      </c>
      <c r="B420" s="96">
        <f t="shared" si="6"/>
        <v>1948</v>
      </c>
      <c r="C420">
        <v>11.8</v>
      </c>
    </row>
    <row r="421" spans="1:3" x14ac:dyDescent="0.25">
      <c r="A421" s="91">
        <v>17715</v>
      </c>
      <c r="B421" s="96">
        <f t="shared" si="6"/>
        <v>1948</v>
      </c>
      <c r="C421">
        <v>11.8</v>
      </c>
    </row>
    <row r="422" spans="1:3" x14ac:dyDescent="0.25">
      <c r="A422" s="91">
        <v>17746</v>
      </c>
      <c r="B422" s="96">
        <f t="shared" si="6"/>
        <v>1948</v>
      </c>
      <c r="C422">
        <v>11.9</v>
      </c>
    </row>
    <row r="423" spans="1:3" x14ac:dyDescent="0.25">
      <c r="A423" s="91">
        <v>17777</v>
      </c>
      <c r="B423" s="96">
        <f t="shared" si="6"/>
        <v>1948</v>
      </c>
      <c r="C423">
        <v>12.1</v>
      </c>
    </row>
    <row r="424" spans="1:3" x14ac:dyDescent="0.25">
      <c r="A424" s="91">
        <v>17807</v>
      </c>
      <c r="B424" s="96">
        <f t="shared" si="6"/>
        <v>1948</v>
      </c>
      <c r="C424">
        <v>12.1</v>
      </c>
    </row>
    <row r="425" spans="1:3" x14ac:dyDescent="0.25">
      <c r="A425" s="91">
        <v>17838</v>
      </c>
      <c r="B425" s="96">
        <f t="shared" si="6"/>
        <v>1948</v>
      </c>
      <c r="C425">
        <v>12.1</v>
      </c>
    </row>
    <row r="426" spans="1:3" x14ac:dyDescent="0.25">
      <c r="A426" s="91">
        <v>17868</v>
      </c>
      <c r="B426" s="96">
        <f t="shared" si="6"/>
        <v>1948</v>
      </c>
      <c r="C426">
        <v>12.1</v>
      </c>
    </row>
    <row r="427" spans="1:3" x14ac:dyDescent="0.25">
      <c r="A427" s="91">
        <v>17899</v>
      </c>
      <c r="B427" s="96">
        <f t="shared" si="6"/>
        <v>1949</v>
      </c>
      <c r="C427">
        <v>12.1</v>
      </c>
    </row>
    <row r="428" spans="1:3" x14ac:dyDescent="0.25">
      <c r="A428" s="91">
        <v>17930</v>
      </c>
      <c r="B428" s="96">
        <f t="shared" si="6"/>
        <v>1949</v>
      </c>
      <c r="C428">
        <v>12.1</v>
      </c>
    </row>
    <row r="429" spans="1:3" x14ac:dyDescent="0.25">
      <c r="A429" s="91">
        <v>17958</v>
      </c>
      <c r="B429" s="96">
        <f t="shared" si="6"/>
        <v>1949</v>
      </c>
      <c r="C429">
        <v>12.1</v>
      </c>
    </row>
    <row r="430" spans="1:3" x14ac:dyDescent="0.25">
      <c r="A430" s="91">
        <v>17989</v>
      </c>
      <c r="B430" s="96">
        <f t="shared" si="6"/>
        <v>1949</v>
      </c>
      <c r="C430">
        <v>12.1</v>
      </c>
    </row>
    <row r="431" spans="1:3" x14ac:dyDescent="0.25">
      <c r="A431" s="91">
        <v>18019</v>
      </c>
      <c r="B431" s="96">
        <f t="shared" si="6"/>
        <v>1949</v>
      </c>
      <c r="C431">
        <v>12.1</v>
      </c>
    </row>
    <row r="432" spans="1:3" x14ac:dyDescent="0.25">
      <c r="A432" s="91">
        <v>18050</v>
      </c>
      <c r="B432" s="96">
        <f t="shared" si="6"/>
        <v>1949</v>
      </c>
      <c r="C432">
        <v>12.1</v>
      </c>
    </row>
    <row r="433" spans="1:3" x14ac:dyDescent="0.25">
      <c r="A433" s="91">
        <v>18080</v>
      </c>
      <c r="B433" s="96">
        <f t="shared" si="6"/>
        <v>1949</v>
      </c>
      <c r="C433">
        <v>12.1</v>
      </c>
    </row>
    <row r="434" spans="1:3" x14ac:dyDescent="0.25">
      <c r="A434" s="91">
        <v>18111</v>
      </c>
      <c r="B434" s="96">
        <f t="shared" si="6"/>
        <v>1949</v>
      </c>
      <c r="C434">
        <v>12.2</v>
      </c>
    </row>
    <row r="435" spans="1:3" x14ac:dyDescent="0.25">
      <c r="A435" s="91">
        <v>18142</v>
      </c>
      <c r="B435" s="96">
        <f t="shared" si="6"/>
        <v>1949</v>
      </c>
      <c r="C435">
        <v>12.2</v>
      </c>
    </row>
    <row r="436" spans="1:3" x14ac:dyDescent="0.25">
      <c r="A436" s="91">
        <v>18172</v>
      </c>
      <c r="B436" s="96">
        <f t="shared" si="6"/>
        <v>1949</v>
      </c>
      <c r="C436">
        <v>12.3</v>
      </c>
    </row>
    <row r="437" spans="1:3" x14ac:dyDescent="0.25">
      <c r="A437" s="91">
        <v>18203</v>
      </c>
      <c r="B437" s="96">
        <f t="shared" si="6"/>
        <v>1949</v>
      </c>
      <c r="C437">
        <v>12.3</v>
      </c>
    </row>
    <row r="438" spans="1:3" x14ac:dyDescent="0.25">
      <c r="A438" s="91">
        <v>18233</v>
      </c>
      <c r="B438" s="96">
        <f t="shared" si="6"/>
        <v>1949</v>
      </c>
      <c r="C438">
        <v>12.2</v>
      </c>
    </row>
    <row r="439" spans="1:3" x14ac:dyDescent="0.25">
      <c r="A439" s="91">
        <v>18264</v>
      </c>
      <c r="B439" s="96">
        <f t="shared" si="6"/>
        <v>1950</v>
      </c>
      <c r="C439">
        <v>12.1</v>
      </c>
    </row>
    <row r="440" spans="1:3" x14ac:dyDescent="0.25">
      <c r="A440" s="91">
        <v>18295</v>
      </c>
      <c r="B440" s="96">
        <f t="shared" si="6"/>
        <v>1950</v>
      </c>
      <c r="C440">
        <v>12.2</v>
      </c>
    </row>
    <row r="441" spans="1:3" x14ac:dyDescent="0.25">
      <c r="A441" s="91">
        <v>18323</v>
      </c>
      <c r="B441" s="96">
        <f t="shared" si="6"/>
        <v>1950</v>
      </c>
      <c r="C441">
        <v>12.3</v>
      </c>
    </row>
    <row r="442" spans="1:3" x14ac:dyDescent="0.25">
      <c r="A442" s="91">
        <v>18354</v>
      </c>
      <c r="B442" s="96">
        <f t="shared" si="6"/>
        <v>1950</v>
      </c>
      <c r="C442">
        <v>12.3</v>
      </c>
    </row>
    <row r="443" spans="1:3" x14ac:dyDescent="0.25">
      <c r="A443" s="91">
        <v>18384</v>
      </c>
      <c r="B443" s="96">
        <f t="shared" si="6"/>
        <v>1950</v>
      </c>
      <c r="C443">
        <v>12.3</v>
      </c>
    </row>
    <row r="444" spans="1:3" x14ac:dyDescent="0.25">
      <c r="A444" s="91">
        <v>18415</v>
      </c>
      <c r="B444" s="96">
        <f t="shared" si="6"/>
        <v>1950</v>
      </c>
      <c r="C444">
        <v>12.3</v>
      </c>
    </row>
    <row r="445" spans="1:3" x14ac:dyDescent="0.25">
      <c r="A445" s="91">
        <v>18445</v>
      </c>
      <c r="B445" s="96">
        <f t="shared" si="6"/>
        <v>1950</v>
      </c>
      <c r="C445">
        <v>12.4</v>
      </c>
    </row>
    <row r="446" spans="1:3" x14ac:dyDescent="0.25">
      <c r="A446" s="91">
        <v>18476</v>
      </c>
      <c r="B446" s="96">
        <f t="shared" si="6"/>
        <v>1950</v>
      </c>
      <c r="C446">
        <v>12.5</v>
      </c>
    </row>
    <row r="447" spans="1:3" x14ac:dyDescent="0.25">
      <c r="A447" s="91">
        <v>18507</v>
      </c>
      <c r="B447" s="96">
        <f t="shared" si="6"/>
        <v>1950</v>
      </c>
      <c r="C447">
        <v>12.7</v>
      </c>
    </row>
    <row r="448" spans="1:3" x14ac:dyDescent="0.25">
      <c r="A448" s="91">
        <v>18537</v>
      </c>
      <c r="B448" s="96">
        <f t="shared" si="6"/>
        <v>1950</v>
      </c>
      <c r="C448">
        <v>12.9</v>
      </c>
    </row>
    <row r="449" spans="1:3" x14ac:dyDescent="0.25">
      <c r="A449" s="91">
        <v>18568</v>
      </c>
      <c r="B449" s="96">
        <f t="shared" si="6"/>
        <v>1950</v>
      </c>
      <c r="C449">
        <v>12.9</v>
      </c>
    </row>
    <row r="450" spans="1:3" x14ac:dyDescent="0.25">
      <c r="A450" s="91">
        <v>18598</v>
      </c>
      <c r="B450" s="96">
        <f t="shared" si="6"/>
        <v>1950</v>
      </c>
      <c r="C450">
        <v>12.9</v>
      </c>
    </row>
    <row r="451" spans="1:3" x14ac:dyDescent="0.25">
      <c r="A451" s="91">
        <v>18629</v>
      </c>
      <c r="B451" s="96">
        <f t="shared" si="6"/>
        <v>1951</v>
      </c>
      <c r="C451">
        <v>13</v>
      </c>
    </row>
    <row r="452" spans="1:3" x14ac:dyDescent="0.25">
      <c r="A452" s="91">
        <v>18660</v>
      </c>
      <c r="B452" s="96">
        <f t="shared" si="6"/>
        <v>1951</v>
      </c>
      <c r="C452">
        <v>13.3</v>
      </c>
    </row>
    <row r="453" spans="1:3" x14ac:dyDescent="0.25">
      <c r="A453" s="91">
        <v>18688</v>
      </c>
      <c r="B453" s="96">
        <f t="shared" si="6"/>
        <v>1951</v>
      </c>
      <c r="C453">
        <v>13.4</v>
      </c>
    </row>
    <row r="454" spans="1:3" x14ac:dyDescent="0.25">
      <c r="A454" s="91">
        <v>18719</v>
      </c>
      <c r="B454" s="96">
        <f t="shared" si="6"/>
        <v>1951</v>
      </c>
      <c r="C454">
        <v>13.6</v>
      </c>
    </row>
    <row r="455" spans="1:3" x14ac:dyDescent="0.25">
      <c r="A455" s="91">
        <v>18749</v>
      </c>
      <c r="B455" s="96">
        <f t="shared" si="6"/>
        <v>1951</v>
      </c>
      <c r="C455">
        <v>13.6</v>
      </c>
    </row>
    <row r="456" spans="1:3" x14ac:dyDescent="0.25">
      <c r="A456" s="91">
        <v>18780</v>
      </c>
      <c r="B456" s="96">
        <f t="shared" ref="B456:B519" si="7">YEAR(A456)</f>
        <v>1951</v>
      </c>
      <c r="C456">
        <v>13.9</v>
      </c>
    </row>
    <row r="457" spans="1:3" x14ac:dyDescent="0.25">
      <c r="A457" s="91">
        <v>18810</v>
      </c>
      <c r="B457" s="96">
        <f t="shared" si="7"/>
        <v>1951</v>
      </c>
      <c r="C457">
        <v>13.9</v>
      </c>
    </row>
    <row r="458" spans="1:3" x14ac:dyDescent="0.25">
      <c r="A458" s="91">
        <v>18841</v>
      </c>
      <c r="B458" s="96">
        <f t="shared" si="7"/>
        <v>1951</v>
      </c>
      <c r="C458">
        <v>14</v>
      </c>
    </row>
    <row r="459" spans="1:3" x14ac:dyDescent="0.25">
      <c r="A459" s="91">
        <v>18872</v>
      </c>
      <c r="B459" s="96">
        <f t="shared" si="7"/>
        <v>1951</v>
      </c>
      <c r="C459">
        <v>14.1</v>
      </c>
    </row>
    <row r="460" spans="1:3" x14ac:dyDescent="0.25">
      <c r="A460" s="91">
        <v>18902</v>
      </c>
      <c r="B460" s="96">
        <f t="shared" si="7"/>
        <v>1951</v>
      </c>
      <c r="C460">
        <v>14.2</v>
      </c>
    </row>
    <row r="461" spans="1:3" x14ac:dyDescent="0.25">
      <c r="A461" s="91">
        <v>18933</v>
      </c>
      <c r="B461" s="96">
        <f t="shared" si="7"/>
        <v>1951</v>
      </c>
      <c r="C461">
        <v>14.3</v>
      </c>
    </row>
    <row r="462" spans="1:3" x14ac:dyDescent="0.25">
      <c r="A462" s="91">
        <v>18963</v>
      </c>
      <c r="B462" s="96">
        <f t="shared" si="7"/>
        <v>1951</v>
      </c>
      <c r="C462">
        <v>14.3</v>
      </c>
    </row>
    <row r="463" spans="1:3" x14ac:dyDescent="0.25">
      <c r="A463" s="91">
        <v>18994</v>
      </c>
      <c r="B463" s="96">
        <f t="shared" si="7"/>
        <v>1952</v>
      </c>
      <c r="C463">
        <v>14.4</v>
      </c>
    </row>
    <row r="464" spans="1:3" x14ac:dyDescent="0.25">
      <c r="A464" s="91">
        <v>19025</v>
      </c>
      <c r="B464" s="96">
        <f t="shared" si="7"/>
        <v>1952</v>
      </c>
      <c r="C464">
        <v>14.3</v>
      </c>
    </row>
    <row r="465" spans="1:3" x14ac:dyDescent="0.25">
      <c r="A465" s="91">
        <v>19054</v>
      </c>
      <c r="B465" s="96">
        <f t="shared" si="7"/>
        <v>1952</v>
      </c>
      <c r="C465">
        <v>14.2</v>
      </c>
    </row>
    <row r="466" spans="1:3" x14ac:dyDescent="0.25">
      <c r="A466" s="91">
        <v>19085</v>
      </c>
      <c r="B466" s="96">
        <f t="shared" si="7"/>
        <v>1952</v>
      </c>
      <c r="C466">
        <v>14.2</v>
      </c>
    </row>
    <row r="467" spans="1:3" x14ac:dyDescent="0.25">
      <c r="A467" s="91">
        <v>19115</v>
      </c>
      <c r="B467" s="96">
        <f t="shared" si="7"/>
        <v>1952</v>
      </c>
      <c r="C467">
        <v>14.1</v>
      </c>
    </row>
    <row r="468" spans="1:3" x14ac:dyDescent="0.25">
      <c r="A468" s="91">
        <v>19146</v>
      </c>
      <c r="B468" s="96">
        <f t="shared" si="7"/>
        <v>1952</v>
      </c>
      <c r="C468">
        <v>14.1</v>
      </c>
    </row>
    <row r="469" spans="1:3" x14ac:dyDescent="0.25">
      <c r="A469" s="91">
        <v>19176</v>
      </c>
      <c r="B469" s="96">
        <f t="shared" si="7"/>
        <v>1952</v>
      </c>
      <c r="C469">
        <v>14.1</v>
      </c>
    </row>
    <row r="470" spans="1:3" x14ac:dyDescent="0.25">
      <c r="A470" s="91">
        <v>19207</v>
      </c>
      <c r="B470" s="96">
        <f t="shared" si="7"/>
        <v>1952</v>
      </c>
      <c r="C470">
        <v>14.1</v>
      </c>
    </row>
    <row r="471" spans="1:3" x14ac:dyDescent="0.25">
      <c r="A471" s="91">
        <v>19238</v>
      </c>
      <c r="B471" s="96">
        <f t="shared" si="7"/>
        <v>1952</v>
      </c>
      <c r="C471">
        <v>14.1</v>
      </c>
    </row>
    <row r="472" spans="1:3" x14ac:dyDescent="0.25">
      <c r="A472" s="91">
        <v>19268</v>
      </c>
      <c r="B472" s="96">
        <f t="shared" si="7"/>
        <v>1952</v>
      </c>
      <c r="C472">
        <v>14.1</v>
      </c>
    </row>
    <row r="473" spans="1:3" x14ac:dyDescent="0.25">
      <c r="A473" s="91">
        <v>19299</v>
      </c>
      <c r="B473" s="96">
        <f t="shared" si="7"/>
        <v>1952</v>
      </c>
      <c r="C473">
        <v>14.1</v>
      </c>
    </row>
    <row r="474" spans="1:3" x14ac:dyDescent="0.25">
      <c r="A474" s="91">
        <v>19329</v>
      </c>
      <c r="B474" s="96">
        <f t="shared" si="7"/>
        <v>1952</v>
      </c>
      <c r="C474">
        <v>14.1</v>
      </c>
    </row>
    <row r="475" spans="1:3" x14ac:dyDescent="0.25">
      <c r="A475" s="91">
        <v>19360</v>
      </c>
      <c r="B475" s="96">
        <f t="shared" si="7"/>
        <v>1953</v>
      </c>
      <c r="C475">
        <v>14.1</v>
      </c>
    </row>
    <row r="476" spans="1:3" x14ac:dyDescent="0.25">
      <c r="A476" s="91">
        <v>19391</v>
      </c>
      <c r="B476" s="96">
        <f t="shared" si="7"/>
        <v>1953</v>
      </c>
      <c r="C476">
        <v>14</v>
      </c>
    </row>
    <row r="477" spans="1:3" x14ac:dyDescent="0.25">
      <c r="A477" s="91">
        <v>19419</v>
      </c>
      <c r="B477" s="96">
        <f t="shared" si="7"/>
        <v>1953</v>
      </c>
      <c r="C477">
        <v>13.9</v>
      </c>
    </row>
    <row r="478" spans="1:3" x14ac:dyDescent="0.25">
      <c r="A478" s="91">
        <v>19450</v>
      </c>
      <c r="B478" s="96">
        <f t="shared" si="7"/>
        <v>1953</v>
      </c>
      <c r="C478">
        <v>13.9</v>
      </c>
    </row>
    <row r="479" spans="1:3" x14ac:dyDescent="0.25">
      <c r="A479" s="91">
        <v>19480</v>
      </c>
      <c r="B479" s="96">
        <f t="shared" si="7"/>
        <v>1953</v>
      </c>
      <c r="C479">
        <v>13.9</v>
      </c>
    </row>
    <row r="480" spans="1:3" x14ac:dyDescent="0.25">
      <c r="A480" s="91">
        <v>19511</v>
      </c>
      <c r="B480" s="96">
        <f t="shared" si="7"/>
        <v>1953</v>
      </c>
      <c r="C480">
        <v>13.9</v>
      </c>
    </row>
    <row r="481" spans="1:3" x14ac:dyDescent="0.25">
      <c r="A481" s="91">
        <v>19541</v>
      </c>
      <c r="B481" s="96">
        <f t="shared" si="7"/>
        <v>1953</v>
      </c>
      <c r="C481">
        <v>13.9</v>
      </c>
    </row>
    <row r="482" spans="1:3" x14ac:dyDescent="0.25">
      <c r="A482" s="91">
        <v>19572</v>
      </c>
      <c r="B482" s="96">
        <f t="shared" si="7"/>
        <v>1953</v>
      </c>
      <c r="C482">
        <v>14.1</v>
      </c>
    </row>
    <row r="483" spans="1:3" x14ac:dyDescent="0.25">
      <c r="A483" s="91">
        <v>19603</v>
      </c>
      <c r="B483" s="96">
        <f t="shared" si="7"/>
        <v>1953</v>
      </c>
      <c r="C483">
        <v>14.1</v>
      </c>
    </row>
    <row r="484" spans="1:3" x14ac:dyDescent="0.25">
      <c r="A484" s="91">
        <v>19633</v>
      </c>
      <c r="B484" s="96">
        <f t="shared" si="7"/>
        <v>1953</v>
      </c>
      <c r="C484">
        <v>14.2</v>
      </c>
    </row>
    <row r="485" spans="1:3" x14ac:dyDescent="0.25">
      <c r="A485" s="91">
        <v>19664</v>
      </c>
      <c r="B485" s="96">
        <f t="shared" si="7"/>
        <v>1953</v>
      </c>
      <c r="C485">
        <v>14.1</v>
      </c>
    </row>
    <row r="486" spans="1:3" x14ac:dyDescent="0.25">
      <c r="A486" s="91">
        <v>19694</v>
      </c>
      <c r="B486" s="96">
        <f t="shared" si="7"/>
        <v>1953</v>
      </c>
      <c r="C486">
        <v>14.1</v>
      </c>
    </row>
    <row r="487" spans="1:3" x14ac:dyDescent="0.25">
      <c r="A487" s="91">
        <v>19725</v>
      </c>
      <c r="B487" s="96">
        <f t="shared" si="7"/>
        <v>1954</v>
      </c>
      <c r="C487">
        <v>14.1</v>
      </c>
    </row>
    <row r="488" spans="1:3" x14ac:dyDescent="0.25">
      <c r="A488" s="91">
        <v>19756</v>
      </c>
      <c r="B488" s="96">
        <f t="shared" si="7"/>
        <v>1954</v>
      </c>
      <c r="C488">
        <v>14.1</v>
      </c>
    </row>
    <row r="489" spans="1:3" x14ac:dyDescent="0.25">
      <c r="A489" s="91">
        <v>19784</v>
      </c>
      <c r="B489" s="96">
        <f t="shared" si="7"/>
        <v>1954</v>
      </c>
      <c r="C489">
        <v>14</v>
      </c>
    </row>
    <row r="490" spans="1:3" x14ac:dyDescent="0.25">
      <c r="A490" s="91">
        <v>19815</v>
      </c>
      <c r="B490" s="96">
        <f t="shared" si="7"/>
        <v>1954</v>
      </c>
      <c r="C490">
        <v>14</v>
      </c>
    </row>
    <row r="491" spans="1:3" x14ac:dyDescent="0.25">
      <c r="A491" s="91">
        <v>19845</v>
      </c>
      <c r="B491" s="96">
        <f t="shared" si="7"/>
        <v>1954</v>
      </c>
      <c r="C491">
        <v>14</v>
      </c>
    </row>
    <row r="492" spans="1:3" x14ac:dyDescent="0.25">
      <c r="A492" s="91">
        <v>19876</v>
      </c>
      <c r="B492" s="96">
        <f t="shared" si="7"/>
        <v>1954</v>
      </c>
      <c r="C492">
        <v>14.1</v>
      </c>
    </row>
    <row r="493" spans="1:3" x14ac:dyDescent="0.25">
      <c r="A493" s="91">
        <v>19906</v>
      </c>
      <c r="B493" s="96">
        <f t="shared" si="7"/>
        <v>1954</v>
      </c>
      <c r="C493">
        <v>14.1</v>
      </c>
    </row>
    <row r="494" spans="1:3" x14ac:dyDescent="0.25">
      <c r="A494" s="91">
        <v>19937</v>
      </c>
      <c r="B494" s="96">
        <f t="shared" si="7"/>
        <v>1954</v>
      </c>
      <c r="C494">
        <v>14.2</v>
      </c>
    </row>
    <row r="495" spans="1:3" x14ac:dyDescent="0.25">
      <c r="A495" s="91">
        <v>19968</v>
      </c>
      <c r="B495" s="96">
        <f t="shared" si="7"/>
        <v>1954</v>
      </c>
      <c r="C495">
        <v>14.2</v>
      </c>
    </row>
    <row r="496" spans="1:3" x14ac:dyDescent="0.25">
      <c r="A496" s="91">
        <v>19998</v>
      </c>
      <c r="B496" s="96">
        <f t="shared" si="7"/>
        <v>1954</v>
      </c>
      <c r="C496">
        <v>14.2</v>
      </c>
    </row>
    <row r="497" spans="1:3" x14ac:dyDescent="0.25">
      <c r="A497" s="91">
        <v>20029</v>
      </c>
      <c r="B497" s="96">
        <f t="shared" si="7"/>
        <v>1954</v>
      </c>
      <c r="C497">
        <v>14.2</v>
      </c>
    </row>
    <row r="498" spans="1:3" x14ac:dyDescent="0.25">
      <c r="A498" s="91">
        <v>20059</v>
      </c>
      <c r="B498" s="96">
        <f t="shared" si="7"/>
        <v>1954</v>
      </c>
      <c r="C498">
        <v>14.1</v>
      </c>
    </row>
    <row r="499" spans="1:3" x14ac:dyDescent="0.25">
      <c r="A499" s="91">
        <v>20090</v>
      </c>
      <c r="B499" s="96">
        <f t="shared" si="7"/>
        <v>1955</v>
      </c>
      <c r="C499">
        <v>14.1</v>
      </c>
    </row>
    <row r="500" spans="1:3" x14ac:dyDescent="0.25">
      <c r="A500" s="91">
        <v>20121</v>
      </c>
      <c r="B500" s="96">
        <f t="shared" si="7"/>
        <v>1955</v>
      </c>
      <c r="C500">
        <v>14.1</v>
      </c>
    </row>
    <row r="501" spans="1:3" x14ac:dyDescent="0.25">
      <c r="A501" s="91">
        <v>20149</v>
      </c>
      <c r="B501" s="96">
        <f t="shared" si="7"/>
        <v>1955</v>
      </c>
      <c r="C501">
        <v>14.1</v>
      </c>
    </row>
    <row r="502" spans="1:3" x14ac:dyDescent="0.25">
      <c r="A502" s="91">
        <v>20180</v>
      </c>
      <c r="B502" s="96">
        <f t="shared" si="7"/>
        <v>1955</v>
      </c>
      <c r="C502">
        <v>14.1</v>
      </c>
    </row>
    <row r="503" spans="1:3" x14ac:dyDescent="0.25">
      <c r="A503" s="91">
        <v>20210</v>
      </c>
      <c r="B503" s="96">
        <f t="shared" si="7"/>
        <v>1955</v>
      </c>
      <c r="C503">
        <v>14.1</v>
      </c>
    </row>
    <row r="504" spans="1:3" x14ac:dyDescent="0.25">
      <c r="A504" s="91">
        <v>20241</v>
      </c>
      <c r="B504" s="96">
        <f t="shared" si="7"/>
        <v>1955</v>
      </c>
      <c r="C504">
        <v>14.1</v>
      </c>
    </row>
    <row r="505" spans="1:3" x14ac:dyDescent="0.25">
      <c r="A505" s="91">
        <v>20271</v>
      </c>
      <c r="B505" s="96">
        <f t="shared" si="7"/>
        <v>1955</v>
      </c>
      <c r="C505">
        <v>14.1</v>
      </c>
    </row>
    <row r="506" spans="1:3" x14ac:dyDescent="0.25">
      <c r="A506" s="91">
        <v>20302</v>
      </c>
      <c r="B506" s="96">
        <f t="shared" si="7"/>
        <v>1955</v>
      </c>
      <c r="C506">
        <v>14.1</v>
      </c>
    </row>
    <row r="507" spans="1:3" x14ac:dyDescent="0.25">
      <c r="A507" s="91">
        <v>20333</v>
      </c>
      <c r="B507" s="96">
        <f t="shared" si="7"/>
        <v>1955</v>
      </c>
      <c r="C507">
        <v>14.2</v>
      </c>
    </row>
    <row r="508" spans="1:3" x14ac:dyDescent="0.25">
      <c r="A508" s="91">
        <v>20363</v>
      </c>
      <c r="B508" s="96">
        <f t="shared" si="7"/>
        <v>1955</v>
      </c>
      <c r="C508">
        <v>14.2</v>
      </c>
    </row>
    <row r="509" spans="1:3" x14ac:dyDescent="0.25">
      <c r="A509" s="91">
        <v>20394</v>
      </c>
      <c r="B509" s="96">
        <f t="shared" si="7"/>
        <v>1955</v>
      </c>
      <c r="C509">
        <v>14.2</v>
      </c>
    </row>
    <row r="510" spans="1:3" x14ac:dyDescent="0.25">
      <c r="A510" s="91">
        <v>20424</v>
      </c>
      <c r="B510" s="96">
        <f t="shared" si="7"/>
        <v>1955</v>
      </c>
      <c r="C510">
        <v>14.2</v>
      </c>
    </row>
    <row r="511" spans="1:3" x14ac:dyDescent="0.25">
      <c r="A511" s="91">
        <v>20455</v>
      </c>
      <c r="B511" s="96">
        <f t="shared" si="7"/>
        <v>1956</v>
      </c>
      <c r="C511">
        <v>14.2</v>
      </c>
    </row>
    <row r="512" spans="1:3" x14ac:dyDescent="0.25">
      <c r="A512" s="91">
        <v>20486</v>
      </c>
      <c r="B512" s="96">
        <f t="shared" si="7"/>
        <v>1956</v>
      </c>
      <c r="C512">
        <v>14.1</v>
      </c>
    </row>
    <row r="513" spans="1:3" x14ac:dyDescent="0.25">
      <c r="A513" s="91">
        <v>20515</v>
      </c>
      <c r="B513" s="96">
        <f t="shared" si="7"/>
        <v>1956</v>
      </c>
      <c r="C513">
        <v>14.1</v>
      </c>
    </row>
    <row r="514" spans="1:3" x14ac:dyDescent="0.25">
      <c r="A514" s="91">
        <v>20546</v>
      </c>
      <c r="B514" s="96">
        <f t="shared" si="7"/>
        <v>1956</v>
      </c>
      <c r="C514">
        <v>14.1</v>
      </c>
    </row>
    <row r="515" spans="1:3" x14ac:dyDescent="0.25">
      <c r="A515" s="91">
        <v>20576</v>
      </c>
      <c r="B515" s="96">
        <f t="shared" si="7"/>
        <v>1956</v>
      </c>
      <c r="C515">
        <v>14.1</v>
      </c>
    </row>
    <row r="516" spans="1:3" x14ac:dyDescent="0.25">
      <c r="A516" s="91">
        <v>20607</v>
      </c>
      <c r="B516" s="96">
        <f t="shared" si="7"/>
        <v>1956</v>
      </c>
      <c r="C516">
        <v>14.3</v>
      </c>
    </row>
    <row r="517" spans="1:3" x14ac:dyDescent="0.25">
      <c r="A517" s="91">
        <v>20637</v>
      </c>
      <c r="B517" s="96">
        <f t="shared" si="7"/>
        <v>1956</v>
      </c>
      <c r="C517">
        <v>14.4</v>
      </c>
    </row>
    <row r="518" spans="1:3" x14ac:dyDescent="0.25">
      <c r="A518" s="91">
        <v>20668</v>
      </c>
      <c r="B518" s="96">
        <f t="shared" si="7"/>
        <v>1956</v>
      </c>
      <c r="C518">
        <v>14.5</v>
      </c>
    </row>
    <row r="519" spans="1:3" x14ac:dyDescent="0.25">
      <c r="A519" s="91">
        <v>20699</v>
      </c>
      <c r="B519" s="96">
        <f t="shared" si="7"/>
        <v>1956</v>
      </c>
      <c r="C519">
        <v>14.4</v>
      </c>
    </row>
    <row r="520" spans="1:3" x14ac:dyDescent="0.25">
      <c r="A520" s="91">
        <v>20729</v>
      </c>
      <c r="B520" s="96">
        <f t="shared" ref="B520:B583" si="8">YEAR(A520)</f>
        <v>1956</v>
      </c>
      <c r="C520">
        <v>14.5</v>
      </c>
    </row>
    <row r="521" spans="1:3" x14ac:dyDescent="0.25">
      <c r="A521" s="91">
        <v>20760</v>
      </c>
      <c r="B521" s="96">
        <f t="shared" si="8"/>
        <v>1956</v>
      </c>
      <c r="C521">
        <v>14.6</v>
      </c>
    </row>
    <row r="522" spans="1:3" x14ac:dyDescent="0.25">
      <c r="A522" s="91">
        <v>20790</v>
      </c>
      <c r="B522" s="96">
        <f t="shared" si="8"/>
        <v>1956</v>
      </c>
      <c r="C522">
        <v>14.6</v>
      </c>
    </row>
    <row r="523" spans="1:3" x14ac:dyDescent="0.25">
      <c r="A523" s="91">
        <v>20821</v>
      </c>
      <c r="B523" s="96">
        <f t="shared" si="8"/>
        <v>1957</v>
      </c>
      <c r="C523">
        <v>14.6</v>
      </c>
    </row>
    <row r="524" spans="1:3" x14ac:dyDescent="0.25">
      <c r="A524" s="91">
        <v>20852</v>
      </c>
      <c r="B524" s="96">
        <f t="shared" si="8"/>
        <v>1957</v>
      </c>
      <c r="C524">
        <v>14.6</v>
      </c>
    </row>
    <row r="525" spans="1:3" x14ac:dyDescent="0.25">
      <c r="A525" s="91">
        <v>20880</v>
      </c>
      <c r="B525" s="96">
        <f t="shared" si="8"/>
        <v>1957</v>
      </c>
      <c r="C525">
        <v>14.6</v>
      </c>
    </row>
    <row r="526" spans="1:3" x14ac:dyDescent="0.25">
      <c r="A526" s="91">
        <v>20911</v>
      </c>
      <c r="B526" s="96">
        <f t="shared" si="8"/>
        <v>1957</v>
      </c>
      <c r="C526">
        <v>14.7</v>
      </c>
    </row>
    <row r="527" spans="1:3" x14ac:dyDescent="0.25">
      <c r="A527" s="91">
        <v>20941</v>
      </c>
      <c r="B527" s="96">
        <f t="shared" si="8"/>
        <v>1957</v>
      </c>
      <c r="C527">
        <v>14.7</v>
      </c>
    </row>
    <row r="528" spans="1:3" x14ac:dyDescent="0.25">
      <c r="A528" s="91">
        <v>20972</v>
      </c>
      <c r="B528" s="96">
        <f t="shared" si="8"/>
        <v>1957</v>
      </c>
      <c r="C528">
        <v>14.8</v>
      </c>
    </row>
    <row r="529" spans="1:3" x14ac:dyDescent="0.25">
      <c r="A529" s="91">
        <v>21002</v>
      </c>
      <c r="B529" s="96">
        <f t="shared" si="8"/>
        <v>1957</v>
      </c>
      <c r="C529">
        <v>14.8</v>
      </c>
    </row>
    <row r="530" spans="1:3" x14ac:dyDescent="0.25">
      <c r="A530" s="91">
        <v>21033</v>
      </c>
      <c r="B530" s="96">
        <f t="shared" si="8"/>
        <v>1957</v>
      </c>
      <c r="C530">
        <v>14.9</v>
      </c>
    </row>
    <row r="531" spans="1:3" x14ac:dyDescent="0.25">
      <c r="A531" s="91">
        <v>21064</v>
      </c>
      <c r="B531" s="96">
        <f t="shared" si="8"/>
        <v>1957</v>
      </c>
      <c r="C531">
        <v>15</v>
      </c>
    </row>
    <row r="532" spans="1:3" x14ac:dyDescent="0.25">
      <c r="A532" s="91">
        <v>21094</v>
      </c>
      <c r="B532" s="96">
        <f t="shared" si="8"/>
        <v>1957</v>
      </c>
      <c r="C532">
        <v>15</v>
      </c>
    </row>
    <row r="533" spans="1:3" x14ac:dyDescent="0.25">
      <c r="A533" s="91">
        <v>21125</v>
      </c>
      <c r="B533" s="96">
        <f t="shared" si="8"/>
        <v>1957</v>
      </c>
      <c r="C533">
        <v>15</v>
      </c>
    </row>
    <row r="534" spans="1:3" x14ac:dyDescent="0.25">
      <c r="A534" s="91">
        <v>21155</v>
      </c>
      <c r="B534" s="96">
        <f t="shared" si="8"/>
        <v>1957</v>
      </c>
      <c r="C534">
        <v>14.9</v>
      </c>
    </row>
    <row r="535" spans="1:3" x14ac:dyDescent="0.25">
      <c r="A535" s="91">
        <v>21186</v>
      </c>
      <c r="B535" s="96">
        <f t="shared" si="8"/>
        <v>1958</v>
      </c>
      <c r="C535">
        <v>15</v>
      </c>
    </row>
    <row r="536" spans="1:3" x14ac:dyDescent="0.25">
      <c r="A536" s="91">
        <v>21217</v>
      </c>
      <c r="B536" s="96">
        <f t="shared" si="8"/>
        <v>1958</v>
      </c>
      <c r="C536">
        <v>15</v>
      </c>
    </row>
    <row r="537" spans="1:3" x14ac:dyDescent="0.25">
      <c r="A537" s="91">
        <v>21245</v>
      </c>
      <c r="B537" s="96">
        <f t="shared" si="8"/>
        <v>1958</v>
      </c>
      <c r="C537">
        <v>15.1</v>
      </c>
    </row>
    <row r="538" spans="1:3" x14ac:dyDescent="0.25">
      <c r="A538" s="91">
        <v>21276</v>
      </c>
      <c r="B538" s="96">
        <f t="shared" si="8"/>
        <v>1958</v>
      </c>
      <c r="C538">
        <v>15.1</v>
      </c>
    </row>
    <row r="539" spans="1:3" x14ac:dyDescent="0.25">
      <c r="A539" s="91">
        <v>21306</v>
      </c>
      <c r="B539" s="96">
        <f t="shared" si="8"/>
        <v>1958</v>
      </c>
      <c r="C539">
        <v>15.1</v>
      </c>
    </row>
    <row r="540" spans="1:3" x14ac:dyDescent="0.25">
      <c r="A540" s="91">
        <v>21337</v>
      </c>
      <c r="B540" s="96">
        <f t="shared" si="8"/>
        <v>1958</v>
      </c>
      <c r="C540">
        <v>15.1</v>
      </c>
    </row>
    <row r="541" spans="1:3" x14ac:dyDescent="0.25">
      <c r="A541" s="91">
        <v>21367</v>
      </c>
      <c r="B541" s="96">
        <f t="shared" si="8"/>
        <v>1958</v>
      </c>
      <c r="C541">
        <v>15.1</v>
      </c>
    </row>
    <row r="542" spans="1:3" x14ac:dyDescent="0.25">
      <c r="A542" s="91">
        <v>21398</v>
      </c>
      <c r="B542" s="96">
        <f t="shared" si="8"/>
        <v>1958</v>
      </c>
      <c r="C542">
        <v>15.1</v>
      </c>
    </row>
    <row r="543" spans="1:3" x14ac:dyDescent="0.25">
      <c r="A543" s="91">
        <v>21429</v>
      </c>
      <c r="B543" s="96">
        <f t="shared" si="8"/>
        <v>1958</v>
      </c>
      <c r="C543">
        <v>15.3</v>
      </c>
    </row>
    <row r="544" spans="1:3" x14ac:dyDescent="0.25">
      <c r="A544" s="91">
        <v>21459</v>
      </c>
      <c r="B544" s="96">
        <f t="shared" si="8"/>
        <v>1958</v>
      </c>
      <c r="C544">
        <v>15.3</v>
      </c>
    </row>
    <row r="545" spans="1:3" x14ac:dyDescent="0.25">
      <c r="A545" s="91">
        <v>21490</v>
      </c>
      <c r="B545" s="96">
        <f t="shared" si="8"/>
        <v>1958</v>
      </c>
      <c r="C545">
        <v>15.3</v>
      </c>
    </row>
    <row r="546" spans="1:3" x14ac:dyDescent="0.25">
      <c r="A546" s="91">
        <v>21520</v>
      </c>
      <c r="B546" s="96">
        <f t="shared" si="8"/>
        <v>1958</v>
      </c>
      <c r="C546">
        <v>15.3</v>
      </c>
    </row>
    <row r="547" spans="1:3" x14ac:dyDescent="0.25">
      <c r="A547" s="91">
        <v>21551</v>
      </c>
      <c r="B547" s="96">
        <f t="shared" si="8"/>
        <v>1959</v>
      </c>
      <c r="C547">
        <v>15.3</v>
      </c>
    </row>
    <row r="548" spans="1:3" x14ac:dyDescent="0.25">
      <c r="A548" s="91">
        <v>21582</v>
      </c>
      <c r="B548" s="96">
        <f t="shared" si="8"/>
        <v>1959</v>
      </c>
      <c r="C548">
        <v>15.3</v>
      </c>
    </row>
    <row r="549" spans="1:3" x14ac:dyDescent="0.25">
      <c r="A549" s="91">
        <v>21610</v>
      </c>
      <c r="B549" s="96">
        <f t="shared" si="8"/>
        <v>1959</v>
      </c>
      <c r="C549">
        <v>15.2</v>
      </c>
    </row>
    <row r="550" spans="1:3" x14ac:dyDescent="0.25">
      <c r="A550" s="91">
        <v>21641</v>
      </c>
      <c r="B550" s="96">
        <f t="shared" si="8"/>
        <v>1959</v>
      </c>
      <c r="C550">
        <v>15.2</v>
      </c>
    </row>
    <row r="551" spans="1:3" x14ac:dyDescent="0.25">
      <c r="A551" s="91">
        <v>21671</v>
      </c>
      <c r="B551" s="96">
        <f t="shared" si="8"/>
        <v>1959</v>
      </c>
      <c r="C551">
        <v>15.3</v>
      </c>
    </row>
    <row r="552" spans="1:3" x14ac:dyDescent="0.25">
      <c r="A552" s="91">
        <v>21702</v>
      </c>
      <c r="B552" s="96">
        <f t="shared" si="8"/>
        <v>1959</v>
      </c>
      <c r="C552">
        <v>15.1</v>
      </c>
    </row>
    <row r="553" spans="1:3" x14ac:dyDescent="0.25">
      <c r="A553" s="91">
        <v>21732</v>
      </c>
      <c r="B553" s="96">
        <f t="shared" si="8"/>
        <v>1959</v>
      </c>
      <c r="C553">
        <v>15.3</v>
      </c>
    </row>
    <row r="554" spans="1:3" x14ac:dyDescent="0.25">
      <c r="A554" s="91">
        <v>21763</v>
      </c>
      <c r="B554" s="96">
        <f t="shared" si="8"/>
        <v>1959</v>
      </c>
      <c r="C554">
        <v>15.3</v>
      </c>
    </row>
    <row r="555" spans="1:3" x14ac:dyDescent="0.25">
      <c r="A555" s="91">
        <v>21794</v>
      </c>
      <c r="B555" s="96">
        <f t="shared" si="8"/>
        <v>1959</v>
      </c>
      <c r="C555">
        <v>15.5</v>
      </c>
    </row>
    <row r="556" spans="1:3" x14ac:dyDescent="0.25">
      <c r="A556" s="91">
        <v>21824</v>
      </c>
      <c r="B556" s="96">
        <f t="shared" si="8"/>
        <v>1959</v>
      </c>
      <c r="C556">
        <v>15.5</v>
      </c>
    </row>
    <row r="557" spans="1:3" x14ac:dyDescent="0.25">
      <c r="A557" s="91">
        <v>21855</v>
      </c>
      <c r="B557" s="96">
        <f t="shared" si="8"/>
        <v>1959</v>
      </c>
      <c r="C557">
        <v>15.5</v>
      </c>
    </row>
    <row r="558" spans="1:3" x14ac:dyDescent="0.25">
      <c r="A558" s="91">
        <v>21885</v>
      </c>
      <c r="B558" s="96">
        <f t="shared" si="8"/>
        <v>1959</v>
      </c>
      <c r="C558">
        <v>15.5</v>
      </c>
    </row>
    <row r="559" spans="1:3" x14ac:dyDescent="0.25">
      <c r="A559" s="91">
        <v>21916</v>
      </c>
      <c r="B559" s="96">
        <f t="shared" si="8"/>
        <v>1960</v>
      </c>
      <c r="C559">
        <v>15.5</v>
      </c>
    </row>
    <row r="560" spans="1:3" x14ac:dyDescent="0.25">
      <c r="A560" s="91">
        <v>21947</v>
      </c>
      <c r="B560" s="96">
        <f t="shared" si="8"/>
        <v>1960</v>
      </c>
      <c r="C560">
        <v>15.5</v>
      </c>
    </row>
    <row r="561" spans="1:3" x14ac:dyDescent="0.25">
      <c r="A561" s="91">
        <v>21976</v>
      </c>
      <c r="B561" s="96">
        <f t="shared" si="8"/>
        <v>1960</v>
      </c>
      <c r="C561">
        <v>15.4</v>
      </c>
    </row>
    <row r="562" spans="1:3" x14ac:dyDescent="0.25">
      <c r="A562" s="91">
        <v>22007</v>
      </c>
      <c r="B562" s="96">
        <f t="shared" si="8"/>
        <v>1960</v>
      </c>
      <c r="C562">
        <v>15.5</v>
      </c>
    </row>
    <row r="563" spans="1:3" x14ac:dyDescent="0.25">
      <c r="A563" s="91">
        <v>22037</v>
      </c>
      <c r="B563" s="96">
        <f t="shared" si="8"/>
        <v>1960</v>
      </c>
      <c r="C563">
        <v>15.5</v>
      </c>
    </row>
    <row r="564" spans="1:3" x14ac:dyDescent="0.25">
      <c r="A564" s="91">
        <v>22068</v>
      </c>
      <c r="B564" s="96">
        <f t="shared" si="8"/>
        <v>1960</v>
      </c>
      <c r="C564">
        <v>15.5</v>
      </c>
    </row>
    <row r="565" spans="1:3" x14ac:dyDescent="0.25">
      <c r="A565" s="91">
        <v>22098</v>
      </c>
      <c r="B565" s="96">
        <f t="shared" si="8"/>
        <v>1960</v>
      </c>
      <c r="C565">
        <v>15.5</v>
      </c>
    </row>
    <row r="566" spans="1:3" x14ac:dyDescent="0.25">
      <c r="A566" s="91">
        <v>22129</v>
      </c>
      <c r="B566" s="96">
        <f t="shared" si="8"/>
        <v>1960</v>
      </c>
      <c r="C566">
        <v>15.5</v>
      </c>
    </row>
    <row r="567" spans="1:3" x14ac:dyDescent="0.25">
      <c r="A567" s="91">
        <v>22160</v>
      </c>
      <c r="B567" s="96">
        <f t="shared" si="8"/>
        <v>1960</v>
      </c>
      <c r="C567">
        <v>15.5</v>
      </c>
    </row>
    <row r="568" spans="1:3" x14ac:dyDescent="0.25">
      <c r="A568" s="91">
        <v>22190</v>
      </c>
      <c r="B568" s="96">
        <f t="shared" si="8"/>
        <v>1960</v>
      </c>
      <c r="C568">
        <v>15.7</v>
      </c>
    </row>
    <row r="569" spans="1:3" x14ac:dyDescent="0.25">
      <c r="A569" s="91">
        <v>22221</v>
      </c>
      <c r="B569" s="96">
        <f t="shared" si="8"/>
        <v>1960</v>
      </c>
      <c r="C569">
        <v>15.7</v>
      </c>
    </row>
    <row r="570" spans="1:3" x14ac:dyDescent="0.25">
      <c r="A570" s="91">
        <v>22251</v>
      </c>
      <c r="B570" s="96">
        <f t="shared" si="8"/>
        <v>1960</v>
      </c>
      <c r="C570">
        <v>15.7</v>
      </c>
    </row>
    <row r="571" spans="1:3" x14ac:dyDescent="0.25">
      <c r="A571" s="91">
        <v>22282</v>
      </c>
      <c r="B571" s="96">
        <f t="shared" si="8"/>
        <v>1961</v>
      </c>
      <c r="C571">
        <v>15.7</v>
      </c>
    </row>
    <row r="572" spans="1:3" x14ac:dyDescent="0.25">
      <c r="A572" s="91">
        <v>22313</v>
      </c>
      <c r="B572" s="96">
        <f t="shared" si="8"/>
        <v>1961</v>
      </c>
      <c r="C572">
        <v>15.7</v>
      </c>
    </row>
    <row r="573" spans="1:3" x14ac:dyDescent="0.25">
      <c r="A573" s="91">
        <v>22341</v>
      </c>
      <c r="B573" s="96">
        <f t="shared" si="8"/>
        <v>1961</v>
      </c>
      <c r="C573">
        <v>15.7</v>
      </c>
    </row>
    <row r="574" spans="1:3" x14ac:dyDescent="0.25">
      <c r="A574" s="91">
        <v>22372</v>
      </c>
      <c r="B574" s="96">
        <f t="shared" si="8"/>
        <v>1961</v>
      </c>
      <c r="C574">
        <v>15.7</v>
      </c>
    </row>
    <row r="575" spans="1:3" x14ac:dyDescent="0.25">
      <c r="A575" s="91">
        <v>22402</v>
      </c>
      <c r="B575" s="96">
        <f t="shared" si="8"/>
        <v>1961</v>
      </c>
      <c r="C575">
        <v>15.7</v>
      </c>
    </row>
    <row r="576" spans="1:3" x14ac:dyDescent="0.25">
      <c r="A576" s="91">
        <v>22433</v>
      </c>
      <c r="B576" s="96">
        <f t="shared" si="8"/>
        <v>1961</v>
      </c>
      <c r="C576">
        <v>15.7</v>
      </c>
    </row>
    <row r="577" spans="1:3" x14ac:dyDescent="0.25">
      <c r="A577" s="91">
        <v>22463</v>
      </c>
      <c r="B577" s="96">
        <f t="shared" si="8"/>
        <v>1961</v>
      </c>
      <c r="C577">
        <v>15.7</v>
      </c>
    </row>
    <row r="578" spans="1:3" x14ac:dyDescent="0.25">
      <c r="A578" s="91">
        <v>22494</v>
      </c>
      <c r="B578" s="96">
        <f t="shared" si="8"/>
        <v>1961</v>
      </c>
      <c r="C578">
        <v>15.7</v>
      </c>
    </row>
    <row r="579" spans="1:3" x14ac:dyDescent="0.25">
      <c r="A579" s="91">
        <v>22525</v>
      </c>
      <c r="B579" s="96">
        <f t="shared" si="8"/>
        <v>1961</v>
      </c>
      <c r="C579">
        <v>15.7</v>
      </c>
    </row>
    <row r="580" spans="1:3" x14ac:dyDescent="0.25">
      <c r="A580" s="91">
        <v>22555</v>
      </c>
      <c r="B580" s="96">
        <f t="shared" si="8"/>
        <v>1961</v>
      </c>
      <c r="C580">
        <v>15.7</v>
      </c>
    </row>
    <row r="581" spans="1:3" x14ac:dyDescent="0.25">
      <c r="A581" s="91">
        <v>22586</v>
      </c>
      <c r="B581" s="96">
        <f t="shared" si="8"/>
        <v>1961</v>
      </c>
      <c r="C581">
        <v>15.7</v>
      </c>
    </row>
    <row r="582" spans="1:3" x14ac:dyDescent="0.25">
      <c r="A582" s="91">
        <v>22616</v>
      </c>
      <c r="B582" s="96">
        <f t="shared" si="8"/>
        <v>1961</v>
      </c>
      <c r="C582">
        <v>15.7</v>
      </c>
    </row>
    <row r="583" spans="1:3" x14ac:dyDescent="0.25">
      <c r="A583" s="91">
        <v>22647</v>
      </c>
      <c r="B583" s="96">
        <f t="shared" si="8"/>
        <v>1962</v>
      </c>
      <c r="C583">
        <v>15.7</v>
      </c>
    </row>
    <row r="584" spans="1:3" x14ac:dyDescent="0.25">
      <c r="A584" s="91">
        <v>22678</v>
      </c>
      <c r="B584" s="96">
        <f t="shared" ref="B584:B647" si="9">YEAR(A584)</f>
        <v>1962</v>
      </c>
      <c r="C584">
        <v>15.7</v>
      </c>
    </row>
    <row r="585" spans="1:3" x14ac:dyDescent="0.25">
      <c r="A585" s="91">
        <v>22706</v>
      </c>
      <c r="B585" s="96">
        <f t="shared" si="9"/>
        <v>1962</v>
      </c>
      <c r="C585">
        <v>15.7</v>
      </c>
    </row>
    <row r="586" spans="1:3" x14ac:dyDescent="0.25">
      <c r="A586" s="91">
        <v>22737</v>
      </c>
      <c r="B586" s="96">
        <f t="shared" si="9"/>
        <v>1962</v>
      </c>
      <c r="C586">
        <v>15.8</v>
      </c>
    </row>
    <row r="587" spans="1:3" x14ac:dyDescent="0.25">
      <c r="A587" s="91">
        <v>22767</v>
      </c>
      <c r="B587" s="96">
        <f t="shared" si="9"/>
        <v>1962</v>
      </c>
      <c r="C587">
        <v>15.8</v>
      </c>
    </row>
    <row r="588" spans="1:3" x14ac:dyDescent="0.25">
      <c r="A588" s="91">
        <v>22798</v>
      </c>
      <c r="B588" s="96">
        <f t="shared" si="9"/>
        <v>1962</v>
      </c>
      <c r="C588">
        <v>15.9</v>
      </c>
    </row>
    <row r="589" spans="1:3" x14ac:dyDescent="0.25">
      <c r="A589" s="91">
        <v>22828</v>
      </c>
      <c r="B589" s="96">
        <f t="shared" si="9"/>
        <v>1962</v>
      </c>
      <c r="C589">
        <v>15.9</v>
      </c>
    </row>
    <row r="590" spans="1:3" x14ac:dyDescent="0.25">
      <c r="A590" s="91">
        <v>22859</v>
      </c>
      <c r="B590" s="96">
        <f t="shared" si="9"/>
        <v>1962</v>
      </c>
      <c r="C590">
        <v>16</v>
      </c>
    </row>
    <row r="591" spans="1:3" x14ac:dyDescent="0.25">
      <c r="A591" s="91">
        <v>22890</v>
      </c>
      <c r="B591" s="96">
        <f t="shared" si="9"/>
        <v>1962</v>
      </c>
      <c r="C591">
        <v>15.9</v>
      </c>
    </row>
    <row r="592" spans="1:3" x14ac:dyDescent="0.25">
      <c r="A592" s="91">
        <v>22920</v>
      </c>
      <c r="B592" s="96">
        <f t="shared" si="9"/>
        <v>1962</v>
      </c>
      <c r="C592">
        <v>16</v>
      </c>
    </row>
    <row r="593" spans="1:3" x14ac:dyDescent="0.25">
      <c r="A593" s="91">
        <v>22951</v>
      </c>
      <c r="B593" s="96">
        <f t="shared" si="9"/>
        <v>1962</v>
      </c>
      <c r="C593">
        <v>16</v>
      </c>
    </row>
    <row r="594" spans="1:3" x14ac:dyDescent="0.25">
      <c r="A594" s="91">
        <v>22981</v>
      </c>
      <c r="B594" s="96">
        <f t="shared" si="9"/>
        <v>1962</v>
      </c>
      <c r="C594">
        <v>16</v>
      </c>
    </row>
    <row r="595" spans="1:3" x14ac:dyDescent="0.25">
      <c r="A595" s="91">
        <v>23012</v>
      </c>
      <c r="B595" s="96">
        <f t="shared" si="9"/>
        <v>1963</v>
      </c>
      <c r="C595">
        <v>16</v>
      </c>
    </row>
    <row r="596" spans="1:3" x14ac:dyDescent="0.25">
      <c r="A596" s="91">
        <v>23043</v>
      </c>
      <c r="B596" s="96">
        <f t="shared" si="9"/>
        <v>1963</v>
      </c>
      <c r="C596">
        <v>16</v>
      </c>
    </row>
    <row r="597" spans="1:3" x14ac:dyDescent="0.25">
      <c r="A597" s="91">
        <v>23071</v>
      </c>
      <c r="B597" s="96">
        <f t="shared" si="9"/>
        <v>1963</v>
      </c>
      <c r="C597">
        <v>16</v>
      </c>
    </row>
    <row r="598" spans="1:3" x14ac:dyDescent="0.25">
      <c r="A598" s="91">
        <v>23102</v>
      </c>
      <c r="B598" s="96">
        <f t="shared" si="9"/>
        <v>1963</v>
      </c>
      <c r="C598">
        <v>16</v>
      </c>
    </row>
    <row r="599" spans="1:3" x14ac:dyDescent="0.25">
      <c r="A599" s="91">
        <v>23132</v>
      </c>
      <c r="B599" s="96">
        <f t="shared" si="9"/>
        <v>1963</v>
      </c>
      <c r="C599">
        <v>16</v>
      </c>
    </row>
    <row r="600" spans="1:3" x14ac:dyDescent="0.25">
      <c r="A600" s="91">
        <v>23163</v>
      </c>
      <c r="B600" s="96">
        <f t="shared" si="9"/>
        <v>1963</v>
      </c>
      <c r="C600">
        <v>16</v>
      </c>
    </row>
    <row r="601" spans="1:3" x14ac:dyDescent="0.25">
      <c r="A601" s="91">
        <v>23193</v>
      </c>
      <c r="B601" s="96">
        <f t="shared" si="9"/>
        <v>1963</v>
      </c>
      <c r="C601">
        <v>16.2</v>
      </c>
    </row>
    <row r="602" spans="1:3" x14ac:dyDescent="0.25">
      <c r="A602" s="91">
        <v>23224</v>
      </c>
      <c r="B602" s="96">
        <f t="shared" si="9"/>
        <v>1963</v>
      </c>
      <c r="C602">
        <v>16.3</v>
      </c>
    </row>
    <row r="603" spans="1:3" x14ac:dyDescent="0.25">
      <c r="A603" s="91">
        <v>23255</v>
      </c>
      <c r="B603" s="96">
        <f t="shared" si="9"/>
        <v>1963</v>
      </c>
      <c r="C603">
        <v>16.2</v>
      </c>
    </row>
    <row r="604" spans="1:3" x14ac:dyDescent="0.25">
      <c r="A604" s="91">
        <v>23285</v>
      </c>
      <c r="B604" s="96">
        <f t="shared" si="9"/>
        <v>1963</v>
      </c>
      <c r="C604">
        <v>16.2</v>
      </c>
    </row>
    <row r="605" spans="1:3" x14ac:dyDescent="0.25">
      <c r="A605" s="91">
        <v>23316</v>
      </c>
      <c r="B605" s="96">
        <f t="shared" si="9"/>
        <v>1963</v>
      </c>
      <c r="C605">
        <v>16.3</v>
      </c>
    </row>
    <row r="606" spans="1:3" x14ac:dyDescent="0.25">
      <c r="A606" s="91">
        <v>23346</v>
      </c>
      <c r="B606" s="96">
        <f t="shared" si="9"/>
        <v>1963</v>
      </c>
      <c r="C606">
        <v>16.3</v>
      </c>
    </row>
    <row r="607" spans="1:3" x14ac:dyDescent="0.25">
      <c r="A607" s="91">
        <v>23377</v>
      </c>
      <c r="B607" s="96">
        <f t="shared" si="9"/>
        <v>1964</v>
      </c>
      <c r="C607">
        <v>16.3</v>
      </c>
    </row>
    <row r="608" spans="1:3" x14ac:dyDescent="0.25">
      <c r="A608" s="91">
        <v>23408</v>
      </c>
      <c r="B608" s="96">
        <f t="shared" si="9"/>
        <v>1964</v>
      </c>
      <c r="C608">
        <v>16.3</v>
      </c>
    </row>
    <row r="609" spans="1:3" x14ac:dyDescent="0.25">
      <c r="A609" s="91">
        <v>23437</v>
      </c>
      <c r="B609" s="96">
        <f t="shared" si="9"/>
        <v>1964</v>
      </c>
      <c r="C609">
        <v>16.3</v>
      </c>
    </row>
    <row r="610" spans="1:3" x14ac:dyDescent="0.25">
      <c r="A610" s="91">
        <v>23468</v>
      </c>
      <c r="B610" s="96">
        <f t="shared" si="9"/>
        <v>1964</v>
      </c>
      <c r="C610">
        <v>16.399999999999999</v>
      </c>
    </row>
    <row r="611" spans="1:3" x14ac:dyDescent="0.25">
      <c r="A611" s="91">
        <v>23498</v>
      </c>
      <c r="B611" s="96">
        <f t="shared" si="9"/>
        <v>1964</v>
      </c>
      <c r="C611">
        <v>16.399999999999999</v>
      </c>
    </row>
    <row r="612" spans="1:3" x14ac:dyDescent="0.25">
      <c r="A612" s="91">
        <v>23529</v>
      </c>
      <c r="B612" s="96">
        <f t="shared" si="9"/>
        <v>1964</v>
      </c>
      <c r="C612">
        <v>16.399999999999999</v>
      </c>
    </row>
    <row r="613" spans="1:3" x14ac:dyDescent="0.25">
      <c r="A613" s="91">
        <v>23559</v>
      </c>
      <c r="B613" s="96">
        <f t="shared" si="9"/>
        <v>1964</v>
      </c>
      <c r="C613">
        <v>16.5</v>
      </c>
    </row>
    <row r="614" spans="1:3" x14ac:dyDescent="0.25">
      <c r="A614" s="91">
        <v>23590</v>
      </c>
      <c r="B614" s="96">
        <f t="shared" si="9"/>
        <v>1964</v>
      </c>
      <c r="C614">
        <v>16.5</v>
      </c>
    </row>
    <row r="615" spans="1:3" x14ac:dyDescent="0.25">
      <c r="A615" s="91">
        <v>23621</v>
      </c>
      <c r="B615" s="96">
        <f t="shared" si="9"/>
        <v>1964</v>
      </c>
      <c r="C615">
        <v>16.5</v>
      </c>
    </row>
    <row r="616" spans="1:3" x14ac:dyDescent="0.25">
      <c r="A616" s="91">
        <v>23651</v>
      </c>
      <c r="B616" s="96">
        <f t="shared" si="9"/>
        <v>1964</v>
      </c>
      <c r="C616">
        <v>16.5</v>
      </c>
    </row>
    <row r="617" spans="1:3" x14ac:dyDescent="0.25">
      <c r="A617" s="91">
        <v>23682</v>
      </c>
      <c r="B617" s="96">
        <f t="shared" si="9"/>
        <v>1964</v>
      </c>
      <c r="C617">
        <v>16.5</v>
      </c>
    </row>
    <row r="618" spans="1:3" x14ac:dyDescent="0.25">
      <c r="A618" s="91">
        <v>23712</v>
      </c>
      <c r="B618" s="96">
        <f t="shared" si="9"/>
        <v>1964</v>
      </c>
      <c r="C618">
        <v>16.600000000000001</v>
      </c>
    </row>
    <row r="619" spans="1:3" x14ac:dyDescent="0.25">
      <c r="A619" s="91">
        <v>23743</v>
      </c>
      <c r="B619" s="96">
        <f t="shared" si="9"/>
        <v>1965</v>
      </c>
      <c r="C619">
        <v>16.600000000000001</v>
      </c>
    </row>
    <row r="620" spans="1:3" x14ac:dyDescent="0.25">
      <c r="A620" s="91">
        <v>23774</v>
      </c>
      <c r="B620" s="96">
        <f t="shared" si="9"/>
        <v>1965</v>
      </c>
      <c r="C620">
        <v>16.600000000000001</v>
      </c>
    </row>
    <row r="621" spans="1:3" x14ac:dyDescent="0.25">
      <c r="A621" s="91">
        <v>23802</v>
      </c>
      <c r="B621" s="96">
        <f t="shared" si="9"/>
        <v>1965</v>
      </c>
      <c r="C621">
        <v>16.600000000000001</v>
      </c>
    </row>
    <row r="622" spans="1:3" x14ac:dyDescent="0.25">
      <c r="A622" s="91">
        <v>23833</v>
      </c>
      <c r="B622" s="96">
        <f t="shared" si="9"/>
        <v>1965</v>
      </c>
      <c r="C622">
        <v>16.7</v>
      </c>
    </row>
    <row r="623" spans="1:3" x14ac:dyDescent="0.25">
      <c r="A623" s="91">
        <v>23863</v>
      </c>
      <c r="B623" s="96">
        <f t="shared" si="9"/>
        <v>1965</v>
      </c>
      <c r="C623">
        <v>16.7</v>
      </c>
    </row>
    <row r="624" spans="1:3" x14ac:dyDescent="0.25">
      <c r="A624" s="91">
        <v>23894</v>
      </c>
      <c r="B624" s="96">
        <f t="shared" si="9"/>
        <v>1965</v>
      </c>
      <c r="C624">
        <v>16.899999999999999</v>
      </c>
    </row>
    <row r="625" spans="1:3" x14ac:dyDescent="0.25">
      <c r="A625" s="91">
        <v>23924</v>
      </c>
      <c r="B625" s="96">
        <f t="shared" si="9"/>
        <v>1965</v>
      </c>
      <c r="C625">
        <v>16.899999999999999</v>
      </c>
    </row>
    <row r="626" spans="1:3" x14ac:dyDescent="0.25">
      <c r="A626" s="91">
        <v>23955</v>
      </c>
      <c r="B626" s="96">
        <f t="shared" si="9"/>
        <v>1965</v>
      </c>
      <c r="C626">
        <v>16.899999999999999</v>
      </c>
    </row>
    <row r="627" spans="1:3" x14ac:dyDescent="0.25">
      <c r="A627" s="91">
        <v>23986</v>
      </c>
      <c r="B627" s="96">
        <f t="shared" si="9"/>
        <v>1965</v>
      </c>
      <c r="C627">
        <v>16.899999999999999</v>
      </c>
    </row>
    <row r="628" spans="1:3" x14ac:dyDescent="0.25">
      <c r="A628" s="91">
        <v>24016</v>
      </c>
      <c r="B628" s="96">
        <f t="shared" si="9"/>
        <v>1965</v>
      </c>
      <c r="C628">
        <v>16.899999999999999</v>
      </c>
    </row>
    <row r="629" spans="1:3" x14ac:dyDescent="0.25">
      <c r="A629" s="91">
        <v>24047</v>
      </c>
      <c r="B629" s="96">
        <f t="shared" si="9"/>
        <v>1965</v>
      </c>
      <c r="C629">
        <v>17</v>
      </c>
    </row>
    <row r="630" spans="1:3" x14ac:dyDescent="0.25">
      <c r="A630" s="91">
        <v>24077</v>
      </c>
      <c r="B630" s="96">
        <f t="shared" si="9"/>
        <v>1965</v>
      </c>
      <c r="C630">
        <v>17.100000000000001</v>
      </c>
    </row>
    <row r="631" spans="1:3" x14ac:dyDescent="0.25">
      <c r="A631" s="91">
        <v>24108</v>
      </c>
      <c r="B631" s="96">
        <f t="shared" si="9"/>
        <v>1966</v>
      </c>
      <c r="C631">
        <v>17.100000000000001</v>
      </c>
    </row>
    <row r="632" spans="1:3" x14ac:dyDescent="0.25">
      <c r="A632" s="91">
        <v>24139</v>
      </c>
      <c r="B632" s="96">
        <f t="shared" si="9"/>
        <v>1966</v>
      </c>
      <c r="C632">
        <v>17.2</v>
      </c>
    </row>
    <row r="633" spans="1:3" x14ac:dyDescent="0.25">
      <c r="A633" s="91">
        <v>24167</v>
      </c>
      <c r="B633" s="96">
        <f t="shared" si="9"/>
        <v>1966</v>
      </c>
      <c r="C633">
        <v>17.3</v>
      </c>
    </row>
    <row r="634" spans="1:3" x14ac:dyDescent="0.25">
      <c r="A634" s="91">
        <v>24198</v>
      </c>
      <c r="B634" s="96">
        <f t="shared" si="9"/>
        <v>1966</v>
      </c>
      <c r="C634">
        <v>17.399999999999999</v>
      </c>
    </row>
    <row r="635" spans="1:3" x14ac:dyDescent="0.25">
      <c r="A635" s="91">
        <v>24228</v>
      </c>
      <c r="B635" s="96">
        <f t="shared" si="9"/>
        <v>1966</v>
      </c>
      <c r="C635">
        <v>17.399999999999999</v>
      </c>
    </row>
    <row r="636" spans="1:3" x14ac:dyDescent="0.25">
      <c r="A636" s="91">
        <v>24259</v>
      </c>
      <c r="B636" s="96">
        <f t="shared" si="9"/>
        <v>1966</v>
      </c>
      <c r="C636">
        <v>17.5</v>
      </c>
    </row>
    <row r="637" spans="1:3" x14ac:dyDescent="0.25">
      <c r="A637" s="91">
        <v>24289</v>
      </c>
      <c r="B637" s="96">
        <f t="shared" si="9"/>
        <v>1966</v>
      </c>
      <c r="C637">
        <v>17.5</v>
      </c>
    </row>
    <row r="638" spans="1:3" x14ac:dyDescent="0.25">
      <c r="A638" s="91">
        <v>24320</v>
      </c>
      <c r="B638" s="96">
        <f t="shared" si="9"/>
        <v>1966</v>
      </c>
      <c r="C638">
        <v>17.600000000000001</v>
      </c>
    </row>
    <row r="639" spans="1:3" x14ac:dyDescent="0.25">
      <c r="A639" s="91">
        <v>24351</v>
      </c>
      <c r="B639" s="96">
        <f t="shared" si="9"/>
        <v>1966</v>
      </c>
      <c r="C639">
        <v>17.600000000000001</v>
      </c>
    </row>
    <row r="640" spans="1:3" x14ac:dyDescent="0.25">
      <c r="A640" s="91">
        <v>24381</v>
      </c>
      <c r="B640" s="96">
        <f t="shared" si="9"/>
        <v>1966</v>
      </c>
      <c r="C640">
        <v>17.600000000000001</v>
      </c>
    </row>
    <row r="641" spans="1:3" x14ac:dyDescent="0.25">
      <c r="A641" s="91">
        <v>24412</v>
      </c>
      <c r="B641" s="96">
        <f t="shared" si="9"/>
        <v>1966</v>
      </c>
      <c r="C641">
        <v>17.600000000000001</v>
      </c>
    </row>
    <row r="642" spans="1:3" x14ac:dyDescent="0.25">
      <c r="A642" s="91">
        <v>24442</v>
      </c>
      <c r="B642" s="96">
        <f t="shared" si="9"/>
        <v>1966</v>
      </c>
      <c r="C642">
        <v>17.7</v>
      </c>
    </row>
    <row r="643" spans="1:3" x14ac:dyDescent="0.25">
      <c r="A643" s="91">
        <v>24473</v>
      </c>
      <c r="B643" s="96">
        <f t="shared" si="9"/>
        <v>1967</v>
      </c>
      <c r="C643">
        <v>17.7</v>
      </c>
    </row>
    <row r="644" spans="1:3" x14ac:dyDescent="0.25">
      <c r="A644" s="91">
        <v>24504</v>
      </c>
      <c r="B644" s="96">
        <f t="shared" si="9"/>
        <v>1967</v>
      </c>
      <c r="C644">
        <v>17.7</v>
      </c>
    </row>
    <row r="645" spans="1:3" x14ac:dyDescent="0.25">
      <c r="A645" s="91">
        <v>24532</v>
      </c>
      <c r="B645" s="96">
        <f t="shared" si="9"/>
        <v>1967</v>
      </c>
      <c r="C645">
        <v>17.8</v>
      </c>
    </row>
    <row r="646" spans="1:3" x14ac:dyDescent="0.25">
      <c r="A646" s="91">
        <v>24563</v>
      </c>
      <c r="B646" s="96">
        <f t="shared" si="9"/>
        <v>1967</v>
      </c>
      <c r="C646">
        <v>17.899999999999999</v>
      </c>
    </row>
    <row r="647" spans="1:3" x14ac:dyDescent="0.25">
      <c r="A647" s="91">
        <v>24593</v>
      </c>
      <c r="B647" s="96">
        <f t="shared" si="9"/>
        <v>1967</v>
      </c>
      <c r="C647">
        <v>18</v>
      </c>
    </row>
    <row r="648" spans="1:3" x14ac:dyDescent="0.25">
      <c r="A648" s="91">
        <v>24624</v>
      </c>
      <c r="B648" s="96">
        <f t="shared" ref="B648:B711" si="10">YEAR(A648)</f>
        <v>1967</v>
      </c>
      <c r="C648">
        <v>18.100000000000001</v>
      </c>
    </row>
    <row r="649" spans="1:3" x14ac:dyDescent="0.25">
      <c r="A649" s="91">
        <v>24654</v>
      </c>
      <c r="B649" s="96">
        <f t="shared" si="10"/>
        <v>1967</v>
      </c>
      <c r="C649">
        <v>18.2</v>
      </c>
    </row>
    <row r="650" spans="1:3" x14ac:dyDescent="0.25">
      <c r="A650" s="91">
        <v>24685</v>
      </c>
      <c r="B650" s="96">
        <f t="shared" si="10"/>
        <v>1967</v>
      </c>
      <c r="C650">
        <v>18.3</v>
      </c>
    </row>
    <row r="651" spans="1:3" x14ac:dyDescent="0.25">
      <c r="A651" s="91">
        <v>24716</v>
      </c>
      <c r="B651" s="96">
        <f t="shared" si="10"/>
        <v>1967</v>
      </c>
      <c r="C651">
        <v>18.3</v>
      </c>
    </row>
    <row r="652" spans="1:3" x14ac:dyDescent="0.25">
      <c r="A652" s="91">
        <v>24746</v>
      </c>
      <c r="B652" s="96">
        <f t="shared" si="10"/>
        <v>1967</v>
      </c>
      <c r="C652">
        <v>18.3</v>
      </c>
    </row>
    <row r="653" spans="1:3" x14ac:dyDescent="0.25">
      <c r="A653" s="91">
        <v>24777</v>
      </c>
      <c r="B653" s="96">
        <f t="shared" si="10"/>
        <v>1967</v>
      </c>
      <c r="C653">
        <v>18.3</v>
      </c>
    </row>
    <row r="654" spans="1:3" x14ac:dyDescent="0.25">
      <c r="A654" s="91">
        <v>24807</v>
      </c>
      <c r="B654" s="96">
        <f t="shared" si="10"/>
        <v>1967</v>
      </c>
      <c r="C654">
        <v>18.399999999999999</v>
      </c>
    </row>
    <row r="655" spans="1:3" x14ac:dyDescent="0.25">
      <c r="A655" s="91">
        <v>24838</v>
      </c>
      <c r="B655" s="96">
        <f t="shared" si="10"/>
        <v>1968</v>
      </c>
      <c r="C655">
        <v>18.5</v>
      </c>
    </row>
    <row r="656" spans="1:3" x14ac:dyDescent="0.25">
      <c r="A656" s="91">
        <v>24869</v>
      </c>
      <c r="B656" s="96">
        <f t="shared" si="10"/>
        <v>1968</v>
      </c>
      <c r="C656">
        <v>18.5</v>
      </c>
    </row>
    <row r="657" spans="1:3" x14ac:dyDescent="0.25">
      <c r="A657" s="91">
        <v>24898</v>
      </c>
      <c r="B657" s="96">
        <f t="shared" si="10"/>
        <v>1968</v>
      </c>
      <c r="C657">
        <v>18.600000000000001</v>
      </c>
    </row>
    <row r="658" spans="1:3" x14ac:dyDescent="0.25">
      <c r="A658" s="91">
        <v>24929</v>
      </c>
      <c r="B658" s="96">
        <f t="shared" si="10"/>
        <v>1968</v>
      </c>
      <c r="C658">
        <v>18.600000000000001</v>
      </c>
    </row>
    <row r="659" spans="1:3" x14ac:dyDescent="0.25">
      <c r="A659" s="91">
        <v>24959</v>
      </c>
      <c r="B659" s="96">
        <f t="shared" si="10"/>
        <v>1968</v>
      </c>
      <c r="C659">
        <v>18.600000000000001</v>
      </c>
    </row>
    <row r="660" spans="1:3" x14ac:dyDescent="0.25">
      <c r="A660" s="91">
        <v>24990</v>
      </c>
      <c r="B660" s="96">
        <f t="shared" si="10"/>
        <v>1968</v>
      </c>
      <c r="C660">
        <v>18.7</v>
      </c>
    </row>
    <row r="661" spans="1:3" x14ac:dyDescent="0.25">
      <c r="A661" s="91">
        <v>25020</v>
      </c>
      <c r="B661" s="96">
        <f t="shared" si="10"/>
        <v>1968</v>
      </c>
      <c r="C661">
        <v>18.899999999999999</v>
      </c>
    </row>
    <row r="662" spans="1:3" x14ac:dyDescent="0.25">
      <c r="A662" s="91">
        <v>25051</v>
      </c>
      <c r="B662" s="96">
        <f t="shared" si="10"/>
        <v>1968</v>
      </c>
      <c r="C662">
        <v>19</v>
      </c>
    </row>
    <row r="663" spans="1:3" x14ac:dyDescent="0.25">
      <c r="A663" s="91">
        <v>25082</v>
      </c>
      <c r="B663" s="96">
        <f t="shared" si="10"/>
        <v>1968</v>
      </c>
      <c r="C663">
        <v>19</v>
      </c>
    </row>
    <row r="664" spans="1:3" x14ac:dyDescent="0.25">
      <c r="A664" s="91">
        <v>25112</v>
      </c>
      <c r="B664" s="96">
        <f t="shared" si="10"/>
        <v>1968</v>
      </c>
      <c r="C664">
        <v>19</v>
      </c>
    </row>
    <row r="665" spans="1:3" x14ac:dyDescent="0.25">
      <c r="A665" s="91">
        <v>25143</v>
      </c>
      <c r="B665" s="96">
        <f t="shared" si="10"/>
        <v>1968</v>
      </c>
      <c r="C665">
        <v>19.2</v>
      </c>
    </row>
    <row r="666" spans="1:3" x14ac:dyDescent="0.25">
      <c r="A666" s="91">
        <v>25173</v>
      </c>
      <c r="B666" s="96">
        <f t="shared" si="10"/>
        <v>1968</v>
      </c>
      <c r="C666">
        <v>19.2</v>
      </c>
    </row>
    <row r="667" spans="1:3" x14ac:dyDescent="0.25">
      <c r="A667" s="91">
        <v>25204</v>
      </c>
      <c r="B667" s="96">
        <f t="shared" si="10"/>
        <v>1969</v>
      </c>
      <c r="C667">
        <v>19.2</v>
      </c>
    </row>
    <row r="668" spans="1:3" x14ac:dyDescent="0.25">
      <c r="A668" s="91">
        <v>25235</v>
      </c>
      <c r="B668" s="96">
        <f t="shared" si="10"/>
        <v>1969</v>
      </c>
      <c r="C668">
        <v>19.2</v>
      </c>
    </row>
    <row r="669" spans="1:3" x14ac:dyDescent="0.25">
      <c r="A669" s="91">
        <v>25263</v>
      </c>
      <c r="B669" s="96">
        <f t="shared" si="10"/>
        <v>1969</v>
      </c>
      <c r="C669">
        <v>19.3</v>
      </c>
    </row>
    <row r="670" spans="1:3" x14ac:dyDescent="0.25">
      <c r="A670" s="91">
        <v>25294</v>
      </c>
      <c r="B670" s="96">
        <f t="shared" si="10"/>
        <v>1969</v>
      </c>
      <c r="C670">
        <v>19.600000000000001</v>
      </c>
    </row>
    <row r="671" spans="1:3" x14ac:dyDescent="0.25">
      <c r="A671" s="91">
        <v>25324</v>
      </c>
      <c r="B671" s="96">
        <f t="shared" si="10"/>
        <v>1969</v>
      </c>
      <c r="C671">
        <v>19.600000000000001</v>
      </c>
    </row>
    <row r="672" spans="1:3" x14ac:dyDescent="0.25">
      <c r="A672" s="91">
        <v>25355</v>
      </c>
      <c r="B672" s="96">
        <f t="shared" si="10"/>
        <v>1969</v>
      </c>
      <c r="C672">
        <v>19.7</v>
      </c>
    </row>
    <row r="673" spans="1:3" x14ac:dyDescent="0.25">
      <c r="A673" s="91">
        <v>25385</v>
      </c>
      <c r="B673" s="96">
        <f t="shared" si="10"/>
        <v>1969</v>
      </c>
      <c r="C673">
        <v>19.8</v>
      </c>
    </row>
    <row r="674" spans="1:3" x14ac:dyDescent="0.25">
      <c r="A674" s="91">
        <v>25416</v>
      </c>
      <c r="B674" s="96">
        <f t="shared" si="10"/>
        <v>1969</v>
      </c>
      <c r="C674">
        <v>19.899999999999999</v>
      </c>
    </row>
    <row r="675" spans="1:3" x14ac:dyDescent="0.25">
      <c r="A675" s="91">
        <v>25447</v>
      </c>
      <c r="B675" s="96">
        <f t="shared" si="10"/>
        <v>1969</v>
      </c>
      <c r="C675">
        <v>19.899999999999999</v>
      </c>
    </row>
    <row r="676" spans="1:3" x14ac:dyDescent="0.25">
      <c r="A676" s="91">
        <v>25477</v>
      </c>
      <c r="B676" s="96">
        <f t="shared" si="10"/>
        <v>1969</v>
      </c>
      <c r="C676">
        <v>19.899999999999999</v>
      </c>
    </row>
    <row r="677" spans="1:3" x14ac:dyDescent="0.25">
      <c r="A677" s="91">
        <v>25508</v>
      </c>
      <c r="B677" s="96">
        <f t="shared" si="10"/>
        <v>1969</v>
      </c>
      <c r="C677">
        <v>19.899999999999999</v>
      </c>
    </row>
    <row r="678" spans="1:3" x14ac:dyDescent="0.25">
      <c r="A678" s="91">
        <v>25538</v>
      </c>
      <c r="B678" s="96">
        <f t="shared" si="10"/>
        <v>1969</v>
      </c>
      <c r="C678">
        <v>20.100000000000001</v>
      </c>
    </row>
    <row r="679" spans="1:3" x14ac:dyDescent="0.25">
      <c r="A679" s="91">
        <v>25569</v>
      </c>
      <c r="B679" s="96">
        <f t="shared" si="10"/>
        <v>1970</v>
      </c>
      <c r="C679">
        <v>20.2</v>
      </c>
    </row>
    <row r="680" spans="1:3" x14ac:dyDescent="0.25">
      <c r="A680" s="91">
        <v>25600</v>
      </c>
      <c r="B680" s="96">
        <f t="shared" si="10"/>
        <v>1970</v>
      </c>
      <c r="C680">
        <v>20.2</v>
      </c>
    </row>
    <row r="681" spans="1:3" x14ac:dyDescent="0.25">
      <c r="A681" s="91">
        <v>25628</v>
      </c>
      <c r="B681" s="96">
        <f t="shared" si="10"/>
        <v>1970</v>
      </c>
      <c r="C681">
        <v>20.2</v>
      </c>
    </row>
    <row r="682" spans="1:3" x14ac:dyDescent="0.25">
      <c r="A682" s="91">
        <v>25659</v>
      </c>
      <c r="B682" s="96">
        <f t="shared" si="10"/>
        <v>1970</v>
      </c>
      <c r="C682">
        <v>20.3</v>
      </c>
    </row>
    <row r="683" spans="1:3" x14ac:dyDescent="0.25">
      <c r="A683" s="91">
        <v>25689</v>
      </c>
      <c r="B683" s="96">
        <f t="shared" si="10"/>
        <v>1970</v>
      </c>
      <c r="C683">
        <v>20.3</v>
      </c>
    </row>
    <row r="684" spans="1:3" x14ac:dyDescent="0.25">
      <c r="A684" s="91">
        <v>25720</v>
      </c>
      <c r="B684" s="96">
        <f t="shared" si="10"/>
        <v>1970</v>
      </c>
      <c r="C684">
        <v>20.3</v>
      </c>
    </row>
    <row r="685" spans="1:3" x14ac:dyDescent="0.25">
      <c r="A685" s="91">
        <v>25750</v>
      </c>
      <c r="B685" s="96">
        <f t="shared" si="10"/>
        <v>1970</v>
      </c>
      <c r="C685">
        <v>20.5</v>
      </c>
    </row>
    <row r="686" spans="1:3" x14ac:dyDescent="0.25">
      <c r="A686" s="91">
        <v>25781</v>
      </c>
      <c r="B686" s="96">
        <f t="shared" si="10"/>
        <v>1970</v>
      </c>
      <c r="C686">
        <v>20.5</v>
      </c>
    </row>
    <row r="687" spans="1:3" x14ac:dyDescent="0.25">
      <c r="A687" s="91">
        <v>25812</v>
      </c>
      <c r="B687" s="96">
        <f t="shared" si="10"/>
        <v>1970</v>
      </c>
      <c r="C687">
        <v>20.399999999999999</v>
      </c>
    </row>
    <row r="688" spans="1:3" x14ac:dyDescent="0.25">
      <c r="A688" s="91">
        <v>25842</v>
      </c>
      <c r="B688" s="96">
        <f t="shared" si="10"/>
        <v>1970</v>
      </c>
      <c r="C688">
        <v>20.399999999999999</v>
      </c>
    </row>
    <row r="689" spans="1:3" x14ac:dyDescent="0.25">
      <c r="A689" s="91">
        <v>25873</v>
      </c>
      <c r="B689" s="96">
        <f t="shared" si="10"/>
        <v>1970</v>
      </c>
      <c r="C689">
        <v>20.399999999999999</v>
      </c>
    </row>
    <row r="690" spans="1:3" x14ac:dyDescent="0.25">
      <c r="A690" s="91">
        <v>25903</v>
      </c>
      <c r="B690" s="96">
        <f t="shared" si="10"/>
        <v>1970</v>
      </c>
      <c r="C690">
        <v>20.3</v>
      </c>
    </row>
    <row r="691" spans="1:3" x14ac:dyDescent="0.25">
      <c r="A691" s="91">
        <v>25934</v>
      </c>
      <c r="B691" s="96">
        <f t="shared" si="10"/>
        <v>1971</v>
      </c>
      <c r="C691">
        <v>20.399999999999999</v>
      </c>
    </row>
    <row r="692" spans="1:3" x14ac:dyDescent="0.25">
      <c r="A692" s="91">
        <v>25965</v>
      </c>
      <c r="B692" s="96">
        <f t="shared" si="10"/>
        <v>1971</v>
      </c>
      <c r="C692">
        <v>20.5</v>
      </c>
    </row>
    <row r="693" spans="1:3" x14ac:dyDescent="0.25">
      <c r="A693" s="91">
        <v>25993</v>
      </c>
      <c r="B693" s="96">
        <f t="shared" si="10"/>
        <v>1971</v>
      </c>
      <c r="C693">
        <v>20.5</v>
      </c>
    </row>
    <row r="694" spans="1:3" x14ac:dyDescent="0.25">
      <c r="A694" s="91">
        <v>26024</v>
      </c>
      <c r="B694" s="96">
        <f t="shared" si="10"/>
        <v>1971</v>
      </c>
      <c r="C694">
        <v>20.7</v>
      </c>
    </row>
    <row r="695" spans="1:3" x14ac:dyDescent="0.25">
      <c r="A695" s="91">
        <v>26054</v>
      </c>
      <c r="B695" s="96">
        <f t="shared" si="10"/>
        <v>1971</v>
      </c>
      <c r="C695">
        <v>20.7</v>
      </c>
    </row>
    <row r="696" spans="1:3" x14ac:dyDescent="0.25">
      <c r="A696" s="91">
        <v>26085</v>
      </c>
      <c r="B696" s="96">
        <f t="shared" si="10"/>
        <v>1971</v>
      </c>
      <c r="C696">
        <v>20.8</v>
      </c>
    </row>
    <row r="697" spans="1:3" x14ac:dyDescent="0.25">
      <c r="A697" s="91">
        <v>26115</v>
      </c>
      <c r="B697" s="96">
        <f t="shared" si="10"/>
        <v>1971</v>
      </c>
      <c r="C697">
        <v>21</v>
      </c>
    </row>
    <row r="698" spans="1:3" x14ac:dyDescent="0.25">
      <c r="A698" s="91">
        <v>26146</v>
      </c>
      <c r="B698" s="96">
        <f t="shared" si="10"/>
        <v>1971</v>
      </c>
      <c r="C698">
        <v>21.2</v>
      </c>
    </row>
    <row r="699" spans="1:3" x14ac:dyDescent="0.25">
      <c r="A699" s="91">
        <v>26177</v>
      </c>
      <c r="B699" s="96">
        <f t="shared" si="10"/>
        <v>1971</v>
      </c>
      <c r="C699">
        <v>21.1</v>
      </c>
    </row>
    <row r="700" spans="1:3" x14ac:dyDescent="0.25">
      <c r="A700" s="91">
        <v>26207</v>
      </c>
      <c r="B700" s="96">
        <f t="shared" si="10"/>
        <v>1971</v>
      </c>
      <c r="C700">
        <v>21.2</v>
      </c>
    </row>
    <row r="701" spans="1:3" x14ac:dyDescent="0.25">
      <c r="A701" s="91">
        <v>26238</v>
      </c>
      <c r="B701" s="96">
        <f t="shared" si="10"/>
        <v>1971</v>
      </c>
      <c r="C701">
        <v>21.2</v>
      </c>
    </row>
    <row r="702" spans="1:3" x14ac:dyDescent="0.25">
      <c r="A702" s="91">
        <v>26268</v>
      </c>
      <c r="B702" s="96">
        <f t="shared" si="10"/>
        <v>1971</v>
      </c>
      <c r="C702">
        <v>21.3</v>
      </c>
    </row>
    <row r="703" spans="1:3" x14ac:dyDescent="0.25">
      <c r="A703" s="91">
        <v>26299</v>
      </c>
      <c r="B703" s="96">
        <f t="shared" si="10"/>
        <v>1972</v>
      </c>
      <c r="C703">
        <v>21.4</v>
      </c>
    </row>
    <row r="704" spans="1:3" x14ac:dyDescent="0.25">
      <c r="A704" s="91">
        <v>26330</v>
      </c>
      <c r="B704" s="96">
        <f t="shared" si="10"/>
        <v>1972</v>
      </c>
      <c r="C704">
        <v>21.5</v>
      </c>
    </row>
    <row r="705" spans="1:3" x14ac:dyDescent="0.25">
      <c r="A705" s="91">
        <v>26359</v>
      </c>
      <c r="B705" s="96">
        <f t="shared" si="10"/>
        <v>1972</v>
      </c>
      <c r="C705">
        <v>21.6</v>
      </c>
    </row>
    <row r="706" spans="1:3" x14ac:dyDescent="0.25">
      <c r="A706" s="91">
        <v>26390</v>
      </c>
      <c r="B706" s="96">
        <f t="shared" si="10"/>
        <v>1972</v>
      </c>
      <c r="C706">
        <v>21.7</v>
      </c>
    </row>
    <row r="707" spans="1:3" x14ac:dyDescent="0.25">
      <c r="A707" s="91">
        <v>26420</v>
      </c>
      <c r="B707" s="96">
        <f t="shared" si="10"/>
        <v>1972</v>
      </c>
      <c r="C707">
        <v>21.7</v>
      </c>
    </row>
    <row r="708" spans="1:3" x14ac:dyDescent="0.25">
      <c r="A708" s="91">
        <v>26451</v>
      </c>
      <c r="B708" s="96">
        <f t="shared" si="10"/>
        <v>1972</v>
      </c>
      <c r="C708">
        <v>21.7</v>
      </c>
    </row>
    <row r="709" spans="1:3" x14ac:dyDescent="0.25">
      <c r="A709" s="91">
        <v>26481</v>
      </c>
      <c r="B709" s="96">
        <f t="shared" si="10"/>
        <v>1972</v>
      </c>
      <c r="C709">
        <v>22</v>
      </c>
    </row>
    <row r="710" spans="1:3" x14ac:dyDescent="0.25">
      <c r="A710" s="91">
        <v>26512</v>
      </c>
      <c r="B710" s="96">
        <f t="shared" si="10"/>
        <v>1972</v>
      </c>
      <c r="C710">
        <v>22.2</v>
      </c>
    </row>
    <row r="711" spans="1:3" x14ac:dyDescent="0.25">
      <c r="A711" s="91">
        <v>26543</v>
      </c>
      <c r="B711" s="96">
        <f t="shared" si="10"/>
        <v>1972</v>
      </c>
      <c r="C711">
        <v>22.3</v>
      </c>
    </row>
    <row r="712" spans="1:3" x14ac:dyDescent="0.25">
      <c r="A712" s="91">
        <v>26573</v>
      </c>
      <c r="B712" s="96">
        <f t="shared" ref="B712:B775" si="11">YEAR(A712)</f>
        <v>1972</v>
      </c>
      <c r="C712">
        <v>22.3</v>
      </c>
    </row>
    <row r="713" spans="1:3" x14ac:dyDescent="0.25">
      <c r="A713" s="91">
        <v>26604</v>
      </c>
      <c r="B713" s="96">
        <f t="shared" si="11"/>
        <v>1972</v>
      </c>
      <c r="C713">
        <v>22.3</v>
      </c>
    </row>
    <row r="714" spans="1:3" x14ac:dyDescent="0.25">
      <c r="A714" s="91">
        <v>26634</v>
      </c>
      <c r="B714" s="96">
        <f t="shared" si="11"/>
        <v>1972</v>
      </c>
      <c r="C714">
        <v>22.4</v>
      </c>
    </row>
    <row r="715" spans="1:3" x14ac:dyDescent="0.25">
      <c r="A715" s="91">
        <v>26665</v>
      </c>
      <c r="B715" s="96">
        <f t="shared" si="11"/>
        <v>1973</v>
      </c>
      <c r="C715">
        <v>22.6</v>
      </c>
    </row>
    <row r="716" spans="1:3" x14ac:dyDescent="0.25">
      <c r="A716" s="91">
        <v>26696</v>
      </c>
      <c r="B716" s="96">
        <f t="shared" si="11"/>
        <v>1973</v>
      </c>
      <c r="C716">
        <v>22.8</v>
      </c>
    </row>
    <row r="717" spans="1:3" x14ac:dyDescent="0.25">
      <c r="A717" s="91">
        <v>26724</v>
      </c>
      <c r="B717" s="96">
        <f t="shared" si="11"/>
        <v>1973</v>
      </c>
      <c r="C717">
        <v>22.8</v>
      </c>
    </row>
    <row r="718" spans="1:3" x14ac:dyDescent="0.25">
      <c r="A718" s="91">
        <v>26755</v>
      </c>
      <c r="B718" s="96">
        <f t="shared" si="11"/>
        <v>1973</v>
      </c>
      <c r="C718">
        <v>23.1</v>
      </c>
    </row>
    <row r="719" spans="1:3" x14ac:dyDescent="0.25">
      <c r="A719" s="91">
        <v>26785</v>
      </c>
      <c r="B719" s="96">
        <f t="shared" si="11"/>
        <v>1973</v>
      </c>
      <c r="C719">
        <v>23.2</v>
      </c>
    </row>
    <row r="720" spans="1:3" x14ac:dyDescent="0.25">
      <c r="A720" s="91">
        <v>26816</v>
      </c>
      <c r="B720" s="96">
        <f t="shared" si="11"/>
        <v>1973</v>
      </c>
      <c r="C720">
        <v>23.4</v>
      </c>
    </row>
    <row r="721" spans="1:3" x14ac:dyDescent="0.25">
      <c r="A721" s="91">
        <v>26846</v>
      </c>
      <c r="B721" s="96">
        <f t="shared" si="11"/>
        <v>1973</v>
      </c>
      <c r="C721">
        <v>23.7</v>
      </c>
    </row>
    <row r="722" spans="1:3" x14ac:dyDescent="0.25">
      <c r="A722" s="91">
        <v>26877</v>
      </c>
      <c r="B722" s="96">
        <f t="shared" si="11"/>
        <v>1973</v>
      </c>
      <c r="C722">
        <v>24</v>
      </c>
    </row>
    <row r="723" spans="1:3" x14ac:dyDescent="0.25">
      <c r="A723" s="91">
        <v>26908</v>
      </c>
      <c r="B723" s="96">
        <f t="shared" si="11"/>
        <v>1973</v>
      </c>
      <c r="C723">
        <v>24.1</v>
      </c>
    </row>
    <row r="724" spans="1:3" x14ac:dyDescent="0.25">
      <c r="A724" s="91">
        <v>26938</v>
      </c>
      <c r="B724" s="96">
        <f t="shared" si="11"/>
        <v>1973</v>
      </c>
      <c r="C724">
        <v>24.2</v>
      </c>
    </row>
    <row r="725" spans="1:3" x14ac:dyDescent="0.25">
      <c r="A725" s="91">
        <v>26969</v>
      </c>
      <c r="B725" s="96">
        <f t="shared" si="11"/>
        <v>1973</v>
      </c>
      <c r="C725">
        <v>24.4</v>
      </c>
    </row>
    <row r="726" spans="1:3" x14ac:dyDescent="0.25">
      <c r="A726" s="91">
        <v>26999</v>
      </c>
      <c r="B726" s="96">
        <f t="shared" si="11"/>
        <v>1973</v>
      </c>
      <c r="C726">
        <v>24.5</v>
      </c>
    </row>
    <row r="727" spans="1:3" x14ac:dyDescent="0.25">
      <c r="A727" s="91">
        <v>27030</v>
      </c>
      <c r="B727" s="96">
        <f t="shared" si="11"/>
        <v>1974</v>
      </c>
      <c r="C727">
        <v>24.7</v>
      </c>
    </row>
    <row r="728" spans="1:3" x14ac:dyDescent="0.25">
      <c r="A728" s="91">
        <v>27061</v>
      </c>
      <c r="B728" s="96">
        <f t="shared" si="11"/>
        <v>1974</v>
      </c>
      <c r="C728">
        <v>24.9</v>
      </c>
    </row>
    <row r="729" spans="1:3" x14ac:dyDescent="0.25">
      <c r="A729" s="91">
        <v>27089</v>
      </c>
      <c r="B729" s="96">
        <f t="shared" si="11"/>
        <v>1974</v>
      </c>
      <c r="C729">
        <v>25.2</v>
      </c>
    </row>
    <row r="730" spans="1:3" x14ac:dyDescent="0.25">
      <c r="A730" s="91">
        <v>27120</v>
      </c>
      <c r="B730" s="96">
        <f t="shared" si="11"/>
        <v>1974</v>
      </c>
      <c r="C730">
        <v>25.4</v>
      </c>
    </row>
    <row r="731" spans="1:3" x14ac:dyDescent="0.25">
      <c r="A731" s="91">
        <v>27150</v>
      </c>
      <c r="B731" s="96">
        <f t="shared" si="11"/>
        <v>1974</v>
      </c>
      <c r="C731">
        <v>25.9</v>
      </c>
    </row>
    <row r="732" spans="1:3" x14ac:dyDescent="0.25">
      <c r="A732" s="91">
        <v>27181</v>
      </c>
      <c r="B732" s="96">
        <f t="shared" si="11"/>
        <v>1974</v>
      </c>
      <c r="C732">
        <v>26.1</v>
      </c>
    </row>
    <row r="733" spans="1:3" x14ac:dyDescent="0.25">
      <c r="A733" s="91">
        <v>27211</v>
      </c>
      <c r="B733" s="96">
        <f t="shared" si="11"/>
        <v>1974</v>
      </c>
      <c r="C733">
        <v>26.3</v>
      </c>
    </row>
    <row r="734" spans="1:3" x14ac:dyDescent="0.25">
      <c r="A734" s="91">
        <v>27242</v>
      </c>
      <c r="B734" s="96">
        <f t="shared" si="11"/>
        <v>1974</v>
      </c>
      <c r="C734">
        <v>26.6</v>
      </c>
    </row>
    <row r="735" spans="1:3" x14ac:dyDescent="0.25">
      <c r="A735" s="91">
        <v>27273</v>
      </c>
      <c r="B735" s="96">
        <f t="shared" si="11"/>
        <v>1974</v>
      </c>
      <c r="C735">
        <v>26.8</v>
      </c>
    </row>
    <row r="736" spans="1:3" x14ac:dyDescent="0.25">
      <c r="A736" s="91">
        <v>27303</v>
      </c>
      <c r="B736" s="96">
        <f t="shared" si="11"/>
        <v>1974</v>
      </c>
      <c r="C736">
        <v>27.1</v>
      </c>
    </row>
    <row r="737" spans="1:3" x14ac:dyDescent="0.25">
      <c r="A737" s="91">
        <v>27334</v>
      </c>
      <c r="B737" s="96">
        <f t="shared" si="11"/>
        <v>1974</v>
      </c>
      <c r="C737">
        <v>27.3</v>
      </c>
    </row>
    <row r="738" spans="1:3" x14ac:dyDescent="0.25">
      <c r="A738" s="91">
        <v>27364</v>
      </c>
      <c r="B738" s="96">
        <f t="shared" si="11"/>
        <v>1974</v>
      </c>
      <c r="C738">
        <v>27.6</v>
      </c>
    </row>
    <row r="739" spans="1:3" x14ac:dyDescent="0.25">
      <c r="A739" s="91">
        <v>27395</v>
      </c>
      <c r="B739" s="96">
        <f t="shared" si="11"/>
        <v>1975</v>
      </c>
      <c r="C739">
        <v>27.6</v>
      </c>
    </row>
    <row r="740" spans="1:3" x14ac:dyDescent="0.25">
      <c r="A740" s="91">
        <v>27426</v>
      </c>
      <c r="B740" s="96">
        <f t="shared" si="11"/>
        <v>1975</v>
      </c>
      <c r="C740">
        <v>27.9</v>
      </c>
    </row>
    <row r="741" spans="1:3" x14ac:dyDescent="0.25">
      <c r="A741" s="91">
        <v>27454</v>
      </c>
      <c r="B741" s="96">
        <f t="shared" si="11"/>
        <v>1975</v>
      </c>
      <c r="C741">
        <v>28</v>
      </c>
    </row>
    <row r="742" spans="1:3" x14ac:dyDescent="0.25">
      <c r="A742" s="91">
        <v>27485</v>
      </c>
      <c r="B742" s="96">
        <f t="shared" si="11"/>
        <v>1975</v>
      </c>
      <c r="C742">
        <v>28.2</v>
      </c>
    </row>
    <row r="743" spans="1:3" x14ac:dyDescent="0.25">
      <c r="A743" s="91">
        <v>27515</v>
      </c>
      <c r="B743" s="96">
        <f t="shared" si="11"/>
        <v>1975</v>
      </c>
      <c r="C743">
        <v>28.5</v>
      </c>
    </row>
    <row r="744" spans="1:3" x14ac:dyDescent="0.25">
      <c r="A744" s="91">
        <v>27546</v>
      </c>
      <c r="B744" s="96">
        <f t="shared" si="11"/>
        <v>1975</v>
      </c>
      <c r="C744">
        <v>28.8</v>
      </c>
    </row>
    <row r="745" spans="1:3" x14ac:dyDescent="0.25">
      <c r="A745" s="91">
        <v>27576</v>
      </c>
      <c r="B745" s="96">
        <f t="shared" si="11"/>
        <v>1975</v>
      </c>
      <c r="C745">
        <v>29.2</v>
      </c>
    </row>
    <row r="746" spans="1:3" x14ac:dyDescent="0.25">
      <c r="A746" s="91">
        <v>27607</v>
      </c>
      <c r="B746" s="96">
        <f t="shared" si="11"/>
        <v>1975</v>
      </c>
      <c r="C746">
        <v>29.5</v>
      </c>
    </row>
    <row r="747" spans="1:3" x14ac:dyDescent="0.25">
      <c r="A747" s="91">
        <v>27638</v>
      </c>
      <c r="B747" s="96">
        <f t="shared" si="11"/>
        <v>1975</v>
      </c>
      <c r="C747">
        <v>29.6</v>
      </c>
    </row>
    <row r="748" spans="1:3" x14ac:dyDescent="0.25">
      <c r="A748" s="91">
        <v>27668</v>
      </c>
      <c r="B748" s="96">
        <f t="shared" si="11"/>
        <v>1975</v>
      </c>
      <c r="C748">
        <v>29.8</v>
      </c>
    </row>
    <row r="749" spans="1:3" x14ac:dyDescent="0.25">
      <c r="A749" s="91">
        <v>27699</v>
      </c>
      <c r="B749" s="96">
        <f t="shared" si="11"/>
        <v>1975</v>
      </c>
      <c r="C749">
        <v>30.1</v>
      </c>
    </row>
    <row r="750" spans="1:3" x14ac:dyDescent="0.25">
      <c r="A750" s="91">
        <v>27729</v>
      </c>
      <c r="B750" s="96">
        <f t="shared" si="11"/>
        <v>1975</v>
      </c>
      <c r="C750">
        <v>30.2</v>
      </c>
    </row>
    <row r="751" spans="1:3" x14ac:dyDescent="0.25">
      <c r="A751" s="91">
        <v>27760</v>
      </c>
      <c r="B751" s="96">
        <f t="shared" si="11"/>
        <v>1976</v>
      </c>
      <c r="C751">
        <v>30.3</v>
      </c>
    </row>
    <row r="752" spans="1:3" x14ac:dyDescent="0.25">
      <c r="A752" s="91">
        <v>27791</v>
      </c>
      <c r="B752" s="96">
        <f t="shared" si="11"/>
        <v>1976</v>
      </c>
      <c r="C752">
        <v>30.5</v>
      </c>
    </row>
    <row r="753" spans="1:3" x14ac:dyDescent="0.25">
      <c r="A753" s="91">
        <v>27820</v>
      </c>
      <c r="B753" s="96">
        <f t="shared" si="11"/>
        <v>1976</v>
      </c>
      <c r="C753">
        <v>30.6</v>
      </c>
    </row>
    <row r="754" spans="1:3" x14ac:dyDescent="0.25">
      <c r="A754" s="91">
        <v>27851</v>
      </c>
      <c r="B754" s="96">
        <f t="shared" si="11"/>
        <v>1976</v>
      </c>
      <c r="C754">
        <v>30.7</v>
      </c>
    </row>
    <row r="755" spans="1:3" x14ac:dyDescent="0.25">
      <c r="A755" s="91">
        <v>27881</v>
      </c>
      <c r="B755" s="96">
        <f t="shared" si="11"/>
        <v>1976</v>
      </c>
      <c r="C755">
        <v>30.9</v>
      </c>
    </row>
    <row r="756" spans="1:3" x14ac:dyDescent="0.25">
      <c r="A756" s="91">
        <v>27912</v>
      </c>
      <c r="B756" s="96">
        <f t="shared" si="11"/>
        <v>1976</v>
      </c>
      <c r="C756">
        <v>31.1</v>
      </c>
    </row>
    <row r="757" spans="1:3" x14ac:dyDescent="0.25">
      <c r="A757" s="91">
        <v>27942</v>
      </c>
      <c r="B757" s="96">
        <f t="shared" si="11"/>
        <v>1976</v>
      </c>
      <c r="C757">
        <v>31.3</v>
      </c>
    </row>
    <row r="758" spans="1:3" x14ac:dyDescent="0.25">
      <c r="A758" s="91">
        <v>27973</v>
      </c>
      <c r="B758" s="96">
        <f t="shared" si="11"/>
        <v>1976</v>
      </c>
      <c r="C758">
        <v>31.3</v>
      </c>
    </row>
    <row r="759" spans="1:3" x14ac:dyDescent="0.25">
      <c r="A759" s="91">
        <v>28004</v>
      </c>
      <c r="B759" s="96">
        <f t="shared" si="11"/>
        <v>1976</v>
      </c>
      <c r="C759">
        <v>31.5</v>
      </c>
    </row>
    <row r="760" spans="1:3" x14ac:dyDescent="0.25">
      <c r="A760" s="91">
        <v>28034</v>
      </c>
      <c r="B760" s="96">
        <f t="shared" si="11"/>
        <v>1976</v>
      </c>
      <c r="C760">
        <v>31.7</v>
      </c>
    </row>
    <row r="761" spans="1:3" x14ac:dyDescent="0.25">
      <c r="A761" s="91">
        <v>28065</v>
      </c>
      <c r="B761" s="96">
        <f t="shared" si="11"/>
        <v>1976</v>
      </c>
      <c r="C761">
        <v>31.8</v>
      </c>
    </row>
    <row r="762" spans="1:3" x14ac:dyDescent="0.25">
      <c r="A762" s="91">
        <v>28095</v>
      </c>
      <c r="B762" s="96">
        <f t="shared" si="11"/>
        <v>1976</v>
      </c>
      <c r="C762">
        <v>31.9</v>
      </c>
    </row>
    <row r="763" spans="1:3" x14ac:dyDescent="0.25">
      <c r="A763" s="91">
        <v>28126</v>
      </c>
      <c r="B763" s="96">
        <f t="shared" si="11"/>
        <v>1977</v>
      </c>
      <c r="C763">
        <v>32.200000000000003</v>
      </c>
    </row>
    <row r="764" spans="1:3" x14ac:dyDescent="0.25">
      <c r="A764" s="91">
        <v>28157</v>
      </c>
      <c r="B764" s="96">
        <f t="shared" si="11"/>
        <v>1977</v>
      </c>
      <c r="C764">
        <v>32.4</v>
      </c>
    </row>
    <row r="765" spans="1:3" x14ac:dyDescent="0.25">
      <c r="A765" s="91">
        <v>28185</v>
      </c>
      <c r="B765" s="96">
        <f t="shared" si="11"/>
        <v>1977</v>
      </c>
      <c r="C765">
        <v>32.799999999999997</v>
      </c>
    </row>
    <row r="766" spans="1:3" x14ac:dyDescent="0.25">
      <c r="A766" s="91">
        <v>28216</v>
      </c>
      <c r="B766" s="96">
        <f t="shared" si="11"/>
        <v>1977</v>
      </c>
      <c r="C766">
        <v>33</v>
      </c>
    </row>
    <row r="767" spans="1:3" x14ac:dyDescent="0.25">
      <c r="A767" s="91">
        <v>28246</v>
      </c>
      <c r="B767" s="96">
        <f t="shared" si="11"/>
        <v>1977</v>
      </c>
      <c r="C767">
        <v>33.4</v>
      </c>
    </row>
    <row r="768" spans="1:3" x14ac:dyDescent="0.25">
      <c r="A768" s="91">
        <v>28277</v>
      </c>
      <c r="B768" s="96">
        <f t="shared" si="11"/>
        <v>1977</v>
      </c>
      <c r="C768">
        <v>33.5</v>
      </c>
    </row>
    <row r="769" spans="1:3" x14ac:dyDescent="0.25">
      <c r="A769" s="91">
        <v>28307</v>
      </c>
      <c r="B769" s="96">
        <f t="shared" si="11"/>
        <v>1977</v>
      </c>
      <c r="C769">
        <v>33.9</v>
      </c>
    </row>
    <row r="770" spans="1:3" x14ac:dyDescent="0.25">
      <c r="A770" s="91">
        <v>28338</v>
      </c>
      <c r="B770" s="96">
        <f t="shared" si="11"/>
        <v>1977</v>
      </c>
      <c r="C770">
        <v>33.9</v>
      </c>
    </row>
    <row r="771" spans="1:3" x14ac:dyDescent="0.25">
      <c r="A771" s="91">
        <v>28369</v>
      </c>
      <c r="B771" s="96">
        <f t="shared" si="11"/>
        <v>1977</v>
      </c>
      <c r="C771">
        <v>34.200000000000003</v>
      </c>
    </row>
    <row r="772" spans="1:3" x14ac:dyDescent="0.25">
      <c r="A772" s="91">
        <v>28399</v>
      </c>
      <c r="B772" s="96">
        <f t="shared" si="11"/>
        <v>1977</v>
      </c>
      <c r="C772">
        <v>34.5</v>
      </c>
    </row>
    <row r="773" spans="1:3" x14ac:dyDescent="0.25">
      <c r="A773" s="91">
        <v>28430</v>
      </c>
      <c r="B773" s="96">
        <f t="shared" si="11"/>
        <v>1977</v>
      </c>
      <c r="C773">
        <v>34.700000000000003</v>
      </c>
    </row>
    <row r="774" spans="1:3" x14ac:dyDescent="0.25">
      <c r="A774" s="91">
        <v>28460</v>
      </c>
      <c r="B774" s="96">
        <f t="shared" si="11"/>
        <v>1977</v>
      </c>
      <c r="C774">
        <v>34.9</v>
      </c>
    </row>
    <row r="775" spans="1:3" x14ac:dyDescent="0.25">
      <c r="A775" s="91">
        <v>28491</v>
      </c>
      <c r="B775" s="96">
        <f t="shared" si="11"/>
        <v>1978</v>
      </c>
      <c r="C775">
        <v>35.1</v>
      </c>
    </row>
    <row r="776" spans="1:3" x14ac:dyDescent="0.25">
      <c r="A776" s="91">
        <v>28522</v>
      </c>
      <c r="B776" s="96">
        <f t="shared" ref="B776:B839" si="12">YEAR(A776)</f>
        <v>1978</v>
      </c>
      <c r="C776">
        <v>35.4</v>
      </c>
    </row>
    <row r="777" spans="1:3" x14ac:dyDescent="0.25">
      <c r="A777" s="91">
        <v>28550</v>
      </c>
      <c r="B777" s="96">
        <f t="shared" si="12"/>
        <v>1978</v>
      </c>
      <c r="C777">
        <v>35.700000000000003</v>
      </c>
    </row>
    <row r="778" spans="1:3" x14ac:dyDescent="0.25">
      <c r="A778" s="91">
        <v>28581</v>
      </c>
      <c r="B778" s="96">
        <f t="shared" si="12"/>
        <v>1978</v>
      </c>
      <c r="C778">
        <v>35.799999999999997</v>
      </c>
    </row>
    <row r="779" spans="1:3" x14ac:dyDescent="0.25">
      <c r="A779" s="91">
        <v>28611</v>
      </c>
      <c r="B779" s="96">
        <f t="shared" si="12"/>
        <v>1978</v>
      </c>
      <c r="C779">
        <v>36.299999999999997</v>
      </c>
    </row>
    <row r="780" spans="1:3" x14ac:dyDescent="0.25">
      <c r="A780" s="91">
        <v>28642</v>
      </c>
      <c r="B780" s="96">
        <f t="shared" si="12"/>
        <v>1978</v>
      </c>
      <c r="C780">
        <v>36.6</v>
      </c>
    </row>
    <row r="781" spans="1:3" x14ac:dyDescent="0.25">
      <c r="A781" s="91">
        <v>28672</v>
      </c>
      <c r="B781" s="96">
        <f t="shared" si="12"/>
        <v>1978</v>
      </c>
      <c r="C781">
        <v>37.1</v>
      </c>
    </row>
    <row r="782" spans="1:3" x14ac:dyDescent="0.25">
      <c r="A782" s="91">
        <v>28703</v>
      </c>
      <c r="B782" s="96">
        <f t="shared" si="12"/>
        <v>1978</v>
      </c>
      <c r="C782">
        <v>37.200000000000003</v>
      </c>
    </row>
    <row r="783" spans="1:3" x14ac:dyDescent="0.25">
      <c r="A783" s="91">
        <v>28734</v>
      </c>
      <c r="B783" s="96">
        <f t="shared" si="12"/>
        <v>1978</v>
      </c>
      <c r="C783">
        <v>37.1</v>
      </c>
    </row>
    <row r="784" spans="1:3" x14ac:dyDescent="0.25">
      <c r="A784" s="91">
        <v>28764</v>
      </c>
      <c r="B784" s="96">
        <f t="shared" si="12"/>
        <v>1978</v>
      </c>
      <c r="C784">
        <v>37.6</v>
      </c>
    </row>
    <row r="785" spans="1:3" x14ac:dyDescent="0.25">
      <c r="A785" s="91">
        <v>28795</v>
      </c>
      <c r="B785" s="96">
        <f t="shared" si="12"/>
        <v>1978</v>
      </c>
      <c r="C785">
        <v>37.799999999999997</v>
      </c>
    </row>
    <row r="786" spans="1:3" x14ac:dyDescent="0.25">
      <c r="A786" s="91">
        <v>28825</v>
      </c>
      <c r="B786" s="96">
        <f t="shared" si="12"/>
        <v>1978</v>
      </c>
      <c r="C786">
        <v>37.9</v>
      </c>
    </row>
    <row r="787" spans="1:3" x14ac:dyDescent="0.25">
      <c r="A787" s="91">
        <v>28856</v>
      </c>
      <c r="B787" s="96">
        <f t="shared" si="12"/>
        <v>1979</v>
      </c>
      <c r="C787">
        <v>38.1</v>
      </c>
    </row>
    <row r="788" spans="1:3" x14ac:dyDescent="0.25">
      <c r="A788" s="91">
        <v>28887</v>
      </c>
      <c r="B788" s="96">
        <f t="shared" si="12"/>
        <v>1979</v>
      </c>
      <c r="C788">
        <v>38.6</v>
      </c>
    </row>
    <row r="789" spans="1:3" x14ac:dyDescent="0.25">
      <c r="A789" s="91">
        <v>28915</v>
      </c>
      <c r="B789" s="96">
        <f t="shared" si="12"/>
        <v>1979</v>
      </c>
      <c r="C789">
        <v>39</v>
      </c>
    </row>
    <row r="790" spans="1:3" x14ac:dyDescent="0.25">
      <c r="A790" s="91">
        <v>28946</v>
      </c>
      <c r="B790" s="96">
        <f t="shared" si="12"/>
        <v>1979</v>
      </c>
      <c r="C790">
        <v>39.299999999999997</v>
      </c>
    </row>
    <row r="791" spans="1:3" x14ac:dyDescent="0.25">
      <c r="A791" s="91">
        <v>28976</v>
      </c>
      <c r="B791" s="96">
        <f t="shared" si="12"/>
        <v>1979</v>
      </c>
      <c r="C791">
        <v>39.700000000000003</v>
      </c>
    </row>
    <row r="792" spans="1:3" x14ac:dyDescent="0.25">
      <c r="A792" s="91">
        <v>29007</v>
      </c>
      <c r="B792" s="96">
        <f t="shared" si="12"/>
        <v>1979</v>
      </c>
      <c r="C792">
        <v>39.9</v>
      </c>
    </row>
    <row r="793" spans="1:3" x14ac:dyDescent="0.25">
      <c r="A793" s="91">
        <v>29037</v>
      </c>
      <c r="B793" s="96">
        <f t="shared" si="12"/>
        <v>1979</v>
      </c>
      <c r="C793">
        <v>40.200000000000003</v>
      </c>
    </row>
    <row r="794" spans="1:3" x14ac:dyDescent="0.25">
      <c r="A794" s="91">
        <v>29068</v>
      </c>
      <c r="B794" s="96">
        <f t="shared" si="12"/>
        <v>1979</v>
      </c>
      <c r="C794">
        <v>40.299999999999997</v>
      </c>
    </row>
    <row r="795" spans="1:3" x14ac:dyDescent="0.25">
      <c r="A795" s="91">
        <v>29099</v>
      </c>
      <c r="B795" s="96">
        <f t="shared" si="12"/>
        <v>1979</v>
      </c>
      <c r="C795">
        <v>40.700000000000003</v>
      </c>
    </row>
    <row r="796" spans="1:3" x14ac:dyDescent="0.25">
      <c r="A796" s="91">
        <v>29129</v>
      </c>
      <c r="B796" s="96">
        <f t="shared" si="12"/>
        <v>1979</v>
      </c>
      <c r="C796">
        <v>41</v>
      </c>
    </row>
    <row r="797" spans="1:3" x14ac:dyDescent="0.25">
      <c r="A797" s="91">
        <v>29160</v>
      </c>
      <c r="B797" s="96">
        <f t="shared" si="12"/>
        <v>1979</v>
      </c>
      <c r="C797">
        <v>41.4</v>
      </c>
    </row>
    <row r="798" spans="1:3" x14ac:dyDescent="0.25">
      <c r="A798" s="91">
        <v>29190</v>
      </c>
      <c r="B798" s="96">
        <f t="shared" si="12"/>
        <v>1979</v>
      </c>
      <c r="C798">
        <v>41.6</v>
      </c>
    </row>
    <row r="799" spans="1:3" x14ac:dyDescent="0.25">
      <c r="A799" s="91">
        <v>29221</v>
      </c>
      <c r="B799" s="96">
        <f t="shared" si="12"/>
        <v>1980</v>
      </c>
      <c r="C799">
        <v>41.8</v>
      </c>
    </row>
    <row r="800" spans="1:3" x14ac:dyDescent="0.25">
      <c r="A800" s="91">
        <v>29252</v>
      </c>
      <c r="B800" s="96">
        <f t="shared" si="12"/>
        <v>1980</v>
      </c>
      <c r="C800">
        <v>42.3</v>
      </c>
    </row>
    <row r="801" spans="1:3" x14ac:dyDescent="0.25">
      <c r="A801" s="91">
        <v>29281</v>
      </c>
      <c r="B801" s="96">
        <f t="shared" si="12"/>
        <v>1980</v>
      </c>
      <c r="C801">
        <v>42.6</v>
      </c>
    </row>
    <row r="802" spans="1:3" x14ac:dyDescent="0.25">
      <c r="A802" s="91">
        <v>29312</v>
      </c>
      <c r="B802" s="96">
        <f t="shared" si="12"/>
        <v>1980</v>
      </c>
      <c r="C802">
        <v>42.9</v>
      </c>
    </row>
    <row r="803" spans="1:3" x14ac:dyDescent="0.25">
      <c r="A803" s="91">
        <v>29342</v>
      </c>
      <c r="B803" s="96">
        <f t="shared" si="12"/>
        <v>1980</v>
      </c>
      <c r="C803">
        <v>43.4</v>
      </c>
    </row>
    <row r="804" spans="1:3" x14ac:dyDescent="0.25">
      <c r="A804" s="91">
        <v>29373</v>
      </c>
      <c r="B804" s="96">
        <f t="shared" si="12"/>
        <v>1980</v>
      </c>
      <c r="C804">
        <v>43.9</v>
      </c>
    </row>
    <row r="805" spans="1:3" x14ac:dyDescent="0.25">
      <c r="A805" s="91">
        <v>29403</v>
      </c>
      <c r="B805" s="96">
        <f t="shared" si="12"/>
        <v>1980</v>
      </c>
      <c r="C805">
        <v>44.2</v>
      </c>
    </row>
    <row r="806" spans="1:3" x14ac:dyDescent="0.25">
      <c r="A806" s="91">
        <v>29434</v>
      </c>
      <c r="B806" s="96">
        <f t="shared" si="12"/>
        <v>1980</v>
      </c>
      <c r="C806">
        <v>44.7</v>
      </c>
    </row>
    <row r="807" spans="1:3" x14ac:dyDescent="0.25">
      <c r="A807" s="91">
        <v>29465</v>
      </c>
      <c r="B807" s="96">
        <f t="shared" si="12"/>
        <v>1980</v>
      </c>
      <c r="C807">
        <v>45</v>
      </c>
    </row>
    <row r="808" spans="1:3" x14ac:dyDescent="0.25">
      <c r="A808" s="91">
        <v>29495</v>
      </c>
      <c r="B808" s="96">
        <f t="shared" si="12"/>
        <v>1980</v>
      </c>
      <c r="C808">
        <v>45.4</v>
      </c>
    </row>
    <row r="809" spans="1:3" x14ac:dyDescent="0.25">
      <c r="A809" s="91">
        <v>29526</v>
      </c>
      <c r="B809" s="96">
        <f t="shared" si="12"/>
        <v>1980</v>
      </c>
      <c r="C809">
        <v>46</v>
      </c>
    </row>
    <row r="810" spans="1:3" x14ac:dyDescent="0.25">
      <c r="A810" s="91">
        <v>29556</v>
      </c>
      <c r="B810" s="96">
        <f t="shared" si="12"/>
        <v>1980</v>
      </c>
      <c r="C810">
        <v>46.2</v>
      </c>
    </row>
    <row r="811" spans="1:3" x14ac:dyDescent="0.25">
      <c r="A811" s="91">
        <v>29587</v>
      </c>
      <c r="B811" s="96">
        <f t="shared" si="12"/>
        <v>1981</v>
      </c>
      <c r="C811">
        <v>46.9</v>
      </c>
    </row>
    <row r="812" spans="1:3" x14ac:dyDescent="0.25">
      <c r="A812" s="91">
        <v>29618</v>
      </c>
      <c r="B812" s="96">
        <f t="shared" si="12"/>
        <v>1981</v>
      </c>
      <c r="C812">
        <v>47.4</v>
      </c>
    </row>
    <row r="813" spans="1:3" x14ac:dyDescent="0.25">
      <c r="A813" s="91">
        <v>29646</v>
      </c>
      <c r="B813" s="96">
        <f t="shared" si="12"/>
        <v>1981</v>
      </c>
      <c r="C813">
        <v>48</v>
      </c>
    </row>
    <row r="814" spans="1:3" x14ac:dyDescent="0.25">
      <c r="A814" s="91">
        <v>29677</v>
      </c>
      <c r="B814" s="96">
        <f t="shared" si="12"/>
        <v>1981</v>
      </c>
      <c r="C814">
        <v>48.3</v>
      </c>
    </row>
    <row r="815" spans="1:3" x14ac:dyDescent="0.25">
      <c r="A815" s="91">
        <v>29707</v>
      </c>
      <c r="B815" s="96">
        <f t="shared" si="12"/>
        <v>1981</v>
      </c>
      <c r="C815">
        <v>48.7</v>
      </c>
    </row>
    <row r="816" spans="1:3" x14ac:dyDescent="0.25">
      <c r="A816" s="91">
        <v>29738</v>
      </c>
      <c r="B816" s="96">
        <f t="shared" si="12"/>
        <v>1981</v>
      </c>
      <c r="C816">
        <v>49.5</v>
      </c>
    </row>
    <row r="817" spans="1:3" x14ac:dyDescent="0.25">
      <c r="A817" s="91">
        <v>29768</v>
      </c>
      <c r="B817" s="96">
        <f t="shared" si="12"/>
        <v>1981</v>
      </c>
      <c r="C817">
        <v>49.9</v>
      </c>
    </row>
    <row r="818" spans="1:3" x14ac:dyDescent="0.25">
      <c r="A818" s="91">
        <v>29799</v>
      </c>
      <c r="B818" s="96">
        <f t="shared" si="12"/>
        <v>1981</v>
      </c>
      <c r="C818">
        <v>50.3</v>
      </c>
    </row>
    <row r="819" spans="1:3" x14ac:dyDescent="0.25">
      <c r="A819" s="91">
        <v>29830</v>
      </c>
      <c r="B819" s="96">
        <f t="shared" si="12"/>
        <v>1981</v>
      </c>
      <c r="C819">
        <v>50.7</v>
      </c>
    </row>
    <row r="820" spans="1:3" x14ac:dyDescent="0.25">
      <c r="A820" s="91">
        <v>29860</v>
      </c>
      <c r="B820" s="96">
        <f t="shared" si="12"/>
        <v>1981</v>
      </c>
      <c r="C820">
        <v>51.2</v>
      </c>
    </row>
    <row r="821" spans="1:3" x14ac:dyDescent="0.25">
      <c r="A821" s="91">
        <v>29891</v>
      </c>
      <c r="B821" s="96">
        <f t="shared" si="12"/>
        <v>1981</v>
      </c>
      <c r="C821">
        <v>51.6</v>
      </c>
    </row>
    <row r="822" spans="1:3" x14ac:dyDescent="0.25">
      <c r="A822" s="91">
        <v>29921</v>
      </c>
      <c r="B822" s="96">
        <f t="shared" si="12"/>
        <v>1981</v>
      </c>
      <c r="C822">
        <v>51.8</v>
      </c>
    </row>
    <row r="823" spans="1:3" x14ac:dyDescent="0.25">
      <c r="A823" s="91">
        <v>29952</v>
      </c>
      <c r="B823" s="96">
        <f t="shared" si="12"/>
        <v>1982</v>
      </c>
      <c r="C823">
        <v>52.2</v>
      </c>
    </row>
    <row r="824" spans="1:3" x14ac:dyDescent="0.25">
      <c r="A824" s="91">
        <v>29983</v>
      </c>
      <c r="B824" s="96">
        <f t="shared" si="12"/>
        <v>1982</v>
      </c>
      <c r="C824">
        <v>52.8</v>
      </c>
    </row>
    <row r="825" spans="1:3" x14ac:dyDescent="0.25">
      <c r="A825" s="91">
        <v>30011</v>
      </c>
      <c r="B825" s="96">
        <f t="shared" si="12"/>
        <v>1982</v>
      </c>
      <c r="C825">
        <v>53.5</v>
      </c>
    </row>
    <row r="826" spans="1:3" x14ac:dyDescent="0.25">
      <c r="A826" s="91">
        <v>30042</v>
      </c>
      <c r="B826" s="96">
        <f t="shared" si="12"/>
        <v>1982</v>
      </c>
      <c r="C826">
        <v>53.8</v>
      </c>
    </row>
    <row r="827" spans="1:3" x14ac:dyDescent="0.25">
      <c r="A827" s="91">
        <v>30072</v>
      </c>
      <c r="B827" s="96">
        <f t="shared" si="12"/>
        <v>1982</v>
      </c>
      <c r="C827">
        <v>54.5</v>
      </c>
    </row>
    <row r="828" spans="1:3" x14ac:dyDescent="0.25">
      <c r="A828" s="91">
        <v>30103</v>
      </c>
      <c r="B828" s="96">
        <f t="shared" si="12"/>
        <v>1982</v>
      </c>
      <c r="C828">
        <v>55.1</v>
      </c>
    </row>
    <row r="829" spans="1:3" x14ac:dyDescent="0.25">
      <c r="A829" s="91">
        <v>30133</v>
      </c>
      <c r="B829" s="96">
        <f t="shared" si="12"/>
        <v>1982</v>
      </c>
      <c r="C829">
        <v>55.4</v>
      </c>
    </row>
    <row r="830" spans="1:3" x14ac:dyDescent="0.25">
      <c r="A830" s="91">
        <v>30164</v>
      </c>
      <c r="B830" s="96">
        <f t="shared" si="12"/>
        <v>1982</v>
      </c>
      <c r="C830">
        <v>55.6</v>
      </c>
    </row>
    <row r="831" spans="1:3" x14ac:dyDescent="0.25">
      <c r="A831" s="91">
        <v>30195</v>
      </c>
      <c r="B831" s="96">
        <f t="shared" si="12"/>
        <v>1982</v>
      </c>
      <c r="C831">
        <v>55.9</v>
      </c>
    </row>
    <row r="832" spans="1:3" x14ac:dyDescent="0.25">
      <c r="A832" s="91">
        <v>30225</v>
      </c>
      <c r="B832" s="96">
        <f t="shared" si="12"/>
        <v>1982</v>
      </c>
      <c r="C832">
        <v>56.3</v>
      </c>
    </row>
    <row r="833" spans="1:3" x14ac:dyDescent="0.25">
      <c r="A833" s="91">
        <v>30256</v>
      </c>
      <c r="B833" s="96">
        <f t="shared" si="12"/>
        <v>1982</v>
      </c>
      <c r="C833">
        <v>56.6</v>
      </c>
    </row>
    <row r="834" spans="1:3" x14ac:dyDescent="0.25">
      <c r="A834" s="91">
        <v>30286</v>
      </c>
      <c r="B834" s="96">
        <f t="shared" si="12"/>
        <v>1982</v>
      </c>
      <c r="C834">
        <v>56.6</v>
      </c>
    </row>
    <row r="835" spans="1:3" x14ac:dyDescent="0.25">
      <c r="A835" s="91">
        <v>30317</v>
      </c>
      <c r="B835" s="96">
        <f t="shared" si="12"/>
        <v>1983</v>
      </c>
      <c r="C835">
        <v>56.5</v>
      </c>
    </row>
    <row r="836" spans="1:3" x14ac:dyDescent="0.25">
      <c r="A836" s="91">
        <v>30348</v>
      </c>
      <c r="B836" s="96">
        <f t="shared" si="12"/>
        <v>1983</v>
      </c>
      <c r="C836">
        <v>56.8</v>
      </c>
    </row>
    <row r="837" spans="1:3" x14ac:dyDescent="0.25">
      <c r="A837" s="91">
        <v>30376</v>
      </c>
      <c r="B837" s="96">
        <f t="shared" si="12"/>
        <v>1983</v>
      </c>
      <c r="C837">
        <v>57.4</v>
      </c>
    </row>
    <row r="838" spans="1:3" x14ac:dyDescent="0.25">
      <c r="A838" s="91">
        <v>30407</v>
      </c>
      <c r="B838" s="96">
        <f t="shared" si="12"/>
        <v>1983</v>
      </c>
      <c r="C838">
        <v>57.4</v>
      </c>
    </row>
    <row r="839" spans="1:3" x14ac:dyDescent="0.25">
      <c r="A839" s="91">
        <v>30437</v>
      </c>
      <c r="B839" s="96">
        <f t="shared" si="12"/>
        <v>1983</v>
      </c>
      <c r="C839">
        <v>57.5</v>
      </c>
    </row>
    <row r="840" spans="1:3" x14ac:dyDescent="0.25">
      <c r="A840" s="91">
        <v>30468</v>
      </c>
      <c r="B840" s="96">
        <f t="shared" ref="B840:B903" si="13">YEAR(A840)</f>
        <v>1983</v>
      </c>
      <c r="C840">
        <v>58.1</v>
      </c>
    </row>
    <row r="841" spans="1:3" x14ac:dyDescent="0.25">
      <c r="A841" s="91">
        <v>30498</v>
      </c>
      <c r="B841" s="96">
        <f t="shared" si="13"/>
        <v>1983</v>
      </c>
      <c r="C841">
        <v>58.4</v>
      </c>
    </row>
    <row r="842" spans="1:3" x14ac:dyDescent="0.25">
      <c r="A842" s="91">
        <v>30529</v>
      </c>
      <c r="B842" s="96">
        <f t="shared" si="13"/>
        <v>1983</v>
      </c>
      <c r="C842">
        <v>58.7</v>
      </c>
    </row>
    <row r="843" spans="1:3" x14ac:dyDescent="0.25">
      <c r="A843" s="91">
        <v>30560</v>
      </c>
      <c r="B843" s="96">
        <f t="shared" si="13"/>
        <v>1983</v>
      </c>
      <c r="C843">
        <v>58.7</v>
      </c>
    </row>
    <row r="844" spans="1:3" x14ac:dyDescent="0.25">
      <c r="A844" s="91">
        <v>30590</v>
      </c>
      <c r="B844" s="96">
        <f t="shared" si="13"/>
        <v>1983</v>
      </c>
      <c r="C844">
        <v>59.1</v>
      </c>
    </row>
    <row r="845" spans="1:3" x14ac:dyDescent="0.25">
      <c r="A845" s="91">
        <v>30621</v>
      </c>
      <c r="B845" s="96">
        <f t="shared" si="13"/>
        <v>1983</v>
      </c>
      <c r="C845">
        <v>59.1</v>
      </c>
    </row>
    <row r="846" spans="1:3" x14ac:dyDescent="0.25">
      <c r="A846" s="91">
        <v>30651</v>
      </c>
      <c r="B846" s="96">
        <f t="shared" si="13"/>
        <v>1983</v>
      </c>
      <c r="C846">
        <v>59.2</v>
      </c>
    </row>
    <row r="847" spans="1:3" x14ac:dyDescent="0.25">
      <c r="A847" s="91">
        <v>30682</v>
      </c>
      <c r="B847" s="96">
        <f t="shared" si="13"/>
        <v>1984</v>
      </c>
      <c r="C847">
        <v>59.6</v>
      </c>
    </row>
    <row r="848" spans="1:3" x14ac:dyDescent="0.25">
      <c r="A848" s="91">
        <v>30713</v>
      </c>
      <c r="B848" s="96">
        <f t="shared" si="13"/>
        <v>1984</v>
      </c>
      <c r="C848">
        <v>59.9</v>
      </c>
    </row>
    <row r="849" spans="1:3" x14ac:dyDescent="0.25">
      <c r="A849" s="91">
        <v>30742</v>
      </c>
      <c r="B849" s="96">
        <f t="shared" si="13"/>
        <v>1984</v>
      </c>
      <c r="C849">
        <v>60</v>
      </c>
    </row>
    <row r="850" spans="1:3" x14ac:dyDescent="0.25">
      <c r="A850" s="91">
        <v>30773</v>
      </c>
      <c r="B850" s="96">
        <f t="shared" si="13"/>
        <v>1984</v>
      </c>
      <c r="C850">
        <v>60.2</v>
      </c>
    </row>
    <row r="851" spans="1:3" x14ac:dyDescent="0.25">
      <c r="A851" s="91">
        <v>30803</v>
      </c>
      <c r="B851" s="96">
        <f t="shared" si="13"/>
        <v>1984</v>
      </c>
      <c r="C851">
        <v>60.2</v>
      </c>
    </row>
    <row r="852" spans="1:3" x14ac:dyDescent="0.25">
      <c r="A852" s="91">
        <v>30834</v>
      </c>
      <c r="B852" s="96">
        <f t="shared" si="13"/>
        <v>1984</v>
      </c>
      <c r="C852">
        <v>60.6</v>
      </c>
    </row>
    <row r="853" spans="1:3" x14ac:dyDescent="0.25">
      <c r="A853" s="91">
        <v>30864</v>
      </c>
      <c r="B853" s="96">
        <f t="shared" si="13"/>
        <v>1984</v>
      </c>
      <c r="C853">
        <v>60.8</v>
      </c>
    </row>
    <row r="854" spans="1:3" x14ac:dyDescent="0.25">
      <c r="A854" s="91">
        <v>30895</v>
      </c>
      <c r="B854" s="96">
        <f t="shared" si="13"/>
        <v>1984</v>
      </c>
      <c r="C854">
        <v>60.8</v>
      </c>
    </row>
    <row r="855" spans="1:3" x14ac:dyDescent="0.25">
      <c r="A855" s="91">
        <v>30926</v>
      </c>
      <c r="B855" s="96">
        <f t="shared" si="13"/>
        <v>1984</v>
      </c>
      <c r="C855">
        <v>60.9</v>
      </c>
    </row>
    <row r="856" spans="1:3" x14ac:dyDescent="0.25">
      <c r="A856" s="91">
        <v>30956</v>
      </c>
      <c r="B856" s="96">
        <f t="shared" si="13"/>
        <v>1984</v>
      </c>
      <c r="C856">
        <v>61.1</v>
      </c>
    </row>
    <row r="857" spans="1:3" x14ac:dyDescent="0.25">
      <c r="A857" s="91">
        <v>30987</v>
      </c>
      <c r="B857" s="96">
        <f t="shared" si="13"/>
        <v>1984</v>
      </c>
      <c r="C857">
        <v>61.4</v>
      </c>
    </row>
    <row r="858" spans="1:3" x14ac:dyDescent="0.25">
      <c r="A858" s="91">
        <v>31017</v>
      </c>
      <c r="B858" s="96">
        <f t="shared" si="13"/>
        <v>1984</v>
      </c>
      <c r="C858">
        <v>61.4</v>
      </c>
    </row>
    <row r="859" spans="1:3" x14ac:dyDescent="0.25">
      <c r="A859" s="91">
        <v>31048</v>
      </c>
      <c r="B859" s="96">
        <f t="shared" si="13"/>
        <v>1985</v>
      </c>
      <c r="C859">
        <v>61.7</v>
      </c>
    </row>
    <row r="860" spans="1:3" x14ac:dyDescent="0.25">
      <c r="A860" s="91">
        <v>31079</v>
      </c>
      <c r="B860" s="96">
        <f t="shared" si="13"/>
        <v>1985</v>
      </c>
      <c r="C860">
        <v>62.1</v>
      </c>
    </row>
    <row r="861" spans="1:3" x14ac:dyDescent="0.25">
      <c r="A861" s="91">
        <v>31107</v>
      </c>
      <c r="B861" s="96">
        <f t="shared" si="13"/>
        <v>1985</v>
      </c>
      <c r="C861">
        <v>62.2</v>
      </c>
    </row>
    <row r="862" spans="1:3" x14ac:dyDescent="0.25">
      <c r="A862" s="91">
        <v>31138</v>
      </c>
      <c r="B862" s="96">
        <f t="shared" si="13"/>
        <v>1985</v>
      </c>
      <c r="C862">
        <v>62.5</v>
      </c>
    </row>
    <row r="863" spans="1:3" x14ac:dyDescent="0.25">
      <c r="A863" s="91">
        <v>31168</v>
      </c>
      <c r="B863" s="96">
        <f t="shared" si="13"/>
        <v>1985</v>
      </c>
      <c r="C863">
        <v>62.7</v>
      </c>
    </row>
    <row r="864" spans="1:3" x14ac:dyDescent="0.25">
      <c r="A864" s="91">
        <v>31199</v>
      </c>
      <c r="B864" s="96">
        <f t="shared" si="13"/>
        <v>1985</v>
      </c>
      <c r="C864">
        <v>63</v>
      </c>
    </row>
    <row r="865" spans="1:3" x14ac:dyDescent="0.25">
      <c r="A865" s="91">
        <v>31229</v>
      </c>
      <c r="B865" s="96">
        <f t="shared" si="13"/>
        <v>1985</v>
      </c>
      <c r="C865">
        <v>63.3</v>
      </c>
    </row>
    <row r="866" spans="1:3" x14ac:dyDescent="0.25">
      <c r="A866" s="91">
        <v>31260</v>
      </c>
      <c r="B866" s="96">
        <f t="shared" si="13"/>
        <v>1985</v>
      </c>
      <c r="C866">
        <v>63.3</v>
      </c>
    </row>
    <row r="867" spans="1:3" x14ac:dyDescent="0.25">
      <c r="A867" s="91">
        <v>31291</v>
      </c>
      <c r="B867" s="96">
        <f t="shared" si="13"/>
        <v>1985</v>
      </c>
      <c r="C867">
        <v>63.4</v>
      </c>
    </row>
    <row r="868" spans="1:3" x14ac:dyDescent="0.25">
      <c r="A868" s="91">
        <v>31321</v>
      </c>
      <c r="B868" s="96">
        <f t="shared" si="13"/>
        <v>1985</v>
      </c>
      <c r="C868">
        <v>63.6</v>
      </c>
    </row>
    <row r="869" spans="1:3" x14ac:dyDescent="0.25">
      <c r="A869" s="91">
        <v>31352</v>
      </c>
      <c r="B869" s="96">
        <f t="shared" si="13"/>
        <v>1985</v>
      </c>
      <c r="C869">
        <v>63.8</v>
      </c>
    </row>
    <row r="870" spans="1:3" x14ac:dyDescent="0.25">
      <c r="A870" s="91">
        <v>31382</v>
      </c>
      <c r="B870" s="96">
        <f t="shared" si="13"/>
        <v>1985</v>
      </c>
      <c r="C870">
        <v>64.099999999999994</v>
      </c>
    </row>
    <row r="871" spans="1:3" x14ac:dyDescent="0.25">
      <c r="A871" s="91">
        <v>31413</v>
      </c>
      <c r="B871" s="96">
        <f t="shared" si="13"/>
        <v>1986</v>
      </c>
      <c r="C871">
        <v>64.400000000000006</v>
      </c>
    </row>
    <row r="872" spans="1:3" x14ac:dyDescent="0.25">
      <c r="A872" s="91">
        <v>31444</v>
      </c>
      <c r="B872" s="96">
        <f t="shared" si="13"/>
        <v>1986</v>
      </c>
      <c r="C872">
        <v>64.7</v>
      </c>
    </row>
    <row r="873" spans="1:3" x14ac:dyDescent="0.25">
      <c r="A873" s="91">
        <v>31472</v>
      </c>
      <c r="B873" s="96">
        <f t="shared" si="13"/>
        <v>1986</v>
      </c>
      <c r="C873">
        <v>64.900000000000006</v>
      </c>
    </row>
    <row r="874" spans="1:3" x14ac:dyDescent="0.25">
      <c r="A874" s="91">
        <v>31503</v>
      </c>
      <c r="B874" s="96">
        <f t="shared" si="13"/>
        <v>1986</v>
      </c>
      <c r="C874">
        <v>64.900000000000006</v>
      </c>
    </row>
    <row r="875" spans="1:3" x14ac:dyDescent="0.25">
      <c r="A875" s="91">
        <v>31533</v>
      </c>
      <c r="B875" s="96">
        <f t="shared" si="13"/>
        <v>1986</v>
      </c>
      <c r="C875">
        <v>65.3</v>
      </c>
    </row>
    <row r="876" spans="1:3" x14ac:dyDescent="0.25">
      <c r="A876" s="91">
        <v>31564</v>
      </c>
      <c r="B876" s="96">
        <f t="shared" si="13"/>
        <v>1986</v>
      </c>
      <c r="C876">
        <v>65.400000000000006</v>
      </c>
    </row>
    <row r="877" spans="1:3" x14ac:dyDescent="0.25">
      <c r="A877" s="91">
        <v>31594</v>
      </c>
      <c r="B877" s="96">
        <f t="shared" si="13"/>
        <v>1986</v>
      </c>
      <c r="C877">
        <v>65.900000000000006</v>
      </c>
    </row>
    <row r="878" spans="1:3" x14ac:dyDescent="0.25">
      <c r="A878" s="91">
        <v>31625</v>
      </c>
      <c r="B878" s="96">
        <f t="shared" si="13"/>
        <v>1986</v>
      </c>
      <c r="C878">
        <v>66</v>
      </c>
    </row>
    <row r="879" spans="1:3" x14ac:dyDescent="0.25">
      <c r="A879" s="91">
        <v>31656</v>
      </c>
      <c r="B879" s="96">
        <f t="shared" si="13"/>
        <v>1986</v>
      </c>
      <c r="C879">
        <v>66</v>
      </c>
    </row>
    <row r="880" spans="1:3" x14ac:dyDescent="0.25">
      <c r="A880" s="91">
        <v>31686</v>
      </c>
      <c r="B880" s="96">
        <f t="shared" si="13"/>
        <v>1986</v>
      </c>
      <c r="C880">
        <v>66.400000000000006</v>
      </c>
    </row>
    <row r="881" spans="1:3" x14ac:dyDescent="0.25">
      <c r="A881" s="91">
        <v>31717</v>
      </c>
      <c r="B881" s="96">
        <f t="shared" si="13"/>
        <v>1986</v>
      </c>
      <c r="C881">
        <v>66.7</v>
      </c>
    </row>
    <row r="882" spans="1:3" x14ac:dyDescent="0.25">
      <c r="A882" s="91">
        <v>31747</v>
      </c>
      <c r="B882" s="96">
        <f t="shared" si="13"/>
        <v>1986</v>
      </c>
      <c r="C882">
        <v>66.8</v>
      </c>
    </row>
    <row r="883" spans="1:3" x14ac:dyDescent="0.25">
      <c r="A883" s="91">
        <v>31778</v>
      </c>
      <c r="B883" s="96">
        <f t="shared" si="13"/>
        <v>1987</v>
      </c>
      <c r="C883">
        <v>67</v>
      </c>
    </row>
    <row r="884" spans="1:3" x14ac:dyDescent="0.25">
      <c r="A884" s="91">
        <v>31809</v>
      </c>
      <c r="B884" s="96">
        <f t="shared" si="13"/>
        <v>1987</v>
      </c>
      <c r="C884">
        <v>67.3</v>
      </c>
    </row>
    <row r="885" spans="1:3" x14ac:dyDescent="0.25">
      <c r="A885" s="91">
        <v>31837</v>
      </c>
      <c r="B885" s="96">
        <f t="shared" si="13"/>
        <v>1987</v>
      </c>
      <c r="C885">
        <v>67.5</v>
      </c>
    </row>
    <row r="886" spans="1:3" x14ac:dyDescent="0.25">
      <c r="A886" s="91">
        <v>31868</v>
      </c>
      <c r="B886" s="96">
        <f t="shared" si="13"/>
        <v>1987</v>
      </c>
      <c r="C886">
        <v>67.900000000000006</v>
      </c>
    </row>
    <row r="887" spans="1:3" x14ac:dyDescent="0.25">
      <c r="A887" s="91">
        <v>31898</v>
      </c>
      <c r="B887" s="96">
        <f t="shared" si="13"/>
        <v>1987</v>
      </c>
      <c r="C887">
        <v>68.3</v>
      </c>
    </row>
    <row r="888" spans="1:3" x14ac:dyDescent="0.25">
      <c r="A888" s="91">
        <v>31929</v>
      </c>
      <c r="B888" s="96">
        <f t="shared" si="13"/>
        <v>1987</v>
      </c>
      <c r="C888">
        <v>68.5</v>
      </c>
    </row>
    <row r="889" spans="1:3" x14ac:dyDescent="0.25">
      <c r="A889" s="91">
        <v>31959</v>
      </c>
      <c r="B889" s="96">
        <f t="shared" si="13"/>
        <v>1987</v>
      </c>
      <c r="C889">
        <v>68.900000000000006</v>
      </c>
    </row>
    <row r="890" spans="1:3" x14ac:dyDescent="0.25">
      <c r="A890" s="91">
        <v>31990</v>
      </c>
      <c r="B890" s="96">
        <f t="shared" si="13"/>
        <v>1987</v>
      </c>
      <c r="C890">
        <v>69</v>
      </c>
    </row>
    <row r="891" spans="1:3" x14ac:dyDescent="0.25">
      <c r="A891" s="91">
        <v>32021</v>
      </c>
      <c r="B891" s="96">
        <f t="shared" si="13"/>
        <v>1987</v>
      </c>
      <c r="C891">
        <v>69</v>
      </c>
    </row>
    <row r="892" spans="1:3" x14ac:dyDescent="0.25">
      <c r="A892" s="91">
        <v>32051</v>
      </c>
      <c r="B892" s="96">
        <f t="shared" si="13"/>
        <v>1987</v>
      </c>
      <c r="C892">
        <v>69.2</v>
      </c>
    </row>
    <row r="893" spans="1:3" x14ac:dyDescent="0.25">
      <c r="A893" s="91">
        <v>32082</v>
      </c>
      <c r="B893" s="96">
        <f t="shared" si="13"/>
        <v>1987</v>
      </c>
      <c r="C893">
        <v>69.5</v>
      </c>
    </row>
    <row r="894" spans="1:3" x14ac:dyDescent="0.25">
      <c r="A894" s="91">
        <v>32112</v>
      </c>
      <c r="B894" s="96">
        <f t="shared" si="13"/>
        <v>1987</v>
      </c>
      <c r="C894">
        <v>69.599999999999994</v>
      </c>
    </row>
    <row r="895" spans="1:3" x14ac:dyDescent="0.25">
      <c r="A895" s="91">
        <v>32143</v>
      </c>
      <c r="B895" s="96">
        <f t="shared" si="13"/>
        <v>1988</v>
      </c>
      <c r="C895">
        <v>69.7</v>
      </c>
    </row>
    <row r="896" spans="1:3" x14ac:dyDescent="0.25">
      <c r="A896" s="91">
        <v>32174</v>
      </c>
      <c r="B896" s="96">
        <f t="shared" si="13"/>
        <v>1988</v>
      </c>
      <c r="C896">
        <v>70</v>
      </c>
    </row>
    <row r="897" spans="1:3" x14ac:dyDescent="0.25">
      <c r="A897" s="91">
        <v>32203</v>
      </c>
      <c r="B897" s="96">
        <f t="shared" si="13"/>
        <v>1988</v>
      </c>
      <c r="C897">
        <v>70.400000000000006</v>
      </c>
    </row>
    <row r="898" spans="1:3" x14ac:dyDescent="0.25">
      <c r="A898" s="91">
        <v>32234</v>
      </c>
      <c r="B898" s="96">
        <f t="shared" si="13"/>
        <v>1988</v>
      </c>
      <c r="C898">
        <v>70.599999999999994</v>
      </c>
    </row>
    <row r="899" spans="1:3" x14ac:dyDescent="0.25">
      <c r="A899" s="91">
        <v>32264</v>
      </c>
      <c r="B899" s="96">
        <f t="shared" si="13"/>
        <v>1988</v>
      </c>
      <c r="C899">
        <v>71</v>
      </c>
    </row>
    <row r="900" spans="1:3" x14ac:dyDescent="0.25">
      <c r="A900" s="91">
        <v>32295</v>
      </c>
      <c r="B900" s="96">
        <f t="shared" si="13"/>
        <v>1988</v>
      </c>
      <c r="C900">
        <v>71.2</v>
      </c>
    </row>
    <row r="901" spans="1:3" x14ac:dyDescent="0.25">
      <c r="A901" s="91">
        <v>32325</v>
      </c>
      <c r="B901" s="96">
        <f t="shared" si="13"/>
        <v>1988</v>
      </c>
      <c r="C901">
        <v>71.599999999999994</v>
      </c>
    </row>
    <row r="902" spans="1:3" x14ac:dyDescent="0.25">
      <c r="A902" s="91">
        <v>32356</v>
      </c>
      <c r="B902" s="96">
        <f t="shared" si="13"/>
        <v>1988</v>
      </c>
      <c r="C902">
        <v>71.7</v>
      </c>
    </row>
    <row r="903" spans="1:3" x14ac:dyDescent="0.25">
      <c r="A903" s="91">
        <v>32387</v>
      </c>
      <c r="B903" s="96">
        <f t="shared" si="13"/>
        <v>1988</v>
      </c>
      <c r="C903">
        <v>71.8</v>
      </c>
    </row>
    <row r="904" spans="1:3" x14ac:dyDescent="0.25">
      <c r="A904" s="91">
        <v>32417</v>
      </c>
      <c r="B904" s="96">
        <f t="shared" ref="B904:B967" si="14">YEAR(A904)</f>
        <v>1988</v>
      </c>
      <c r="C904">
        <v>72.2</v>
      </c>
    </row>
    <row r="905" spans="1:3" x14ac:dyDescent="0.25">
      <c r="A905" s="91">
        <v>32448</v>
      </c>
      <c r="B905" s="96">
        <f t="shared" si="14"/>
        <v>1988</v>
      </c>
      <c r="C905">
        <v>72.3</v>
      </c>
    </row>
    <row r="906" spans="1:3" x14ac:dyDescent="0.25">
      <c r="A906" s="91">
        <v>32478</v>
      </c>
      <c r="B906" s="96">
        <f t="shared" si="14"/>
        <v>1988</v>
      </c>
      <c r="C906">
        <v>72.3</v>
      </c>
    </row>
    <row r="907" spans="1:3" x14ac:dyDescent="0.25">
      <c r="A907" s="91">
        <v>32509</v>
      </c>
      <c r="B907" s="96">
        <f t="shared" si="14"/>
        <v>1989</v>
      </c>
      <c r="C907">
        <v>72.7</v>
      </c>
    </row>
    <row r="908" spans="1:3" x14ac:dyDescent="0.25">
      <c r="A908" s="91">
        <v>32540</v>
      </c>
      <c r="B908" s="96">
        <f t="shared" si="14"/>
        <v>1989</v>
      </c>
      <c r="C908">
        <v>73.2</v>
      </c>
    </row>
    <row r="909" spans="1:3" x14ac:dyDescent="0.25">
      <c r="A909" s="91">
        <v>32568</v>
      </c>
      <c r="B909" s="96">
        <f t="shared" si="14"/>
        <v>1989</v>
      </c>
      <c r="C909">
        <v>73.599999999999994</v>
      </c>
    </row>
    <row r="910" spans="1:3" x14ac:dyDescent="0.25">
      <c r="A910" s="91">
        <v>32599</v>
      </c>
      <c r="B910" s="96">
        <f t="shared" si="14"/>
        <v>1989</v>
      </c>
      <c r="C910">
        <v>73.8</v>
      </c>
    </row>
    <row r="911" spans="1:3" x14ac:dyDescent="0.25">
      <c r="A911" s="91">
        <v>32629</v>
      </c>
      <c r="B911" s="96">
        <f t="shared" si="14"/>
        <v>1989</v>
      </c>
      <c r="C911">
        <v>74.599999999999994</v>
      </c>
    </row>
    <row r="912" spans="1:3" x14ac:dyDescent="0.25">
      <c r="A912" s="91">
        <v>32660</v>
      </c>
      <c r="B912" s="96">
        <f t="shared" si="14"/>
        <v>1989</v>
      </c>
      <c r="C912">
        <v>74.900000000000006</v>
      </c>
    </row>
    <row r="913" spans="1:3" x14ac:dyDescent="0.25">
      <c r="A913" s="91">
        <v>32690</v>
      </c>
      <c r="B913" s="96">
        <f t="shared" si="14"/>
        <v>1989</v>
      </c>
      <c r="C913">
        <v>75.400000000000006</v>
      </c>
    </row>
    <row r="914" spans="1:3" x14ac:dyDescent="0.25">
      <c r="A914" s="91">
        <v>32721</v>
      </c>
      <c r="B914" s="96">
        <f t="shared" si="14"/>
        <v>1989</v>
      </c>
      <c r="C914">
        <v>75.5</v>
      </c>
    </row>
    <row r="915" spans="1:3" x14ac:dyDescent="0.25">
      <c r="A915" s="91">
        <v>32752</v>
      </c>
      <c r="B915" s="96">
        <f t="shared" si="14"/>
        <v>1989</v>
      </c>
      <c r="C915">
        <v>75.599999999999994</v>
      </c>
    </row>
    <row r="916" spans="1:3" x14ac:dyDescent="0.25">
      <c r="A916" s="91">
        <v>32782</v>
      </c>
      <c r="B916" s="96">
        <f t="shared" si="14"/>
        <v>1989</v>
      </c>
      <c r="C916">
        <v>75.900000000000006</v>
      </c>
    </row>
    <row r="917" spans="1:3" x14ac:dyDescent="0.25">
      <c r="A917" s="91">
        <v>32813</v>
      </c>
      <c r="B917" s="96">
        <f t="shared" si="14"/>
        <v>1989</v>
      </c>
      <c r="C917">
        <v>76.099999999999994</v>
      </c>
    </row>
    <row r="918" spans="1:3" x14ac:dyDescent="0.25">
      <c r="A918" s="91">
        <v>32843</v>
      </c>
      <c r="B918" s="96">
        <f t="shared" si="14"/>
        <v>1989</v>
      </c>
      <c r="C918">
        <v>76.099999999999994</v>
      </c>
    </row>
    <row r="919" spans="1:3" x14ac:dyDescent="0.25">
      <c r="A919" s="91">
        <v>32874</v>
      </c>
      <c r="B919" s="96">
        <f t="shared" si="14"/>
        <v>1990</v>
      </c>
      <c r="C919">
        <v>76.7</v>
      </c>
    </row>
    <row r="920" spans="1:3" x14ac:dyDescent="0.25">
      <c r="A920" s="91">
        <v>32905</v>
      </c>
      <c r="B920" s="96">
        <f t="shared" si="14"/>
        <v>1990</v>
      </c>
      <c r="C920">
        <v>77.2</v>
      </c>
    </row>
    <row r="921" spans="1:3" x14ac:dyDescent="0.25">
      <c r="A921" s="91">
        <v>32933</v>
      </c>
      <c r="B921" s="96">
        <f t="shared" si="14"/>
        <v>1990</v>
      </c>
      <c r="C921">
        <v>77.5</v>
      </c>
    </row>
    <row r="922" spans="1:3" x14ac:dyDescent="0.25">
      <c r="A922" s="91">
        <v>32964</v>
      </c>
      <c r="B922" s="96">
        <f t="shared" si="14"/>
        <v>1990</v>
      </c>
      <c r="C922">
        <v>77.5</v>
      </c>
    </row>
    <row r="923" spans="1:3" x14ac:dyDescent="0.25">
      <c r="A923" s="91">
        <v>32994</v>
      </c>
      <c r="B923" s="96">
        <f t="shared" si="14"/>
        <v>1990</v>
      </c>
      <c r="C923">
        <v>77.900000000000006</v>
      </c>
    </row>
    <row r="924" spans="1:3" x14ac:dyDescent="0.25">
      <c r="A924" s="91">
        <v>33025</v>
      </c>
      <c r="B924" s="96">
        <f t="shared" si="14"/>
        <v>1990</v>
      </c>
      <c r="C924">
        <v>78.2</v>
      </c>
    </row>
    <row r="925" spans="1:3" x14ac:dyDescent="0.25">
      <c r="A925" s="91">
        <v>33055</v>
      </c>
      <c r="B925" s="96">
        <f t="shared" si="14"/>
        <v>1990</v>
      </c>
      <c r="C925">
        <v>78.5</v>
      </c>
    </row>
    <row r="926" spans="1:3" x14ac:dyDescent="0.25">
      <c r="A926" s="91">
        <v>33086</v>
      </c>
      <c r="B926" s="96">
        <f t="shared" si="14"/>
        <v>1990</v>
      </c>
      <c r="C926">
        <v>78.599999999999994</v>
      </c>
    </row>
    <row r="927" spans="1:3" x14ac:dyDescent="0.25">
      <c r="A927" s="91">
        <v>33117</v>
      </c>
      <c r="B927" s="96">
        <f t="shared" si="14"/>
        <v>1990</v>
      </c>
      <c r="C927">
        <v>78.8</v>
      </c>
    </row>
    <row r="928" spans="1:3" x14ac:dyDescent="0.25">
      <c r="A928" s="91">
        <v>33147</v>
      </c>
      <c r="B928" s="96">
        <f t="shared" si="14"/>
        <v>1990</v>
      </c>
      <c r="C928">
        <v>79.5</v>
      </c>
    </row>
    <row r="929" spans="1:3" x14ac:dyDescent="0.25">
      <c r="A929" s="91">
        <v>33178</v>
      </c>
      <c r="B929" s="96">
        <f t="shared" si="14"/>
        <v>1990</v>
      </c>
      <c r="C929">
        <v>80</v>
      </c>
    </row>
    <row r="930" spans="1:3" x14ac:dyDescent="0.25">
      <c r="A930" s="91">
        <v>33208</v>
      </c>
      <c r="B930" s="96">
        <f t="shared" si="14"/>
        <v>1990</v>
      </c>
      <c r="C930">
        <v>79.900000000000006</v>
      </c>
    </row>
    <row r="931" spans="1:3" x14ac:dyDescent="0.25">
      <c r="A931" s="91">
        <v>33239</v>
      </c>
      <c r="B931" s="96">
        <f t="shared" si="14"/>
        <v>1991</v>
      </c>
      <c r="C931">
        <v>82</v>
      </c>
    </row>
    <row r="932" spans="1:3" x14ac:dyDescent="0.25">
      <c r="A932" s="91">
        <v>33270</v>
      </c>
      <c r="B932" s="96">
        <f t="shared" si="14"/>
        <v>1991</v>
      </c>
      <c r="C932">
        <v>82</v>
      </c>
    </row>
    <row r="933" spans="1:3" x14ac:dyDescent="0.25">
      <c r="A933" s="91">
        <v>33298</v>
      </c>
      <c r="B933" s="96">
        <f t="shared" si="14"/>
        <v>1991</v>
      </c>
      <c r="C933">
        <v>82.3</v>
      </c>
    </row>
    <row r="934" spans="1:3" x14ac:dyDescent="0.25">
      <c r="A934" s="91">
        <v>33329</v>
      </c>
      <c r="B934" s="96">
        <f t="shared" si="14"/>
        <v>1991</v>
      </c>
      <c r="C934">
        <v>82.3</v>
      </c>
    </row>
    <row r="935" spans="1:3" x14ac:dyDescent="0.25">
      <c r="A935" s="91">
        <v>33359</v>
      </c>
      <c r="B935" s="96">
        <f t="shared" si="14"/>
        <v>1991</v>
      </c>
      <c r="C935">
        <v>82.7</v>
      </c>
    </row>
    <row r="936" spans="1:3" x14ac:dyDescent="0.25">
      <c r="A936" s="91">
        <v>33390</v>
      </c>
      <c r="B936" s="96">
        <f t="shared" si="14"/>
        <v>1991</v>
      </c>
      <c r="C936">
        <v>83.1</v>
      </c>
    </row>
    <row r="937" spans="1:3" x14ac:dyDescent="0.25">
      <c r="A937" s="91">
        <v>33420</v>
      </c>
      <c r="B937" s="96">
        <f t="shared" si="14"/>
        <v>1991</v>
      </c>
      <c r="C937">
        <v>83.2</v>
      </c>
    </row>
    <row r="938" spans="1:3" x14ac:dyDescent="0.25">
      <c r="A938" s="91">
        <v>33451</v>
      </c>
      <c r="B938" s="96">
        <f t="shared" si="14"/>
        <v>1991</v>
      </c>
      <c r="C938">
        <v>83.3</v>
      </c>
    </row>
    <row r="939" spans="1:3" x14ac:dyDescent="0.25">
      <c r="A939" s="91">
        <v>33482</v>
      </c>
      <c r="B939" s="96">
        <f t="shared" si="14"/>
        <v>1991</v>
      </c>
      <c r="C939">
        <v>83.1</v>
      </c>
    </row>
    <row r="940" spans="1:3" x14ac:dyDescent="0.25">
      <c r="A940" s="91">
        <v>33512</v>
      </c>
      <c r="B940" s="96">
        <f t="shared" si="14"/>
        <v>1991</v>
      </c>
      <c r="C940">
        <v>83</v>
      </c>
    </row>
    <row r="941" spans="1:3" x14ac:dyDescent="0.25">
      <c r="A941" s="91">
        <v>33543</v>
      </c>
      <c r="B941" s="96">
        <f t="shared" si="14"/>
        <v>1991</v>
      </c>
      <c r="C941">
        <v>83.3</v>
      </c>
    </row>
    <row r="942" spans="1:3" x14ac:dyDescent="0.25">
      <c r="A942" s="91">
        <v>33573</v>
      </c>
      <c r="B942" s="96">
        <f t="shared" si="14"/>
        <v>1991</v>
      </c>
      <c r="C942">
        <v>82.9</v>
      </c>
    </row>
    <row r="943" spans="1:3" x14ac:dyDescent="0.25">
      <c r="A943" s="91">
        <v>33604</v>
      </c>
      <c r="B943" s="96">
        <f t="shared" si="14"/>
        <v>1992</v>
      </c>
      <c r="C943">
        <v>83.3</v>
      </c>
    </row>
    <row r="944" spans="1:3" x14ac:dyDescent="0.25">
      <c r="A944" s="91">
        <v>33635</v>
      </c>
      <c r="B944" s="96">
        <f t="shared" si="14"/>
        <v>1992</v>
      </c>
      <c r="C944">
        <v>83.3</v>
      </c>
    </row>
    <row r="945" spans="1:3" x14ac:dyDescent="0.25">
      <c r="A945" s="91">
        <v>33664</v>
      </c>
      <c r="B945" s="96">
        <f t="shared" si="14"/>
        <v>1992</v>
      </c>
      <c r="C945">
        <v>83.6</v>
      </c>
    </row>
    <row r="946" spans="1:3" x14ac:dyDescent="0.25">
      <c r="A946" s="91">
        <v>33695</v>
      </c>
      <c r="B946" s="96">
        <f t="shared" si="14"/>
        <v>1992</v>
      </c>
      <c r="C946">
        <v>83.7</v>
      </c>
    </row>
    <row r="947" spans="1:3" x14ac:dyDescent="0.25">
      <c r="A947" s="91">
        <v>33725</v>
      </c>
      <c r="B947" s="96">
        <f t="shared" si="14"/>
        <v>1992</v>
      </c>
      <c r="C947">
        <v>83.8</v>
      </c>
    </row>
    <row r="948" spans="1:3" x14ac:dyDescent="0.25">
      <c r="A948" s="91">
        <v>33756</v>
      </c>
      <c r="B948" s="96">
        <f t="shared" si="14"/>
        <v>1992</v>
      </c>
      <c r="C948">
        <v>84</v>
      </c>
    </row>
    <row r="949" spans="1:3" x14ac:dyDescent="0.25">
      <c r="A949" s="91">
        <v>33786</v>
      </c>
      <c r="B949" s="96">
        <f t="shared" si="14"/>
        <v>1992</v>
      </c>
      <c r="C949">
        <v>84.2</v>
      </c>
    </row>
    <row r="950" spans="1:3" x14ac:dyDescent="0.25">
      <c r="A950" s="91">
        <v>33817</v>
      </c>
      <c r="B950" s="96">
        <f t="shared" si="14"/>
        <v>1992</v>
      </c>
      <c r="C950">
        <v>84.2</v>
      </c>
    </row>
    <row r="951" spans="1:3" x14ac:dyDescent="0.25">
      <c r="A951" s="91">
        <v>33848</v>
      </c>
      <c r="B951" s="96">
        <f t="shared" si="14"/>
        <v>1992</v>
      </c>
      <c r="C951">
        <v>84.2</v>
      </c>
    </row>
    <row r="952" spans="1:3" x14ac:dyDescent="0.25">
      <c r="A952" s="91">
        <v>33878</v>
      </c>
      <c r="B952" s="96">
        <f t="shared" si="14"/>
        <v>1992</v>
      </c>
      <c r="C952">
        <v>84.3</v>
      </c>
    </row>
    <row r="953" spans="1:3" x14ac:dyDescent="0.25">
      <c r="A953" s="91">
        <v>33909</v>
      </c>
      <c r="B953" s="96">
        <f t="shared" si="14"/>
        <v>1992</v>
      </c>
      <c r="C953">
        <v>84.7</v>
      </c>
    </row>
    <row r="954" spans="1:3" x14ac:dyDescent="0.25">
      <c r="A954" s="91">
        <v>33939</v>
      </c>
      <c r="B954" s="96">
        <f t="shared" si="14"/>
        <v>1992</v>
      </c>
      <c r="C954">
        <v>84.7</v>
      </c>
    </row>
    <row r="955" spans="1:3" x14ac:dyDescent="0.25">
      <c r="A955" s="91">
        <v>33970</v>
      </c>
      <c r="B955" s="96">
        <f t="shared" si="14"/>
        <v>1993</v>
      </c>
      <c r="C955">
        <v>85</v>
      </c>
    </row>
    <row r="956" spans="1:3" x14ac:dyDescent="0.25">
      <c r="A956" s="91">
        <v>34001</v>
      </c>
      <c r="B956" s="96">
        <f t="shared" si="14"/>
        <v>1993</v>
      </c>
      <c r="C956">
        <v>85.3</v>
      </c>
    </row>
    <row r="957" spans="1:3" x14ac:dyDescent="0.25">
      <c r="A957" s="91">
        <v>34029</v>
      </c>
      <c r="B957" s="96">
        <f t="shared" si="14"/>
        <v>1993</v>
      </c>
      <c r="C957">
        <v>85.2</v>
      </c>
    </row>
    <row r="958" spans="1:3" x14ac:dyDescent="0.25">
      <c r="A958" s="91">
        <v>34060</v>
      </c>
      <c r="B958" s="96">
        <f t="shared" si="14"/>
        <v>1993</v>
      </c>
      <c r="C958">
        <v>85.2</v>
      </c>
    </row>
    <row r="959" spans="1:3" x14ac:dyDescent="0.25">
      <c r="A959" s="91">
        <v>34090</v>
      </c>
      <c r="B959" s="96">
        <f t="shared" si="14"/>
        <v>1993</v>
      </c>
      <c r="C959">
        <v>85.4</v>
      </c>
    </row>
    <row r="960" spans="1:3" x14ac:dyDescent="0.25">
      <c r="A960" s="91">
        <v>34121</v>
      </c>
      <c r="B960" s="96">
        <f t="shared" si="14"/>
        <v>1993</v>
      </c>
      <c r="C960">
        <v>85.4</v>
      </c>
    </row>
    <row r="961" spans="1:3" x14ac:dyDescent="0.25">
      <c r="A961" s="91">
        <v>34151</v>
      </c>
      <c r="B961" s="96">
        <f t="shared" si="14"/>
        <v>1993</v>
      </c>
      <c r="C961">
        <v>85.6</v>
      </c>
    </row>
    <row r="962" spans="1:3" x14ac:dyDescent="0.25">
      <c r="A962" s="91">
        <v>34182</v>
      </c>
      <c r="B962" s="96">
        <f t="shared" si="14"/>
        <v>1993</v>
      </c>
      <c r="C962">
        <v>85.7</v>
      </c>
    </row>
    <row r="963" spans="1:3" x14ac:dyDescent="0.25">
      <c r="A963" s="91">
        <v>34213</v>
      </c>
      <c r="B963" s="96">
        <f t="shared" si="14"/>
        <v>1993</v>
      </c>
      <c r="C963">
        <v>85.7</v>
      </c>
    </row>
    <row r="964" spans="1:3" x14ac:dyDescent="0.25">
      <c r="A964" s="91">
        <v>34243</v>
      </c>
      <c r="B964" s="96">
        <f t="shared" si="14"/>
        <v>1993</v>
      </c>
      <c r="C964">
        <v>85.9</v>
      </c>
    </row>
    <row r="965" spans="1:3" x14ac:dyDescent="0.25">
      <c r="A965" s="91">
        <v>34274</v>
      </c>
      <c r="B965" s="96">
        <f t="shared" si="14"/>
        <v>1993</v>
      </c>
      <c r="C965">
        <v>86.3</v>
      </c>
    </row>
    <row r="966" spans="1:3" x14ac:dyDescent="0.25">
      <c r="A966" s="91">
        <v>34304</v>
      </c>
      <c r="B966" s="96">
        <f t="shared" si="14"/>
        <v>1993</v>
      </c>
      <c r="C966">
        <v>86.1</v>
      </c>
    </row>
    <row r="967" spans="1:3" x14ac:dyDescent="0.25">
      <c r="A967" s="91">
        <v>34335</v>
      </c>
      <c r="B967" s="96">
        <f t="shared" si="14"/>
        <v>1994</v>
      </c>
      <c r="C967">
        <v>86.1</v>
      </c>
    </row>
    <row r="968" spans="1:3" x14ac:dyDescent="0.25">
      <c r="A968" s="91">
        <v>34366</v>
      </c>
      <c r="B968" s="96">
        <f t="shared" ref="B968:B1031" si="15">YEAR(A968)</f>
        <v>1994</v>
      </c>
      <c r="C968">
        <v>85.4</v>
      </c>
    </row>
    <row r="969" spans="1:3" x14ac:dyDescent="0.25">
      <c r="A969" s="91">
        <v>34394</v>
      </c>
      <c r="B969" s="96">
        <f t="shared" si="15"/>
        <v>1994</v>
      </c>
      <c r="C969">
        <v>85.4</v>
      </c>
    </row>
    <row r="970" spans="1:3" x14ac:dyDescent="0.25">
      <c r="A970" s="91">
        <v>34425</v>
      </c>
      <c r="B970" s="96">
        <f t="shared" si="15"/>
        <v>1994</v>
      </c>
      <c r="C970">
        <v>85.4</v>
      </c>
    </row>
    <row r="971" spans="1:3" x14ac:dyDescent="0.25">
      <c r="A971" s="91">
        <v>34455</v>
      </c>
      <c r="B971" s="96">
        <f t="shared" si="15"/>
        <v>1994</v>
      </c>
      <c r="C971">
        <v>85.2</v>
      </c>
    </row>
    <row r="972" spans="1:3" x14ac:dyDescent="0.25">
      <c r="A972" s="91">
        <v>34486</v>
      </c>
      <c r="B972" s="96">
        <f t="shared" si="15"/>
        <v>1994</v>
      </c>
      <c r="C972">
        <v>85.4</v>
      </c>
    </row>
    <row r="973" spans="1:3" x14ac:dyDescent="0.25">
      <c r="A973" s="91">
        <v>34516</v>
      </c>
      <c r="B973" s="96">
        <f t="shared" si="15"/>
        <v>1994</v>
      </c>
      <c r="C973">
        <v>85.7</v>
      </c>
    </row>
    <row r="974" spans="1:3" x14ac:dyDescent="0.25">
      <c r="A974" s="91">
        <v>34547</v>
      </c>
      <c r="B974" s="96">
        <f t="shared" si="15"/>
        <v>1994</v>
      </c>
      <c r="C974">
        <v>85.8</v>
      </c>
    </row>
    <row r="975" spans="1:3" x14ac:dyDescent="0.25">
      <c r="A975" s="91">
        <v>34578</v>
      </c>
      <c r="B975" s="96">
        <f t="shared" si="15"/>
        <v>1994</v>
      </c>
      <c r="C975">
        <v>85.9</v>
      </c>
    </row>
    <row r="976" spans="1:3" x14ac:dyDescent="0.25">
      <c r="A976" s="91">
        <v>34608</v>
      </c>
      <c r="B976" s="96">
        <f t="shared" si="15"/>
        <v>1994</v>
      </c>
      <c r="C976">
        <v>85.7</v>
      </c>
    </row>
    <row r="977" spans="1:3" x14ac:dyDescent="0.25">
      <c r="A977" s="91">
        <v>34639</v>
      </c>
      <c r="B977" s="96">
        <f t="shared" si="15"/>
        <v>1994</v>
      </c>
      <c r="C977">
        <v>86.2</v>
      </c>
    </row>
    <row r="978" spans="1:3" x14ac:dyDescent="0.25">
      <c r="A978" s="91">
        <v>34669</v>
      </c>
      <c r="B978" s="96">
        <f t="shared" si="15"/>
        <v>1994</v>
      </c>
      <c r="C978">
        <v>86.3</v>
      </c>
    </row>
    <row r="979" spans="1:3" x14ac:dyDescent="0.25">
      <c r="A979" s="91">
        <v>34700</v>
      </c>
      <c r="B979" s="96">
        <f t="shared" si="15"/>
        <v>1995</v>
      </c>
      <c r="C979">
        <v>86.6</v>
      </c>
    </row>
    <row r="980" spans="1:3" x14ac:dyDescent="0.25">
      <c r="A980" s="91">
        <v>34731</v>
      </c>
      <c r="B980" s="96">
        <f t="shared" si="15"/>
        <v>1995</v>
      </c>
      <c r="C980">
        <v>87</v>
      </c>
    </row>
    <row r="981" spans="1:3" x14ac:dyDescent="0.25">
      <c r="A981" s="91">
        <v>34759</v>
      </c>
      <c r="B981" s="96">
        <f t="shared" si="15"/>
        <v>1995</v>
      </c>
      <c r="C981">
        <v>87.2</v>
      </c>
    </row>
    <row r="982" spans="1:3" x14ac:dyDescent="0.25">
      <c r="A982" s="91">
        <v>34790</v>
      </c>
      <c r="B982" s="96">
        <f t="shared" si="15"/>
        <v>1995</v>
      </c>
      <c r="C982">
        <v>87.5</v>
      </c>
    </row>
    <row r="983" spans="1:3" x14ac:dyDescent="0.25">
      <c r="A983" s="91">
        <v>34820</v>
      </c>
      <c r="B983" s="96">
        <f t="shared" si="15"/>
        <v>1995</v>
      </c>
      <c r="C983">
        <v>87.7</v>
      </c>
    </row>
    <row r="984" spans="1:3" x14ac:dyDescent="0.25">
      <c r="A984" s="91">
        <v>34851</v>
      </c>
      <c r="B984" s="96">
        <f t="shared" si="15"/>
        <v>1995</v>
      </c>
      <c r="C984">
        <v>87.7</v>
      </c>
    </row>
    <row r="985" spans="1:3" x14ac:dyDescent="0.25">
      <c r="A985" s="91">
        <v>34881</v>
      </c>
      <c r="B985" s="96">
        <f t="shared" si="15"/>
        <v>1995</v>
      </c>
      <c r="C985">
        <v>87.9</v>
      </c>
    </row>
    <row r="986" spans="1:3" x14ac:dyDescent="0.25">
      <c r="A986" s="91">
        <v>34912</v>
      </c>
      <c r="B986" s="96">
        <f t="shared" si="15"/>
        <v>1995</v>
      </c>
      <c r="C986">
        <v>87.7</v>
      </c>
    </row>
    <row r="987" spans="1:3" x14ac:dyDescent="0.25">
      <c r="A987" s="91">
        <v>34943</v>
      </c>
      <c r="B987" s="96">
        <f t="shared" si="15"/>
        <v>1995</v>
      </c>
      <c r="C987">
        <v>87.8</v>
      </c>
    </row>
    <row r="988" spans="1:3" x14ac:dyDescent="0.25">
      <c r="A988" s="91">
        <v>34973</v>
      </c>
      <c r="B988" s="96">
        <f t="shared" si="15"/>
        <v>1995</v>
      </c>
      <c r="C988">
        <v>87.7</v>
      </c>
    </row>
    <row r="989" spans="1:3" x14ac:dyDescent="0.25">
      <c r="A989" s="91">
        <v>35004</v>
      </c>
      <c r="B989" s="96">
        <f t="shared" si="15"/>
        <v>1995</v>
      </c>
      <c r="C989">
        <v>88</v>
      </c>
    </row>
    <row r="990" spans="1:3" x14ac:dyDescent="0.25">
      <c r="A990" s="91">
        <v>35034</v>
      </c>
      <c r="B990" s="96">
        <f t="shared" si="15"/>
        <v>1995</v>
      </c>
      <c r="C990">
        <v>87.8</v>
      </c>
    </row>
    <row r="991" spans="1:3" x14ac:dyDescent="0.25">
      <c r="A991" s="91">
        <v>35065</v>
      </c>
      <c r="B991" s="96">
        <f t="shared" si="15"/>
        <v>1996</v>
      </c>
      <c r="C991">
        <v>88</v>
      </c>
    </row>
    <row r="992" spans="1:3" x14ac:dyDescent="0.25">
      <c r="A992" s="91">
        <v>35096</v>
      </c>
      <c r="B992" s="96">
        <f t="shared" si="15"/>
        <v>1996</v>
      </c>
      <c r="C992">
        <v>88.1</v>
      </c>
    </row>
    <row r="993" spans="1:3" x14ac:dyDescent="0.25">
      <c r="A993" s="91">
        <v>35125</v>
      </c>
      <c r="B993" s="96">
        <f t="shared" si="15"/>
        <v>1996</v>
      </c>
      <c r="C993">
        <v>88.5</v>
      </c>
    </row>
    <row r="994" spans="1:3" x14ac:dyDescent="0.25">
      <c r="A994" s="91">
        <v>35156</v>
      </c>
      <c r="B994" s="96">
        <f t="shared" si="15"/>
        <v>1996</v>
      </c>
      <c r="C994">
        <v>88.7</v>
      </c>
    </row>
    <row r="995" spans="1:3" x14ac:dyDescent="0.25">
      <c r="A995" s="91">
        <v>35186</v>
      </c>
      <c r="B995" s="96">
        <f t="shared" si="15"/>
        <v>1996</v>
      </c>
      <c r="C995">
        <v>89</v>
      </c>
    </row>
    <row r="996" spans="1:3" x14ac:dyDescent="0.25">
      <c r="A996" s="91">
        <v>35217</v>
      </c>
      <c r="B996" s="96">
        <f t="shared" si="15"/>
        <v>1996</v>
      </c>
      <c r="C996">
        <v>89</v>
      </c>
    </row>
    <row r="997" spans="1:3" x14ac:dyDescent="0.25">
      <c r="A997" s="91">
        <v>35247</v>
      </c>
      <c r="B997" s="96">
        <f t="shared" si="15"/>
        <v>1996</v>
      </c>
      <c r="C997">
        <v>89</v>
      </c>
    </row>
    <row r="998" spans="1:3" x14ac:dyDescent="0.25">
      <c r="A998" s="91">
        <v>35278</v>
      </c>
      <c r="B998" s="96">
        <f t="shared" si="15"/>
        <v>1996</v>
      </c>
      <c r="C998">
        <v>89</v>
      </c>
    </row>
    <row r="999" spans="1:3" x14ac:dyDescent="0.25">
      <c r="A999" s="91">
        <v>35309</v>
      </c>
      <c r="B999" s="96">
        <f t="shared" si="15"/>
        <v>1996</v>
      </c>
      <c r="C999">
        <v>89.1</v>
      </c>
    </row>
    <row r="1000" spans="1:3" x14ac:dyDescent="0.25">
      <c r="A1000" s="91">
        <v>35339</v>
      </c>
      <c r="B1000" s="96">
        <f t="shared" si="15"/>
        <v>1996</v>
      </c>
      <c r="C1000">
        <v>89.3</v>
      </c>
    </row>
    <row r="1001" spans="1:3" x14ac:dyDescent="0.25">
      <c r="A1001" s="91">
        <v>35370</v>
      </c>
      <c r="B1001" s="96">
        <f t="shared" si="15"/>
        <v>1996</v>
      </c>
      <c r="C1001">
        <v>89.7</v>
      </c>
    </row>
    <row r="1002" spans="1:3" x14ac:dyDescent="0.25">
      <c r="A1002" s="91">
        <v>35400</v>
      </c>
      <c r="B1002" s="96">
        <f t="shared" si="15"/>
        <v>1996</v>
      </c>
      <c r="C1002">
        <v>89.7</v>
      </c>
    </row>
    <row r="1003" spans="1:3" x14ac:dyDescent="0.25">
      <c r="A1003" s="91">
        <v>35431</v>
      </c>
      <c r="B1003" s="96">
        <f t="shared" si="15"/>
        <v>1997</v>
      </c>
      <c r="C1003">
        <v>89.9</v>
      </c>
    </row>
    <row r="1004" spans="1:3" x14ac:dyDescent="0.25">
      <c r="A1004" s="91">
        <v>35462</v>
      </c>
      <c r="B1004" s="96">
        <f t="shared" si="15"/>
        <v>1997</v>
      </c>
      <c r="C1004">
        <v>90.1</v>
      </c>
    </row>
    <row r="1005" spans="1:3" x14ac:dyDescent="0.25">
      <c r="A1005" s="91">
        <v>35490</v>
      </c>
      <c r="B1005" s="96">
        <f t="shared" si="15"/>
        <v>1997</v>
      </c>
      <c r="C1005">
        <v>90.2</v>
      </c>
    </row>
    <row r="1006" spans="1:3" x14ac:dyDescent="0.25">
      <c r="A1006" s="91">
        <v>35521</v>
      </c>
      <c r="B1006" s="96">
        <f t="shared" si="15"/>
        <v>1997</v>
      </c>
      <c r="C1006">
        <v>90.2</v>
      </c>
    </row>
    <row r="1007" spans="1:3" x14ac:dyDescent="0.25">
      <c r="A1007" s="91">
        <v>35551</v>
      </c>
      <c r="B1007" s="96">
        <f t="shared" si="15"/>
        <v>1997</v>
      </c>
      <c r="C1007">
        <v>90.3</v>
      </c>
    </row>
    <row r="1008" spans="1:3" x14ac:dyDescent="0.25">
      <c r="A1008" s="91">
        <v>35582</v>
      </c>
      <c r="B1008" s="96">
        <f t="shared" si="15"/>
        <v>1997</v>
      </c>
      <c r="C1008">
        <v>90.5</v>
      </c>
    </row>
    <row r="1009" spans="1:3" x14ac:dyDescent="0.25">
      <c r="A1009" s="91">
        <v>35612</v>
      </c>
      <c r="B1009" s="96">
        <f t="shared" si="15"/>
        <v>1997</v>
      </c>
      <c r="C1009">
        <v>90.5</v>
      </c>
    </row>
    <row r="1010" spans="1:3" x14ac:dyDescent="0.25">
      <c r="A1010" s="91">
        <v>35643</v>
      </c>
      <c r="B1010" s="96">
        <f t="shared" si="15"/>
        <v>1997</v>
      </c>
      <c r="C1010">
        <v>90.6</v>
      </c>
    </row>
    <row r="1011" spans="1:3" x14ac:dyDescent="0.25">
      <c r="A1011" s="91">
        <v>35674</v>
      </c>
      <c r="B1011" s="96">
        <f t="shared" si="15"/>
        <v>1997</v>
      </c>
      <c r="C1011">
        <v>90.6</v>
      </c>
    </row>
    <row r="1012" spans="1:3" x14ac:dyDescent="0.25">
      <c r="A1012" s="91">
        <v>35704</v>
      </c>
      <c r="B1012" s="96">
        <f t="shared" si="15"/>
        <v>1997</v>
      </c>
      <c r="C1012">
        <v>90.6</v>
      </c>
    </row>
    <row r="1013" spans="1:3" x14ac:dyDescent="0.25">
      <c r="A1013" s="91">
        <v>35735</v>
      </c>
      <c r="B1013" s="96">
        <f t="shared" si="15"/>
        <v>1997</v>
      </c>
      <c r="C1013">
        <v>90.5</v>
      </c>
    </row>
    <row r="1014" spans="1:3" x14ac:dyDescent="0.25">
      <c r="A1014" s="91">
        <v>35765</v>
      </c>
      <c r="B1014" s="96">
        <f t="shared" si="15"/>
        <v>1997</v>
      </c>
      <c r="C1014">
        <v>90.4</v>
      </c>
    </row>
    <row r="1015" spans="1:3" x14ac:dyDescent="0.25">
      <c r="A1015" s="91">
        <v>35796</v>
      </c>
      <c r="B1015" s="96">
        <f t="shared" si="15"/>
        <v>1998</v>
      </c>
      <c r="C1015">
        <v>90.9</v>
      </c>
    </row>
    <row r="1016" spans="1:3" x14ac:dyDescent="0.25">
      <c r="A1016" s="91">
        <v>35827</v>
      </c>
      <c r="B1016" s="96">
        <f t="shared" si="15"/>
        <v>1998</v>
      </c>
      <c r="C1016">
        <v>91</v>
      </c>
    </row>
    <row r="1017" spans="1:3" x14ac:dyDescent="0.25">
      <c r="A1017" s="91">
        <v>35855</v>
      </c>
      <c r="B1017" s="96">
        <f t="shared" si="15"/>
        <v>1998</v>
      </c>
      <c r="C1017">
        <v>91.1</v>
      </c>
    </row>
    <row r="1018" spans="1:3" x14ac:dyDescent="0.25">
      <c r="A1018" s="91">
        <v>35886</v>
      </c>
      <c r="B1018" s="96">
        <f t="shared" si="15"/>
        <v>1998</v>
      </c>
      <c r="C1018">
        <v>91</v>
      </c>
    </row>
    <row r="1019" spans="1:3" x14ac:dyDescent="0.25">
      <c r="A1019" s="91">
        <v>35916</v>
      </c>
      <c r="B1019" s="96">
        <f t="shared" si="15"/>
        <v>1998</v>
      </c>
      <c r="C1019">
        <v>91.3</v>
      </c>
    </row>
    <row r="1020" spans="1:3" x14ac:dyDescent="0.25">
      <c r="A1020" s="91">
        <v>35947</v>
      </c>
      <c r="B1020" s="96">
        <f t="shared" si="15"/>
        <v>1998</v>
      </c>
      <c r="C1020">
        <v>91.4</v>
      </c>
    </row>
    <row r="1021" spans="1:3" x14ac:dyDescent="0.25">
      <c r="A1021" s="91">
        <v>35977</v>
      </c>
      <c r="B1021" s="96">
        <f t="shared" si="15"/>
        <v>1998</v>
      </c>
      <c r="C1021">
        <v>91.4</v>
      </c>
    </row>
    <row r="1022" spans="1:3" x14ac:dyDescent="0.25">
      <c r="A1022" s="91">
        <v>36008</v>
      </c>
      <c r="B1022" s="96">
        <f t="shared" si="15"/>
        <v>1998</v>
      </c>
      <c r="C1022">
        <v>91.4</v>
      </c>
    </row>
    <row r="1023" spans="1:3" x14ac:dyDescent="0.25">
      <c r="A1023" s="91">
        <v>36039</v>
      </c>
      <c r="B1023" s="96">
        <f t="shared" si="15"/>
        <v>1998</v>
      </c>
      <c r="C1023">
        <v>91.2</v>
      </c>
    </row>
    <row r="1024" spans="1:3" x14ac:dyDescent="0.25">
      <c r="A1024" s="91">
        <v>36069</v>
      </c>
      <c r="B1024" s="96">
        <f t="shared" si="15"/>
        <v>1998</v>
      </c>
      <c r="C1024">
        <v>91.6</v>
      </c>
    </row>
    <row r="1025" spans="1:3" x14ac:dyDescent="0.25">
      <c r="A1025" s="91">
        <v>36100</v>
      </c>
      <c r="B1025" s="96">
        <f t="shared" si="15"/>
        <v>1998</v>
      </c>
      <c r="C1025">
        <v>91.6</v>
      </c>
    </row>
    <row r="1026" spans="1:3" x14ac:dyDescent="0.25">
      <c r="A1026" s="91">
        <v>36130</v>
      </c>
      <c r="B1026" s="96">
        <f t="shared" si="15"/>
        <v>1998</v>
      </c>
      <c r="C1026">
        <v>91.3</v>
      </c>
    </row>
    <row r="1027" spans="1:3" x14ac:dyDescent="0.25">
      <c r="A1027" s="91">
        <v>36161</v>
      </c>
      <c r="B1027" s="96">
        <f t="shared" si="15"/>
        <v>1999</v>
      </c>
      <c r="C1027">
        <v>91.5</v>
      </c>
    </row>
    <row r="1028" spans="1:3" x14ac:dyDescent="0.25">
      <c r="A1028" s="91">
        <v>36192</v>
      </c>
      <c r="B1028" s="96">
        <f t="shared" si="15"/>
        <v>1999</v>
      </c>
      <c r="C1028">
        <v>91.6</v>
      </c>
    </row>
    <row r="1029" spans="1:3" x14ac:dyDescent="0.25">
      <c r="A1029" s="91">
        <v>36220</v>
      </c>
      <c r="B1029" s="96">
        <f t="shared" si="15"/>
        <v>1999</v>
      </c>
      <c r="C1029">
        <v>92</v>
      </c>
    </row>
    <row r="1030" spans="1:3" x14ac:dyDescent="0.25">
      <c r="A1030" s="91">
        <v>36251</v>
      </c>
      <c r="B1030" s="96">
        <f t="shared" si="15"/>
        <v>1999</v>
      </c>
      <c r="C1030">
        <v>92.5</v>
      </c>
    </row>
    <row r="1031" spans="1:3" x14ac:dyDescent="0.25">
      <c r="A1031" s="91">
        <v>36281</v>
      </c>
      <c r="B1031" s="96">
        <f t="shared" si="15"/>
        <v>1999</v>
      </c>
      <c r="C1031">
        <v>92.7</v>
      </c>
    </row>
    <row r="1032" spans="1:3" x14ac:dyDescent="0.25">
      <c r="A1032" s="91">
        <v>36312</v>
      </c>
      <c r="B1032" s="96">
        <f t="shared" ref="B1032:B1095" si="16">YEAR(A1032)</f>
        <v>1999</v>
      </c>
      <c r="C1032">
        <v>92.9</v>
      </c>
    </row>
    <row r="1033" spans="1:3" x14ac:dyDescent="0.25">
      <c r="A1033" s="91">
        <v>36342</v>
      </c>
      <c r="B1033" s="96">
        <f t="shared" si="16"/>
        <v>1999</v>
      </c>
      <c r="C1033">
        <v>93.1</v>
      </c>
    </row>
    <row r="1034" spans="1:3" x14ac:dyDescent="0.25">
      <c r="A1034" s="91">
        <v>36373</v>
      </c>
      <c r="B1034" s="96">
        <f t="shared" si="16"/>
        <v>1999</v>
      </c>
      <c r="C1034">
        <v>93.3</v>
      </c>
    </row>
    <row r="1035" spans="1:3" x14ac:dyDescent="0.25">
      <c r="A1035" s="91">
        <v>36404</v>
      </c>
      <c r="B1035" s="96">
        <f t="shared" si="16"/>
        <v>1999</v>
      </c>
      <c r="C1035">
        <v>93.6</v>
      </c>
    </row>
    <row r="1036" spans="1:3" x14ac:dyDescent="0.25">
      <c r="A1036" s="91">
        <v>36434</v>
      </c>
      <c r="B1036" s="96">
        <f t="shared" si="16"/>
        <v>1999</v>
      </c>
      <c r="C1036">
        <v>93.7</v>
      </c>
    </row>
    <row r="1037" spans="1:3" x14ac:dyDescent="0.25">
      <c r="A1037" s="91">
        <v>36465</v>
      </c>
      <c r="B1037" s="96">
        <f t="shared" si="16"/>
        <v>1999</v>
      </c>
      <c r="C1037">
        <v>93.6</v>
      </c>
    </row>
    <row r="1038" spans="1:3" x14ac:dyDescent="0.25">
      <c r="A1038" s="91">
        <v>36495</v>
      </c>
      <c r="B1038" s="96">
        <f t="shared" si="16"/>
        <v>1999</v>
      </c>
      <c r="C1038">
        <v>93.7</v>
      </c>
    </row>
    <row r="1039" spans="1:3" x14ac:dyDescent="0.25">
      <c r="A1039" s="91">
        <v>36526</v>
      </c>
      <c r="B1039" s="96">
        <f t="shared" si="16"/>
        <v>2000</v>
      </c>
      <c r="C1039">
        <v>93.5</v>
      </c>
    </row>
    <row r="1040" spans="1:3" x14ac:dyDescent="0.25">
      <c r="A1040" s="91">
        <v>36557</v>
      </c>
      <c r="B1040" s="96">
        <f t="shared" si="16"/>
        <v>2000</v>
      </c>
      <c r="C1040">
        <v>94.1</v>
      </c>
    </row>
    <row r="1041" spans="1:3" x14ac:dyDescent="0.25">
      <c r="A1041" s="91">
        <v>36586</v>
      </c>
      <c r="B1041" s="96">
        <f t="shared" si="16"/>
        <v>2000</v>
      </c>
      <c r="C1041">
        <v>94.8</v>
      </c>
    </row>
    <row r="1042" spans="1:3" x14ac:dyDescent="0.25">
      <c r="A1042" s="91">
        <v>36617</v>
      </c>
      <c r="B1042" s="96">
        <f t="shared" si="16"/>
        <v>2000</v>
      </c>
      <c r="C1042">
        <v>94.5</v>
      </c>
    </row>
    <row r="1043" spans="1:3" x14ac:dyDescent="0.25">
      <c r="A1043" s="91">
        <v>36647</v>
      </c>
      <c r="B1043" s="96">
        <f t="shared" si="16"/>
        <v>2000</v>
      </c>
      <c r="C1043">
        <v>94.9</v>
      </c>
    </row>
    <row r="1044" spans="1:3" x14ac:dyDescent="0.25">
      <c r="A1044" s="91">
        <v>36678</v>
      </c>
      <c r="B1044" s="96">
        <f t="shared" si="16"/>
        <v>2000</v>
      </c>
      <c r="C1044">
        <v>95.5</v>
      </c>
    </row>
    <row r="1045" spans="1:3" x14ac:dyDescent="0.25">
      <c r="A1045" s="91">
        <v>36708</v>
      </c>
      <c r="B1045" s="96">
        <f t="shared" si="16"/>
        <v>2000</v>
      </c>
      <c r="C1045">
        <v>95.8</v>
      </c>
    </row>
    <row r="1046" spans="1:3" x14ac:dyDescent="0.25">
      <c r="A1046" s="91">
        <v>36739</v>
      </c>
      <c r="B1046" s="96">
        <f t="shared" si="16"/>
        <v>2000</v>
      </c>
      <c r="C1046">
        <v>95.7</v>
      </c>
    </row>
    <row r="1047" spans="1:3" x14ac:dyDescent="0.25">
      <c r="A1047" s="91">
        <v>36770</v>
      </c>
      <c r="B1047" s="96">
        <f t="shared" si="16"/>
        <v>2000</v>
      </c>
      <c r="C1047">
        <v>96.1</v>
      </c>
    </row>
    <row r="1048" spans="1:3" x14ac:dyDescent="0.25">
      <c r="A1048" s="91">
        <v>36800</v>
      </c>
      <c r="B1048" s="96">
        <f t="shared" si="16"/>
        <v>2000</v>
      </c>
      <c r="C1048">
        <v>96.3</v>
      </c>
    </row>
    <row r="1049" spans="1:3" x14ac:dyDescent="0.25">
      <c r="A1049" s="91">
        <v>36831</v>
      </c>
      <c r="B1049" s="96">
        <f t="shared" si="16"/>
        <v>2000</v>
      </c>
      <c r="C1049">
        <v>96.6</v>
      </c>
    </row>
    <row r="1050" spans="1:3" x14ac:dyDescent="0.25">
      <c r="A1050" s="91">
        <v>36861</v>
      </c>
      <c r="B1050" s="96">
        <f t="shared" si="16"/>
        <v>2000</v>
      </c>
      <c r="C1050">
        <v>96.7</v>
      </c>
    </row>
    <row r="1051" spans="1:3" x14ac:dyDescent="0.25">
      <c r="A1051" s="91">
        <v>36892</v>
      </c>
      <c r="B1051" s="96">
        <f t="shared" si="16"/>
        <v>2001</v>
      </c>
      <c r="C1051">
        <v>96.3</v>
      </c>
    </row>
    <row r="1052" spans="1:3" x14ac:dyDescent="0.25">
      <c r="A1052" s="91">
        <v>36923</v>
      </c>
      <c r="B1052" s="96">
        <f t="shared" si="16"/>
        <v>2001</v>
      </c>
      <c r="C1052">
        <v>96.8</v>
      </c>
    </row>
    <row r="1053" spans="1:3" x14ac:dyDescent="0.25">
      <c r="A1053" s="91">
        <v>36951</v>
      </c>
      <c r="B1053" s="96">
        <f t="shared" si="16"/>
        <v>2001</v>
      </c>
      <c r="C1053">
        <v>97.1</v>
      </c>
    </row>
    <row r="1054" spans="1:3" x14ac:dyDescent="0.25">
      <c r="A1054" s="91">
        <v>36982</v>
      </c>
      <c r="B1054" s="96">
        <f t="shared" si="16"/>
        <v>2001</v>
      </c>
      <c r="C1054">
        <v>97.8</v>
      </c>
    </row>
    <row r="1055" spans="1:3" x14ac:dyDescent="0.25">
      <c r="A1055" s="91">
        <v>37012</v>
      </c>
      <c r="B1055" s="96">
        <f t="shared" si="16"/>
        <v>2001</v>
      </c>
      <c r="C1055">
        <v>98.6</v>
      </c>
    </row>
    <row r="1056" spans="1:3" x14ac:dyDescent="0.25">
      <c r="A1056" s="91">
        <v>37043</v>
      </c>
      <c r="B1056" s="96">
        <f t="shared" si="16"/>
        <v>2001</v>
      </c>
      <c r="C1056">
        <v>98.7</v>
      </c>
    </row>
    <row r="1057" spans="1:3" x14ac:dyDescent="0.25">
      <c r="A1057" s="91">
        <v>37073</v>
      </c>
      <c r="B1057" s="96">
        <f t="shared" si="16"/>
        <v>2001</v>
      </c>
      <c r="C1057">
        <v>98.4</v>
      </c>
    </row>
    <row r="1058" spans="1:3" x14ac:dyDescent="0.25">
      <c r="A1058" s="91">
        <v>37104</v>
      </c>
      <c r="B1058" s="96">
        <f t="shared" si="16"/>
        <v>2001</v>
      </c>
      <c r="C1058">
        <v>98.4</v>
      </c>
    </row>
    <row r="1059" spans="1:3" x14ac:dyDescent="0.25">
      <c r="A1059" s="91">
        <v>37135</v>
      </c>
      <c r="B1059" s="96">
        <f t="shared" si="16"/>
        <v>2001</v>
      </c>
      <c r="C1059">
        <v>98.6</v>
      </c>
    </row>
    <row r="1060" spans="1:3" x14ac:dyDescent="0.25">
      <c r="A1060" s="91">
        <v>37165</v>
      </c>
      <c r="B1060" s="96">
        <f t="shared" si="16"/>
        <v>2001</v>
      </c>
      <c r="C1060">
        <v>98.1</v>
      </c>
    </row>
    <row r="1061" spans="1:3" x14ac:dyDescent="0.25">
      <c r="A1061" s="91">
        <v>37196</v>
      </c>
      <c r="B1061" s="96">
        <f t="shared" si="16"/>
        <v>2001</v>
      </c>
      <c r="C1061">
        <v>97.2</v>
      </c>
    </row>
    <row r="1062" spans="1:3" x14ac:dyDescent="0.25">
      <c r="A1062" s="91">
        <v>37226</v>
      </c>
      <c r="B1062" s="96">
        <f t="shared" si="16"/>
        <v>2001</v>
      </c>
      <c r="C1062">
        <v>97.4</v>
      </c>
    </row>
    <row r="1063" spans="1:3" x14ac:dyDescent="0.25">
      <c r="A1063" s="91">
        <v>37257</v>
      </c>
      <c r="B1063" s="96">
        <f t="shared" si="16"/>
        <v>2002</v>
      </c>
      <c r="C1063">
        <v>97.6</v>
      </c>
    </row>
    <row r="1064" spans="1:3" x14ac:dyDescent="0.25">
      <c r="A1064" s="91">
        <v>37288</v>
      </c>
      <c r="B1064" s="96">
        <f t="shared" si="16"/>
        <v>2002</v>
      </c>
      <c r="C1064">
        <v>98.2</v>
      </c>
    </row>
    <row r="1065" spans="1:3" x14ac:dyDescent="0.25">
      <c r="A1065" s="91">
        <v>37316</v>
      </c>
      <c r="B1065" s="96">
        <f t="shared" si="16"/>
        <v>2002</v>
      </c>
      <c r="C1065">
        <v>98.9</v>
      </c>
    </row>
    <row r="1066" spans="1:3" x14ac:dyDescent="0.25">
      <c r="A1066" s="91">
        <v>37347</v>
      </c>
      <c r="B1066" s="96">
        <f t="shared" si="16"/>
        <v>2002</v>
      </c>
      <c r="C1066">
        <v>99.5</v>
      </c>
    </row>
    <row r="1067" spans="1:3" x14ac:dyDescent="0.25">
      <c r="A1067" s="91">
        <v>37377</v>
      </c>
      <c r="B1067" s="96">
        <f t="shared" si="16"/>
        <v>2002</v>
      </c>
      <c r="C1067">
        <v>99.7</v>
      </c>
    </row>
    <row r="1068" spans="1:3" x14ac:dyDescent="0.25">
      <c r="A1068" s="91">
        <v>37408</v>
      </c>
      <c r="B1068" s="96">
        <f t="shared" si="16"/>
        <v>2002</v>
      </c>
      <c r="C1068">
        <v>99.9</v>
      </c>
    </row>
    <row r="1069" spans="1:3" x14ac:dyDescent="0.25">
      <c r="A1069" s="91">
        <v>37438</v>
      </c>
      <c r="B1069" s="96">
        <f t="shared" si="16"/>
        <v>2002</v>
      </c>
      <c r="C1069">
        <v>100.5</v>
      </c>
    </row>
    <row r="1070" spans="1:3" x14ac:dyDescent="0.25">
      <c r="A1070" s="91">
        <v>37469</v>
      </c>
      <c r="B1070" s="96">
        <f t="shared" si="16"/>
        <v>2002</v>
      </c>
      <c r="C1070">
        <v>100.9</v>
      </c>
    </row>
    <row r="1071" spans="1:3" x14ac:dyDescent="0.25">
      <c r="A1071" s="91">
        <v>37500</v>
      </c>
      <c r="B1071" s="96">
        <f t="shared" si="16"/>
        <v>2002</v>
      </c>
      <c r="C1071">
        <v>100.9</v>
      </c>
    </row>
    <row r="1072" spans="1:3" x14ac:dyDescent="0.25">
      <c r="A1072" s="91">
        <v>37530</v>
      </c>
      <c r="B1072" s="96">
        <f t="shared" si="16"/>
        <v>2002</v>
      </c>
      <c r="C1072">
        <v>101.2</v>
      </c>
    </row>
    <row r="1073" spans="1:3" x14ac:dyDescent="0.25">
      <c r="A1073" s="91">
        <v>37561</v>
      </c>
      <c r="B1073" s="96">
        <f t="shared" si="16"/>
        <v>2002</v>
      </c>
      <c r="C1073">
        <v>101.5</v>
      </c>
    </row>
    <row r="1074" spans="1:3" x14ac:dyDescent="0.25">
      <c r="A1074" s="91">
        <v>37591</v>
      </c>
      <c r="B1074" s="96">
        <f t="shared" si="16"/>
        <v>2002</v>
      </c>
      <c r="C1074">
        <v>101.1</v>
      </c>
    </row>
    <row r="1075" spans="1:3" x14ac:dyDescent="0.25">
      <c r="A1075" s="91">
        <v>37622</v>
      </c>
      <c r="B1075" s="96">
        <f t="shared" si="16"/>
        <v>2003</v>
      </c>
      <c r="C1075">
        <v>102</v>
      </c>
    </row>
    <row r="1076" spans="1:3" x14ac:dyDescent="0.25">
      <c r="A1076" s="91">
        <v>37653</v>
      </c>
      <c r="B1076" s="96">
        <f t="shared" si="16"/>
        <v>2003</v>
      </c>
      <c r="C1076">
        <v>102.8</v>
      </c>
    </row>
    <row r="1077" spans="1:3" x14ac:dyDescent="0.25">
      <c r="A1077" s="91">
        <v>37681</v>
      </c>
      <c r="B1077" s="96">
        <f t="shared" si="16"/>
        <v>2003</v>
      </c>
      <c r="C1077">
        <v>103.1</v>
      </c>
    </row>
    <row r="1078" spans="1:3" x14ac:dyDescent="0.25">
      <c r="A1078" s="91">
        <v>37712</v>
      </c>
      <c r="B1078" s="96">
        <f t="shared" si="16"/>
        <v>2003</v>
      </c>
      <c r="C1078">
        <v>102.4</v>
      </c>
    </row>
    <row r="1079" spans="1:3" x14ac:dyDescent="0.25">
      <c r="A1079" s="91">
        <v>37742</v>
      </c>
      <c r="B1079" s="96">
        <f t="shared" si="16"/>
        <v>2003</v>
      </c>
      <c r="C1079">
        <v>102.5</v>
      </c>
    </row>
    <row r="1080" spans="1:3" x14ac:dyDescent="0.25">
      <c r="A1080" s="91">
        <v>37773</v>
      </c>
      <c r="B1080" s="96">
        <f t="shared" si="16"/>
        <v>2003</v>
      </c>
      <c r="C1080">
        <v>102.5</v>
      </c>
    </row>
    <row r="1081" spans="1:3" x14ac:dyDescent="0.25">
      <c r="A1081" s="91">
        <v>37803</v>
      </c>
      <c r="B1081" s="96">
        <f t="shared" si="16"/>
        <v>2003</v>
      </c>
      <c r="C1081">
        <v>102.6</v>
      </c>
    </row>
    <row r="1082" spans="1:3" x14ac:dyDescent="0.25">
      <c r="A1082" s="91">
        <v>37834</v>
      </c>
      <c r="B1082" s="96">
        <f t="shared" si="16"/>
        <v>2003</v>
      </c>
      <c r="C1082">
        <v>102.9</v>
      </c>
    </row>
    <row r="1083" spans="1:3" x14ac:dyDescent="0.25">
      <c r="A1083" s="91">
        <v>37865</v>
      </c>
      <c r="B1083" s="96">
        <f t="shared" si="16"/>
        <v>2003</v>
      </c>
      <c r="C1083">
        <v>103.1</v>
      </c>
    </row>
    <row r="1084" spans="1:3" x14ac:dyDescent="0.25">
      <c r="A1084" s="91">
        <v>37895</v>
      </c>
      <c r="B1084" s="96">
        <f t="shared" si="16"/>
        <v>2003</v>
      </c>
      <c r="C1084">
        <v>102.8</v>
      </c>
    </row>
    <row r="1085" spans="1:3" x14ac:dyDescent="0.25">
      <c r="A1085" s="91">
        <v>37926</v>
      </c>
      <c r="B1085" s="96">
        <f t="shared" si="16"/>
        <v>2003</v>
      </c>
      <c r="C1085">
        <v>103.1</v>
      </c>
    </row>
    <row r="1086" spans="1:3" x14ac:dyDescent="0.25">
      <c r="A1086" s="91">
        <v>37956</v>
      </c>
      <c r="B1086" s="96">
        <f t="shared" si="16"/>
        <v>2003</v>
      </c>
      <c r="C1086">
        <v>103.2</v>
      </c>
    </row>
    <row r="1087" spans="1:3" x14ac:dyDescent="0.25">
      <c r="A1087" s="91">
        <v>37987</v>
      </c>
      <c r="B1087" s="96">
        <f t="shared" si="16"/>
        <v>2004</v>
      </c>
      <c r="C1087">
        <v>103.3</v>
      </c>
    </row>
    <row r="1088" spans="1:3" x14ac:dyDescent="0.25">
      <c r="A1088" s="91">
        <v>38018</v>
      </c>
      <c r="B1088" s="96">
        <f t="shared" si="16"/>
        <v>2004</v>
      </c>
      <c r="C1088">
        <v>103.5</v>
      </c>
    </row>
    <row r="1089" spans="1:3" x14ac:dyDescent="0.25">
      <c r="A1089" s="91">
        <v>38047</v>
      </c>
      <c r="B1089" s="96">
        <f t="shared" si="16"/>
        <v>2004</v>
      </c>
      <c r="C1089">
        <v>103.9</v>
      </c>
    </row>
    <row r="1090" spans="1:3" x14ac:dyDescent="0.25">
      <c r="A1090" s="91">
        <v>38078</v>
      </c>
      <c r="B1090" s="96">
        <f t="shared" si="16"/>
        <v>2004</v>
      </c>
      <c r="C1090">
        <v>104.1</v>
      </c>
    </row>
    <row r="1091" spans="1:3" x14ac:dyDescent="0.25">
      <c r="A1091" s="91">
        <v>38108</v>
      </c>
      <c r="B1091" s="96">
        <f t="shared" si="16"/>
        <v>2004</v>
      </c>
      <c r="C1091">
        <v>105</v>
      </c>
    </row>
    <row r="1092" spans="1:3" x14ac:dyDescent="0.25">
      <c r="A1092" s="91">
        <v>38139</v>
      </c>
      <c r="B1092" s="96">
        <f t="shared" si="16"/>
        <v>2004</v>
      </c>
      <c r="C1092">
        <v>105.1</v>
      </c>
    </row>
    <row r="1093" spans="1:3" x14ac:dyDescent="0.25">
      <c r="A1093" s="91">
        <v>38169</v>
      </c>
      <c r="B1093" s="96">
        <f t="shared" si="16"/>
        <v>2004</v>
      </c>
      <c r="C1093">
        <v>105</v>
      </c>
    </row>
    <row r="1094" spans="1:3" x14ac:dyDescent="0.25">
      <c r="A1094" s="91">
        <v>38200</v>
      </c>
      <c r="B1094" s="96">
        <f t="shared" si="16"/>
        <v>2004</v>
      </c>
      <c r="C1094">
        <v>104.8</v>
      </c>
    </row>
    <row r="1095" spans="1:3" x14ac:dyDescent="0.25">
      <c r="A1095" s="91">
        <v>38231</v>
      </c>
      <c r="B1095" s="96">
        <f t="shared" si="16"/>
        <v>2004</v>
      </c>
      <c r="C1095">
        <v>105</v>
      </c>
    </row>
    <row r="1096" spans="1:3" x14ac:dyDescent="0.25">
      <c r="A1096" s="91">
        <v>38261</v>
      </c>
      <c r="B1096" s="96">
        <f t="shared" ref="B1096:B1159" si="17">YEAR(A1096)</f>
        <v>2004</v>
      </c>
      <c r="C1096">
        <v>105.2</v>
      </c>
    </row>
    <row r="1097" spans="1:3" x14ac:dyDescent="0.25">
      <c r="A1097" s="91">
        <v>38292</v>
      </c>
      <c r="B1097" s="96">
        <f t="shared" si="17"/>
        <v>2004</v>
      </c>
      <c r="C1097">
        <v>105.6</v>
      </c>
    </row>
    <row r="1098" spans="1:3" x14ac:dyDescent="0.25">
      <c r="A1098" s="91">
        <v>38322</v>
      </c>
      <c r="B1098" s="96">
        <f t="shared" si="17"/>
        <v>2004</v>
      </c>
      <c r="C1098">
        <v>105.4</v>
      </c>
    </row>
    <row r="1099" spans="1:3" x14ac:dyDescent="0.25">
      <c r="A1099" s="91">
        <v>38353</v>
      </c>
      <c r="B1099" s="96">
        <f t="shared" si="17"/>
        <v>2005</v>
      </c>
      <c r="C1099">
        <v>105.3</v>
      </c>
    </row>
    <row r="1100" spans="1:3" x14ac:dyDescent="0.25">
      <c r="A1100" s="91">
        <v>38384</v>
      </c>
      <c r="B1100" s="96">
        <f t="shared" si="17"/>
        <v>2005</v>
      </c>
      <c r="C1100">
        <v>105.7</v>
      </c>
    </row>
    <row r="1101" spans="1:3" x14ac:dyDescent="0.25">
      <c r="A1101" s="91">
        <v>38412</v>
      </c>
      <c r="B1101" s="96">
        <f t="shared" si="17"/>
        <v>2005</v>
      </c>
      <c r="C1101">
        <v>106.3</v>
      </c>
    </row>
    <row r="1102" spans="1:3" x14ac:dyDescent="0.25">
      <c r="A1102" s="91">
        <v>38443</v>
      </c>
      <c r="B1102" s="96">
        <f t="shared" si="17"/>
        <v>2005</v>
      </c>
      <c r="C1102">
        <v>106.6</v>
      </c>
    </row>
    <row r="1103" spans="1:3" x14ac:dyDescent="0.25">
      <c r="A1103" s="91">
        <v>38473</v>
      </c>
      <c r="B1103" s="96">
        <f t="shared" si="17"/>
        <v>2005</v>
      </c>
      <c r="C1103">
        <v>106.7</v>
      </c>
    </row>
    <row r="1104" spans="1:3" x14ac:dyDescent="0.25">
      <c r="A1104" s="91">
        <v>38504</v>
      </c>
      <c r="B1104" s="96">
        <f t="shared" si="17"/>
        <v>2005</v>
      </c>
      <c r="C1104">
        <v>106.9</v>
      </c>
    </row>
    <row r="1105" spans="1:3" x14ac:dyDescent="0.25">
      <c r="A1105" s="91">
        <v>38534</v>
      </c>
      <c r="B1105" s="96">
        <f t="shared" si="17"/>
        <v>2005</v>
      </c>
      <c r="C1105">
        <v>107.1</v>
      </c>
    </row>
    <row r="1106" spans="1:3" x14ac:dyDescent="0.25">
      <c r="A1106" s="91">
        <v>38565</v>
      </c>
      <c r="B1106" s="96">
        <f t="shared" si="17"/>
        <v>2005</v>
      </c>
      <c r="C1106">
        <v>107.5</v>
      </c>
    </row>
    <row r="1107" spans="1:3" x14ac:dyDescent="0.25">
      <c r="A1107" s="91">
        <v>38596</v>
      </c>
      <c r="B1107" s="96">
        <f t="shared" si="17"/>
        <v>2005</v>
      </c>
      <c r="C1107">
        <v>108.4</v>
      </c>
    </row>
    <row r="1108" spans="1:3" x14ac:dyDescent="0.25">
      <c r="A1108" s="91">
        <v>38626</v>
      </c>
      <c r="B1108" s="96">
        <f t="shared" si="17"/>
        <v>2005</v>
      </c>
      <c r="C1108">
        <v>107.9</v>
      </c>
    </row>
    <row r="1109" spans="1:3" x14ac:dyDescent="0.25">
      <c r="A1109" s="91">
        <v>38657</v>
      </c>
      <c r="B1109" s="96">
        <f t="shared" si="17"/>
        <v>2005</v>
      </c>
      <c r="C1109">
        <v>107.7</v>
      </c>
    </row>
    <row r="1110" spans="1:3" x14ac:dyDescent="0.25">
      <c r="A1110" s="91">
        <v>38687</v>
      </c>
      <c r="B1110" s="96">
        <f t="shared" si="17"/>
        <v>2005</v>
      </c>
      <c r="C1110">
        <v>107.6</v>
      </c>
    </row>
    <row r="1111" spans="1:3" x14ac:dyDescent="0.25">
      <c r="A1111" s="91">
        <v>38718</v>
      </c>
      <c r="B1111" s="96">
        <f t="shared" si="17"/>
        <v>2006</v>
      </c>
      <c r="C1111">
        <v>108.2</v>
      </c>
    </row>
    <row r="1112" spans="1:3" x14ac:dyDescent="0.25">
      <c r="A1112" s="91">
        <v>38749</v>
      </c>
      <c r="B1112" s="96">
        <f t="shared" si="17"/>
        <v>2006</v>
      </c>
      <c r="C1112">
        <v>108</v>
      </c>
    </row>
    <row r="1113" spans="1:3" x14ac:dyDescent="0.25">
      <c r="A1113" s="91">
        <v>38777</v>
      </c>
      <c r="B1113" s="96">
        <f t="shared" si="17"/>
        <v>2006</v>
      </c>
      <c r="C1113">
        <v>108.6</v>
      </c>
    </row>
    <row r="1114" spans="1:3" x14ac:dyDescent="0.25">
      <c r="A1114" s="91">
        <v>38808</v>
      </c>
      <c r="B1114" s="96">
        <f t="shared" si="17"/>
        <v>2006</v>
      </c>
      <c r="C1114">
        <v>109.2</v>
      </c>
    </row>
    <row r="1115" spans="1:3" x14ac:dyDescent="0.25">
      <c r="A1115" s="91">
        <v>38838</v>
      </c>
      <c r="B1115" s="96">
        <f t="shared" si="17"/>
        <v>2006</v>
      </c>
      <c r="C1115">
        <v>109.7</v>
      </c>
    </row>
    <row r="1116" spans="1:3" x14ac:dyDescent="0.25">
      <c r="A1116" s="91">
        <v>38869</v>
      </c>
      <c r="B1116" s="96">
        <f t="shared" si="17"/>
        <v>2006</v>
      </c>
      <c r="C1116">
        <v>109.5</v>
      </c>
    </row>
    <row r="1117" spans="1:3" x14ac:dyDescent="0.25">
      <c r="A1117" s="91">
        <v>38899</v>
      </c>
      <c r="B1117" s="96">
        <f t="shared" si="17"/>
        <v>2006</v>
      </c>
      <c r="C1117">
        <v>109.6</v>
      </c>
    </row>
    <row r="1118" spans="1:3" x14ac:dyDescent="0.25">
      <c r="A1118" s="91">
        <v>38930</v>
      </c>
      <c r="B1118" s="96">
        <f t="shared" si="17"/>
        <v>2006</v>
      </c>
      <c r="C1118">
        <v>109.8</v>
      </c>
    </row>
    <row r="1119" spans="1:3" x14ac:dyDescent="0.25">
      <c r="A1119" s="91">
        <v>38961</v>
      </c>
      <c r="B1119" s="96">
        <f t="shared" si="17"/>
        <v>2006</v>
      </c>
      <c r="C1119">
        <v>109.2</v>
      </c>
    </row>
    <row r="1120" spans="1:3" x14ac:dyDescent="0.25">
      <c r="A1120" s="91">
        <v>38991</v>
      </c>
      <c r="B1120" s="96">
        <f t="shared" si="17"/>
        <v>2006</v>
      </c>
      <c r="C1120">
        <v>109</v>
      </c>
    </row>
    <row r="1121" spans="1:3" x14ac:dyDescent="0.25">
      <c r="A1121" s="91">
        <v>39022</v>
      </c>
      <c r="B1121" s="96">
        <f t="shared" si="17"/>
        <v>2006</v>
      </c>
      <c r="C1121">
        <v>109.2</v>
      </c>
    </row>
    <row r="1122" spans="1:3" x14ac:dyDescent="0.25">
      <c r="A1122" s="91">
        <v>39052</v>
      </c>
      <c r="B1122" s="96">
        <f t="shared" si="17"/>
        <v>2006</v>
      </c>
      <c r="C1122">
        <v>109.4</v>
      </c>
    </row>
    <row r="1123" spans="1:3" x14ac:dyDescent="0.25">
      <c r="A1123" s="91">
        <v>39083</v>
      </c>
      <c r="B1123" s="96">
        <f t="shared" si="17"/>
        <v>2007</v>
      </c>
      <c r="C1123">
        <v>109.4</v>
      </c>
    </row>
    <row r="1124" spans="1:3" x14ac:dyDescent="0.25">
      <c r="A1124" s="91">
        <v>39114</v>
      </c>
      <c r="B1124" s="96">
        <f t="shared" si="17"/>
        <v>2007</v>
      </c>
      <c r="C1124">
        <v>110.2</v>
      </c>
    </row>
    <row r="1125" spans="1:3" x14ac:dyDescent="0.25">
      <c r="A1125" s="91">
        <v>39142</v>
      </c>
      <c r="B1125" s="96">
        <f t="shared" si="17"/>
        <v>2007</v>
      </c>
      <c r="C1125">
        <v>111.1</v>
      </c>
    </row>
    <row r="1126" spans="1:3" x14ac:dyDescent="0.25">
      <c r="A1126" s="91">
        <v>39173</v>
      </c>
      <c r="B1126" s="96">
        <f t="shared" si="17"/>
        <v>2007</v>
      </c>
      <c r="C1126">
        <v>111.6</v>
      </c>
    </row>
    <row r="1127" spans="1:3" x14ac:dyDescent="0.25">
      <c r="A1127" s="91">
        <v>39203</v>
      </c>
      <c r="B1127" s="96">
        <f t="shared" si="17"/>
        <v>2007</v>
      </c>
      <c r="C1127">
        <v>112.1</v>
      </c>
    </row>
    <row r="1128" spans="1:3" x14ac:dyDescent="0.25">
      <c r="A1128" s="91">
        <v>39234</v>
      </c>
      <c r="B1128" s="96">
        <f t="shared" si="17"/>
        <v>2007</v>
      </c>
      <c r="C1128">
        <v>111.9</v>
      </c>
    </row>
    <row r="1129" spans="1:3" x14ac:dyDescent="0.25">
      <c r="A1129" s="91">
        <v>39264</v>
      </c>
      <c r="B1129" s="96">
        <f t="shared" si="17"/>
        <v>2007</v>
      </c>
      <c r="C1129">
        <v>112</v>
      </c>
    </row>
    <row r="1130" spans="1:3" x14ac:dyDescent="0.25">
      <c r="A1130" s="91">
        <v>39295</v>
      </c>
      <c r="B1130" s="96">
        <f t="shared" si="17"/>
        <v>2007</v>
      </c>
      <c r="C1130">
        <v>111.7</v>
      </c>
    </row>
    <row r="1131" spans="1:3" x14ac:dyDescent="0.25">
      <c r="A1131" s="91">
        <v>39326</v>
      </c>
      <c r="B1131" s="96">
        <f t="shared" si="17"/>
        <v>2007</v>
      </c>
      <c r="C1131">
        <v>111.9</v>
      </c>
    </row>
    <row r="1132" spans="1:3" x14ac:dyDescent="0.25">
      <c r="A1132" s="91">
        <v>39356</v>
      </c>
      <c r="B1132" s="96">
        <f t="shared" si="17"/>
        <v>2007</v>
      </c>
      <c r="C1132">
        <v>111.6</v>
      </c>
    </row>
    <row r="1133" spans="1:3" x14ac:dyDescent="0.25">
      <c r="A1133" s="91">
        <v>39387</v>
      </c>
      <c r="B1133" s="96">
        <f t="shared" si="17"/>
        <v>2007</v>
      </c>
      <c r="C1133">
        <v>111.9</v>
      </c>
    </row>
    <row r="1134" spans="1:3" x14ac:dyDescent="0.25">
      <c r="A1134" s="91">
        <v>39417</v>
      </c>
      <c r="B1134" s="96">
        <f t="shared" si="17"/>
        <v>2007</v>
      </c>
      <c r="C1134">
        <v>112</v>
      </c>
    </row>
    <row r="1135" spans="1:3" x14ac:dyDescent="0.25">
      <c r="A1135" s="91">
        <v>39448</v>
      </c>
      <c r="B1135" s="96">
        <f t="shared" si="17"/>
        <v>2008</v>
      </c>
      <c r="C1135">
        <v>111.8</v>
      </c>
    </row>
    <row r="1136" spans="1:3" x14ac:dyDescent="0.25">
      <c r="A1136" s="91">
        <v>39479</v>
      </c>
      <c r="B1136" s="96">
        <f t="shared" si="17"/>
        <v>2008</v>
      </c>
      <c r="C1136">
        <v>112.2</v>
      </c>
    </row>
    <row r="1137" spans="1:3" x14ac:dyDescent="0.25">
      <c r="A1137" s="91">
        <v>39508</v>
      </c>
      <c r="B1137" s="96">
        <f t="shared" si="17"/>
        <v>2008</v>
      </c>
      <c r="C1137">
        <v>112.6</v>
      </c>
    </row>
    <row r="1138" spans="1:3" x14ac:dyDescent="0.25">
      <c r="A1138" s="91">
        <v>39539</v>
      </c>
      <c r="B1138" s="96">
        <f t="shared" si="17"/>
        <v>2008</v>
      </c>
      <c r="C1138">
        <v>113.5</v>
      </c>
    </row>
    <row r="1139" spans="1:3" x14ac:dyDescent="0.25">
      <c r="A1139" s="91">
        <v>39569</v>
      </c>
      <c r="B1139" s="96">
        <f t="shared" si="17"/>
        <v>2008</v>
      </c>
      <c r="C1139">
        <v>114.6</v>
      </c>
    </row>
    <row r="1140" spans="1:3" x14ac:dyDescent="0.25">
      <c r="A1140" s="91">
        <v>39600</v>
      </c>
      <c r="B1140" s="96">
        <f t="shared" si="17"/>
        <v>2008</v>
      </c>
      <c r="C1140">
        <v>115.4</v>
      </c>
    </row>
    <row r="1141" spans="1:3" x14ac:dyDescent="0.25">
      <c r="A1141" s="91">
        <v>39630</v>
      </c>
      <c r="B1141" s="96">
        <f t="shared" si="17"/>
        <v>2008</v>
      </c>
      <c r="C1141">
        <v>115.8</v>
      </c>
    </row>
    <row r="1142" spans="1:3" x14ac:dyDescent="0.25">
      <c r="A1142" s="91">
        <v>39661</v>
      </c>
      <c r="B1142" s="96">
        <f t="shared" si="17"/>
        <v>2008</v>
      </c>
      <c r="C1142">
        <v>115.6</v>
      </c>
    </row>
    <row r="1143" spans="1:3" x14ac:dyDescent="0.25">
      <c r="A1143" s="91">
        <v>39692</v>
      </c>
      <c r="B1143" s="96">
        <f t="shared" si="17"/>
        <v>2008</v>
      </c>
      <c r="C1143">
        <v>115.7</v>
      </c>
    </row>
    <row r="1144" spans="1:3" x14ac:dyDescent="0.25">
      <c r="A1144" s="91">
        <v>39722</v>
      </c>
      <c r="B1144" s="96">
        <f t="shared" si="17"/>
        <v>2008</v>
      </c>
      <c r="C1144">
        <v>114.5</v>
      </c>
    </row>
    <row r="1145" spans="1:3" x14ac:dyDescent="0.25">
      <c r="A1145" s="91">
        <v>39753</v>
      </c>
      <c r="B1145" s="96">
        <f t="shared" si="17"/>
        <v>2008</v>
      </c>
      <c r="C1145">
        <v>114.1</v>
      </c>
    </row>
    <row r="1146" spans="1:3" x14ac:dyDescent="0.25">
      <c r="A1146" s="91">
        <v>39783</v>
      </c>
      <c r="B1146" s="96">
        <f t="shared" si="17"/>
        <v>2008</v>
      </c>
      <c r="C1146">
        <v>113.3</v>
      </c>
    </row>
    <row r="1147" spans="1:3" x14ac:dyDescent="0.25">
      <c r="A1147" s="91">
        <v>39814</v>
      </c>
      <c r="B1147" s="96">
        <f t="shared" si="17"/>
        <v>2009</v>
      </c>
      <c r="C1147">
        <v>113</v>
      </c>
    </row>
    <row r="1148" spans="1:3" x14ac:dyDescent="0.25">
      <c r="A1148" s="91">
        <v>39845</v>
      </c>
      <c r="B1148" s="96">
        <f t="shared" si="17"/>
        <v>2009</v>
      </c>
      <c r="C1148">
        <v>113.8</v>
      </c>
    </row>
    <row r="1149" spans="1:3" x14ac:dyDescent="0.25">
      <c r="A1149" s="91">
        <v>39873</v>
      </c>
      <c r="B1149" s="96">
        <f t="shared" si="17"/>
        <v>2009</v>
      </c>
      <c r="C1149">
        <v>114</v>
      </c>
    </row>
    <row r="1150" spans="1:3" x14ac:dyDescent="0.25">
      <c r="A1150" s="91">
        <v>39904</v>
      </c>
      <c r="B1150" s="96">
        <f t="shared" si="17"/>
        <v>2009</v>
      </c>
      <c r="C1150">
        <v>113.9</v>
      </c>
    </row>
    <row r="1151" spans="1:3" x14ac:dyDescent="0.25">
      <c r="A1151" s="91">
        <v>39934</v>
      </c>
      <c r="B1151" s="96">
        <f t="shared" si="17"/>
        <v>2009</v>
      </c>
      <c r="C1151">
        <v>114.7</v>
      </c>
    </row>
    <row r="1152" spans="1:3" x14ac:dyDescent="0.25">
      <c r="A1152" s="91">
        <v>39965</v>
      </c>
      <c r="B1152" s="96">
        <f t="shared" si="17"/>
        <v>2009</v>
      </c>
      <c r="C1152">
        <v>115.1</v>
      </c>
    </row>
    <row r="1153" spans="1:3" x14ac:dyDescent="0.25">
      <c r="A1153" s="91">
        <v>39995</v>
      </c>
      <c r="B1153" s="96">
        <f t="shared" si="17"/>
        <v>2009</v>
      </c>
      <c r="C1153">
        <v>114.7</v>
      </c>
    </row>
    <row r="1154" spans="1:3" x14ac:dyDescent="0.25">
      <c r="A1154" s="91">
        <v>40026</v>
      </c>
      <c r="B1154" s="96">
        <f t="shared" si="17"/>
        <v>2009</v>
      </c>
      <c r="C1154">
        <v>114.7</v>
      </c>
    </row>
    <row r="1155" spans="1:3" x14ac:dyDescent="0.25">
      <c r="A1155" s="91">
        <v>40057</v>
      </c>
      <c r="B1155" s="96">
        <f t="shared" si="17"/>
        <v>2009</v>
      </c>
      <c r="C1155">
        <v>114.7</v>
      </c>
    </row>
    <row r="1156" spans="1:3" x14ac:dyDescent="0.25">
      <c r="A1156" s="91">
        <v>40087</v>
      </c>
      <c r="B1156" s="96">
        <f t="shared" si="17"/>
        <v>2009</v>
      </c>
      <c r="C1156">
        <v>114.6</v>
      </c>
    </row>
    <row r="1157" spans="1:3" x14ac:dyDescent="0.25">
      <c r="A1157" s="91">
        <v>40118</v>
      </c>
      <c r="B1157" s="96">
        <f t="shared" si="17"/>
        <v>2009</v>
      </c>
      <c r="C1157">
        <v>115.2</v>
      </c>
    </row>
    <row r="1158" spans="1:3" x14ac:dyDescent="0.25">
      <c r="A1158" s="91">
        <v>40148</v>
      </c>
      <c r="B1158" s="96">
        <f t="shared" si="17"/>
        <v>2009</v>
      </c>
      <c r="C1158">
        <v>114.8</v>
      </c>
    </row>
    <row r="1159" spans="1:3" x14ac:dyDescent="0.25">
      <c r="A1159" s="91">
        <v>40179</v>
      </c>
      <c r="B1159" s="96">
        <f t="shared" si="17"/>
        <v>2010</v>
      </c>
      <c r="C1159">
        <v>115.1</v>
      </c>
    </row>
    <row r="1160" spans="1:3" x14ac:dyDescent="0.25">
      <c r="A1160" s="91">
        <v>40210</v>
      </c>
      <c r="B1160" s="96">
        <f t="shared" ref="B1160:B1223" si="18">YEAR(A1160)</f>
        <v>2010</v>
      </c>
      <c r="C1160">
        <v>115.6</v>
      </c>
    </row>
    <row r="1161" spans="1:3" x14ac:dyDescent="0.25">
      <c r="A1161" s="91">
        <v>40238</v>
      </c>
      <c r="B1161" s="96">
        <f t="shared" si="18"/>
        <v>2010</v>
      </c>
      <c r="C1161">
        <v>115.6</v>
      </c>
    </row>
    <row r="1162" spans="1:3" x14ac:dyDescent="0.25">
      <c r="A1162" s="91">
        <v>40269</v>
      </c>
      <c r="B1162" s="96">
        <f t="shared" si="18"/>
        <v>2010</v>
      </c>
      <c r="C1162">
        <v>116</v>
      </c>
    </row>
    <row r="1163" spans="1:3" x14ac:dyDescent="0.25">
      <c r="A1163" s="91">
        <v>40299</v>
      </c>
      <c r="B1163" s="96">
        <f t="shared" si="18"/>
        <v>2010</v>
      </c>
      <c r="C1163">
        <v>116.3</v>
      </c>
    </row>
    <row r="1164" spans="1:3" x14ac:dyDescent="0.25">
      <c r="A1164" s="91">
        <v>40330</v>
      </c>
      <c r="B1164" s="96">
        <f t="shared" si="18"/>
        <v>2010</v>
      </c>
      <c r="C1164">
        <v>116.2</v>
      </c>
    </row>
    <row r="1165" spans="1:3" x14ac:dyDescent="0.25">
      <c r="A1165" s="91">
        <v>40360</v>
      </c>
      <c r="B1165" s="96">
        <f t="shared" si="18"/>
        <v>2010</v>
      </c>
      <c r="C1165">
        <v>116.8</v>
      </c>
    </row>
    <row r="1166" spans="1:3" x14ac:dyDescent="0.25">
      <c r="A1166" s="91">
        <v>40391</v>
      </c>
      <c r="B1166" s="96">
        <f t="shared" si="18"/>
        <v>2010</v>
      </c>
      <c r="C1166">
        <v>116.7</v>
      </c>
    </row>
    <row r="1167" spans="1:3" x14ac:dyDescent="0.25">
      <c r="A1167" s="91">
        <v>40422</v>
      </c>
      <c r="B1167" s="96">
        <f t="shared" si="18"/>
        <v>2010</v>
      </c>
      <c r="C1167">
        <v>116.9</v>
      </c>
    </row>
    <row r="1168" spans="1:3" x14ac:dyDescent="0.25">
      <c r="A1168" s="91">
        <v>40452</v>
      </c>
      <c r="B1168" s="96">
        <f t="shared" si="18"/>
        <v>2010</v>
      </c>
      <c r="C1168">
        <v>117.4</v>
      </c>
    </row>
    <row r="1169" spans="1:3" x14ac:dyDescent="0.25">
      <c r="A1169" s="91">
        <v>40483</v>
      </c>
      <c r="B1169" s="96">
        <f t="shared" si="18"/>
        <v>2010</v>
      </c>
      <c r="C1169">
        <v>117.5</v>
      </c>
    </row>
    <row r="1170" spans="1:3" x14ac:dyDescent="0.25">
      <c r="A1170" s="91">
        <v>40513</v>
      </c>
      <c r="B1170" s="96">
        <f t="shared" si="18"/>
        <v>2010</v>
      </c>
      <c r="C1170">
        <v>117.5</v>
      </c>
    </row>
    <row r="1171" spans="1:3" x14ac:dyDescent="0.25">
      <c r="A1171" s="91">
        <v>40544</v>
      </c>
      <c r="B1171" s="96">
        <f t="shared" si="18"/>
        <v>2011</v>
      </c>
      <c r="C1171">
        <v>117.8</v>
      </c>
    </row>
    <row r="1172" spans="1:3" x14ac:dyDescent="0.25">
      <c r="A1172" s="91">
        <v>40575</v>
      </c>
      <c r="B1172" s="96">
        <f t="shared" si="18"/>
        <v>2011</v>
      </c>
      <c r="C1172">
        <v>118.1</v>
      </c>
    </row>
    <row r="1173" spans="1:3" x14ac:dyDescent="0.25">
      <c r="A1173" s="91">
        <v>40603</v>
      </c>
      <c r="B1173" s="96">
        <f t="shared" si="18"/>
        <v>2011</v>
      </c>
      <c r="C1173">
        <v>119.4</v>
      </c>
    </row>
    <row r="1174" spans="1:3" x14ac:dyDescent="0.25">
      <c r="A1174" s="91">
        <v>40634</v>
      </c>
      <c r="B1174" s="96">
        <f t="shared" si="18"/>
        <v>2011</v>
      </c>
      <c r="C1174">
        <v>119.8</v>
      </c>
    </row>
    <row r="1175" spans="1:3" x14ac:dyDescent="0.25">
      <c r="A1175" s="91">
        <v>40664</v>
      </c>
      <c r="B1175" s="96">
        <f t="shared" si="18"/>
        <v>2011</v>
      </c>
      <c r="C1175">
        <v>120.6</v>
      </c>
    </row>
    <row r="1176" spans="1:3" x14ac:dyDescent="0.25">
      <c r="A1176" s="91">
        <v>40695</v>
      </c>
      <c r="B1176" s="96">
        <f t="shared" si="18"/>
        <v>2011</v>
      </c>
      <c r="C1176">
        <v>119.8</v>
      </c>
    </row>
    <row r="1177" spans="1:3" x14ac:dyDescent="0.25">
      <c r="A1177" s="91">
        <v>40725</v>
      </c>
      <c r="B1177" s="96">
        <f t="shared" si="18"/>
        <v>2011</v>
      </c>
      <c r="C1177">
        <v>120</v>
      </c>
    </row>
    <row r="1178" spans="1:3" x14ac:dyDescent="0.25">
      <c r="A1178" s="91">
        <v>40756</v>
      </c>
      <c r="B1178" s="96">
        <f t="shared" si="18"/>
        <v>2011</v>
      </c>
      <c r="C1178">
        <v>120.3</v>
      </c>
    </row>
    <row r="1179" spans="1:3" x14ac:dyDescent="0.25">
      <c r="A1179" s="91">
        <v>40787</v>
      </c>
      <c r="B1179" s="96">
        <f t="shared" si="18"/>
        <v>2011</v>
      </c>
      <c r="C1179">
        <v>120.6</v>
      </c>
    </row>
    <row r="1180" spans="1:3" x14ac:dyDescent="0.25">
      <c r="A1180" s="91">
        <v>40817</v>
      </c>
      <c r="B1180" s="96">
        <f t="shared" si="18"/>
        <v>2011</v>
      </c>
      <c r="C1180">
        <v>120.8</v>
      </c>
    </row>
    <row r="1181" spans="1:3" x14ac:dyDescent="0.25">
      <c r="A1181" s="91">
        <v>40848</v>
      </c>
      <c r="B1181" s="96">
        <f t="shared" si="18"/>
        <v>2011</v>
      </c>
      <c r="C1181">
        <v>120.9</v>
      </c>
    </row>
    <row r="1182" spans="1:3" x14ac:dyDescent="0.25">
      <c r="A1182" s="91">
        <v>40878</v>
      </c>
      <c r="B1182" s="96">
        <f t="shared" si="18"/>
        <v>2011</v>
      </c>
      <c r="C1182">
        <v>120.2</v>
      </c>
    </row>
    <row r="1183" spans="1:3" x14ac:dyDescent="0.25">
      <c r="A1183" s="91">
        <v>40909</v>
      </c>
      <c r="B1183" s="96">
        <f t="shared" si="18"/>
        <v>2012</v>
      </c>
      <c r="C1183">
        <v>120.7</v>
      </c>
    </row>
    <row r="1184" spans="1:3" x14ac:dyDescent="0.25">
      <c r="A1184" s="91">
        <v>40940</v>
      </c>
      <c r="B1184" s="96">
        <f t="shared" si="18"/>
        <v>2012</v>
      </c>
      <c r="C1184">
        <v>121.2</v>
      </c>
    </row>
    <row r="1185" spans="1:3" x14ac:dyDescent="0.25">
      <c r="A1185" s="91">
        <v>40969</v>
      </c>
      <c r="B1185" s="96">
        <f t="shared" si="18"/>
        <v>2012</v>
      </c>
      <c r="C1185">
        <v>121.7</v>
      </c>
    </row>
    <row r="1186" spans="1:3" x14ac:dyDescent="0.25">
      <c r="A1186" s="91">
        <v>41000</v>
      </c>
      <c r="B1186" s="96">
        <f t="shared" si="18"/>
        <v>2012</v>
      </c>
      <c r="C1186">
        <v>122.2</v>
      </c>
    </row>
    <row r="1187" spans="1:3" x14ac:dyDescent="0.25">
      <c r="A1187" s="91">
        <v>41030</v>
      </c>
      <c r="B1187" s="96">
        <f t="shared" si="18"/>
        <v>2012</v>
      </c>
      <c r="C1187">
        <v>122.1</v>
      </c>
    </row>
    <row r="1188" spans="1:3" x14ac:dyDescent="0.25">
      <c r="A1188" s="91">
        <v>41061</v>
      </c>
      <c r="B1188" s="96">
        <f t="shared" si="18"/>
        <v>2012</v>
      </c>
      <c r="C1188">
        <v>121.6</v>
      </c>
    </row>
    <row r="1189" spans="1:3" x14ac:dyDescent="0.25">
      <c r="A1189" s="91">
        <v>41091</v>
      </c>
      <c r="B1189" s="96">
        <f t="shared" si="18"/>
        <v>2012</v>
      </c>
      <c r="C1189">
        <v>121.5</v>
      </c>
    </row>
    <row r="1190" spans="1:3" x14ac:dyDescent="0.25">
      <c r="A1190" s="91">
        <v>41122</v>
      </c>
      <c r="B1190" s="96">
        <f t="shared" si="18"/>
        <v>2012</v>
      </c>
      <c r="C1190">
        <v>121.8</v>
      </c>
    </row>
    <row r="1191" spans="1:3" x14ac:dyDescent="0.25">
      <c r="A1191" s="91">
        <v>41153</v>
      </c>
      <c r="B1191" s="96">
        <f t="shared" si="18"/>
        <v>2012</v>
      </c>
      <c r="C1191">
        <v>122</v>
      </c>
    </row>
    <row r="1192" spans="1:3" x14ac:dyDescent="0.25">
      <c r="A1192" s="91">
        <v>41183</v>
      </c>
      <c r="B1192" s="96">
        <f t="shared" si="18"/>
        <v>2012</v>
      </c>
      <c r="C1192">
        <v>122.2</v>
      </c>
    </row>
    <row r="1193" spans="1:3" x14ac:dyDescent="0.25">
      <c r="A1193" s="91">
        <v>41214</v>
      </c>
      <c r="B1193" s="96">
        <f t="shared" si="18"/>
        <v>2012</v>
      </c>
      <c r="C1193">
        <v>121.9</v>
      </c>
    </row>
    <row r="1194" spans="1:3" x14ac:dyDescent="0.25">
      <c r="A1194" s="91">
        <v>41244</v>
      </c>
      <c r="B1194" s="96">
        <f t="shared" si="18"/>
        <v>2012</v>
      </c>
      <c r="C1194">
        <v>121.2</v>
      </c>
    </row>
    <row r="1195" spans="1:3" x14ac:dyDescent="0.25">
      <c r="A1195" s="91">
        <v>41275</v>
      </c>
      <c r="B1195" s="96">
        <f t="shared" si="18"/>
        <v>2013</v>
      </c>
      <c r="C1195">
        <v>121.3</v>
      </c>
    </row>
    <row r="1196" spans="1:3" x14ac:dyDescent="0.25">
      <c r="A1196" s="91">
        <v>41306</v>
      </c>
      <c r="B1196" s="96">
        <f t="shared" si="18"/>
        <v>2013</v>
      </c>
      <c r="C1196">
        <v>122.7</v>
      </c>
    </row>
    <row r="1197" spans="1:3" x14ac:dyDescent="0.25">
      <c r="A1197" s="91">
        <v>41334</v>
      </c>
      <c r="B1197" s="96">
        <f t="shared" si="18"/>
        <v>2013</v>
      </c>
      <c r="C1197">
        <v>122.9</v>
      </c>
    </row>
    <row r="1198" spans="1:3" x14ac:dyDescent="0.25">
      <c r="A1198" s="91">
        <v>41365</v>
      </c>
      <c r="B1198" s="96">
        <f t="shared" si="18"/>
        <v>2013</v>
      </c>
      <c r="C1198">
        <v>122.7</v>
      </c>
    </row>
    <row r="1199" spans="1:3" x14ac:dyDescent="0.25">
      <c r="A1199" s="91">
        <v>41395</v>
      </c>
      <c r="B1199" s="96">
        <f t="shared" si="18"/>
        <v>2013</v>
      </c>
      <c r="C1199">
        <v>123</v>
      </c>
    </row>
    <row r="1200" spans="1:3" x14ac:dyDescent="0.25">
      <c r="A1200" s="91">
        <v>41426</v>
      </c>
      <c r="B1200" s="96">
        <f t="shared" si="18"/>
        <v>2013</v>
      </c>
      <c r="C1200">
        <v>123</v>
      </c>
    </row>
    <row r="1201" spans="1:3" x14ac:dyDescent="0.25">
      <c r="A1201" s="91">
        <v>41456</v>
      </c>
      <c r="B1201" s="96">
        <f t="shared" si="18"/>
        <v>2013</v>
      </c>
      <c r="C1201">
        <v>123.1</v>
      </c>
    </row>
    <row r="1202" spans="1:3" x14ac:dyDescent="0.25">
      <c r="A1202" s="91">
        <v>41487</v>
      </c>
      <c r="B1202" s="96">
        <f t="shared" si="18"/>
        <v>2013</v>
      </c>
      <c r="C1202">
        <v>123.1</v>
      </c>
    </row>
    <row r="1203" spans="1:3" x14ac:dyDescent="0.25">
      <c r="A1203" s="91">
        <v>41518</v>
      </c>
      <c r="B1203" s="96">
        <f t="shared" si="18"/>
        <v>2013</v>
      </c>
      <c r="C1203">
        <v>123.3</v>
      </c>
    </row>
    <row r="1204" spans="1:3" x14ac:dyDescent="0.25">
      <c r="A1204" s="91">
        <v>41548</v>
      </c>
      <c r="B1204" s="96">
        <f t="shared" si="18"/>
        <v>2013</v>
      </c>
      <c r="C1204">
        <v>123</v>
      </c>
    </row>
    <row r="1205" spans="1:3" x14ac:dyDescent="0.25">
      <c r="A1205" s="91">
        <v>41579</v>
      </c>
      <c r="B1205" s="96">
        <f t="shared" si="18"/>
        <v>2013</v>
      </c>
      <c r="C1205">
        <v>123</v>
      </c>
    </row>
    <row r="1206" spans="1:3" x14ac:dyDescent="0.25">
      <c r="A1206" s="91">
        <v>41609</v>
      </c>
      <c r="B1206" s="96">
        <f t="shared" si="18"/>
        <v>2013</v>
      </c>
      <c r="C1206">
        <v>122.7</v>
      </c>
    </row>
    <row r="1207" spans="1:3" x14ac:dyDescent="0.25">
      <c r="A1207" s="91">
        <v>41640</v>
      </c>
      <c r="B1207" s="96">
        <f t="shared" si="18"/>
        <v>2014</v>
      </c>
      <c r="C1207">
        <v>123.1</v>
      </c>
    </row>
    <row r="1208" spans="1:3" x14ac:dyDescent="0.25">
      <c r="A1208" s="91">
        <v>41671</v>
      </c>
      <c r="B1208" s="96">
        <f t="shared" si="18"/>
        <v>2014</v>
      </c>
      <c r="C1208">
        <v>124.1</v>
      </c>
    </row>
    <row r="1209" spans="1:3" x14ac:dyDescent="0.25">
      <c r="A1209" s="91">
        <v>41699</v>
      </c>
      <c r="B1209" s="96">
        <f t="shared" si="18"/>
        <v>2014</v>
      </c>
      <c r="C1209">
        <v>124.8</v>
      </c>
    </row>
    <row r="1210" spans="1:3" x14ac:dyDescent="0.25">
      <c r="A1210" s="91">
        <v>41730</v>
      </c>
      <c r="B1210" s="96">
        <f t="shared" si="18"/>
        <v>2014</v>
      </c>
      <c r="C1210">
        <v>125.2</v>
      </c>
    </row>
    <row r="1211" spans="1:3" x14ac:dyDescent="0.25">
      <c r="A1211" s="91">
        <v>41760</v>
      </c>
      <c r="B1211" s="96">
        <f t="shared" si="18"/>
        <v>2014</v>
      </c>
      <c r="C1211">
        <v>125.8</v>
      </c>
    </row>
    <row r="1212" spans="1:3" x14ac:dyDescent="0.25">
      <c r="A1212" s="91">
        <v>41791</v>
      </c>
      <c r="B1212" s="96">
        <f t="shared" si="18"/>
        <v>2014</v>
      </c>
      <c r="C1212">
        <v>125.9</v>
      </c>
    </row>
    <row r="1213" spans="1:3" x14ac:dyDescent="0.25">
      <c r="A1213" s="91">
        <v>41821</v>
      </c>
      <c r="B1213" s="96">
        <f t="shared" si="18"/>
        <v>2014</v>
      </c>
      <c r="C1213">
        <v>125.7</v>
      </c>
    </row>
    <row r="1214" spans="1:3" x14ac:dyDescent="0.25">
      <c r="A1214" s="91">
        <v>41852</v>
      </c>
      <c r="B1214" s="96">
        <f t="shared" si="18"/>
        <v>2014</v>
      </c>
      <c r="C1214">
        <v>125.7</v>
      </c>
    </row>
    <row r="1215" spans="1:3" x14ac:dyDescent="0.25">
      <c r="A1215" s="91">
        <v>41883</v>
      </c>
      <c r="B1215" s="96">
        <f t="shared" si="18"/>
        <v>2014</v>
      </c>
      <c r="C1215">
        <v>125.8</v>
      </c>
    </row>
    <row r="1216" spans="1:3" x14ac:dyDescent="0.25">
      <c r="A1216" s="91">
        <v>41913</v>
      </c>
      <c r="B1216" s="96">
        <f t="shared" si="18"/>
        <v>2014</v>
      </c>
      <c r="C1216">
        <v>125.9</v>
      </c>
    </row>
    <row r="1217" spans="1:3" x14ac:dyDescent="0.25">
      <c r="A1217" s="91">
        <v>41944</v>
      </c>
      <c r="B1217" s="96">
        <f t="shared" si="18"/>
        <v>2014</v>
      </c>
      <c r="C1217">
        <v>125.4</v>
      </c>
    </row>
    <row r="1218" spans="1:3" x14ac:dyDescent="0.25">
      <c r="A1218" s="91">
        <v>41974</v>
      </c>
      <c r="B1218" s="96">
        <f t="shared" si="18"/>
        <v>2014</v>
      </c>
      <c r="C1218">
        <v>124.5</v>
      </c>
    </row>
    <row r="1219" spans="1:3" x14ac:dyDescent="0.25">
      <c r="A1219" s="91">
        <v>42005</v>
      </c>
      <c r="B1219" s="96">
        <f t="shared" si="18"/>
        <v>2015</v>
      </c>
      <c r="C1219">
        <v>124.3</v>
      </c>
    </row>
    <row r="1220" spans="1:3" x14ac:dyDescent="0.25">
      <c r="A1220" s="91">
        <v>42036</v>
      </c>
      <c r="B1220" s="96">
        <f t="shared" si="18"/>
        <v>2015</v>
      </c>
      <c r="C1220">
        <v>125.4</v>
      </c>
    </row>
    <row r="1221" spans="1:3" x14ac:dyDescent="0.25">
      <c r="A1221" s="91">
        <v>42064</v>
      </c>
      <c r="B1221" s="96">
        <f t="shared" si="18"/>
        <v>2015</v>
      </c>
      <c r="C1221">
        <v>126.3</v>
      </c>
    </row>
    <row r="1222" spans="1:3" x14ac:dyDescent="0.25">
      <c r="A1222" s="91">
        <v>42095</v>
      </c>
      <c r="B1222" s="96">
        <f t="shared" si="18"/>
        <v>2015</v>
      </c>
      <c r="C1222">
        <v>126.2</v>
      </c>
    </row>
    <row r="1223" spans="1:3" x14ac:dyDescent="0.25">
      <c r="A1223" s="91">
        <v>42125</v>
      </c>
      <c r="B1223" s="96">
        <f t="shared" si="18"/>
        <v>2015</v>
      </c>
      <c r="C1223">
        <v>126.9</v>
      </c>
    </row>
    <row r="1224" spans="1:3" x14ac:dyDescent="0.25">
      <c r="A1224" s="91">
        <v>42156</v>
      </c>
      <c r="B1224" s="96">
        <f t="shared" ref="B1224:B1248" si="19">YEAR(A1224)</f>
        <v>2015</v>
      </c>
      <c r="C1224">
        <v>127.2</v>
      </c>
    </row>
    <row r="1225" spans="1:3" x14ac:dyDescent="0.25">
      <c r="A1225" s="91">
        <v>42186</v>
      </c>
      <c r="B1225" s="96">
        <f t="shared" si="19"/>
        <v>2015</v>
      </c>
      <c r="C1225">
        <v>127.3</v>
      </c>
    </row>
    <row r="1226" spans="1:3" x14ac:dyDescent="0.25">
      <c r="A1226" s="91">
        <v>42217</v>
      </c>
      <c r="B1226" s="96">
        <f t="shared" si="19"/>
        <v>2015</v>
      </c>
      <c r="C1226">
        <v>127.3</v>
      </c>
    </row>
    <row r="1227" spans="1:3" x14ac:dyDescent="0.25">
      <c r="A1227" s="91">
        <v>42248</v>
      </c>
      <c r="B1227" s="96">
        <f t="shared" si="19"/>
        <v>2015</v>
      </c>
      <c r="C1227">
        <v>127.1</v>
      </c>
    </row>
    <row r="1228" spans="1:3" x14ac:dyDescent="0.25">
      <c r="A1228" s="91">
        <v>42278</v>
      </c>
      <c r="B1228" s="96">
        <f t="shared" si="19"/>
        <v>2015</v>
      </c>
      <c r="C1228">
        <v>127.2</v>
      </c>
    </row>
    <row r="1229" spans="1:3" x14ac:dyDescent="0.25">
      <c r="A1229" s="91">
        <v>42309</v>
      </c>
      <c r="B1229" s="96">
        <f t="shared" si="19"/>
        <v>2015</v>
      </c>
      <c r="C1229">
        <v>127.1</v>
      </c>
    </row>
    <row r="1230" spans="1:3" x14ac:dyDescent="0.25">
      <c r="A1230" s="91">
        <v>42339</v>
      </c>
      <c r="B1230" s="96">
        <f t="shared" si="19"/>
        <v>2015</v>
      </c>
      <c r="C1230">
        <v>126.5</v>
      </c>
    </row>
    <row r="1231" spans="1:3" x14ac:dyDescent="0.25">
      <c r="A1231" s="91">
        <v>42370</v>
      </c>
      <c r="B1231" s="96">
        <f t="shared" si="19"/>
        <v>2016</v>
      </c>
      <c r="C1231">
        <v>126.8</v>
      </c>
    </row>
    <row r="1232" spans="1:3" x14ac:dyDescent="0.25">
      <c r="A1232" s="91">
        <v>42401</v>
      </c>
      <c r="B1232" s="96">
        <f t="shared" si="19"/>
        <v>2016</v>
      </c>
      <c r="C1232">
        <v>127.1</v>
      </c>
    </row>
    <row r="1233" spans="1:3" x14ac:dyDescent="0.25">
      <c r="A1233" s="91">
        <v>42430</v>
      </c>
      <c r="B1233" s="96">
        <f t="shared" si="19"/>
        <v>2016</v>
      </c>
      <c r="C1233">
        <v>127.9</v>
      </c>
    </row>
    <row r="1234" spans="1:3" x14ac:dyDescent="0.25">
      <c r="A1234" s="91">
        <v>42461</v>
      </c>
      <c r="B1234" s="96">
        <f t="shared" si="19"/>
        <v>2016</v>
      </c>
      <c r="C1234">
        <v>128.30000000000001</v>
      </c>
    </row>
    <row r="1235" spans="1:3" x14ac:dyDescent="0.25">
      <c r="A1235" s="91">
        <v>42491</v>
      </c>
      <c r="B1235" s="96">
        <f t="shared" si="19"/>
        <v>2016</v>
      </c>
      <c r="C1235">
        <v>128.80000000000001</v>
      </c>
    </row>
    <row r="1236" spans="1:3" x14ac:dyDescent="0.25">
      <c r="A1236" s="91">
        <v>42522</v>
      </c>
      <c r="B1236" s="96">
        <f t="shared" si="19"/>
        <v>2016</v>
      </c>
      <c r="C1236">
        <v>129.1</v>
      </c>
    </row>
    <row r="1237" spans="1:3" x14ac:dyDescent="0.25">
      <c r="A1237" s="91">
        <v>42552</v>
      </c>
      <c r="B1237" s="96">
        <f t="shared" si="19"/>
        <v>2016</v>
      </c>
      <c r="C1237">
        <v>128.9</v>
      </c>
    </row>
    <row r="1238" spans="1:3" x14ac:dyDescent="0.25">
      <c r="A1238" s="91">
        <v>42583</v>
      </c>
      <c r="B1238" s="96">
        <f t="shared" si="19"/>
        <v>2016</v>
      </c>
      <c r="C1238">
        <v>128.69999999999999</v>
      </c>
    </row>
    <row r="1239" spans="1:3" x14ac:dyDescent="0.25">
      <c r="A1239" s="91">
        <v>42614</v>
      </c>
      <c r="B1239" s="96">
        <f t="shared" si="19"/>
        <v>2016</v>
      </c>
      <c r="C1239">
        <v>128.80000000000001</v>
      </c>
    </row>
    <row r="1240" spans="1:3" x14ac:dyDescent="0.25">
      <c r="A1240" s="91">
        <v>42644</v>
      </c>
      <c r="B1240" s="96">
        <f t="shared" si="19"/>
        <v>2016</v>
      </c>
      <c r="C1240">
        <v>129.1</v>
      </c>
    </row>
    <row r="1241" spans="1:3" x14ac:dyDescent="0.25">
      <c r="A1241" s="91">
        <v>42675</v>
      </c>
      <c r="B1241" s="96">
        <f t="shared" si="19"/>
        <v>2016</v>
      </c>
      <c r="C1241">
        <v>128.6</v>
      </c>
    </row>
    <row r="1242" spans="1:3" x14ac:dyDescent="0.25">
      <c r="A1242" s="91">
        <v>42705</v>
      </c>
      <c r="B1242" s="96">
        <f t="shared" si="19"/>
        <v>2016</v>
      </c>
      <c r="C1242">
        <v>128.4</v>
      </c>
    </row>
    <row r="1243" spans="1:3" x14ac:dyDescent="0.25">
      <c r="A1243" s="91">
        <v>42736</v>
      </c>
      <c r="B1243" s="96">
        <f t="shared" si="19"/>
        <v>2017</v>
      </c>
      <c r="C1243">
        <v>129.5</v>
      </c>
    </row>
    <row r="1244" spans="1:3" x14ac:dyDescent="0.25">
      <c r="A1244" s="91">
        <v>42767</v>
      </c>
      <c r="B1244" s="96">
        <f t="shared" si="19"/>
        <v>2017</v>
      </c>
      <c r="C1244">
        <v>129.69999999999999</v>
      </c>
    </row>
    <row r="1245" spans="1:3" x14ac:dyDescent="0.25">
      <c r="A1245" s="91">
        <v>42795</v>
      </c>
      <c r="B1245" s="96">
        <f t="shared" si="19"/>
        <v>2017</v>
      </c>
      <c r="C1245">
        <v>129.9</v>
      </c>
    </row>
    <row r="1246" spans="1:3" x14ac:dyDescent="0.25">
      <c r="A1246" s="91">
        <v>42826</v>
      </c>
      <c r="B1246" s="96">
        <f t="shared" si="19"/>
        <v>2017</v>
      </c>
      <c r="C1246">
        <v>130.4</v>
      </c>
    </row>
    <row r="1247" spans="1:3" x14ac:dyDescent="0.25">
      <c r="A1247" s="91">
        <v>42856</v>
      </c>
      <c r="B1247" s="96">
        <f t="shared" si="19"/>
        <v>2017</v>
      </c>
      <c r="C1247">
        <v>130.5</v>
      </c>
    </row>
    <row r="1248" spans="1:3" x14ac:dyDescent="0.25">
      <c r="A1248" s="91">
        <v>42887</v>
      </c>
      <c r="B1248" s="96">
        <f t="shared" si="19"/>
        <v>2017</v>
      </c>
      <c r="C1248">
        <v>130.4</v>
      </c>
    </row>
    <row r="1249" spans="1:3" x14ac:dyDescent="0.25">
      <c r="A1249" s="91" t="s">
        <v>141</v>
      </c>
      <c r="B1249" s="91"/>
    </row>
    <row r="1250" spans="1:3" x14ac:dyDescent="0.25">
      <c r="A1250" s="91">
        <v>2</v>
      </c>
      <c r="B1250" s="91"/>
      <c r="C1250" t="s">
        <v>142</v>
      </c>
    </row>
    <row r="1251" spans="1:3" x14ac:dyDescent="0.25">
      <c r="A1251" s="91">
        <v>9</v>
      </c>
      <c r="B1251" s="91"/>
      <c r="C1251" t="s">
        <v>143</v>
      </c>
    </row>
    <row r="1252" spans="1:3" x14ac:dyDescent="0.25">
      <c r="A1252" s="91">
        <v>15</v>
      </c>
      <c r="B1252" s="91"/>
      <c r="C1252" t="s">
        <v>144</v>
      </c>
    </row>
    <row r="1253" spans="1:3" x14ac:dyDescent="0.25">
      <c r="A1253" s="91" t="s">
        <v>145</v>
      </c>
      <c r="B1253" s="91"/>
    </row>
    <row r="1254" spans="1:3" x14ac:dyDescent="0.25">
      <c r="A1254" s="91" t="s">
        <v>146</v>
      </c>
      <c r="B1254" s="91"/>
    </row>
    <row r="1255" spans="1:3" x14ac:dyDescent="0.25">
      <c r="A1255" s="91" t="s">
        <v>147</v>
      </c>
      <c r="B1255" s="91"/>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701"/>
  <sheetViews>
    <sheetView workbookViewId="0">
      <selection activeCell="N602" sqref="N602"/>
    </sheetView>
  </sheetViews>
  <sheetFormatPr defaultRowHeight="15" x14ac:dyDescent="0.25"/>
  <cols>
    <col min="1" max="2" width="13.5703125" customWidth="1"/>
  </cols>
  <sheetData>
    <row r="1" spans="1:3" x14ac:dyDescent="0.25">
      <c r="A1" s="92" t="s">
        <v>148</v>
      </c>
      <c r="B1" s="92"/>
      <c r="C1" s="92"/>
    </row>
    <row r="2" spans="1:3" x14ac:dyDescent="0.25">
      <c r="A2" s="92" t="s">
        <v>149</v>
      </c>
      <c r="B2" s="92"/>
      <c r="C2" s="92"/>
    </row>
    <row r="3" spans="1:3" x14ac:dyDescent="0.25">
      <c r="A3" s="92" t="s">
        <v>150</v>
      </c>
      <c r="B3" s="92"/>
      <c r="C3" s="92"/>
    </row>
    <row r="4" spans="1:3" x14ac:dyDescent="0.25">
      <c r="A4" s="92" t="s">
        <v>151</v>
      </c>
      <c r="B4" s="92"/>
      <c r="C4" s="92"/>
    </row>
    <row r="5" spans="1:3" x14ac:dyDescent="0.25">
      <c r="A5" s="92" t="s">
        <v>152</v>
      </c>
      <c r="B5" s="92"/>
      <c r="C5" s="92"/>
    </row>
    <row r="6" spans="1:3" x14ac:dyDescent="0.25">
      <c r="A6" s="92" t="s">
        <v>153</v>
      </c>
      <c r="B6" s="92"/>
      <c r="C6" s="92"/>
    </row>
    <row r="8" spans="1:3" x14ac:dyDescent="0.25">
      <c r="A8" s="92" t="s">
        <v>154</v>
      </c>
      <c r="B8" s="92"/>
      <c r="C8" s="92" t="s">
        <v>155</v>
      </c>
    </row>
    <row r="10" spans="1:3" x14ac:dyDescent="0.25">
      <c r="A10" s="92" t="s">
        <v>156</v>
      </c>
      <c r="B10" s="92"/>
      <c r="C10" s="92"/>
    </row>
    <row r="11" spans="1:3" x14ac:dyDescent="0.25">
      <c r="A11" s="92" t="s">
        <v>157</v>
      </c>
      <c r="B11" s="92"/>
      <c r="C11" s="92" t="s">
        <v>154</v>
      </c>
    </row>
    <row r="12" spans="1:3" x14ac:dyDescent="0.25">
      <c r="A12" s="93">
        <v>21916</v>
      </c>
      <c r="B12" s="95">
        <f>YEAR(A12)</f>
        <v>1960</v>
      </c>
      <c r="C12" s="94">
        <v>5.54</v>
      </c>
    </row>
    <row r="13" spans="1:3" x14ac:dyDescent="0.25">
      <c r="A13" s="93">
        <v>21947</v>
      </c>
      <c r="B13" s="95">
        <f t="shared" ref="B13:B76" si="0">YEAR(A13)</f>
        <v>1960</v>
      </c>
      <c r="C13" s="94">
        <v>5.46</v>
      </c>
    </row>
    <row r="14" spans="1:3" x14ac:dyDescent="0.25">
      <c r="A14" s="93">
        <v>21976</v>
      </c>
      <c r="B14" s="95">
        <f t="shared" si="0"/>
        <v>1960</v>
      </c>
      <c r="C14" s="94">
        <v>5.39</v>
      </c>
    </row>
    <row r="15" spans="1:3" x14ac:dyDescent="0.25">
      <c r="A15" s="93">
        <v>22007</v>
      </c>
      <c r="B15" s="95">
        <f t="shared" si="0"/>
        <v>1960</v>
      </c>
      <c r="C15" s="94">
        <v>5.29</v>
      </c>
    </row>
    <row r="16" spans="1:3" x14ac:dyDescent="0.25">
      <c r="A16" s="93">
        <v>22037</v>
      </c>
      <c r="B16" s="95">
        <f t="shared" si="0"/>
        <v>1960</v>
      </c>
      <c r="C16" s="94">
        <v>5.21</v>
      </c>
    </row>
    <row r="17" spans="1:3" x14ac:dyDescent="0.25">
      <c r="A17" s="93">
        <v>22068</v>
      </c>
      <c r="B17" s="95">
        <f t="shared" si="0"/>
        <v>1960</v>
      </c>
      <c r="C17" s="94">
        <v>5.07</v>
      </c>
    </row>
    <row r="18" spans="1:3" x14ac:dyDescent="0.25">
      <c r="A18" s="93">
        <v>22098</v>
      </c>
      <c r="B18" s="95">
        <f t="shared" si="0"/>
        <v>1960</v>
      </c>
      <c r="C18" s="94">
        <v>5.08</v>
      </c>
    </row>
    <row r="19" spans="1:3" x14ac:dyDescent="0.25">
      <c r="A19" s="93">
        <v>22129</v>
      </c>
      <c r="B19" s="95">
        <f t="shared" si="0"/>
        <v>1960</v>
      </c>
      <c r="C19" s="94">
        <v>4.9800000000000004</v>
      </c>
    </row>
    <row r="20" spans="1:3" x14ac:dyDescent="0.25">
      <c r="A20" s="93">
        <v>22160</v>
      </c>
      <c r="B20" s="95">
        <f t="shared" si="0"/>
        <v>1960</v>
      </c>
      <c r="C20" s="94">
        <v>4.8</v>
      </c>
    </row>
    <row r="21" spans="1:3" x14ac:dyDescent="0.25">
      <c r="A21" s="93">
        <v>22190</v>
      </c>
      <c r="B21" s="95">
        <f t="shared" si="0"/>
        <v>1960</v>
      </c>
      <c r="C21" s="94">
        <v>4.96</v>
      </c>
    </row>
    <row r="22" spans="1:3" x14ac:dyDescent="0.25">
      <c r="A22" s="93">
        <v>22221</v>
      </c>
      <c r="B22" s="95">
        <f t="shared" si="0"/>
        <v>1960</v>
      </c>
      <c r="C22" s="94">
        <v>5.2</v>
      </c>
    </row>
    <row r="23" spans="1:3" x14ac:dyDescent="0.25">
      <c r="A23" s="93">
        <v>22251</v>
      </c>
      <c r="B23" s="95">
        <f t="shared" si="0"/>
        <v>1960</v>
      </c>
      <c r="C23" s="94">
        <v>5.28</v>
      </c>
    </row>
    <row r="24" spans="1:3" x14ac:dyDescent="0.25">
      <c r="A24" s="93">
        <v>22282</v>
      </c>
      <c r="B24" s="95">
        <f t="shared" si="0"/>
        <v>1961</v>
      </c>
      <c r="C24" s="94">
        <v>5.27</v>
      </c>
    </row>
    <row r="25" spans="1:3" x14ac:dyDescent="0.25">
      <c r="A25" s="93">
        <v>22313</v>
      </c>
      <c r="B25" s="95">
        <f t="shared" si="0"/>
        <v>1961</v>
      </c>
      <c r="C25" s="94">
        <v>5.17</v>
      </c>
    </row>
    <row r="26" spans="1:3" x14ac:dyDescent="0.25">
      <c r="A26" s="93">
        <v>22341</v>
      </c>
      <c r="B26" s="95">
        <f t="shared" si="0"/>
        <v>1961</v>
      </c>
      <c r="C26" s="94">
        <v>5.14</v>
      </c>
    </row>
    <row r="27" spans="1:3" x14ac:dyDescent="0.25">
      <c r="A27" s="93">
        <v>22372</v>
      </c>
      <c r="B27" s="95">
        <f t="shared" si="0"/>
        <v>1961</v>
      </c>
      <c r="C27" s="94">
        <v>5.21</v>
      </c>
    </row>
    <row r="28" spans="1:3" x14ac:dyDescent="0.25">
      <c r="A28" s="93">
        <v>22402</v>
      </c>
      <c r="B28" s="95">
        <f t="shared" si="0"/>
        <v>1961</v>
      </c>
      <c r="C28" s="94">
        <v>5.17</v>
      </c>
    </row>
    <row r="29" spans="1:3" x14ac:dyDescent="0.25">
      <c r="A29" s="93">
        <v>22433</v>
      </c>
      <c r="B29" s="95">
        <f t="shared" si="0"/>
        <v>1961</v>
      </c>
      <c r="C29" s="94">
        <v>5.04</v>
      </c>
    </row>
    <row r="30" spans="1:3" x14ac:dyDescent="0.25">
      <c r="A30" s="93">
        <v>22463</v>
      </c>
      <c r="B30" s="95">
        <f t="shared" si="0"/>
        <v>1961</v>
      </c>
      <c r="C30" s="94">
        <v>4.95</v>
      </c>
    </row>
    <row r="31" spans="1:3" x14ac:dyDescent="0.25">
      <c r="A31" s="93">
        <v>22494</v>
      </c>
      <c r="B31" s="95">
        <f t="shared" si="0"/>
        <v>1961</v>
      </c>
      <c r="C31" s="94">
        <v>4.99</v>
      </c>
    </row>
    <row r="32" spans="1:3" x14ac:dyDescent="0.25">
      <c r="A32" s="93">
        <v>22525</v>
      </c>
      <c r="B32" s="95">
        <f t="shared" si="0"/>
        <v>1961</v>
      </c>
      <c r="C32" s="94">
        <v>4.9800000000000004</v>
      </c>
    </row>
    <row r="33" spans="1:3" x14ac:dyDescent="0.25">
      <c r="A33" s="93">
        <v>22555</v>
      </c>
      <c r="B33" s="95">
        <f t="shared" si="0"/>
        <v>1961</v>
      </c>
      <c r="C33" s="94">
        <v>4.97</v>
      </c>
    </row>
    <row r="34" spans="1:3" x14ac:dyDescent="0.25">
      <c r="A34" s="93">
        <v>22586</v>
      </c>
      <c r="B34" s="95">
        <f t="shared" si="0"/>
        <v>1961</v>
      </c>
      <c r="C34" s="94">
        <v>4.87</v>
      </c>
    </row>
    <row r="35" spans="1:3" x14ac:dyDescent="0.25">
      <c r="A35" s="93">
        <v>22616</v>
      </c>
      <c r="B35" s="95">
        <f t="shared" si="0"/>
        <v>1961</v>
      </c>
      <c r="C35" s="94">
        <v>4.9400000000000004</v>
      </c>
    </row>
    <row r="36" spans="1:3" x14ac:dyDescent="0.25">
      <c r="A36" s="93">
        <v>22647</v>
      </c>
      <c r="B36" s="95">
        <f t="shared" si="0"/>
        <v>1962</v>
      </c>
      <c r="C36" s="94">
        <v>4.96</v>
      </c>
    </row>
    <row r="37" spans="1:3" x14ac:dyDescent="0.25">
      <c r="A37" s="93">
        <v>22678</v>
      </c>
      <c r="B37" s="95">
        <f t="shared" si="0"/>
        <v>1962</v>
      </c>
      <c r="C37" s="94">
        <v>4.95</v>
      </c>
    </row>
    <row r="38" spans="1:3" x14ac:dyDescent="0.25">
      <c r="A38" s="93">
        <v>22706</v>
      </c>
      <c r="B38" s="95">
        <f t="shared" si="0"/>
        <v>1962</v>
      </c>
      <c r="C38" s="94">
        <v>4.88</v>
      </c>
    </row>
    <row r="39" spans="1:3" x14ac:dyDescent="0.25">
      <c r="A39" s="93">
        <v>22737</v>
      </c>
      <c r="B39" s="95">
        <f t="shared" si="0"/>
        <v>1962</v>
      </c>
      <c r="C39" s="94">
        <v>4.8099999999999996</v>
      </c>
    </row>
    <row r="40" spans="1:3" x14ac:dyDescent="0.25">
      <c r="A40" s="93">
        <v>22767</v>
      </c>
      <c r="B40" s="95">
        <f t="shared" si="0"/>
        <v>1962</v>
      </c>
      <c r="C40" s="94">
        <v>4.8899999999999997</v>
      </c>
    </row>
    <row r="41" spans="1:3" x14ac:dyDescent="0.25">
      <c r="A41" s="93">
        <v>22798</v>
      </c>
      <c r="B41" s="95">
        <f t="shared" si="0"/>
        <v>1962</v>
      </c>
      <c r="C41" s="94">
        <v>5.13</v>
      </c>
    </row>
    <row r="42" spans="1:3" x14ac:dyDescent="0.25">
      <c r="A42" s="93">
        <v>22828</v>
      </c>
      <c r="B42" s="95">
        <f t="shared" si="0"/>
        <v>1962</v>
      </c>
      <c r="C42" s="94">
        <v>5.41</v>
      </c>
    </row>
    <row r="43" spans="1:3" x14ac:dyDescent="0.25">
      <c r="A43" s="93">
        <v>22859</v>
      </c>
      <c r="B43" s="95">
        <f t="shared" si="0"/>
        <v>1962</v>
      </c>
      <c r="C43" s="94">
        <v>5.42</v>
      </c>
    </row>
    <row r="44" spans="1:3" x14ac:dyDescent="0.25">
      <c r="A44" s="93">
        <v>22890</v>
      </c>
      <c r="B44" s="95">
        <f t="shared" si="0"/>
        <v>1962</v>
      </c>
      <c r="C44" s="94">
        <v>5.38</v>
      </c>
    </row>
    <row r="45" spans="1:3" x14ac:dyDescent="0.25">
      <c r="A45" s="93">
        <v>22920</v>
      </c>
      <c r="B45" s="95">
        <f t="shared" si="0"/>
        <v>1962</v>
      </c>
      <c r="C45" s="94">
        <v>5.19</v>
      </c>
    </row>
    <row r="46" spans="1:3" x14ac:dyDescent="0.25">
      <c r="A46" s="93">
        <v>22951</v>
      </c>
      <c r="B46" s="95">
        <f t="shared" si="0"/>
        <v>1962</v>
      </c>
      <c r="C46" s="94">
        <v>5.0599999999999996</v>
      </c>
    </row>
    <row r="47" spans="1:3" x14ac:dyDescent="0.25">
      <c r="A47" s="93">
        <v>22981</v>
      </c>
      <c r="B47" s="95">
        <f t="shared" si="0"/>
        <v>1962</v>
      </c>
      <c r="C47" s="94">
        <v>5.1100000000000003</v>
      </c>
    </row>
    <row r="48" spans="1:3" x14ac:dyDescent="0.25">
      <c r="A48" s="93">
        <v>23012</v>
      </c>
      <c r="B48" s="95">
        <f t="shared" si="0"/>
        <v>1963</v>
      </c>
      <c r="C48" s="94">
        <v>5.0999999999999996</v>
      </c>
    </row>
    <row r="49" spans="1:3" x14ac:dyDescent="0.25">
      <c r="A49" s="93">
        <v>23043</v>
      </c>
      <c r="B49" s="95">
        <f t="shared" si="0"/>
        <v>1963</v>
      </c>
      <c r="C49" s="94">
        <v>5.1100000000000003</v>
      </c>
    </row>
    <row r="50" spans="1:3" x14ac:dyDescent="0.25">
      <c r="A50" s="93">
        <v>23071</v>
      </c>
      <c r="B50" s="95">
        <f t="shared" si="0"/>
        <v>1963</v>
      </c>
      <c r="C50" s="94">
        <v>5.1100000000000003</v>
      </c>
    </row>
    <row r="51" spans="1:3" x14ac:dyDescent="0.25">
      <c r="A51" s="93">
        <v>23102</v>
      </c>
      <c r="B51" s="95">
        <f t="shared" si="0"/>
        <v>1963</v>
      </c>
      <c r="C51" s="94">
        <v>5.01</v>
      </c>
    </row>
    <row r="52" spans="1:3" x14ac:dyDescent="0.25">
      <c r="A52" s="93">
        <v>23132</v>
      </c>
      <c r="B52" s="95">
        <f t="shared" si="0"/>
        <v>1963</v>
      </c>
      <c r="C52" s="94">
        <v>4.95</v>
      </c>
    </row>
    <row r="53" spans="1:3" x14ac:dyDescent="0.25">
      <c r="A53" s="93">
        <v>23163</v>
      </c>
      <c r="B53" s="95">
        <f t="shared" si="0"/>
        <v>1963</v>
      </c>
      <c r="C53" s="94">
        <v>4.95</v>
      </c>
    </row>
    <row r="54" spans="1:3" x14ac:dyDescent="0.25">
      <c r="A54" s="93">
        <v>23193</v>
      </c>
      <c r="B54" s="95">
        <f t="shared" si="0"/>
        <v>1963</v>
      </c>
      <c r="C54" s="94">
        <v>5.0599999999999996</v>
      </c>
    </row>
    <row r="55" spans="1:3" x14ac:dyDescent="0.25">
      <c r="A55" s="93">
        <v>23224</v>
      </c>
      <c r="B55" s="95">
        <f t="shared" si="0"/>
        <v>1963</v>
      </c>
      <c r="C55" s="94">
        <v>5.22</v>
      </c>
    </row>
    <row r="56" spans="1:3" x14ac:dyDescent="0.25">
      <c r="A56" s="93">
        <v>23255</v>
      </c>
      <c r="B56" s="95">
        <f t="shared" si="0"/>
        <v>1963</v>
      </c>
      <c r="C56" s="94">
        <v>5.22</v>
      </c>
    </row>
    <row r="57" spans="1:3" x14ac:dyDescent="0.25">
      <c r="A57" s="93">
        <v>23285</v>
      </c>
      <c r="B57" s="95">
        <f t="shared" si="0"/>
        <v>1963</v>
      </c>
      <c r="C57" s="94">
        <v>5.07</v>
      </c>
    </row>
    <row r="58" spans="1:3" x14ac:dyDescent="0.25">
      <c r="A58" s="93">
        <v>23316</v>
      </c>
      <c r="B58" s="95">
        <f t="shared" si="0"/>
        <v>1963</v>
      </c>
      <c r="C58" s="94">
        <v>5.14</v>
      </c>
    </row>
    <row r="59" spans="1:3" x14ac:dyDescent="0.25">
      <c r="A59" s="93">
        <v>23346</v>
      </c>
      <c r="B59" s="95">
        <f t="shared" si="0"/>
        <v>1963</v>
      </c>
      <c r="C59" s="94">
        <v>5.15</v>
      </c>
    </row>
    <row r="60" spans="1:3" x14ac:dyDescent="0.25">
      <c r="A60" s="93">
        <v>23377</v>
      </c>
      <c r="B60" s="95">
        <f t="shared" si="0"/>
        <v>1964</v>
      </c>
      <c r="C60" s="94">
        <v>5.17</v>
      </c>
    </row>
    <row r="61" spans="1:3" x14ac:dyDescent="0.25">
      <c r="A61" s="93">
        <v>23408</v>
      </c>
      <c r="B61" s="95">
        <f t="shared" si="0"/>
        <v>1964</v>
      </c>
      <c r="C61" s="94">
        <v>5.17</v>
      </c>
    </row>
    <row r="62" spans="1:3" x14ac:dyDescent="0.25">
      <c r="A62" s="93">
        <v>23437</v>
      </c>
      <c r="B62" s="95">
        <f t="shared" si="0"/>
        <v>1964</v>
      </c>
      <c r="C62" s="94">
        <v>5.22</v>
      </c>
    </row>
    <row r="63" spans="1:3" x14ac:dyDescent="0.25">
      <c r="A63" s="93">
        <v>23468</v>
      </c>
      <c r="B63" s="95">
        <f t="shared" si="0"/>
        <v>1964</v>
      </c>
      <c r="C63" s="94">
        <v>5.24</v>
      </c>
    </row>
    <row r="64" spans="1:3" x14ac:dyDescent="0.25">
      <c r="A64" s="93">
        <v>23498</v>
      </c>
      <c r="B64" s="95">
        <f t="shared" si="0"/>
        <v>1964</v>
      </c>
      <c r="C64" s="94">
        <v>5.2</v>
      </c>
    </row>
    <row r="65" spans="1:3" x14ac:dyDescent="0.25">
      <c r="A65" s="93">
        <v>23529</v>
      </c>
      <c r="B65" s="95">
        <f t="shared" si="0"/>
        <v>1964</v>
      </c>
      <c r="C65" s="94">
        <v>5.2</v>
      </c>
    </row>
    <row r="66" spans="1:3" x14ac:dyDescent="0.25">
      <c r="A66" s="93">
        <v>23559</v>
      </c>
      <c r="B66" s="95">
        <f t="shared" si="0"/>
        <v>1964</v>
      </c>
      <c r="C66" s="94">
        <v>5.21</v>
      </c>
    </row>
    <row r="67" spans="1:3" x14ac:dyDescent="0.25">
      <c r="A67" s="93">
        <v>23590</v>
      </c>
      <c r="B67" s="95">
        <f t="shared" si="0"/>
        <v>1964</v>
      </c>
      <c r="C67" s="94">
        <v>5.24</v>
      </c>
    </row>
    <row r="68" spans="1:3" x14ac:dyDescent="0.25">
      <c r="A68" s="93">
        <v>23621</v>
      </c>
      <c r="B68" s="95">
        <f t="shared" si="0"/>
        <v>1964</v>
      </c>
      <c r="C68" s="94">
        <v>5.22</v>
      </c>
    </row>
    <row r="69" spans="1:3" x14ac:dyDescent="0.25">
      <c r="A69" s="93">
        <v>23651</v>
      </c>
      <c r="B69" s="95">
        <f t="shared" si="0"/>
        <v>1964</v>
      </c>
      <c r="C69" s="94">
        <v>5.19</v>
      </c>
    </row>
    <row r="70" spans="1:3" x14ac:dyDescent="0.25">
      <c r="A70" s="93">
        <v>23682</v>
      </c>
      <c r="B70" s="95">
        <f t="shared" si="0"/>
        <v>1964</v>
      </c>
      <c r="C70" s="94">
        <v>5.09</v>
      </c>
    </row>
    <row r="71" spans="1:3" x14ac:dyDescent="0.25">
      <c r="A71" s="93">
        <v>23712</v>
      </c>
      <c r="B71" s="95">
        <f t="shared" si="0"/>
        <v>1964</v>
      </c>
      <c r="C71" s="94">
        <v>5.0599999999999996</v>
      </c>
    </row>
    <row r="72" spans="1:3" x14ac:dyDescent="0.25">
      <c r="A72" s="93">
        <v>23743</v>
      </c>
      <c r="B72" s="95">
        <f t="shared" si="0"/>
        <v>1965</v>
      </c>
      <c r="C72" s="94">
        <v>4.9800000000000004</v>
      </c>
    </row>
    <row r="73" spans="1:3" x14ac:dyDescent="0.25">
      <c r="A73" s="93">
        <v>23774</v>
      </c>
      <c r="B73" s="95">
        <f t="shared" si="0"/>
        <v>1965</v>
      </c>
      <c r="C73" s="94">
        <v>5</v>
      </c>
    </row>
    <row r="74" spans="1:3" x14ac:dyDescent="0.25">
      <c r="A74" s="93">
        <v>23802</v>
      </c>
      <c r="B74" s="95">
        <f t="shared" si="0"/>
        <v>1965</v>
      </c>
      <c r="C74" s="94">
        <v>5.09</v>
      </c>
    </row>
    <row r="75" spans="1:3" x14ac:dyDescent="0.25">
      <c r="A75" s="93">
        <v>23833</v>
      </c>
      <c r="B75" s="95">
        <f t="shared" si="0"/>
        <v>1965</v>
      </c>
      <c r="C75" s="94">
        <v>5.05</v>
      </c>
    </row>
    <row r="76" spans="1:3" x14ac:dyDescent="0.25">
      <c r="A76" s="93">
        <v>23863</v>
      </c>
      <c r="B76" s="95">
        <f t="shared" si="0"/>
        <v>1965</v>
      </c>
      <c r="C76" s="94">
        <v>5.08</v>
      </c>
    </row>
    <row r="77" spans="1:3" x14ac:dyDescent="0.25">
      <c r="A77" s="93">
        <v>23894</v>
      </c>
      <c r="B77" s="95">
        <f t="shared" ref="B77:B140" si="1">YEAR(A77)</f>
        <v>1965</v>
      </c>
      <c r="C77" s="94">
        <v>5.15</v>
      </c>
    </row>
    <row r="78" spans="1:3" x14ac:dyDescent="0.25">
      <c r="A78" s="93">
        <v>23924</v>
      </c>
      <c r="B78" s="95">
        <f t="shared" si="1"/>
        <v>1965</v>
      </c>
      <c r="C78" s="94">
        <v>5.24</v>
      </c>
    </row>
    <row r="79" spans="1:3" x14ac:dyDescent="0.25">
      <c r="A79" s="93">
        <v>23955</v>
      </c>
      <c r="B79" s="95">
        <f t="shared" si="1"/>
        <v>1965</v>
      </c>
      <c r="C79" s="94">
        <v>5.3</v>
      </c>
    </row>
    <row r="80" spans="1:3" x14ac:dyDescent="0.25">
      <c r="A80" s="93">
        <v>23986</v>
      </c>
      <c r="B80" s="95">
        <f t="shared" si="1"/>
        <v>1965</v>
      </c>
      <c r="C80" s="94">
        <v>5.3</v>
      </c>
    </row>
    <row r="81" spans="1:3" x14ac:dyDescent="0.25">
      <c r="A81" s="93">
        <v>24016</v>
      </c>
      <c r="B81" s="95">
        <f t="shared" si="1"/>
        <v>1965</v>
      </c>
      <c r="C81" s="94">
        <v>5.36</v>
      </c>
    </row>
    <row r="82" spans="1:3" x14ac:dyDescent="0.25">
      <c r="A82" s="93">
        <v>24047</v>
      </c>
      <c r="B82" s="95">
        <f t="shared" si="1"/>
        <v>1965</v>
      </c>
      <c r="C82" s="94">
        <v>5.42</v>
      </c>
    </row>
    <row r="83" spans="1:3" x14ac:dyDescent="0.25">
      <c r="A83" s="93">
        <v>24077</v>
      </c>
      <c r="B83" s="95">
        <f t="shared" si="1"/>
        <v>1965</v>
      </c>
      <c r="C83" s="94">
        <v>5.42</v>
      </c>
    </row>
    <row r="84" spans="1:3" x14ac:dyDescent="0.25">
      <c r="A84" s="93">
        <v>24108</v>
      </c>
      <c r="B84" s="95">
        <f t="shared" si="1"/>
        <v>1966</v>
      </c>
      <c r="C84" s="94">
        <v>5.41</v>
      </c>
    </row>
    <row r="85" spans="1:3" x14ac:dyDescent="0.25">
      <c r="A85" s="93">
        <v>24139</v>
      </c>
      <c r="B85" s="95">
        <f t="shared" si="1"/>
        <v>1966</v>
      </c>
      <c r="C85" s="94">
        <v>5.54</v>
      </c>
    </row>
    <row r="86" spans="1:3" x14ac:dyDescent="0.25">
      <c r="A86" s="93">
        <v>24167</v>
      </c>
      <c r="B86" s="95">
        <f t="shared" si="1"/>
        <v>1966</v>
      </c>
      <c r="C86" s="94">
        <v>5.63</v>
      </c>
    </row>
    <row r="87" spans="1:3" x14ac:dyDescent="0.25">
      <c r="A87" s="93">
        <v>24198</v>
      </c>
      <c r="B87" s="95">
        <f t="shared" si="1"/>
        <v>1966</v>
      </c>
      <c r="C87" s="94">
        <v>5.6</v>
      </c>
    </row>
    <row r="88" spans="1:3" x14ac:dyDescent="0.25">
      <c r="A88" s="93">
        <v>24228</v>
      </c>
      <c r="B88" s="95">
        <f t="shared" si="1"/>
        <v>1966</v>
      </c>
      <c r="C88" s="94">
        <v>5.6</v>
      </c>
    </row>
    <row r="89" spans="1:3" x14ac:dyDescent="0.25">
      <c r="A89" s="93">
        <v>24259</v>
      </c>
      <c r="B89" s="95">
        <f t="shared" si="1"/>
        <v>1966</v>
      </c>
      <c r="C89" s="94">
        <v>5.64</v>
      </c>
    </row>
    <row r="90" spans="1:3" x14ac:dyDescent="0.25">
      <c r="A90" s="93">
        <v>24289</v>
      </c>
      <c r="B90" s="95">
        <f t="shared" si="1"/>
        <v>1966</v>
      </c>
      <c r="C90" s="94">
        <v>5.72</v>
      </c>
    </row>
    <row r="91" spans="1:3" x14ac:dyDescent="0.25">
      <c r="A91" s="93">
        <v>24320</v>
      </c>
      <c r="B91" s="95">
        <f t="shared" si="1"/>
        <v>1966</v>
      </c>
      <c r="C91" s="94">
        <v>5.88</v>
      </c>
    </row>
    <row r="92" spans="1:3" x14ac:dyDescent="0.25">
      <c r="A92" s="93">
        <v>24351</v>
      </c>
      <c r="B92" s="95">
        <f t="shared" si="1"/>
        <v>1966</v>
      </c>
      <c r="C92" s="94">
        <v>5.79</v>
      </c>
    </row>
    <row r="93" spans="1:3" x14ac:dyDescent="0.25">
      <c r="A93" s="93">
        <v>24381</v>
      </c>
      <c r="B93" s="95">
        <f t="shared" si="1"/>
        <v>1966</v>
      </c>
      <c r="C93" s="94">
        <v>5.73</v>
      </c>
    </row>
    <row r="94" spans="1:3" x14ac:dyDescent="0.25">
      <c r="A94" s="93">
        <v>24412</v>
      </c>
      <c r="B94" s="95">
        <f t="shared" si="1"/>
        <v>1966</v>
      </c>
      <c r="C94" s="94">
        <v>5.82</v>
      </c>
    </row>
    <row r="95" spans="1:3" x14ac:dyDescent="0.25">
      <c r="A95" s="93">
        <v>24442</v>
      </c>
      <c r="B95" s="95">
        <f t="shared" si="1"/>
        <v>1966</v>
      </c>
      <c r="C95" s="94">
        <v>5.86</v>
      </c>
    </row>
    <row r="96" spans="1:3" x14ac:dyDescent="0.25">
      <c r="A96" s="93">
        <v>24473</v>
      </c>
      <c r="B96" s="95">
        <f t="shared" si="1"/>
        <v>1967</v>
      </c>
      <c r="C96" s="94">
        <v>5.62</v>
      </c>
    </row>
    <row r="97" spans="1:3" x14ac:dyDescent="0.25">
      <c r="A97" s="93">
        <v>24504</v>
      </c>
      <c r="B97" s="95">
        <f t="shared" si="1"/>
        <v>1967</v>
      </c>
      <c r="C97" s="94">
        <v>5.57</v>
      </c>
    </row>
    <row r="98" spans="1:3" x14ac:dyDescent="0.25">
      <c r="A98" s="93">
        <v>24532</v>
      </c>
      <c r="B98" s="95">
        <f t="shared" si="1"/>
        <v>1967</v>
      </c>
      <c r="C98" s="94">
        <v>5.5</v>
      </c>
    </row>
    <row r="99" spans="1:3" x14ac:dyDescent="0.25">
      <c r="A99" s="93">
        <v>24563</v>
      </c>
      <c r="B99" s="95">
        <f t="shared" si="1"/>
        <v>1967</v>
      </c>
      <c r="C99" s="94">
        <v>5.51</v>
      </c>
    </row>
    <row r="100" spans="1:3" x14ac:dyDescent="0.25">
      <c r="A100" s="93">
        <v>24593</v>
      </c>
      <c r="B100" s="95">
        <f t="shared" si="1"/>
        <v>1967</v>
      </c>
      <c r="C100" s="94">
        <v>5.72</v>
      </c>
    </row>
    <row r="101" spans="1:3" x14ac:dyDescent="0.25">
      <c r="A101" s="93">
        <v>24624</v>
      </c>
      <c r="B101" s="95">
        <f t="shared" si="1"/>
        <v>1967</v>
      </c>
      <c r="C101" s="94">
        <v>5.85</v>
      </c>
    </row>
    <row r="102" spans="1:3" x14ac:dyDescent="0.25">
      <c r="A102" s="93">
        <v>24654</v>
      </c>
      <c r="B102" s="95">
        <f t="shared" si="1"/>
        <v>1967</v>
      </c>
      <c r="C102" s="94">
        <v>5.85</v>
      </c>
    </row>
    <row r="103" spans="1:3" x14ac:dyDescent="0.25">
      <c r="A103" s="93">
        <v>24685</v>
      </c>
      <c r="B103" s="95">
        <f t="shared" si="1"/>
        <v>1967</v>
      </c>
      <c r="C103" s="94">
        <v>5.92</v>
      </c>
    </row>
    <row r="104" spans="1:3" x14ac:dyDescent="0.25">
      <c r="A104" s="93">
        <v>24716</v>
      </c>
      <c r="B104" s="95">
        <f t="shared" si="1"/>
        <v>1967</v>
      </c>
      <c r="C104" s="94">
        <v>6.05</v>
      </c>
    </row>
    <row r="105" spans="1:3" x14ac:dyDescent="0.25">
      <c r="A105" s="93">
        <v>24746</v>
      </c>
      <c r="B105" s="95">
        <f t="shared" si="1"/>
        <v>1967</v>
      </c>
      <c r="C105" s="94">
        <v>6.32</v>
      </c>
    </row>
    <row r="106" spans="1:3" x14ac:dyDescent="0.25">
      <c r="A106" s="93">
        <v>24777</v>
      </c>
      <c r="B106" s="95">
        <f t="shared" si="1"/>
        <v>1967</v>
      </c>
      <c r="C106" s="94">
        <v>6.39</v>
      </c>
    </row>
    <row r="107" spans="1:3" x14ac:dyDescent="0.25">
      <c r="A107" s="93">
        <v>24807</v>
      </c>
      <c r="B107" s="95">
        <f t="shared" si="1"/>
        <v>1967</v>
      </c>
      <c r="C107" s="94">
        <v>6.48</v>
      </c>
    </row>
    <row r="108" spans="1:3" x14ac:dyDescent="0.25">
      <c r="A108" s="93">
        <v>24838</v>
      </c>
      <c r="B108" s="95">
        <f t="shared" si="1"/>
        <v>1968</v>
      </c>
      <c r="C108" s="94">
        <v>6.49</v>
      </c>
    </row>
    <row r="109" spans="1:3" x14ac:dyDescent="0.25">
      <c r="A109" s="93">
        <v>24869</v>
      </c>
      <c r="B109" s="95">
        <f t="shared" si="1"/>
        <v>1968</v>
      </c>
      <c r="C109" s="94">
        <v>6.69</v>
      </c>
    </row>
    <row r="110" spans="1:3" x14ac:dyDescent="0.25">
      <c r="A110" s="93">
        <v>24898</v>
      </c>
      <c r="B110" s="95">
        <f t="shared" si="1"/>
        <v>1968</v>
      </c>
      <c r="C110" s="94">
        <v>6.88</v>
      </c>
    </row>
    <row r="111" spans="1:3" x14ac:dyDescent="0.25">
      <c r="A111" s="93">
        <v>24929</v>
      </c>
      <c r="B111" s="95">
        <f t="shared" si="1"/>
        <v>1968</v>
      </c>
      <c r="C111" s="94">
        <v>6.61</v>
      </c>
    </row>
    <row r="112" spans="1:3" x14ac:dyDescent="0.25">
      <c r="A112" s="93">
        <v>24959</v>
      </c>
      <c r="B112" s="95">
        <f t="shared" si="1"/>
        <v>1968</v>
      </c>
      <c r="C112" s="94">
        <v>6.81</v>
      </c>
    </row>
    <row r="113" spans="1:3" x14ac:dyDescent="0.25">
      <c r="A113" s="93">
        <v>24990</v>
      </c>
      <c r="B113" s="95">
        <f t="shared" si="1"/>
        <v>1968</v>
      </c>
      <c r="C113" s="94">
        <v>6.74</v>
      </c>
    </row>
    <row r="114" spans="1:3" x14ac:dyDescent="0.25">
      <c r="A114" s="93">
        <v>25020</v>
      </c>
      <c r="B114" s="95">
        <f t="shared" si="1"/>
        <v>1968</v>
      </c>
      <c r="C114" s="94">
        <v>6.6</v>
      </c>
    </row>
    <row r="115" spans="1:3" x14ac:dyDescent="0.25">
      <c r="A115" s="93">
        <v>25051</v>
      </c>
      <c r="B115" s="95">
        <f t="shared" si="1"/>
        <v>1968</v>
      </c>
      <c r="C115" s="94">
        <v>6.45</v>
      </c>
    </row>
    <row r="116" spans="1:3" x14ac:dyDescent="0.25">
      <c r="A116" s="93">
        <v>25082</v>
      </c>
      <c r="B116" s="95">
        <f t="shared" si="1"/>
        <v>1968</v>
      </c>
      <c r="C116" s="94">
        <v>6.51</v>
      </c>
    </row>
    <row r="117" spans="1:3" x14ac:dyDescent="0.25">
      <c r="A117" s="93">
        <v>25112</v>
      </c>
      <c r="B117" s="95">
        <f t="shared" si="1"/>
        <v>1968</v>
      </c>
      <c r="C117" s="94">
        <v>6.8</v>
      </c>
    </row>
    <row r="118" spans="1:3" x14ac:dyDescent="0.25">
      <c r="A118" s="93">
        <v>25143</v>
      </c>
      <c r="B118" s="95">
        <f t="shared" si="1"/>
        <v>1968</v>
      </c>
      <c r="C118" s="94">
        <v>6.93</v>
      </c>
    </row>
    <row r="119" spans="1:3" x14ac:dyDescent="0.25">
      <c r="A119" s="93">
        <v>25173</v>
      </c>
      <c r="B119" s="95">
        <f t="shared" si="1"/>
        <v>1968</v>
      </c>
      <c r="C119" s="94">
        <v>7.19</v>
      </c>
    </row>
    <row r="120" spans="1:3" x14ac:dyDescent="0.25">
      <c r="A120" s="93">
        <v>25204</v>
      </c>
      <c r="B120" s="95">
        <f t="shared" si="1"/>
        <v>1969</v>
      </c>
      <c r="C120" s="94">
        <v>7.23</v>
      </c>
    </row>
    <row r="121" spans="1:3" x14ac:dyDescent="0.25">
      <c r="A121" s="93">
        <v>25235</v>
      </c>
      <c r="B121" s="95">
        <f t="shared" si="1"/>
        <v>1969</v>
      </c>
      <c r="C121" s="94">
        <v>7.16</v>
      </c>
    </row>
    <row r="122" spans="1:3" x14ac:dyDescent="0.25">
      <c r="A122" s="93">
        <v>25263</v>
      </c>
      <c r="B122" s="95">
        <f t="shared" si="1"/>
        <v>1969</v>
      </c>
      <c r="C122" s="94">
        <v>7.24</v>
      </c>
    </row>
    <row r="123" spans="1:3" x14ac:dyDescent="0.25">
      <c r="A123" s="93">
        <v>25294</v>
      </c>
      <c r="B123" s="95">
        <f t="shared" si="1"/>
        <v>1969</v>
      </c>
      <c r="C123" s="94">
        <v>7.23</v>
      </c>
    </row>
    <row r="124" spans="1:3" x14ac:dyDescent="0.25">
      <c r="A124" s="93">
        <v>25324</v>
      </c>
      <c r="B124" s="95">
        <f t="shared" si="1"/>
        <v>1969</v>
      </c>
      <c r="C124" s="94">
        <v>7.38</v>
      </c>
    </row>
    <row r="125" spans="1:3" x14ac:dyDescent="0.25">
      <c r="A125" s="93">
        <v>25355</v>
      </c>
      <c r="B125" s="95">
        <f t="shared" si="1"/>
        <v>1969</v>
      </c>
      <c r="C125" s="94">
        <v>7.55</v>
      </c>
    </row>
    <row r="126" spans="1:3" x14ac:dyDescent="0.25">
      <c r="A126" s="93">
        <v>25385</v>
      </c>
      <c r="B126" s="95">
        <f t="shared" si="1"/>
        <v>1969</v>
      </c>
      <c r="C126" s="94">
        <v>7.54</v>
      </c>
    </row>
    <row r="127" spans="1:3" x14ac:dyDescent="0.25">
      <c r="A127" s="93">
        <v>25416</v>
      </c>
      <c r="B127" s="95">
        <f t="shared" si="1"/>
        <v>1969</v>
      </c>
      <c r="C127" s="94">
        <v>7.51</v>
      </c>
    </row>
    <row r="128" spans="1:3" x14ac:dyDescent="0.25">
      <c r="A128" s="93">
        <v>25447</v>
      </c>
      <c r="B128" s="95">
        <f t="shared" si="1"/>
        <v>1969</v>
      </c>
      <c r="C128" s="94">
        <v>7.72</v>
      </c>
    </row>
    <row r="129" spans="1:3" x14ac:dyDescent="0.25">
      <c r="A129" s="93">
        <v>25477</v>
      </c>
      <c r="B129" s="95">
        <f t="shared" si="1"/>
        <v>1969</v>
      </c>
      <c r="C129" s="94">
        <v>7.84</v>
      </c>
    </row>
    <row r="130" spans="1:3" x14ac:dyDescent="0.25">
      <c r="A130" s="93">
        <v>25508</v>
      </c>
      <c r="B130" s="95">
        <f t="shared" si="1"/>
        <v>1969</v>
      </c>
      <c r="C130" s="94">
        <v>8.0299999999999994</v>
      </c>
    </row>
    <row r="131" spans="1:3" x14ac:dyDescent="0.25">
      <c r="A131" s="93">
        <v>25538</v>
      </c>
      <c r="B131" s="95">
        <f t="shared" si="1"/>
        <v>1969</v>
      </c>
      <c r="C131" s="94">
        <v>8.27</v>
      </c>
    </row>
    <row r="132" spans="1:3" x14ac:dyDescent="0.25">
      <c r="A132" s="93">
        <v>25569</v>
      </c>
      <c r="B132" s="95">
        <f t="shared" si="1"/>
        <v>1970</v>
      </c>
      <c r="C132" s="94">
        <v>8.34</v>
      </c>
    </row>
    <row r="133" spans="1:3" x14ac:dyDescent="0.25">
      <c r="A133" s="93">
        <v>25600</v>
      </c>
      <c r="B133" s="95">
        <f t="shared" si="1"/>
        <v>1970</v>
      </c>
      <c r="C133" s="94">
        <v>8.2100000000000009</v>
      </c>
    </row>
    <row r="134" spans="1:3" x14ac:dyDescent="0.25">
      <c r="A134" s="93">
        <v>25628</v>
      </c>
      <c r="B134" s="95">
        <f t="shared" si="1"/>
        <v>1970</v>
      </c>
      <c r="C134" s="94">
        <v>8.0500000000000007</v>
      </c>
    </row>
    <row r="135" spans="1:3" x14ac:dyDescent="0.25">
      <c r="A135" s="93">
        <v>25659</v>
      </c>
      <c r="B135" s="95">
        <f t="shared" si="1"/>
        <v>1970</v>
      </c>
      <c r="C135" s="94">
        <v>7.88</v>
      </c>
    </row>
    <row r="136" spans="1:3" x14ac:dyDescent="0.25">
      <c r="A136" s="93">
        <v>25689</v>
      </c>
      <c r="B136" s="95">
        <f t="shared" si="1"/>
        <v>1970</v>
      </c>
      <c r="C136" s="94">
        <v>8.18</v>
      </c>
    </row>
    <row r="137" spans="1:3" x14ac:dyDescent="0.25">
      <c r="A137" s="93">
        <v>25720</v>
      </c>
      <c r="B137" s="95">
        <f t="shared" si="1"/>
        <v>1970</v>
      </c>
      <c r="C137" s="94">
        <v>8.06</v>
      </c>
    </row>
    <row r="138" spans="1:3" x14ac:dyDescent="0.25">
      <c r="A138" s="93">
        <v>25750</v>
      </c>
      <c r="B138" s="95">
        <f t="shared" si="1"/>
        <v>1970</v>
      </c>
      <c r="C138" s="94">
        <v>7.97</v>
      </c>
    </row>
    <row r="139" spans="1:3" x14ac:dyDescent="0.25">
      <c r="A139" s="93">
        <v>25781</v>
      </c>
      <c r="B139" s="95">
        <f t="shared" si="1"/>
        <v>1970</v>
      </c>
      <c r="C139" s="94">
        <v>7.99</v>
      </c>
    </row>
    <row r="140" spans="1:3" x14ac:dyDescent="0.25">
      <c r="A140" s="93">
        <v>25812</v>
      </c>
      <c r="B140" s="95">
        <f t="shared" si="1"/>
        <v>1970</v>
      </c>
      <c r="C140" s="94">
        <v>7.92</v>
      </c>
    </row>
    <row r="141" spans="1:3" x14ac:dyDescent="0.25">
      <c r="A141" s="93">
        <v>25842</v>
      </c>
      <c r="B141" s="95">
        <f t="shared" ref="B141:B204" si="2">YEAR(A141)</f>
        <v>1970</v>
      </c>
      <c r="C141" s="94">
        <v>7.93</v>
      </c>
    </row>
    <row r="142" spans="1:3" x14ac:dyDescent="0.25">
      <c r="A142" s="93">
        <v>25873</v>
      </c>
      <c r="B142" s="95">
        <f t="shared" si="2"/>
        <v>1970</v>
      </c>
      <c r="C142" s="94">
        <v>7.8</v>
      </c>
    </row>
    <row r="143" spans="1:3" x14ac:dyDescent="0.25">
      <c r="A143" s="93">
        <v>25903</v>
      </c>
      <c r="B143" s="95">
        <f t="shared" si="2"/>
        <v>1970</v>
      </c>
      <c r="C143" s="94">
        <v>7.26</v>
      </c>
    </row>
    <row r="144" spans="1:3" x14ac:dyDescent="0.25">
      <c r="A144" s="93">
        <v>25934</v>
      </c>
      <c r="B144" s="95">
        <f t="shared" si="2"/>
        <v>1971</v>
      </c>
      <c r="C144" s="94">
        <v>6.69</v>
      </c>
    </row>
    <row r="145" spans="1:3" x14ac:dyDescent="0.25">
      <c r="A145" s="93">
        <v>25965</v>
      </c>
      <c r="B145" s="95">
        <f t="shared" si="2"/>
        <v>1971</v>
      </c>
      <c r="C145" s="94">
        <v>6.81</v>
      </c>
    </row>
    <row r="146" spans="1:3" x14ac:dyDescent="0.25">
      <c r="A146" s="93">
        <v>25993</v>
      </c>
      <c r="B146" s="95">
        <f t="shared" si="2"/>
        <v>1971</v>
      </c>
      <c r="C146" s="94">
        <v>6.8</v>
      </c>
    </row>
    <row r="147" spans="1:3" x14ac:dyDescent="0.25">
      <c r="A147" s="93">
        <v>26024</v>
      </c>
      <c r="B147" s="95">
        <f t="shared" si="2"/>
        <v>1971</v>
      </c>
      <c r="C147" s="94">
        <v>6.83</v>
      </c>
    </row>
    <row r="148" spans="1:3" x14ac:dyDescent="0.25">
      <c r="A148" s="93">
        <v>26054</v>
      </c>
      <c r="B148" s="95">
        <f t="shared" si="2"/>
        <v>1971</v>
      </c>
      <c r="C148" s="94">
        <v>7.19</v>
      </c>
    </row>
    <row r="149" spans="1:3" x14ac:dyDescent="0.25">
      <c r="A149" s="93">
        <v>26085</v>
      </c>
      <c r="B149" s="95">
        <f t="shared" si="2"/>
        <v>1971</v>
      </c>
      <c r="C149" s="94">
        <v>7.25</v>
      </c>
    </row>
    <row r="150" spans="1:3" x14ac:dyDescent="0.25">
      <c r="A150" s="93">
        <v>26115</v>
      </c>
      <c r="B150" s="95">
        <f t="shared" si="2"/>
        <v>1971</v>
      </c>
      <c r="C150" s="94">
        <v>7.41</v>
      </c>
    </row>
    <row r="151" spans="1:3" x14ac:dyDescent="0.25">
      <c r="A151" s="93">
        <v>26146</v>
      </c>
      <c r="B151" s="95">
        <f t="shared" si="2"/>
        <v>1971</v>
      </c>
      <c r="C151" s="94">
        <v>7.34</v>
      </c>
    </row>
    <row r="152" spans="1:3" x14ac:dyDescent="0.25">
      <c r="A152" s="93">
        <v>26177</v>
      </c>
      <c r="B152" s="95">
        <f t="shared" si="2"/>
        <v>1971</v>
      </c>
      <c r="C152" s="94">
        <v>7</v>
      </c>
    </row>
    <row r="153" spans="1:3" x14ac:dyDescent="0.25">
      <c r="A153" s="93">
        <v>26207</v>
      </c>
      <c r="B153" s="95">
        <f t="shared" si="2"/>
        <v>1971</v>
      </c>
      <c r="C153" s="94">
        <v>6.82</v>
      </c>
    </row>
    <row r="154" spans="1:3" x14ac:dyDescent="0.25">
      <c r="A154" s="93">
        <v>26238</v>
      </c>
      <c r="B154" s="95">
        <f t="shared" si="2"/>
        <v>1971</v>
      </c>
      <c r="C154" s="94">
        <v>6.66</v>
      </c>
    </row>
    <row r="155" spans="1:3" x14ac:dyDescent="0.25">
      <c r="A155" s="93">
        <v>26268</v>
      </c>
      <c r="B155" s="95">
        <f t="shared" si="2"/>
        <v>1971</v>
      </c>
      <c r="C155" s="94">
        <v>6.54</v>
      </c>
    </row>
    <row r="156" spans="1:3" x14ac:dyDescent="0.25">
      <c r="A156" s="93">
        <v>26299</v>
      </c>
      <c r="B156" s="95">
        <f t="shared" si="2"/>
        <v>1972</v>
      </c>
      <c r="C156" s="94">
        <v>6.66</v>
      </c>
    </row>
    <row r="157" spans="1:3" x14ac:dyDescent="0.25">
      <c r="A157" s="93">
        <v>26330</v>
      </c>
      <c r="B157" s="95">
        <f t="shared" si="2"/>
        <v>1972</v>
      </c>
      <c r="C157" s="94">
        <v>6.87</v>
      </c>
    </row>
    <row r="158" spans="1:3" x14ac:dyDescent="0.25">
      <c r="A158" s="93">
        <v>26359</v>
      </c>
      <c r="B158" s="95">
        <f t="shared" si="2"/>
        <v>1972</v>
      </c>
      <c r="C158" s="94">
        <v>7.07</v>
      </c>
    </row>
    <row r="159" spans="1:3" x14ac:dyDescent="0.25">
      <c r="A159" s="93">
        <v>26390</v>
      </c>
      <c r="B159" s="95">
        <f t="shared" si="2"/>
        <v>1972</v>
      </c>
      <c r="C159" s="94">
        <v>7.32</v>
      </c>
    </row>
    <row r="160" spans="1:3" x14ac:dyDescent="0.25">
      <c r="A160" s="93">
        <v>26420</v>
      </c>
      <c r="B160" s="95">
        <f t="shared" si="2"/>
        <v>1972</v>
      </c>
      <c r="C160" s="94">
        <v>7.33</v>
      </c>
    </row>
    <row r="161" spans="1:3" x14ac:dyDescent="0.25">
      <c r="A161" s="93">
        <v>26451</v>
      </c>
      <c r="B161" s="95">
        <f t="shared" si="2"/>
        <v>1972</v>
      </c>
      <c r="C161" s="94">
        <v>7.39</v>
      </c>
    </row>
    <row r="162" spans="1:3" x14ac:dyDescent="0.25">
      <c r="A162" s="93">
        <v>26481</v>
      </c>
      <c r="B162" s="95">
        <f t="shared" si="2"/>
        <v>1972</v>
      </c>
      <c r="C162" s="94">
        <v>7.48</v>
      </c>
    </row>
    <row r="163" spans="1:3" x14ac:dyDescent="0.25">
      <c r="A163" s="93">
        <v>26512</v>
      </c>
      <c r="B163" s="95">
        <f t="shared" si="2"/>
        <v>1972</v>
      </c>
      <c r="C163" s="94">
        <v>7.46</v>
      </c>
    </row>
    <row r="164" spans="1:3" x14ac:dyDescent="0.25">
      <c r="A164" s="93">
        <v>26543</v>
      </c>
      <c r="B164" s="95">
        <f t="shared" si="2"/>
        <v>1972</v>
      </c>
      <c r="C164" s="94">
        <v>7.48</v>
      </c>
    </row>
    <row r="165" spans="1:3" x14ac:dyDescent="0.25">
      <c r="A165" s="93">
        <v>26573</v>
      </c>
      <c r="B165" s="95">
        <f t="shared" si="2"/>
        <v>1972</v>
      </c>
      <c r="C165" s="94">
        <v>7.34</v>
      </c>
    </row>
    <row r="166" spans="1:3" x14ac:dyDescent="0.25">
      <c r="A166" s="93">
        <v>26604</v>
      </c>
      <c r="B166" s="95">
        <f t="shared" si="2"/>
        <v>1972</v>
      </c>
      <c r="C166" s="94">
        <v>7.18</v>
      </c>
    </row>
    <row r="167" spans="1:3" x14ac:dyDescent="0.25">
      <c r="A167" s="93">
        <v>26634</v>
      </c>
      <c r="B167" s="95">
        <f t="shared" si="2"/>
        <v>1972</v>
      </c>
      <c r="C167" s="94">
        <v>7.12</v>
      </c>
    </row>
    <row r="168" spans="1:3" x14ac:dyDescent="0.25">
      <c r="A168" s="93">
        <v>26665</v>
      </c>
      <c r="B168" s="95">
        <f t="shared" si="2"/>
        <v>1973</v>
      </c>
      <c r="C168" s="94">
        <v>7.12</v>
      </c>
    </row>
    <row r="169" spans="1:3" x14ac:dyDescent="0.25">
      <c r="A169" s="93">
        <v>26696</v>
      </c>
      <c r="B169" s="95">
        <f t="shared" si="2"/>
        <v>1973</v>
      </c>
      <c r="C169" s="94">
        <v>7.18</v>
      </c>
    </row>
    <row r="170" spans="1:3" x14ac:dyDescent="0.25">
      <c r="A170" s="93">
        <v>26724</v>
      </c>
      <c r="B170" s="95">
        <f t="shared" si="2"/>
        <v>1973</v>
      </c>
      <c r="C170" s="94">
        <v>7.3</v>
      </c>
    </row>
    <row r="171" spans="1:3" x14ac:dyDescent="0.25">
      <c r="A171" s="93">
        <v>26755</v>
      </c>
      <c r="B171" s="95">
        <f t="shared" si="2"/>
        <v>1973</v>
      </c>
      <c r="C171" s="94">
        <v>7.34</v>
      </c>
    </row>
    <row r="172" spans="1:3" x14ac:dyDescent="0.25">
      <c r="A172" s="93">
        <v>26785</v>
      </c>
      <c r="B172" s="95">
        <f t="shared" si="2"/>
        <v>1973</v>
      </c>
      <c r="C172" s="94">
        <v>7.58</v>
      </c>
    </row>
    <row r="173" spans="1:3" x14ac:dyDescent="0.25">
      <c r="A173" s="93">
        <v>26816</v>
      </c>
      <c r="B173" s="95">
        <f t="shared" si="2"/>
        <v>1973</v>
      </c>
      <c r="C173" s="94">
        <v>7.76</v>
      </c>
    </row>
    <row r="174" spans="1:3" x14ac:dyDescent="0.25">
      <c r="A174" s="93">
        <v>26846</v>
      </c>
      <c r="B174" s="95">
        <f t="shared" si="2"/>
        <v>1973</v>
      </c>
      <c r="C174" s="94">
        <v>7.75</v>
      </c>
    </row>
    <row r="175" spans="1:3" x14ac:dyDescent="0.25">
      <c r="A175" s="93">
        <v>26877</v>
      </c>
      <c r="B175" s="95">
        <f t="shared" si="2"/>
        <v>1973</v>
      </c>
      <c r="C175" s="94">
        <v>7.8</v>
      </c>
    </row>
    <row r="176" spans="1:3" x14ac:dyDescent="0.25">
      <c r="A176" s="93">
        <v>26908</v>
      </c>
      <c r="B176" s="95">
        <f t="shared" si="2"/>
        <v>1973</v>
      </c>
      <c r="C176" s="94">
        <v>7.82</v>
      </c>
    </row>
    <row r="177" spans="1:3" x14ac:dyDescent="0.25">
      <c r="A177" s="93">
        <v>26938</v>
      </c>
      <c r="B177" s="95">
        <f t="shared" si="2"/>
        <v>1973</v>
      </c>
      <c r="C177" s="94">
        <v>7.63</v>
      </c>
    </row>
    <row r="178" spans="1:3" x14ac:dyDescent="0.25">
      <c r="A178" s="93">
        <v>26969</v>
      </c>
      <c r="B178" s="95">
        <f t="shared" si="2"/>
        <v>1973</v>
      </c>
      <c r="C178" s="94">
        <v>7.37</v>
      </c>
    </row>
    <row r="179" spans="1:3" x14ac:dyDescent="0.25">
      <c r="A179" s="93">
        <v>26999</v>
      </c>
      <c r="B179" s="95">
        <f t="shared" si="2"/>
        <v>1973</v>
      </c>
      <c r="C179" s="94">
        <v>7.69</v>
      </c>
    </row>
    <row r="180" spans="1:3" x14ac:dyDescent="0.25">
      <c r="A180" s="93">
        <v>27030</v>
      </c>
      <c r="B180" s="95">
        <f t="shared" si="2"/>
        <v>1974</v>
      </c>
      <c r="C180" s="94">
        <v>7.74</v>
      </c>
    </row>
    <row r="181" spans="1:3" x14ac:dyDescent="0.25">
      <c r="A181" s="93">
        <v>27061</v>
      </c>
      <c r="B181" s="95">
        <f t="shared" si="2"/>
        <v>1974</v>
      </c>
      <c r="C181" s="94">
        <v>7.73</v>
      </c>
    </row>
    <row r="182" spans="1:3" x14ac:dyDescent="0.25">
      <c r="A182" s="93">
        <v>27089</v>
      </c>
      <c r="B182" s="95">
        <f t="shared" si="2"/>
        <v>1974</v>
      </c>
      <c r="C182" s="94">
        <v>7.92</v>
      </c>
    </row>
    <row r="183" spans="1:3" x14ac:dyDescent="0.25">
      <c r="A183" s="93">
        <v>27120</v>
      </c>
      <c r="B183" s="95">
        <f t="shared" si="2"/>
        <v>1974</v>
      </c>
      <c r="C183" s="94">
        <v>8.59</v>
      </c>
    </row>
    <row r="184" spans="1:3" x14ac:dyDescent="0.25">
      <c r="A184" s="93">
        <v>27150</v>
      </c>
      <c r="B184" s="95">
        <f t="shared" si="2"/>
        <v>1974</v>
      </c>
      <c r="C184" s="94">
        <v>8.8699999999999992</v>
      </c>
    </row>
    <row r="185" spans="1:3" x14ac:dyDescent="0.25">
      <c r="A185" s="93">
        <v>27181</v>
      </c>
      <c r="B185" s="95">
        <f t="shared" si="2"/>
        <v>1974</v>
      </c>
      <c r="C185" s="94">
        <v>9.26</v>
      </c>
    </row>
    <row r="186" spans="1:3" x14ac:dyDescent="0.25">
      <c r="A186" s="93">
        <v>27211</v>
      </c>
      <c r="B186" s="95">
        <f t="shared" si="2"/>
        <v>1974</v>
      </c>
      <c r="C186" s="94">
        <v>9.66</v>
      </c>
    </row>
    <row r="187" spans="1:3" x14ac:dyDescent="0.25">
      <c r="A187" s="93">
        <v>27242</v>
      </c>
      <c r="B187" s="95">
        <f t="shared" si="2"/>
        <v>1974</v>
      </c>
      <c r="C187" s="94">
        <v>9.73</v>
      </c>
    </row>
    <row r="188" spans="1:3" x14ac:dyDescent="0.25">
      <c r="A188" s="93">
        <v>27273</v>
      </c>
      <c r="B188" s="95">
        <f t="shared" si="2"/>
        <v>1974</v>
      </c>
      <c r="C188" s="94">
        <v>9.76</v>
      </c>
    </row>
    <row r="189" spans="1:3" x14ac:dyDescent="0.25">
      <c r="A189" s="93">
        <v>27303</v>
      </c>
      <c r="B189" s="95">
        <f t="shared" si="2"/>
        <v>1974</v>
      </c>
      <c r="C189" s="94">
        <v>9.42</v>
      </c>
    </row>
    <row r="190" spans="1:3" x14ac:dyDescent="0.25">
      <c r="A190" s="93">
        <v>27334</v>
      </c>
      <c r="B190" s="95">
        <f t="shared" si="2"/>
        <v>1974</v>
      </c>
      <c r="C190" s="94">
        <v>8.92</v>
      </c>
    </row>
    <row r="191" spans="1:3" x14ac:dyDescent="0.25">
      <c r="A191" s="93">
        <v>27364</v>
      </c>
      <c r="B191" s="95">
        <f t="shared" si="2"/>
        <v>1974</v>
      </c>
      <c r="C191" s="94">
        <v>8.84</v>
      </c>
    </row>
    <row r="192" spans="1:3" x14ac:dyDescent="0.25">
      <c r="A192" s="93">
        <v>27395</v>
      </c>
      <c r="B192" s="95">
        <f t="shared" si="2"/>
        <v>1975</v>
      </c>
      <c r="C192" s="94">
        <v>8.42</v>
      </c>
    </row>
    <row r="193" spans="1:3" x14ac:dyDescent="0.25">
      <c r="A193" s="93">
        <v>27426</v>
      </c>
      <c r="B193" s="95">
        <f t="shared" si="2"/>
        <v>1975</v>
      </c>
      <c r="C193" s="94">
        <v>8.1999999999999993</v>
      </c>
    </row>
    <row r="194" spans="1:3" x14ac:dyDescent="0.25">
      <c r="A194" s="93">
        <v>27454</v>
      </c>
      <c r="B194" s="95">
        <f t="shared" si="2"/>
        <v>1975</v>
      </c>
      <c r="C194" s="94">
        <v>8.26</v>
      </c>
    </row>
    <row r="195" spans="1:3" x14ac:dyDescent="0.25">
      <c r="A195" s="93">
        <v>27485</v>
      </c>
      <c r="B195" s="95">
        <f t="shared" si="2"/>
        <v>1975</v>
      </c>
      <c r="C195" s="94">
        <v>8.73</v>
      </c>
    </row>
    <row r="196" spans="1:3" x14ac:dyDescent="0.25">
      <c r="A196" s="93">
        <v>27515</v>
      </c>
      <c r="B196" s="95">
        <f t="shared" si="2"/>
        <v>1975</v>
      </c>
      <c r="C196" s="94">
        <v>8.81</v>
      </c>
    </row>
    <row r="197" spans="1:3" x14ac:dyDescent="0.25">
      <c r="A197" s="93">
        <v>27546</v>
      </c>
      <c r="B197" s="95">
        <f t="shared" si="2"/>
        <v>1975</v>
      </c>
      <c r="C197" s="94">
        <v>8.8000000000000007</v>
      </c>
    </row>
    <row r="198" spans="1:3" x14ac:dyDescent="0.25">
      <c r="A198" s="93">
        <v>27576</v>
      </c>
      <c r="B198" s="95">
        <f t="shared" si="2"/>
        <v>1975</v>
      </c>
      <c r="C198" s="94">
        <v>9.06</v>
      </c>
    </row>
    <row r="199" spans="1:3" x14ac:dyDescent="0.25">
      <c r="A199" s="93">
        <v>27607</v>
      </c>
      <c r="B199" s="95">
        <f t="shared" si="2"/>
        <v>1975</v>
      </c>
      <c r="C199" s="94">
        <v>9.41</v>
      </c>
    </row>
    <row r="200" spans="1:3" x14ac:dyDescent="0.25">
      <c r="A200" s="93">
        <v>27638</v>
      </c>
      <c r="B200" s="95">
        <f t="shared" si="2"/>
        <v>1975</v>
      </c>
      <c r="C200" s="94">
        <v>9.6999999999999993</v>
      </c>
    </row>
    <row r="201" spans="1:3" x14ac:dyDescent="0.25">
      <c r="A201" s="93">
        <v>27668</v>
      </c>
      <c r="B201" s="95">
        <f t="shared" si="2"/>
        <v>1975</v>
      </c>
      <c r="C201" s="94">
        <v>9.5399999999999991</v>
      </c>
    </row>
    <row r="202" spans="1:3" x14ac:dyDescent="0.25">
      <c r="A202" s="93">
        <v>27699</v>
      </c>
      <c r="B202" s="95">
        <f t="shared" si="2"/>
        <v>1975</v>
      </c>
      <c r="C202" s="94">
        <v>9.4499999999999993</v>
      </c>
    </row>
    <row r="203" spans="1:3" x14ac:dyDescent="0.25">
      <c r="A203" s="93">
        <v>27729</v>
      </c>
      <c r="B203" s="95">
        <f t="shared" si="2"/>
        <v>1975</v>
      </c>
      <c r="C203" s="94">
        <v>9.5399999999999991</v>
      </c>
    </row>
    <row r="204" spans="1:3" x14ac:dyDescent="0.25">
      <c r="A204" s="93">
        <v>27760</v>
      </c>
      <c r="B204" s="95">
        <f t="shared" si="2"/>
        <v>1976</v>
      </c>
      <c r="C204" s="94">
        <v>9.39</v>
      </c>
    </row>
    <row r="205" spans="1:3" x14ac:dyDescent="0.25">
      <c r="A205" s="93">
        <v>27791</v>
      </c>
      <c r="B205" s="95">
        <f t="shared" ref="B205:B268" si="3">YEAR(A205)</f>
        <v>1976</v>
      </c>
      <c r="C205" s="94">
        <v>9.2899999999999991</v>
      </c>
    </row>
    <row r="206" spans="1:3" x14ac:dyDescent="0.25">
      <c r="A206" s="93">
        <v>27820</v>
      </c>
      <c r="B206" s="95">
        <f t="shared" si="3"/>
        <v>1976</v>
      </c>
      <c r="C206" s="94">
        <v>9.4700000000000006</v>
      </c>
    </row>
    <row r="207" spans="1:3" x14ac:dyDescent="0.25">
      <c r="A207" s="93">
        <v>27851</v>
      </c>
      <c r="B207" s="95">
        <f t="shared" si="3"/>
        <v>1976</v>
      </c>
      <c r="C207" s="94">
        <v>9.33</v>
      </c>
    </row>
    <row r="208" spans="1:3" x14ac:dyDescent="0.25">
      <c r="A208" s="93">
        <v>27881</v>
      </c>
      <c r="B208" s="95">
        <f t="shared" si="3"/>
        <v>1976</v>
      </c>
      <c r="C208" s="94">
        <v>9.33</v>
      </c>
    </row>
    <row r="209" spans="1:3" x14ac:dyDescent="0.25">
      <c r="A209" s="93">
        <v>27912</v>
      </c>
      <c r="B209" s="95">
        <f t="shared" si="3"/>
        <v>1976</v>
      </c>
      <c r="C209" s="94">
        <v>9.32</v>
      </c>
    </row>
    <row r="210" spans="1:3" x14ac:dyDescent="0.25">
      <c r="A210" s="93">
        <v>27942</v>
      </c>
      <c r="B210" s="95">
        <f t="shared" si="3"/>
        <v>1976</v>
      </c>
      <c r="C210" s="94">
        <v>9.35</v>
      </c>
    </row>
    <row r="211" spans="1:3" x14ac:dyDescent="0.25">
      <c r="A211" s="93">
        <v>27973</v>
      </c>
      <c r="B211" s="95">
        <f t="shared" si="3"/>
        <v>1976</v>
      </c>
      <c r="C211" s="94">
        <v>9.32</v>
      </c>
    </row>
    <row r="212" spans="1:3" x14ac:dyDescent="0.25">
      <c r="A212" s="93">
        <v>28004</v>
      </c>
      <c r="B212" s="95">
        <f t="shared" si="3"/>
        <v>1976</v>
      </c>
      <c r="C212" s="94">
        <v>9.14</v>
      </c>
    </row>
    <row r="213" spans="1:3" x14ac:dyDescent="0.25">
      <c r="A213" s="93">
        <v>28034</v>
      </c>
      <c r="B213" s="95">
        <f t="shared" si="3"/>
        <v>1976</v>
      </c>
      <c r="C213" s="94">
        <v>9.1300000000000008</v>
      </c>
    </row>
    <row r="214" spans="1:3" x14ac:dyDescent="0.25">
      <c r="A214" s="93">
        <v>28065</v>
      </c>
      <c r="B214" s="95">
        <f t="shared" si="3"/>
        <v>1976</v>
      </c>
      <c r="C214" s="94">
        <v>9.01</v>
      </c>
    </row>
    <row r="215" spans="1:3" x14ac:dyDescent="0.25">
      <c r="A215" s="93">
        <v>28095</v>
      </c>
      <c r="B215" s="95">
        <f t="shared" si="3"/>
        <v>1976</v>
      </c>
      <c r="C215" s="94">
        <v>8.67</v>
      </c>
    </row>
    <row r="216" spans="1:3" x14ac:dyDescent="0.25">
      <c r="A216" s="93">
        <v>28126</v>
      </c>
      <c r="B216" s="95">
        <f t="shared" si="3"/>
        <v>1977</v>
      </c>
      <c r="C216" s="94">
        <v>8.5</v>
      </c>
    </row>
    <row r="217" spans="1:3" x14ac:dyDescent="0.25">
      <c r="A217" s="93">
        <v>28157</v>
      </c>
      <c r="B217" s="95">
        <f t="shared" si="3"/>
        <v>1977</v>
      </c>
      <c r="C217" s="94">
        <v>8.57</v>
      </c>
    </row>
    <row r="218" spans="1:3" x14ac:dyDescent="0.25">
      <c r="A218" s="93">
        <v>28185</v>
      </c>
      <c r="B218" s="95">
        <f t="shared" si="3"/>
        <v>1977</v>
      </c>
      <c r="C218" s="94">
        <v>8.76</v>
      </c>
    </row>
    <row r="219" spans="1:3" x14ac:dyDescent="0.25">
      <c r="A219" s="93">
        <v>28216</v>
      </c>
      <c r="B219" s="95">
        <f t="shared" si="3"/>
        <v>1977</v>
      </c>
      <c r="C219" s="94">
        <v>8.8000000000000007</v>
      </c>
    </row>
    <row r="220" spans="1:3" x14ac:dyDescent="0.25">
      <c r="A220" s="93">
        <v>28246</v>
      </c>
      <c r="B220" s="95">
        <f t="shared" si="3"/>
        <v>1977</v>
      </c>
      <c r="C220" s="94">
        <v>8.81</v>
      </c>
    </row>
    <row r="221" spans="1:3" x14ac:dyDescent="0.25">
      <c r="A221" s="93">
        <v>28277</v>
      </c>
      <c r="B221" s="95">
        <f t="shared" si="3"/>
        <v>1977</v>
      </c>
      <c r="C221" s="94">
        <v>8.74</v>
      </c>
    </row>
    <row r="222" spans="1:3" x14ac:dyDescent="0.25">
      <c r="A222" s="93">
        <v>28307</v>
      </c>
      <c r="B222" s="95">
        <f t="shared" si="3"/>
        <v>1977</v>
      </c>
      <c r="C222" s="94">
        <v>8.7200000000000006</v>
      </c>
    </row>
    <row r="223" spans="1:3" x14ac:dyDescent="0.25">
      <c r="A223" s="93">
        <v>28338</v>
      </c>
      <c r="B223" s="95">
        <f t="shared" si="3"/>
        <v>1977</v>
      </c>
      <c r="C223" s="94">
        <v>8.67</v>
      </c>
    </row>
    <row r="224" spans="1:3" x14ac:dyDescent="0.25">
      <c r="A224" s="93">
        <v>28369</v>
      </c>
      <c r="B224" s="95">
        <f t="shared" si="3"/>
        <v>1977</v>
      </c>
      <c r="C224" s="94">
        <v>8.57</v>
      </c>
    </row>
    <row r="225" spans="1:3" x14ac:dyDescent="0.25">
      <c r="A225" s="93">
        <v>28399</v>
      </c>
      <c r="B225" s="95">
        <f t="shared" si="3"/>
        <v>1977</v>
      </c>
      <c r="C225" s="94">
        <v>8.69</v>
      </c>
    </row>
    <row r="226" spans="1:3" x14ac:dyDescent="0.25">
      <c r="A226" s="93">
        <v>28430</v>
      </c>
      <c r="B226" s="95">
        <f t="shared" si="3"/>
        <v>1977</v>
      </c>
      <c r="C226" s="94">
        <v>8.73</v>
      </c>
    </row>
    <row r="227" spans="1:3" x14ac:dyDescent="0.25">
      <c r="A227" s="93">
        <v>28460</v>
      </c>
      <c r="B227" s="95">
        <f t="shared" si="3"/>
        <v>1977</v>
      </c>
      <c r="C227" s="94">
        <v>8.76</v>
      </c>
    </row>
    <row r="228" spans="1:3" x14ac:dyDescent="0.25">
      <c r="A228" s="93">
        <v>28491</v>
      </c>
      <c r="B228" s="95">
        <f t="shared" si="3"/>
        <v>1978</v>
      </c>
      <c r="C228" s="94">
        <v>8.98</v>
      </c>
    </row>
    <row r="229" spans="1:3" x14ac:dyDescent="0.25">
      <c r="A229" s="93">
        <v>28522</v>
      </c>
      <c r="B229" s="95">
        <f t="shared" si="3"/>
        <v>1978</v>
      </c>
      <c r="C229" s="94">
        <v>9.1199999999999992</v>
      </c>
    </row>
    <row r="230" spans="1:3" x14ac:dyDescent="0.25">
      <c r="A230" s="93">
        <v>28550</v>
      </c>
      <c r="B230" s="95">
        <f t="shared" si="3"/>
        <v>1978</v>
      </c>
      <c r="C230" s="94">
        <v>9.15</v>
      </c>
    </row>
    <row r="231" spans="1:3" x14ac:dyDescent="0.25">
      <c r="A231" s="93">
        <v>28581</v>
      </c>
      <c r="B231" s="95">
        <f t="shared" si="3"/>
        <v>1978</v>
      </c>
      <c r="C231" s="94">
        <v>9.23</v>
      </c>
    </row>
    <row r="232" spans="1:3" x14ac:dyDescent="0.25">
      <c r="A232" s="93">
        <v>28611</v>
      </c>
      <c r="B232" s="95">
        <f t="shared" si="3"/>
        <v>1978</v>
      </c>
      <c r="C232" s="94">
        <v>9.16</v>
      </c>
    </row>
    <row r="233" spans="1:3" x14ac:dyDescent="0.25">
      <c r="A233" s="93">
        <v>28642</v>
      </c>
      <c r="B233" s="95">
        <f t="shared" si="3"/>
        <v>1978</v>
      </c>
      <c r="C233" s="94">
        <v>9.23</v>
      </c>
    </row>
    <row r="234" spans="1:3" x14ac:dyDescent="0.25">
      <c r="A234" s="93">
        <v>28672</v>
      </c>
      <c r="B234" s="95">
        <f t="shared" si="3"/>
        <v>1978</v>
      </c>
      <c r="C234" s="94">
        <v>9.19</v>
      </c>
    </row>
    <row r="235" spans="1:3" x14ac:dyDescent="0.25">
      <c r="A235" s="93">
        <v>28703</v>
      </c>
      <c r="B235" s="95">
        <f t="shared" si="3"/>
        <v>1978</v>
      </c>
      <c r="C235" s="94">
        <v>9.1300000000000008</v>
      </c>
    </row>
    <row r="236" spans="1:3" x14ac:dyDescent="0.25">
      <c r="A236" s="93">
        <v>28734</v>
      </c>
      <c r="B236" s="95">
        <f t="shared" si="3"/>
        <v>1978</v>
      </c>
      <c r="C236" s="94">
        <v>9.16</v>
      </c>
    </row>
    <row r="237" spans="1:3" x14ac:dyDescent="0.25">
      <c r="A237" s="93">
        <v>28764</v>
      </c>
      <c r="B237" s="95">
        <f t="shared" si="3"/>
        <v>1978</v>
      </c>
      <c r="C237" s="94">
        <v>9.3000000000000007</v>
      </c>
    </row>
    <row r="238" spans="1:3" x14ac:dyDescent="0.25">
      <c r="A238" s="93">
        <v>28795</v>
      </c>
      <c r="B238" s="95">
        <f t="shared" si="3"/>
        <v>1978</v>
      </c>
      <c r="C238" s="94">
        <v>9.5500000000000007</v>
      </c>
    </row>
    <row r="239" spans="1:3" x14ac:dyDescent="0.25">
      <c r="A239" s="93">
        <v>28825</v>
      </c>
      <c r="B239" s="95">
        <f t="shared" si="3"/>
        <v>1978</v>
      </c>
      <c r="C239" s="94">
        <v>9.6300000000000008</v>
      </c>
    </row>
    <row r="240" spans="1:3" x14ac:dyDescent="0.25">
      <c r="A240" s="93">
        <v>28856</v>
      </c>
      <c r="B240" s="95">
        <f t="shared" si="3"/>
        <v>1979</v>
      </c>
      <c r="C240" s="94">
        <v>9.83</v>
      </c>
    </row>
    <row r="241" spans="1:3" x14ac:dyDescent="0.25">
      <c r="A241" s="93">
        <v>28887</v>
      </c>
      <c r="B241" s="95">
        <f t="shared" si="3"/>
        <v>1979</v>
      </c>
      <c r="C241" s="94">
        <v>9.91</v>
      </c>
    </row>
    <row r="242" spans="1:3" x14ac:dyDescent="0.25">
      <c r="A242" s="93">
        <v>28915</v>
      </c>
      <c r="B242" s="95">
        <f t="shared" si="3"/>
        <v>1979</v>
      </c>
      <c r="C242" s="94">
        <v>9.92</v>
      </c>
    </row>
    <row r="243" spans="1:3" x14ac:dyDescent="0.25">
      <c r="A243" s="93">
        <v>28946</v>
      </c>
      <c r="B243" s="95">
        <f t="shared" si="3"/>
        <v>1979</v>
      </c>
      <c r="C243" s="94">
        <v>9.76</v>
      </c>
    </row>
    <row r="244" spans="1:3" x14ac:dyDescent="0.25">
      <c r="A244" s="93">
        <v>28976</v>
      </c>
      <c r="B244" s="95">
        <f t="shared" si="3"/>
        <v>1979</v>
      </c>
      <c r="C244" s="94">
        <v>9.76</v>
      </c>
    </row>
    <row r="245" spans="1:3" x14ac:dyDescent="0.25">
      <c r="A245" s="93">
        <v>29007</v>
      </c>
      <c r="B245" s="95">
        <f t="shared" si="3"/>
        <v>1979</v>
      </c>
      <c r="C245" s="94">
        <v>9.74</v>
      </c>
    </row>
    <row r="246" spans="1:3" x14ac:dyDescent="0.25">
      <c r="A246" s="93">
        <v>29037</v>
      </c>
      <c r="B246" s="95">
        <f t="shared" si="3"/>
        <v>1979</v>
      </c>
      <c r="C246" s="94">
        <v>9.76</v>
      </c>
    </row>
    <row r="247" spans="1:3" x14ac:dyDescent="0.25">
      <c r="A247" s="93">
        <v>29068</v>
      </c>
      <c r="B247" s="95">
        <f t="shared" si="3"/>
        <v>1979</v>
      </c>
      <c r="C247" s="94">
        <v>10.01</v>
      </c>
    </row>
    <row r="248" spans="1:3" x14ac:dyDescent="0.25">
      <c r="A248" s="93">
        <v>29099</v>
      </c>
      <c r="B248" s="95">
        <f t="shared" si="3"/>
        <v>1979</v>
      </c>
      <c r="C248" s="94">
        <v>10.29</v>
      </c>
    </row>
    <row r="249" spans="1:3" x14ac:dyDescent="0.25">
      <c r="A249" s="93">
        <v>29129</v>
      </c>
      <c r="B249" s="95">
        <f t="shared" si="3"/>
        <v>1979</v>
      </c>
      <c r="C249" s="94">
        <v>10.85</v>
      </c>
    </row>
    <row r="250" spans="1:3" x14ac:dyDescent="0.25">
      <c r="A250" s="93">
        <v>29160</v>
      </c>
      <c r="B250" s="95">
        <f t="shared" si="3"/>
        <v>1979</v>
      </c>
      <c r="C250" s="94">
        <v>11.12</v>
      </c>
    </row>
    <row r="251" spans="1:3" x14ac:dyDescent="0.25">
      <c r="A251" s="93">
        <v>29190</v>
      </c>
      <c r="B251" s="95">
        <f t="shared" si="3"/>
        <v>1979</v>
      </c>
      <c r="C251" s="94">
        <v>11.2</v>
      </c>
    </row>
    <row r="252" spans="1:3" x14ac:dyDescent="0.25">
      <c r="A252" s="93">
        <v>29221</v>
      </c>
      <c r="B252" s="95">
        <f t="shared" si="3"/>
        <v>1980</v>
      </c>
      <c r="C252" s="94">
        <v>11.69</v>
      </c>
    </row>
    <row r="253" spans="1:3" x14ac:dyDescent="0.25">
      <c r="A253" s="93">
        <v>29252</v>
      </c>
      <c r="B253" s="95">
        <f t="shared" si="3"/>
        <v>1980</v>
      </c>
      <c r="C253" s="94">
        <v>12.61</v>
      </c>
    </row>
    <row r="254" spans="1:3" x14ac:dyDescent="0.25">
      <c r="A254" s="93">
        <v>29281</v>
      </c>
      <c r="B254" s="95">
        <f t="shared" si="3"/>
        <v>1980</v>
      </c>
      <c r="C254" s="94">
        <v>13.22</v>
      </c>
    </row>
    <row r="255" spans="1:3" x14ac:dyDescent="0.25">
      <c r="A255" s="93">
        <v>29312</v>
      </c>
      <c r="B255" s="95">
        <f t="shared" si="3"/>
        <v>1980</v>
      </c>
      <c r="C255" s="94">
        <v>12.56</v>
      </c>
    </row>
    <row r="256" spans="1:3" x14ac:dyDescent="0.25">
      <c r="A256" s="93">
        <v>29342</v>
      </c>
      <c r="B256" s="95">
        <f t="shared" si="3"/>
        <v>1980</v>
      </c>
      <c r="C256" s="94">
        <v>11.4</v>
      </c>
    </row>
    <row r="257" spans="1:3" x14ac:dyDescent="0.25">
      <c r="A257" s="93">
        <v>29373</v>
      </c>
      <c r="B257" s="95">
        <f t="shared" si="3"/>
        <v>1980</v>
      </c>
      <c r="C257" s="94">
        <v>11.28</v>
      </c>
    </row>
    <row r="258" spans="1:3" x14ac:dyDescent="0.25">
      <c r="A258" s="93">
        <v>29403</v>
      </c>
      <c r="B258" s="95">
        <f t="shared" si="3"/>
        <v>1980</v>
      </c>
      <c r="C258" s="94">
        <v>11.6</v>
      </c>
    </row>
    <row r="259" spans="1:3" x14ac:dyDescent="0.25">
      <c r="A259" s="93">
        <v>29434</v>
      </c>
      <c r="B259" s="95">
        <f t="shared" si="3"/>
        <v>1980</v>
      </c>
      <c r="C259" s="94">
        <v>12.38</v>
      </c>
    </row>
    <row r="260" spans="1:3" x14ac:dyDescent="0.25">
      <c r="A260" s="93">
        <v>29465</v>
      </c>
      <c r="B260" s="95">
        <f t="shared" si="3"/>
        <v>1980</v>
      </c>
      <c r="C260" s="94">
        <v>12.59</v>
      </c>
    </row>
    <row r="261" spans="1:3" x14ac:dyDescent="0.25">
      <c r="A261" s="93">
        <v>29495</v>
      </c>
      <c r="B261" s="95">
        <f t="shared" si="3"/>
        <v>1980</v>
      </c>
      <c r="C261" s="94">
        <v>12.76</v>
      </c>
    </row>
    <row r="262" spans="1:3" x14ac:dyDescent="0.25">
      <c r="A262" s="93">
        <v>29526</v>
      </c>
      <c r="B262" s="95">
        <f t="shared" si="3"/>
        <v>1980</v>
      </c>
      <c r="C262" s="94">
        <v>13.03</v>
      </c>
    </row>
    <row r="263" spans="1:3" x14ac:dyDescent="0.25">
      <c r="A263" s="93">
        <v>29556</v>
      </c>
      <c r="B263" s="95">
        <f t="shared" si="3"/>
        <v>1980</v>
      </c>
      <c r="C263" s="94">
        <v>12.94</v>
      </c>
    </row>
    <row r="264" spans="1:3" x14ac:dyDescent="0.25">
      <c r="A264" s="93">
        <v>29587</v>
      </c>
      <c r="B264" s="95">
        <f t="shared" si="3"/>
        <v>1981</v>
      </c>
      <c r="C264" s="94">
        <v>12.82</v>
      </c>
    </row>
    <row r="265" spans="1:3" x14ac:dyDescent="0.25">
      <c r="A265" s="93">
        <v>29618</v>
      </c>
      <c r="B265" s="95">
        <f t="shared" si="3"/>
        <v>1981</v>
      </c>
      <c r="C265" s="94">
        <v>13.3</v>
      </c>
    </row>
    <row r="266" spans="1:3" x14ac:dyDescent="0.25">
      <c r="A266" s="93">
        <v>29646</v>
      </c>
      <c r="B266" s="95">
        <f t="shared" si="3"/>
        <v>1981</v>
      </c>
      <c r="C266" s="94">
        <v>13.37</v>
      </c>
    </row>
    <row r="267" spans="1:3" x14ac:dyDescent="0.25">
      <c r="A267" s="93">
        <v>29677</v>
      </c>
      <c r="B267" s="95">
        <f t="shared" si="3"/>
        <v>1981</v>
      </c>
      <c r="C267" s="94">
        <v>14.25</v>
      </c>
    </row>
    <row r="268" spans="1:3" x14ac:dyDescent="0.25">
      <c r="A268" s="93">
        <v>29707</v>
      </c>
      <c r="B268" s="95">
        <f t="shared" si="3"/>
        <v>1981</v>
      </c>
      <c r="C268" s="94">
        <v>15.34</v>
      </c>
    </row>
    <row r="269" spans="1:3" x14ac:dyDescent="0.25">
      <c r="A269" s="93">
        <v>29738</v>
      </c>
      <c r="B269" s="95">
        <f t="shared" ref="B269:B332" si="4">YEAR(A269)</f>
        <v>1981</v>
      </c>
      <c r="C269" s="94">
        <v>14.76</v>
      </c>
    </row>
    <row r="270" spans="1:3" x14ac:dyDescent="0.25">
      <c r="A270" s="93">
        <v>29768</v>
      </c>
      <c r="B270" s="95">
        <f t="shared" si="4"/>
        <v>1981</v>
      </c>
      <c r="C270" s="94">
        <v>15.89</v>
      </c>
    </row>
    <row r="271" spans="1:3" x14ac:dyDescent="0.25">
      <c r="A271" s="93">
        <v>29799</v>
      </c>
      <c r="B271" s="95">
        <f t="shared" si="4"/>
        <v>1981</v>
      </c>
      <c r="C271" s="94">
        <v>16.45</v>
      </c>
    </row>
    <row r="272" spans="1:3" x14ac:dyDescent="0.25">
      <c r="A272" s="93">
        <v>29830</v>
      </c>
      <c r="B272" s="95">
        <f t="shared" si="4"/>
        <v>1981</v>
      </c>
      <c r="C272" s="94">
        <v>17</v>
      </c>
    </row>
    <row r="273" spans="1:3" x14ac:dyDescent="0.25">
      <c r="A273" s="93">
        <v>29860</v>
      </c>
      <c r="B273" s="95">
        <f t="shared" si="4"/>
        <v>1981</v>
      </c>
      <c r="C273" s="94">
        <v>16.760000000000002</v>
      </c>
    </row>
    <row r="274" spans="1:3" x14ac:dyDescent="0.25">
      <c r="A274" s="93">
        <v>29891</v>
      </c>
      <c r="B274" s="95">
        <f t="shared" si="4"/>
        <v>1981</v>
      </c>
      <c r="C274" s="94">
        <v>14.93</v>
      </c>
    </row>
    <row r="275" spans="1:3" x14ac:dyDescent="0.25">
      <c r="A275" s="93">
        <v>29921</v>
      </c>
      <c r="B275" s="95">
        <f t="shared" si="4"/>
        <v>1981</v>
      </c>
      <c r="C275" s="94">
        <v>15</v>
      </c>
    </row>
    <row r="276" spans="1:3" x14ac:dyDescent="0.25">
      <c r="A276" s="93">
        <v>29952</v>
      </c>
      <c r="B276" s="95">
        <f t="shared" si="4"/>
        <v>1982</v>
      </c>
      <c r="C276" s="94">
        <v>15.82</v>
      </c>
    </row>
    <row r="277" spans="1:3" x14ac:dyDescent="0.25">
      <c r="A277" s="93">
        <v>29983</v>
      </c>
      <c r="B277" s="95">
        <f t="shared" si="4"/>
        <v>1982</v>
      </c>
      <c r="C277" s="94">
        <v>15.66</v>
      </c>
    </row>
    <row r="278" spans="1:3" x14ac:dyDescent="0.25">
      <c r="A278" s="93">
        <v>30011</v>
      </c>
      <c r="B278" s="95">
        <f t="shared" si="4"/>
        <v>1982</v>
      </c>
      <c r="C278" s="94">
        <v>14.95</v>
      </c>
    </row>
    <row r="279" spans="1:3" x14ac:dyDescent="0.25">
      <c r="A279" s="93">
        <v>30042</v>
      </c>
      <c r="B279" s="95">
        <f t="shared" si="4"/>
        <v>1982</v>
      </c>
      <c r="C279" s="94">
        <v>14.93</v>
      </c>
    </row>
    <row r="280" spans="1:3" x14ac:dyDescent="0.25">
      <c r="A280" s="93">
        <v>30072</v>
      </c>
      <c r="B280" s="95">
        <f t="shared" si="4"/>
        <v>1982</v>
      </c>
      <c r="C280" s="94">
        <v>14.7</v>
      </c>
    </row>
    <row r="281" spans="1:3" x14ac:dyDescent="0.25">
      <c r="A281" s="93">
        <v>30103</v>
      </c>
      <c r="B281" s="95">
        <f t="shared" si="4"/>
        <v>1982</v>
      </c>
      <c r="C281" s="94">
        <v>15.96</v>
      </c>
    </row>
    <row r="282" spans="1:3" x14ac:dyDescent="0.25">
      <c r="A282" s="93">
        <v>30133</v>
      </c>
      <c r="B282" s="95">
        <f t="shared" si="4"/>
        <v>1982</v>
      </c>
      <c r="C282" s="94">
        <v>16.16</v>
      </c>
    </row>
    <row r="283" spans="1:3" x14ac:dyDescent="0.25">
      <c r="A283" s="93">
        <v>30164</v>
      </c>
      <c r="B283" s="95">
        <f t="shared" si="4"/>
        <v>1982</v>
      </c>
      <c r="C283" s="94">
        <v>14.96</v>
      </c>
    </row>
    <row r="284" spans="1:3" x14ac:dyDescent="0.25">
      <c r="A284" s="93">
        <v>30195</v>
      </c>
      <c r="B284" s="95">
        <f t="shared" si="4"/>
        <v>1982</v>
      </c>
      <c r="C284" s="94">
        <v>13.93</v>
      </c>
    </row>
    <row r="285" spans="1:3" x14ac:dyDescent="0.25">
      <c r="A285" s="93">
        <v>30225</v>
      </c>
      <c r="B285" s="95">
        <f t="shared" si="4"/>
        <v>1982</v>
      </c>
      <c r="C285" s="94">
        <v>12.74</v>
      </c>
    </row>
    <row r="286" spans="1:3" x14ac:dyDescent="0.25">
      <c r="A286" s="93">
        <v>30256</v>
      </c>
      <c r="B286" s="95">
        <f t="shared" si="4"/>
        <v>1982</v>
      </c>
      <c r="C286" s="94">
        <v>11.77</v>
      </c>
    </row>
    <row r="287" spans="1:3" x14ac:dyDescent="0.25">
      <c r="A287" s="93">
        <v>30286</v>
      </c>
      <c r="B287" s="95">
        <f t="shared" si="4"/>
        <v>1982</v>
      </c>
      <c r="C287" s="94">
        <v>11.65</v>
      </c>
    </row>
    <row r="288" spans="1:3" x14ac:dyDescent="0.25">
      <c r="A288" s="93">
        <v>30317</v>
      </c>
      <c r="B288" s="95">
        <f t="shared" si="4"/>
        <v>1983</v>
      </c>
      <c r="C288" s="94">
        <v>11.37</v>
      </c>
    </row>
    <row r="289" spans="1:3" x14ac:dyDescent="0.25">
      <c r="A289" s="93">
        <v>30348</v>
      </c>
      <c r="B289" s="95">
        <f t="shared" si="4"/>
        <v>1983</v>
      </c>
      <c r="C289" s="94">
        <v>11.43</v>
      </c>
    </row>
    <row r="290" spans="1:3" x14ac:dyDescent="0.25">
      <c r="A290" s="93">
        <v>30376</v>
      </c>
      <c r="B290" s="95">
        <f t="shared" si="4"/>
        <v>1983</v>
      </c>
      <c r="C290" s="94">
        <v>11.19</v>
      </c>
    </row>
    <row r="291" spans="1:3" x14ac:dyDescent="0.25">
      <c r="A291" s="93">
        <v>30407</v>
      </c>
      <c r="B291" s="95">
        <f t="shared" si="4"/>
        <v>1983</v>
      </c>
      <c r="C291" s="94">
        <v>11.07</v>
      </c>
    </row>
    <row r="292" spans="1:3" x14ac:dyDescent="0.25">
      <c r="A292" s="93">
        <v>30437</v>
      </c>
      <c r="B292" s="95">
        <f t="shared" si="4"/>
        <v>1983</v>
      </c>
      <c r="C292" s="94">
        <v>10.71</v>
      </c>
    </row>
    <row r="293" spans="1:3" x14ac:dyDescent="0.25">
      <c r="A293" s="93">
        <v>30468</v>
      </c>
      <c r="B293" s="95">
        <f t="shared" si="4"/>
        <v>1983</v>
      </c>
      <c r="C293" s="94">
        <v>11.05</v>
      </c>
    </row>
    <row r="294" spans="1:3" x14ac:dyDescent="0.25">
      <c r="A294" s="93">
        <v>30498</v>
      </c>
      <c r="B294" s="95">
        <f t="shared" si="4"/>
        <v>1983</v>
      </c>
      <c r="C294" s="94">
        <v>11.57</v>
      </c>
    </row>
    <row r="295" spans="1:3" x14ac:dyDescent="0.25">
      <c r="A295" s="93">
        <v>30529</v>
      </c>
      <c r="B295" s="95">
        <f t="shared" si="4"/>
        <v>1983</v>
      </c>
      <c r="C295" s="94">
        <v>11.79</v>
      </c>
    </row>
    <row r="296" spans="1:3" x14ac:dyDescent="0.25">
      <c r="A296" s="93">
        <v>30560</v>
      </c>
      <c r="B296" s="95">
        <f t="shared" si="4"/>
        <v>1983</v>
      </c>
      <c r="C296" s="94">
        <v>11.77</v>
      </c>
    </row>
    <row r="297" spans="1:3" x14ac:dyDescent="0.25">
      <c r="A297" s="93">
        <v>30590</v>
      </c>
      <c r="B297" s="95">
        <f t="shared" si="4"/>
        <v>1983</v>
      </c>
      <c r="C297" s="94">
        <v>11.55</v>
      </c>
    </row>
    <row r="298" spans="1:3" x14ac:dyDescent="0.25">
      <c r="A298" s="93">
        <v>30621</v>
      </c>
      <c r="B298" s="95">
        <f t="shared" si="4"/>
        <v>1983</v>
      </c>
      <c r="C298" s="94">
        <v>11.52</v>
      </c>
    </row>
    <row r="299" spans="1:3" x14ac:dyDescent="0.25">
      <c r="A299" s="93">
        <v>30651</v>
      </c>
      <c r="B299" s="95">
        <f t="shared" si="4"/>
        <v>1983</v>
      </c>
      <c r="C299" s="94">
        <v>11.79</v>
      </c>
    </row>
    <row r="300" spans="1:3" x14ac:dyDescent="0.25">
      <c r="A300" s="93">
        <v>30682</v>
      </c>
      <c r="B300" s="95">
        <f t="shared" si="4"/>
        <v>1984</v>
      </c>
      <c r="C300" s="94">
        <v>11.72</v>
      </c>
    </row>
    <row r="301" spans="1:3" x14ac:dyDescent="0.25">
      <c r="A301" s="93">
        <v>30713</v>
      </c>
      <c r="B301" s="95">
        <f t="shared" si="4"/>
        <v>1984</v>
      </c>
      <c r="C301" s="94">
        <v>11.87</v>
      </c>
    </row>
    <row r="302" spans="1:3" x14ac:dyDescent="0.25">
      <c r="A302" s="93">
        <v>30742</v>
      </c>
      <c r="B302" s="95">
        <f t="shared" si="4"/>
        <v>1984</v>
      </c>
      <c r="C302" s="94">
        <v>12.84</v>
      </c>
    </row>
    <row r="303" spans="1:3" x14ac:dyDescent="0.25">
      <c r="A303" s="93">
        <v>30773</v>
      </c>
      <c r="B303" s="95">
        <f t="shared" si="4"/>
        <v>1984</v>
      </c>
      <c r="C303" s="94">
        <v>13.24</v>
      </c>
    </row>
    <row r="304" spans="1:3" x14ac:dyDescent="0.25">
      <c r="A304" s="93">
        <v>30803</v>
      </c>
      <c r="B304" s="95">
        <f t="shared" si="4"/>
        <v>1984</v>
      </c>
      <c r="C304" s="94">
        <v>13.64</v>
      </c>
    </row>
    <row r="305" spans="1:3" x14ac:dyDescent="0.25">
      <c r="A305" s="93">
        <v>30834</v>
      </c>
      <c r="B305" s="95">
        <f t="shared" si="4"/>
        <v>1984</v>
      </c>
      <c r="C305" s="94">
        <v>13.67</v>
      </c>
    </row>
    <row r="306" spans="1:3" x14ac:dyDescent="0.25">
      <c r="A306" s="93">
        <v>30864</v>
      </c>
      <c r="B306" s="95">
        <f t="shared" si="4"/>
        <v>1984</v>
      </c>
      <c r="C306" s="94">
        <v>13.73</v>
      </c>
    </row>
    <row r="307" spans="1:3" x14ac:dyDescent="0.25">
      <c r="A307" s="93">
        <v>30895</v>
      </c>
      <c r="B307" s="95">
        <f t="shared" si="4"/>
        <v>1984</v>
      </c>
      <c r="C307" s="94">
        <v>12.91</v>
      </c>
    </row>
    <row r="308" spans="1:3" x14ac:dyDescent="0.25">
      <c r="A308" s="93">
        <v>30926</v>
      </c>
      <c r="B308" s="95">
        <f t="shared" si="4"/>
        <v>1984</v>
      </c>
      <c r="C308" s="94">
        <v>12.77</v>
      </c>
    </row>
    <row r="309" spans="1:3" x14ac:dyDescent="0.25">
      <c r="A309" s="93">
        <v>30956</v>
      </c>
      <c r="B309" s="95">
        <f t="shared" si="4"/>
        <v>1984</v>
      </c>
      <c r="C309" s="94">
        <v>12.54</v>
      </c>
    </row>
    <row r="310" spans="1:3" x14ac:dyDescent="0.25">
      <c r="A310" s="93">
        <v>30987</v>
      </c>
      <c r="B310" s="95">
        <f t="shared" si="4"/>
        <v>1984</v>
      </c>
      <c r="C310" s="94">
        <v>11.93</v>
      </c>
    </row>
    <row r="311" spans="1:3" x14ac:dyDescent="0.25">
      <c r="A311" s="93">
        <v>31017</v>
      </c>
      <c r="B311" s="95">
        <f t="shared" si="4"/>
        <v>1984</v>
      </c>
      <c r="C311" s="94">
        <v>11.66</v>
      </c>
    </row>
    <row r="312" spans="1:3" x14ac:dyDescent="0.25">
      <c r="A312" s="93">
        <v>31048</v>
      </c>
      <c r="B312" s="95">
        <f t="shared" si="4"/>
        <v>1985</v>
      </c>
      <c r="C312" s="94">
        <v>11.41</v>
      </c>
    </row>
    <row r="313" spans="1:3" x14ac:dyDescent="0.25">
      <c r="A313" s="93">
        <v>31079</v>
      </c>
      <c r="B313" s="95">
        <f t="shared" si="4"/>
        <v>1985</v>
      </c>
      <c r="C313" s="94">
        <v>11.86</v>
      </c>
    </row>
    <row r="314" spans="1:3" x14ac:dyDescent="0.25">
      <c r="A314" s="93">
        <v>31107</v>
      </c>
      <c r="B314" s="95">
        <f t="shared" si="4"/>
        <v>1985</v>
      </c>
      <c r="C314" s="94">
        <v>12.16</v>
      </c>
    </row>
    <row r="315" spans="1:3" x14ac:dyDescent="0.25">
      <c r="A315" s="93">
        <v>31138</v>
      </c>
      <c r="B315" s="95">
        <f t="shared" si="4"/>
        <v>1985</v>
      </c>
      <c r="C315" s="94">
        <v>11.55</v>
      </c>
    </row>
    <row r="316" spans="1:3" x14ac:dyDescent="0.25">
      <c r="A316" s="93">
        <v>31168</v>
      </c>
      <c r="B316" s="95">
        <f t="shared" si="4"/>
        <v>1985</v>
      </c>
      <c r="C316" s="94">
        <v>11.07</v>
      </c>
    </row>
    <row r="317" spans="1:3" x14ac:dyDescent="0.25">
      <c r="A317" s="93">
        <v>31199</v>
      </c>
      <c r="B317" s="95">
        <f t="shared" si="4"/>
        <v>1985</v>
      </c>
      <c r="C317" s="94">
        <v>10.52</v>
      </c>
    </row>
    <row r="318" spans="1:3" x14ac:dyDescent="0.25">
      <c r="A318" s="93">
        <v>31229</v>
      </c>
      <c r="B318" s="95">
        <f t="shared" si="4"/>
        <v>1985</v>
      </c>
      <c r="C318" s="94">
        <v>10.59</v>
      </c>
    </row>
    <row r="319" spans="1:3" x14ac:dyDescent="0.25">
      <c r="A319" s="93">
        <v>31260</v>
      </c>
      <c r="B319" s="95">
        <f t="shared" si="4"/>
        <v>1985</v>
      </c>
      <c r="C319" s="94">
        <v>10.6</v>
      </c>
    </row>
    <row r="320" spans="1:3" x14ac:dyDescent="0.25">
      <c r="A320" s="93">
        <v>31291</v>
      </c>
      <c r="B320" s="95">
        <f t="shared" si="4"/>
        <v>1985</v>
      </c>
      <c r="C320" s="94">
        <v>10.79</v>
      </c>
    </row>
    <row r="321" spans="1:3" x14ac:dyDescent="0.25">
      <c r="A321" s="93">
        <v>31321</v>
      </c>
      <c r="B321" s="95">
        <f t="shared" si="4"/>
        <v>1985</v>
      </c>
      <c r="C321" s="94">
        <v>10.67</v>
      </c>
    </row>
    <row r="322" spans="1:3" x14ac:dyDescent="0.25">
      <c r="A322" s="93">
        <v>31352</v>
      </c>
      <c r="B322" s="95">
        <f t="shared" si="4"/>
        <v>1985</v>
      </c>
      <c r="C322" s="94">
        <v>10.02</v>
      </c>
    </row>
    <row r="323" spans="1:3" x14ac:dyDescent="0.25">
      <c r="A323" s="93">
        <v>31382</v>
      </c>
      <c r="B323" s="95">
        <f t="shared" si="4"/>
        <v>1985</v>
      </c>
      <c r="C323" s="94">
        <v>9.7200000000000006</v>
      </c>
    </row>
    <row r="324" spans="1:3" x14ac:dyDescent="0.25">
      <c r="A324" s="93">
        <v>31413</v>
      </c>
      <c r="B324" s="95">
        <f t="shared" si="4"/>
        <v>1986</v>
      </c>
      <c r="C324" s="94">
        <v>10.039999999999999</v>
      </c>
    </row>
    <row r="325" spans="1:3" x14ac:dyDescent="0.25">
      <c r="A325" s="93">
        <v>31444</v>
      </c>
      <c r="B325" s="95">
        <f t="shared" si="4"/>
        <v>1986</v>
      </c>
      <c r="C325" s="94">
        <v>9.9700000000000006</v>
      </c>
    </row>
    <row r="326" spans="1:3" x14ac:dyDescent="0.25">
      <c r="A326" s="93">
        <v>31472</v>
      </c>
      <c r="B326" s="95">
        <f t="shared" si="4"/>
        <v>1986</v>
      </c>
      <c r="C326" s="94">
        <v>9.4</v>
      </c>
    </row>
    <row r="327" spans="1:3" x14ac:dyDescent="0.25">
      <c r="A327" s="93">
        <v>31503</v>
      </c>
      <c r="B327" s="95">
        <f t="shared" si="4"/>
        <v>1986</v>
      </c>
      <c r="C327" s="94">
        <v>8.85</v>
      </c>
    </row>
    <row r="328" spans="1:3" x14ac:dyDescent="0.25">
      <c r="A328" s="93">
        <v>31533</v>
      </c>
      <c r="B328" s="95">
        <f t="shared" si="4"/>
        <v>1986</v>
      </c>
      <c r="C328" s="94">
        <v>8.93</v>
      </c>
    </row>
    <row r="329" spans="1:3" x14ac:dyDescent="0.25">
      <c r="A329" s="93">
        <v>31564</v>
      </c>
      <c r="B329" s="95">
        <f t="shared" si="4"/>
        <v>1986</v>
      </c>
      <c r="C329" s="94">
        <v>9.1199999999999992</v>
      </c>
    </row>
    <row r="330" spans="1:3" x14ac:dyDescent="0.25">
      <c r="A330" s="93">
        <v>31594</v>
      </c>
      <c r="B330" s="95">
        <f t="shared" si="4"/>
        <v>1986</v>
      </c>
      <c r="C330" s="94">
        <v>8.8699999999999992</v>
      </c>
    </row>
    <row r="331" spans="1:3" x14ac:dyDescent="0.25">
      <c r="A331" s="93">
        <v>31625</v>
      </c>
      <c r="B331" s="95">
        <f t="shared" si="4"/>
        <v>1986</v>
      </c>
      <c r="C331" s="94">
        <v>8.83</v>
      </c>
    </row>
    <row r="332" spans="1:3" x14ac:dyDescent="0.25">
      <c r="A332" s="93">
        <v>31656</v>
      </c>
      <c r="B332" s="95">
        <f t="shared" si="4"/>
        <v>1986</v>
      </c>
      <c r="C332" s="94">
        <v>9</v>
      </c>
    </row>
    <row r="333" spans="1:3" x14ac:dyDescent="0.25">
      <c r="A333" s="93">
        <v>31686</v>
      </c>
      <c r="B333" s="95">
        <f t="shared" ref="B333:B396" si="5">YEAR(A333)</f>
        <v>1986</v>
      </c>
      <c r="C333" s="94">
        <v>9.17</v>
      </c>
    </row>
    <row r="334" spans="1:3" x14ac:dyDescent="0.25">
      <c r="A334" s="93">
        <v>31717</v>
      </c>
      <c r="B334" s="95">
        <f t="shared" si="5"/>
        <v>1986</v>
      </c>
      <c r="C334" s="94">
        <v>8.9</v>
      </c>
    </row>
    <row r="335" spans="1:3" x14ac:dyDescent="0.25">
      <c r="A335" s="93">
        <v>31747</v>
      </c>
      <c r="B335" s="95">
        <f t="shared" si="5"/>
        <v>1986</v>
      </c>
      <c r="C335" s="94">
        <v>8.67</v>
      </c>
    </row>
    <row r="336" spans="1:3" x14ac:dyDescent="0.25">
      <c r="A336" s="93">
        <v>31778</v>
      </c>
      <c r="B336" s="95">
        <f t="shared" si="5"/>
        <v>1987</v>
      </c>
      <c r="C336" s="94">
        <v>8.33</v>
      </c>
    </row>
    <row r="337" spans="1:3" x14ac:dyDescent="0.25">
      <c r="A337" s="93">
        <v>31809</v>
      </c>
      <c r="B337" s="95">
        <f t="shared" si="5"/>
        <v>1987</v>
      </c>
      <c r="C337" s="94">
        <v>8.4600000000000009</v>
      </c>
    </row>
    <row r="338" spans="1:3" x14ac:dyDescent="0.25">
      <c r="A338" s="93">
        <v>31837</v>
      </c>
      <c r="B338" s="95">
        <f t="shared" si="5"/>
        <v>1987</v>
      </c>
      <c r="C338" s="94">
        <v>8.2799999999999994</v>
      </c>
    </row>
    <row r="339" spans="1:3" x14ac:dyDescent="0.25">
      <c r="A339" s="93">
        <v>31868</v>
      </c>
      <c r="B339" s="95">
        <f t="shared" si="5"/>
        <v>1987</v>
      </c>
      <c r="C339" s="94">
        <v>8.83</v>
      </c>
    </row>
    <row r="340" spans="1:3" x14ac:dyDescent="0.25">
      <c r="A340" s="93">
        <v>31898</v>
      </c>
      <c r="B340" s="95">
        <f t="shared" si="5"/>
        <v>1987</v>
      </c>
      <c r="C340" s="94">
        <v>9.59</v>
      </c>
    </row>
    <row r="341" spans="1:3" x14ac:dyDescent="0.25">
      <c r="A341" s="93">
        <v>31929</v>
      </c>
      <c r="B341" s="95">
        <f t="shared" si="5"/>
        <v>1987</v>
      </c>
      <c r="C341" s="94">
        <v>9.33</v>
      </c>
    </row>
    <row r="342" spans="1:3" x14ac:dyDescent="0.25">
      <c r="A342" s="93">
        <v>31959</v>
      </c>
      <c r="B342" s="95">
        <f t="shared" si="5"/>
        <v>1987</v>
      </c>
      <c r="C342" s="94">
        <v>9.57</v>
      </c>
    </row>
    <row r="343" spans="1:3" x14ac:dyDescent="0.25">
      <c r="A343" s="93">
        <v>31990</v>
      </c>
      <c r="B343" s="95">
        <f t="shared" si="5"/>
        <v>1987</v>
      </c>
      <c r="C343" s="94">
        <v>10.1</v>
      </c>
    </row>
    <row r="344" spans="1:3" x14ac:dyDescent="0.25">
      <c r="A344" s="93">
        <v>32021</v>
      </c>
      <c r="B344" s="95">
        <f t="shared" si="5"/>
        <v>1987</v>
      </c>
      <c r="C344" s="94">
        <v>10.72</v>
      </c>
    </row>
    <row r="345" spans="1:3" x14ac:dyDescent="0.25">
      <c r="A345" s="93">
        <v>32051</v>
      </c>
      <c r="B345" s="95">
        <f t="shared" si="5"/>
        <v>1987</v>
      </c>
      <c r="C345" s="94">
        <v>10.44</v>
      </c>
    </row>
    <row r="346" spans="1:3" x14ac:dyDescent="0.25">
      <c r="A346" s="93">
        <v>32082</v>
      </c>
      <c r="B346" s="95">
        <f t="shared" si="5"/>
        <v>1987</v>
      </c>
      <c r="C346" s="94">
        <v>9.8800000000000008</v>
      </c>
    </row>
    <row r="347" spans="1:3" x14ac:dyDescent="0.25">
      <c r="A347" s="93">
        <v>32112</v>
      </c>
      <c r="B347" s="95">
        <f t="shared" si="5"/>
        <v>1987</v>
      </c>
      <c r="C347" s="94">
        <v>10.119999999999999</v>
      </c>
    </row>
    <row r="348" spans="1:3" x14ac:dyDescent="0.25">
      <c r="A348" s="93">
        <v>32143</v>
      </c>
      <c r="B348" s="95">
        <f t="shared" si="5"/>
        <v>1988</v>
      </c>
      <c r="C348" s="94">
        <v>9.7200000000000006</v>
      </c>
    </row>
    <row r="349" spans="1:3" x14ac:dyDescent="0.25">
      <c r="A349" s="93">
        <v>32174</v>
      </c>
      <c r="B349" s="95">
        <f t="shared" si="5"/>
        <v>1988</v>
      </c>
      <c r="C349" s="94">
        <v>9.1999999999999993</v>
      </c>
    </row>
    <row r="350" spans="1:3" x14ac:dyDescent="0.25">
      <c r="A350" s="93">
        <v>32203</v>
      </c>
      <c r="B350" s="95">
        <f t="shared" si="5"/>
        <v>1988</v>
      </c>
      <c r="C350" s="94">
        <v>9.42</v>
      </c>
    </row>
    <row r="351" spans="1:3" x14ac:dyDescent="0.25">
      <c r="A351" s="93">
        <v>32234</v>
      </c>
      <c r="B351" s="95">
        <f t="shared" si="5"/>
        <v>1988</v>
      </c>
      <c r="C351" s="94">
        <v>9.69</v>
      </c>
    </row>
    <row r="352" spans="1:3" x14ac:dyDescent="0.25">
      <c r="A352" s="93">
        <v>32264</v>
      </c>
      <c r="B352" s="95">
        <f t="shared" si="5"/>
        <v>1988</v>
      </c>
      <c r="C352" s="94">
        <v>9.94</v>
      </c>
    </row>
    <row r="353" spans="1:3" x14ac:dyDescent="0.25">
      <c r="A353" s="93">
        <v>32295</v>
      </c>
      <c r="B353" s="95">
        <f t="shared" si="5"/>
        <v>1988</v>
      </c>
      <c r="C353" s="94">
        <v>9.7200000000000006</v>
      </c>
    </row>
    <row r="354" spans="1:3" x14ac:dyDescent="0.25">
      <c r="A354" s="93">
        <v>32325</v>
      </c>
      <c r="B354" s="95">
        <f t="shared" si="5"/>
        <v>1988</v>
      </c>
      <c r="C354" s="94">
        <v>9.9</v>
      </c>
    </row>
    <row r="355" spans="1:3" x14ac:dyDescent="0.25">
      <c r="A355" s="93">
        <v>32356</v>
      </c>
      <c r="B355" s="95">
        <f t="shared" si="5"/>
        <v>1988</v>
      </c>
      <c r="C355" s="94">
        <v>10.24</v>
      </c>
    </row>
    <row r="356" spans="1:3" x14ac:dyDescent="0.25">
      <c r="A356" s="93">
        <v>32387</v>
      </c>
      <c r="B356" s="95">
        <f t="shared" si="5"/>
        <v>1988</v>
      </c>
      <c r="C356" s="94">
        <v>10.15</v>
      </c>
    </row>
    <row r="357" spans="1:3" x14ac:dyDescent="0.25">
      <c r="A357" s="93">
        <v>32417</v>
      </c>
      <c r="B357" s="95">
        <f t="shared" si="5"/>
        <v>1988</v>
      </c>
      <c r="C357" s="94">
        <v>9.85</v>
      </c>
    </row>
    <row r="358" spans="1:3" x14ac:dyDescent="0.25">
      <c r="A358" s="93">
        <v>32448</v>
      </c>
      <c r="B358" s="95">
        <f t="shared" si="5"/>
        <v>1988</v>
      </c>
      <c r="C358" s="94">
        <v>10.02</v>
      </c>
    </row>
    <row r="359" spans="1:3" x14ac:dyDescent="0.25">
      <c r="A359" s="93">
        <v>32478</v>
      </c>
      <c r="B359" s="95">
        <f t="shared" si="5"/>
        <v>1988</v>
      </c>
      <c r="C359" s="94">
        <v>10.119999999999999</v>
      </c>
    </row>
    <row r="360" spans="1:3" x14ac:dyDescent="0.25">
      <c r="A360" s="93">
        <v>32509</v>
      </c>
      <c r="B360" s="95">
        <f t="shared" si="5"/>
        <v>1989</v>
      </c>
      <c r="C360" s="94">
        <v>10.14</v>
      </c>
    </row>
    <row r="361" spans="1:3" x14ac:dyDescent="0.25">
      <c r="A361" s="93">
        <v>32540</v>
      </c>
      <c r="B361" s="95">
        <f t="shared" si="5"/>
        <v>1989</v>
      </c>
      <c r="C361" s="94">
        <v>10.19</v>
      </c>
    </row>
    <row r="362" spans="1:3" x14ac:dyDescent="0.25">
      <c r="A362" s="93">
        <v>32568</v>
      </c>
      <c r="B362" s="95">
        <f t="shared" si="5"/>
        <v>1989</v>
      </c>
      <c r="C362" s="94">
        <v>10.56</v>
      </c>
    </row>
    <row r="363" spans="1:3" x14ac:dyDescent="0.25">
      <c r="A363" s="93">
        <v>32599</v>
      </c>
      <c r="B363" s="95">
        <f t="shared" si="5"/>
        <v>1989</v>
      </c>
      <c r="C363" s="94">
        <v>10.32</v>
      </c>
    </row>
    <row r="364" spans="1:3" x14ac:dyDescent="0.25">
      <c r="A364" s="93">
        <v>32629</v>
      </c>
      <c r="B364" s="95">
        <f t="shared" si="5"/>
        <v>1989</v>
      </c>
      <c r="C364" s="94">
        <v>9.91</v>
      </c>
    </row>
    <row r="365" spans="1:3" x14ac:dyDescent="0.25">
      <c r="A365" s="93">
        <v>32660</v>
      </c>
      <c r="B365" s="95">
        <f t="shared" si="5"/>
        <v>1989</v>
      </c>
      <c r="C365" s="94">
        <v>9.43</v>
      </c>
    </row>
    <row r="366" spans="1:3" x14ac:dyDescent="0.25">
      <c r="A366" s="93">
        <v>32690</v>
      </c>
      <c r="B366" s="95">
        <f t="shared" si="5"/>
        <v>1989</v>
      </c>
      <c r="C366" s="94">
        <v>9.34</v>
      </c>
    </row>
    <row r="367" spans="1:3" x14ac:dyDescent="0.25">
      <c r="A367" s="93">
        <v>32721</v>
      </c>
      <c r="B367" s="95">
        <f t="shared" si="5"/>
        <v>1989</v>
      </c>
      <c r="C367" s="94">
        <v>9.32</v>
      </c>
    </row>
    <row r="368" spans="1:3" x14ac:dyDescent="0.25">
      <c r="A368" s="93">
        <v>32752</v>
      </c>
      <c r="B368" s="95">
        <f t="shared" si="5"/>
        <v>1989</v>
      </c>
      <c r="C368" s="94">
        <v>9.5500000000000007</v>
      </c>
    </row>
    <row r="369" spans="1:3" x14ac:dyDescent="0.25">
      <c r="A369" s="93">
        <v>32782</v>
      </c>
      <c r="B369" s="95">
        <f t="shared" si="5"/>
        <v>1989</v>
      </c>
      <c r="C369" s="94">
        <v>9.5299999999999994</v>
      </c>
    </row>
    <row r="370" spans="1:3" x14ac:dyDescent="0.25">
      <c r="A370" s="93">
        <v>32813</v>
      </c>
      <c r="B370" s="95">
        <f t="shared" si="5"/>
        <v>1989</v>
      </c>
      <c r="C370" s="94">
        <v>9.49</v>
      </c>
    </row>
    <row r="371" spans="1:3" x14ac:dyDescent="0.25">
      <c r="A371" s="93">
        <v>32843</v>
      </c>
      <c r="B371" s="95">
        <f t="shared" si="5"/>
        <v>1989</v>
      </c>
      <c r="C371" s="94">
        <v>9.59</v>
      </c>
    </row>
    <row r="372" spans="1:3" x14ac:dyDescent="0.25">
      <c r="A372" s="93">
        <v>32874</v>
      </c>
      <c r="B372" s="95">
        <f t="shared" si="5"/>
        <v>1990</v>
      </c>
      <c r="C372" s="94">
        <v>9.75</v>
      </c>
    </row>
    <row r="373" spans="1:3" x14ac:dyDescent="0.25">
      <c r="A373" s="93">
        <v>32905</v>
      </c>
      <c r="B373" s="95">
        <f t="shared" si="5"/>
        <v>1990</v>
      </c>
      <c r="C373" s="94">
        <v>10.19</v>
      </c>
    </row>
    <row r="374" spans="1:3" x14ac:dyDescent="0.25">
      <c r="A374" s="93">
        <v>32933</v>
      </c>
      <c r="B374" s="95">
        <f t="shared" si="5"/>
        <v>1990</v>
      </c>
      <c r="C374" s="94">
        <v>10.74</v>
      </c>
    </row>
    <row r="375" spans="1:3" x14ac:dyDescent="0.25">
      <c r="A375" s="93">
        <v>32964</v>
      </c>
      <c r="B375" s="95">
        <f t="shared" si="5"/>
        <v>1990</v>
      </c>
      <c r="C375" s="94">
        <v>11.35</v>
      </c>
    </row>
    <row r="376" spans="1:3" x14ac:dyDescent="0.25">
      <c r="A376" s="93">
        <v>32994</v>
      </c>
      <c r="B376" s="95">
        <f t="shared" si="5"/>
        <v>1990</v>
      </c>
      <c r="C376" s="94">
        <v>11.32</v>
      </c>
    </row>
    <row r="377" spans="1:3" x14ac:dyDescent="0.25">
      <c r="A377" s="93">
        <v>33025</v>
      </c>
      <c r="B377" s="95">
        <f t="shared" si="5"/>
        <v>1990</v>
      </c>
      <c r="C377" s="94">
        <v>10.76</v>
      </c>
    </row>
    <row r="378" spans="1:3" x14ac:dyDescent="0.25">
      <c r="A378" s="93">
        <v>33055</v>
      </c>
      <c r="B378" s="95">
        <f t="shared" si="5"/>
        <v>1990</v>
      </c>
      <c r="C378" s="94">
        <v>10.67</v>
      </c>
    </row>
    <row r="379" spans="1:3" x14ac:dyDescent="0.25">
      <c r="A379" s="93">
        <v>33086</v>
      </c>
      <c r="B379" s="95">
        <f t="shared" si="5"/>
        <v>1990</v>
      </c>
      <c r="C379" s="94">
        <v>10.64</v>
      </c>
    </row>
    <row r="380" spans="1:3" x14ac:dyDescent="0.25">
      <c r="A380" s="93">
        <v>33117</v>
      </c>
      <c r="B380" s="95">
        <f t="shared" si="5"/>
        <v>1990</v>
      </c>
      <c r="C380" s="94">
        <v>10.8</v>
      </c>
    </row>
    <row r="381" spans="1:3" x14ac:dyDescent="0.25">
      <c r="A381" s="93">
        <v>33147</v>
      </c>
      <c r="B381" s="95">
        <f t="shared" si="5"/>
        <v>1990</v>
      </c>
      <c r="C381" s="94">
        <v>11.27</v>
      </c>
    </row>
    <row r="382" spans="1:3" x14ac:dyDescent="0.25">
      <c r="A382" s="93">
        <v>33178</v>
      </c>
      <c r="B382" s="95">
        <f t="shared" si="5"/>
        <v>1990</v>
      </c>
      <c r="C382" s="94">
        <v>10.71</v>
      </c>
    </row>
    <row r="383" spans="1:3" x14ac:dyDescent="0.25">
      <c r="A383" s="93">
        <v>33208</v>
      </c>
      <c r="B383" s="95">
        <f t="shared" si="5"/>
        <v>1990</v>
      </c>
      <c r="C383" s="94">
        <v>10.31</v>
      </c>
    </row>
    <row r="384" spans="1:3" x14ac:dyDescent="0.25">
      <c r="A384" s="93">
        <v>33239</v>
      </c>
      <c r="B384" s="95">
        <f t="shared" si="5"/>
        <v>1991</v>
      </c>
      <c r="C384" s="94">
        <v>10.210000000000001</v>
      </c>
    </row>
    <row r="385" spans="1:3" x14ac:dyDescent="0.25">
      <c r="A385" s="93">
        <v>33270</v>
      </c>
      <c r="B385" s="95">
        <f t="shared" si="5"/>
        <v>1991</v>
      </c>
      <c r="C385" s="94">
        <v>9.68</v>
      </c>
    </row>
    <row r="386" spans="1:3" x14ac:dyDescent="0.25">
      <c r="A386" s="93">
        <v>33298</v>
      </c>
      <c r="B386" s="95">
        <f t="shared" si="5"/>
        <v>1991</v>
      </c>
      <c r="C386" s="94">
        <v>9.6300000000000008</v>
      </c>
    </row>
    <row r="387" spans="1:3" x14ac:dyDescent="0.25">
      <c r="A387" s="93">
        <v>33329</v>
      </c>
      <c r="B387" s="95">
        <f t="shared" si="5"/>
        <v>1991</v>
      </c>
      <c r="C387" s="94">
        <v>9.5</v>
      </c>
    </row>
    <row r="388" spans="1:3" x14ac:dyDescent="0.25">
      <c r="A388" s="93">
        <v>33359</v>
      </c>
      <c r="B388" s="95">
        <f t="shared" si="5"/>
        <v>1991</v>
      </c>
      <c r="C388" s="94">
        <v>9.57</v>
      </c>
    </row>
    <row r="389" spans="1:3" x14ac:dyDescent="0.25">
      <c r="A389" s="93">
        <v>33390</v>
      </c>
      <c r="B389" s="95">
        <f t="shared" si="5"/>
        <v>1991</v>
      </c>
      <c r="C389" s="94">
        <v>9.82</v>
      </c>
    </row>
    <row r="390" spans="1:3" x14ac:dyDescent="0.25">
      <c r="A390" s="93">
        <v>33420</v>
      </c>
      <c r="B390" s="95">
        <f t="shared" si="5"/>
        <v>1991</v>
      </c>
      <c r="C390" s="94">
        <v>10.01</v>
      </c>
    </row>
    <row r="391" spans="1:3" x14ac:dyDescent="0.25">
      <c r="A391" s="93">
        <v>33451</v>
      </c>
      <c r="B391" s="95">
        <f t="shared" si="5"/>
        <v>1991</v>
      </c>
      <c r="C391" s="94">
        <v>9.77</v>
      </c>
    </row>
    <row r="392" spans="1:3" x14ac:dyDescent="0.25">
      <c r="A392" s="93">
        <v>33482</v>
      </c>
      <c r="B392" s="95">
        <f t="shared" si="5"/>
        <v>1991</v>
      </c>
      <c r="C392" s="94">
        <v>9.58</v>
      </c>
    </row>
    <row r="393" spans="1:3" x14ac:dyDescent="0.25">
      <c r="A393" s="93">
        <v>33512</v>
      </c>
      <c r="B393" s="95">
        <f t="shared" si="5"/>
        <v>1991</v>
      </c>
      <c r="C393" s="94">
        <v>9.1199999999999992</v>
      </c>
    </row>
    <row r="394" spans="1:3" x14ac:dyDescent="0.25">
      <c r="A394" s="93">
        <v>33543</v>
      </c>
      <c r="B394" s="95">
        <f t="shared" si="5"/>
        <v>1991</v>
      </c>
      <c r="C394" s="94">
        <v>8.6199999999999992</v>
      </c>
    </row>
    <row r="395" spans="1:3" x14ac:dyDescent="0.25">
      <c r="A395" s="93">
        <v>33573</v>
      </c>
      <c r="B395" s="95">
        <f t="shared" si="5"/>
        <v>1991</v>
      </c>
      <c r="C395" s="94">
        <v>8.5299999999999994</v>
      </c>
    </row>
    <row r="396" spans="1:3" x14ac:dyDescent="0.25">
      <c r="A396" s="93">
        <v>33604</v>
      </c>
      <c r="B396" s="95">
        <f t="shared" si="5"/>
        <v>1992</v>
      </c>
      <c r="C396" s="94">
        <v>8.1300000000000008</v>
      </c>
    </row>
    <row r="397" spans="1:3" x14ac:dyDescent="0.25">
      <c r="A397" s="93">
        <v>33635</v>
      </c>
      <c r="B397" s="95">
        <f t="shared" ref="B397:B460" si="6">YEAR(A397)</f>
        <v>1992</v>
      </c>
      <c r="C397" s="94">
        <v>8.35</v>
      </c>
    </row>
    <row r="398" spans="1:3" x14ac:dyDescent="0.25">
      <c r="A398" s="93">
        <v>33664</v>
      </c>
      <c r="B398" s="95">
        <f t="shared" si="6"/>
        <v>1992</v>
      </c>
      <c r="C398" s="94">
        <v>8.6300000000000008</v>
      </c>
    </row>
    <row r="399" spans="1:3" x14ac:dyDescent="0.25">
      <c r="A399" s="93">
        <v>33695</v>
      </c>
      <c r="B399" s="95">
        <f t="shared" si="6"/>
        <v>1992</v>
      </c>
      <c r="C399" s="94">
        <v>8.76</v>
      </c>
    </row>
    <row r="400" spans="1:3" x14ac:dyDescent="0.25">
      <c r="A400" s="93">
        <v>33725</v>
      </c>
      <c r="B400" s="95">
        <f t="shared" si="6"/>
        <v>1992</v>
      </c>
      <c r="C400" s="94">
        <v>8.64</v>
      </c>
    </row>
    <row r="401" spans="1:3" x14ac:dyDescent="0.25">
      <c r="A401" s="93">
        <v>33756</v>
      </c>
      <c r="B401" s="95">
        <f t="shared" si="6"/>
        <v>1992</v>
      </c>
      <c r="C401" s="94">
        <v>8.34</v>
      </c>
    </row>
    <row r="402" spans="1:3" x14ac:dyDescent="0.25">
      <c r="A402" s="93">
        <v>33786</v>
      </c>
      <c r="B402" s="95">
        <f t="shared" si="6"/>
        <v>1992</v>
      </c>
      <c r="C402" s="94">
        <v>7.92</v>
      </c>
    </row>
    <row r="403" spans="1:3" x14ac:dyDescent="0.25">
      <c r="A403" s="93">
        <v>33817</v>
      </c>
      <c r="B403" s="95">
        <f t="shared" si="6"/>
        <v>1992</v>
      </c>
      <c r="C403" s="94">
        <v>7.3</v>
      </c>
    </row>
    <row r="404" spans="1:3" x14ac:dyDescent="0.25">
      <c r="A404" s="93">
        <v>33848</v>
      </c>
      <c r="B404" s="95">
        <f t="shared" si="6"/>
        <v>1992</v>
      </c>
      <c r="C404" s="94">
        <v>7.41</v>
      </c>
    </row>
    <row r="405" spans="1:3" x14ac:dyDescent="0.25">
      <c r="A405" s="93">
        <v>33878</v>
      </c>
      <c r="B405" s="95">
        <f t="shared" si="6"/>
        <v>1992</v>
      </c>
      <c r="C405" s="94">
        <v>7.77</v>
      </c>
    </row>
    <row r="406" spans="1:3" x14ac:dyDescent="0.25">
      <c r="A406" s="93">
        <v>33909</v>
      </c>
      <c r="B406" s="95">
        <f t="shared" si="6"/>
        <v>1992</v>
      </c>
      <c r="C406" s="94">
        <v>7.73</v>
      </c>
    </row>
    <row r="407" spans="1:3" x14ac:dyDescent="0.25">
      <c r="A407" s="93">
        <v>33939</v>
      </c>
      <c r="B407" s="95">
        <f t="shared" si="6"/>
        <v>1992</v>
      </c>
      <c r="C407" s="94">
        <v>7.87</v>
      </c>
    </row>
    <row r="408" spans="1:3" x14ac:dyDescent="0.25">
      <c r="A408" s="93">
        <v>33970</v>
      </c>
      <c r="B408" s="95">
        <f t="shared" si="6"/>
        <v>1993</v>
      </c>
      <c r="C408" s="94">
        <v>7.93</v>
      </c>
    </row>
    <row r="409" spans="1:3" x14ac:dyDescent="0.25">
      <c r="A409" s="93">
        <v>34001</v>
      </c>
      <c r="B409" s="95">
        <f t="shared" si="6"/>
        <v>1993</v>
      </c>
      <c r="C409" s="94">
        <v>7.84</v>
      </c>
    </row>
    <row r="410" spans="1:3" x14ac:dyDescent="0.25">
      <c r="A410" s="93">
        <v>34029</v>
      </c>
      <c r="B410" s="95">
        <f t="shared" si="6"/>
        <v>1993</v>
      </c>
      <c r="C410" s="94">
        <v>7.44</v>
      </c>
    </row>
    <row r="411" spans="1:3" x14ac:dyDescent="0.25">
      <c r="A411" s="93">
        <v>34060</v>
      </c>
      <c r="B411" s="95">
        <f t="shared" si="6"/>
        <v>1993</v>
      </c>
      <c r="C411" s="94">
        <v>7.46</v>
      </c>
    </row>
    <row r="412" spans="1:3" x14ac:dyDescent="0.25">
      <c r="A412" s="93">
        <v>34090</v>
      </c>
      <c r="B412" s="95">
        <f t="shared" si="6"/>
        <v>1993</v>
      </c>
      <c r="C412" s="94">
        <v>7.56</v>
      </c>
    </row>
    <row r="413" spans="1:3" x14ac:dyDescent="0.25">
      <c r="A413" s="93">
        <v>34121</v>
      </c>
      <c r="B413" s="95">
        <f t="shared" si="6"/>
        <v>1993</v>
      </c>
      <c r="C413" s="94">
        <v>7.47</v>
      </c>
    </row>
    <row r="414" spans="1:3" x14ac:dyDescent="0.25">
      <c r="A414" s="93">
        <v>34151</v>
      </c>
      <c r="B414" s="95">
        <f t="shared" si="6"/>
        <v>1993</v>
      </c>
      <c r="C414" s="94">
        <v>7.25</v>
      </c>
    </row>
    <row r="415" spans="1:3" x14ac:dyDescent="0.25">
      <c r="A415" s="93">
        <v>34182</v>
      </c>
      <c r="B415" s="95">
        <f t="shared" si="6"/>
        <v>1993</v>
      </c>
      <c r="C415" s="94">
        <v>7.09</v>
      </c>
    </row>
    <row r="416" spans="1:3" x14ac:dyDescent="0.25">
      <c r="A416" s="93">
        <v>34213</v>
      </c>
      <c r="B416" s="95">
        <f t="shared" si="6"/>
        <v>1993</v>
      </c>
      <c r="C416" s="94">
        <v>6.82</v>
      </c>
    </row>
    <row r="417" spans="1:3" x14ac:dyDescent="0.25">
      <c r="A417" s="93">
        <v>34243</v>
      </c>
      <c r="B417" s="95">
        <f t="shared" si="6"/>
        <v>1993</v>
      </c>
      <c r="C417" s="94">
        <v>6.82</v>
      </c>
    </row>
    <row r="418" spans="1:3" x14ac:dyDescent="0.25">
      <c r="A418" s="93">
        <v>34274</v>
      </c>
      <c r="B418" s="95">
        <f t="shared" si="6"/>
        <v>1993</v>
      </c>
      <c r="C418" s="94">
        <v>6.82</v>
      </c>
    </row>
    <row r="419" spans="1:3" x14ac:dyDescent="0.25">
      <c r="A419" s="93">
        <v>34304</v>
      </c>
      <c r="B419" s="95">
        <f t="shared" si="6"/>
        <v>1993</v>
      </c>
      <c r="C419" s="94">
        <v>6.75</v>
      </c>
    </row>
    <row r="420" spans="1:3" x14ac:dyDescent="0.25">
      <c r="A420" s="93">
        <v>34335</v>
      </c>
      <c r="B420" s="95">
        <f t="shared" si="6"/>
        <v>1994</v>
      </c>
      <c r="C420" s="94">
        <v>6.52</v>
      </c>
    </row>
    <row r="421" spans="1:3" x14ac:dyDescent="0.25">
      <c r="A421" s="93">
        <v>34366</v>
      </c>
      <c r="B421" s="95">
        <f t="shared" si="6"/>
        <v>1994</v>
      </c>
      <c r="C421" s="94">
        <v>6.54</v>
      </c>
    </row>
    <row r="422" spans="1:3" x14ac:dyDescent="0.25">
      <c r="A422" s="93">
        <v>34394</v>
      </c>
      <c r="B422" s="95">
        <f t="shared" si="6"/>
        <v>1994</v>
      </c>
      <c r="C422" s="94">
        <v>7.25</v>
      </c>
    </row>
    <row r="423" spans="1:3" x14ac:dyDescent="0.25">
      <c r="A423" s="93">
        <v>34425</v>
      </c>
      <c r="B423" s="95">
        <f t="shared" si="6"/>
        <v>1994</v>
      </c>
      <c r="C423" s="94">
        <v>8.06</v>
      </c>
    </row>
    <row r="424" spans="1:3" x14ac:dyDescent="0.25">
      <c r="A424" s="93">
        <v>34455</v>
      </c>
      <c r="B424" s="95">
        <f t="shared" si="6"/>
        <v>1994</v>
      </c>
      <c r="C424" s="94">
        <v>8.2899999999999991</v>
      </c>
    </row>
    <row r="425" spans="1:3" x14ac:dyDescent="0.25">
      <c r="A425" s="93">
        <v>34486</v>
      </c>
      <c r="B425" s="95">
        <f t="shared" si="6"/>
        <v>1994</v>
      </c>
      <c r="C425" s="94">
        <v>8.83</v>
      </c>
    </row>
    <row r="426" spans="1:3" x14ac:dyDescent="0.25">
      <c r="A426" s="93">
        <v>34516</v>
      </c>
      <c r="B426" s="95">
        <f t="shared" si="6"/>
        <v>1994</v>
      </c>
      <c r="C426" s="94">
        <v>9.11</v>
      </c>
    </row>
    <row r="427" spans="1:3" x14ac:dyDescent="0.25">
      <c r="A427" s="93">
        <v>34547</v>
      </c>
      <c r="B427" s="95">
        <f t="shared" si="6"/>
        <v>1994</v>
      </c>
      <c r="C427" s="94">
        <v>8.98</v>
      </c>
    </row>
    <row r="428" spans="1:3" x14ac:dyDescent="0.25">
      <c r="A428" s="93">
        <v>34578</v>
      </c>
      <c r="B428" s="95">
        <f t="shared" si="6"/>
        <v>1994</v>
      </c>
      <c r="C428" s="94">
        <v>8.9</v>
      </c>
    </row>
    <row r="429" spans="1:3" x14ac:dyDescent="0.25">
      <c r="A429" s="93">
        <v>34608</v>
      </c>
      <c r="B429" s="95">
        <f t="shared" si="6"/>
        <v>1994</v>
      </c>
      <c r="C429" s="94">
        <v>9.02</v>
      </c>
    </row>
    <row r="430" spans="1:3" x14ac:dyDescent="0.25">
      <c r="A430" s="93">
        <v>34639</v>
      </c>
      <c r="B430" s="95">
        <f t="shared" si="6"/>
        <v>1994</v>
      </c>
      <c r="C430" s="94">
        <v>9.15</v>
      </c>
    </row>
    <row r="431" spans="1:3" x14ac:dyDescent="0.25">
      <c r="A431" s="93">
        <v>34669</v>
      </c>
      <c r="B431" s="95">
        <f t="shared" si="6"/>
        <v>1994</v>
      </c>
      <c r="C431" s="94">
        <v>9.07</v>
      </c>
    </row>
    <row r="432" spans="1:3" x14ac:dyDescent="0.25">
      <c r="A432" s="93">
        <v>34700</v>
      </c>
      <c r="B432" s="95">
        <f t="shared" si="6"/>
        <v>1995</v>
      </c>
      <c r="C432" s="94">
        <v>9.35</v>
      </c>
    </row>
    <row r="433" spans="1:3" x14ac:dyDescent="0.25">
      <c r="A433" s="93">
        <v>34731</v>
      </c>
      <c r="B433" s="95">
        <f t="shared" si="6"/>
        <v>1995</v>
      </c>
      <c r="C433" s="94">
        <v>8.9</v>
      </c>
    </row>
    <row r="434" spans="1:3" x14ac:dyDescent="0.25">
      <c r="A434" s="93">
        <v>34759</v>
      </c>
      <c r="B434" s="95">
        <f t="shared" si="6"/>
        <v>1995</v>
      </c>
      <c r="C434" s="94">
        <v>8.64</v>
      </c>
    </row>
    <row r="435" spans="1:3" x14ac:dyDescent="0.25">
      <c r="A435" s="93">
        <v>34790</v>
      </c>
      <c r="B435" s="95">
        <f t="shared" si="6"/>
        <v>1995</v>
      </c>
      <c r="C435" s="94">
        <v>8.42</v>
      </c>
    </row>
    <row r="436" spans="1:3" x14ac:dyDescent="0.25">
      <c r="A436" s="93">
        <v>34820</v>
      </c>
      <c r="B436" s="95">
        <f t="shared" si="6"/>
        <v>1995</v>
      </c>
      <c r="C436" s="94">
        <v>8.06</v>
      </c>
    </row>
    <row r="437" spans="1:3" x14ac:dyDescent="0.25">
      <c r="A437" s="93">
        <v>34851</v>
      </c>
      <c r="B437" s="95">
        <f t="shared" si="6"/>
        <v>1995</v>
      </c>
      <c r="C437" s="94">
        <v>7.86</v>
      </c>
    </row>
    <row r="438" spans="1:3" x14ac:dyDescent="0.25">
      <c r="A438" s="93">
        <v>34881</v>
      </c>
      <c r="B438" s="95">
        <f t="shared" si="6"/>
        <v>1995</v>
      </c>
      <c r="C438" s="94">
        <v>8.08</v>
      </c>
    </row>
    <row r="439" spans="1:3" x14ac:dyDescent="0.25">
      <c r="A439" s="93">
        <v>34912</v>
      </c>
      <c r="B439" s="95">
        <f t="shared" si="6"/>
        <v>1995</v>
      </c>
      <c r="C439" s="94">
        <v>8.26</v>
      </c>
    </row>
    <row r="440" spans="1:3" x14ac:dyDescent="0.25">
      <c r="A440" s="93">
        <v>34943</v>
      </c>
      <c r="B440" s="95">
        <f t="shared" si="6"/>
        <v>1995</v>
      </c>
      <c r="C440" s="94">
        <v>7.93</v>
      </c>
    </row>
    <row r="441" spans="1:3" x14ac:dyDescent="0.25">
      <c r="A441" s="93">
        <v>34973</v>
      </c>
      <c r="B441" s="95">
        <f t="shared" si="6"/>
        <v>1995</v>
      </c>
      <c r="C441" s="94">
        <v>7.72</v>
      </c>
    </row>
    <row r="442" spans="1:3" x14ac:dyDescent="0.25">
      <c r="A442" s="93">
        <v>35004</v>
      </c>
      <c r="B442" s="95">
        <f t="shared" si="6"/>
        <v>1995</v>
      </c>
      <c r="C442" s="94">
        <v>7.47</v>
      </c>
    </row>
    <row r="443" spans="1:3" x14ac:dyDescent="0.25">
      <c r="A443" s="93">
        <v>35034</v>
      </c>
      <c r="B443" s="95">
        <f t="shared" si="6"/>
        <v>1995</v>
      </c>
      <c r="C443" s="94">
        <v>7.25</v>
      </c>
    </row>
    <row r="444" spans="1:3" x14ac:dyDescent="0.25">
      <c r="A444" s="93">
        <v>35065</v>
      </c>
      <c r="B444" s="95">
        <f t="shared" si="6"/>
        <v>1996</v>
      </c>
      <c r="C444" s="94">
        <v>7.09</v>
      </c>
    </row>
    <row r="445" spans="1:3" x14ac:dyDescent="0.25">
      <c r="A445" s="93">
        <v>35096</v>
      </c>
      <c r="B445" s="95">
        <f t="shared" si="6"/>
        <v>1996</v>
      </c>
      <c r="C445" s="94">
        <v>7.24</v>
      </c>
    </row>
    <row r="446" spans="1:3" x14ac:dyDescent="0.25">
      <c r="A446" s="93">
        <v>35125</v>
      </c>
      <c r="B446" s="95">
        <f t="shared" si="6"/>
        <v>1996</v>
      </c>
      <c r="C446" s="94">
        <v>7.62</v>
      </c>
    </row>
    <row r="447" spans="1:3" x14ac:dyDescent="0.25">
      <c r="A447" s="93">
        <v>35156</v>
      </c>
      <c r="B447" s="95">
        <f t="shared" si="6"/>
        <v>1996</v>
      </c>
      <c r="C447" s="94">
        <v>7.7</v>
      </c>
    </row>
    <row r="448" spans="1:3" x14ac:dyDescent="0.25">
      <c r="A448" s="93">
        <v>35186</v>
      </c>
      <c r="B448" s="95">
        <f t="shared" si="6"/>
        <v>1996</v>
      </c>
      <c r="C448" s="94">
        <v>7.77</v>
      </c>
    </row>
    <row r="449" spans="1:3" x14ac:dyDescent="0.25">
      <c r="A449" s="93">
        <v>35217</v>
      </c>
      <c r="B449" s="95">
        <f t="shared" si="6"/>
        <v>1996</v>
      </c>
      <c r="C449" s="94">
        <v>7.81</v>
      </c>
    </row>
    <row r="450" spans="1:3" x14ac:dyDescent="0.25">
      <c r="A450" s="93">
        <v>35247</v>
      </c>
      <c r="B450" s="95">
        <f t="shared" si="6"/>
        <v>1996</v>
      </c>
      <c r="C450" s="94">
        <v>7.71</v>
      </c>
    </row>
    <row r="451" spans="1:3" x14ac:dyDescent="0.25">
      <c r="A451" s="93">
        <v>35278</v>
      </c>
      <c r="B451" s="95">
        <f t="shared" si="6"/>
        <v>1996</v>
      </c>
      <c r="C451" s="94">
        <v>7.31</v>
      </c>
    </row>
    <row r="452" spans="1:3" x14ac:dyDescent="0.25">
      <c r="A452" s="93">
        <v>35309</v>
      </c>
      <c r="B452" s="95">
        <f t="shared" si="6"/>
        <v>1996</v>
      </c>
      <c r="C452" s="94">
        <v>7.34</v>
      </c>
    </row>
    <row r="453" spans="1:3" x14ac:dyDescent="0.25">
      <c r="A453" s="93">
        <v>35339</v>
      </c>
      <c r="B453" s="95">
        <f t="shared" si="6"/>
        <v>1996</v>
      </c>
      <c r="C453" s="94">
        <v>6.64</v>
      </c>
    </row>
    <row r="454" spans="1:3" x14ac:dyDescent="0.25">
      <c r="A454" s="93">
        <v>35370</v>
      </c>
      <c r="B454" s="95">
        <f t="shared" si="6"/>
        <v>1996</v>
      </c>
      <c r="C454" s="94">
        <v>6.14</v>
      </c>
    </row>
    <row r="455" spans="1:3" x14ac:dyDescent="0.25">
      <c r="A455" s="93">
        <v>35400</v>
      </c>
      <c r="B455" s="95">
        <f t="shared" si="6"/>
        <v>1996</v>
      </c>
      <c r="C455" s="94">
        <v>6.39</v>
      </c>
    </row>
    <row r="456" spans="1:3" x14ac:dyDescent="0.25">
      <c r="A456" s="93">
        <v>35431</v>
      </c>
      <c r="B456" s="95">
        <f t="shared" si="6"/>
        <v>1997</v>
      </c>
      <c r="C456" s="94">
        <v>6.63</v>
      </c>
    </row>
    <row r="457" spans="1:3" x14ac:dyDescent="0.25">
      <c r="A457" s="93">
        <v>35462</v>
      </c>
      <c r="B457" s="95">
        <f t="shared" si="6"/>
        <v>1997</v>
      </c>
      <c r="C457" s="94">
        <v>6.3</v>
      </c>
    </row>
    <row r="458" spans="1:3" x14ac:dyDescent="0.25">
      <c r="A458" s="93">
        <v>35490</v>
      </c>
      <c r="B458" s="95">
        <f t="shared" si="6"/>
        <v>1997</v>
      </c>
      <c r="C458" s="94">
        <v>6.54</v>
      </c>
    </row>
    <row r="459" spans="1:3" x14ac:dyDescent="0.25">
      <c r="A459" s="93">
        <v>35521</v>
      </c>
      <c r="B459" s="95">
        <f t="shared" si="6"/>
        <v>1997</v>
      </c>
      <c r="C459" s="94">
        <v>6.78</v>
      </c>
    </row>
    <row r="460" spans="1:3" x14ac:dyDescent="0.25">
      <c r="A460" s="93">
        <v>35551</v>
      </c>
      <c r="B460" s="95">
        <f t="shared" si="6"/>
        <v>1997</v>
      </c>
      <c r="C460" s="94">
        <v>6.57</v>
      </c>
    </row>
    <row r="461" spans="1:3" x14ac:dyDescent="0.25">
      <c r="A461" s="93">
        <v>35582</v>
      </c>
      <c r="B461" s="95">
        <f t="shared" ref="B461:B524" si="7">YEAR(A461)</f>
        <v>1997</v>
      </c>
      <c r="C461" s="94">
        <v>6.27</v>
      </c>
    </row>
    <row r="462" spans="1:3" x14ac:dyDescent="0.25">
      <c r="A462" s="93">
        <v>35612</v>
      </c>
      <c r="B462" s="95">
        <f t="shared" si="7"/>
        <v>1997</v>
      </c>
      <c r="C462" s="94">
        <v>5.96</v>
      </c>
    </row>
    <row r="463" spans="1:3" x14ac:dyDescent="0.25">
      <c r="A463" s="93">
        <v>35643</v>
      </c>
      <c r="B463" s="95">
        <f t="shared" si="7"/>
        <v>1997</v>
      </c>
      <c r="C463" s="94">
        <v>5.99</v>
      </c>
    </row>
    <row r="464" spans="1:3" x14ac:dyDescent="0.25">
      <c r="A464" s="93">
        <v>35674</v>
      </c>
      <c r="B464" s="95">
        <f t="shared" si="7"/>
        <v>1997</v>
      </c>
      <c r="C464" s="94">
        <v>5.88</v>
      </c>
    </row>
    <row r="465" spans="1:3" x14ac:dyDescent="0.25">
      <c r="A465" s="93">
        <v>35704</v>
      </c>
      <c r="B465" s="95">
        <f t="shared" si="7"/>
        <v>1997</v>
      </c>
      <c r="C465" s="94">
        <v>5.61</v>
      </c>
    </row>
    <row r="466" spans="1:3" x14ac:dyDescent="0.25">
      <c r="A466" s="93">
        <v>35735</v>
      </c>
      <c r="B466" s="95">
        <f t="shared" si="7"/>
        <v>1997</v>
      </c>
      <c r="C466" s="94">
        <v>5.5</v>
      </c>
    </row>
    <row r="467" spans="1:3" x14ac:dyDescent="0.25">
      <c r="A467" s="93">
        <v>35765</v>
      </c>
      <c r="B467" s="95">
        <f t="shared" si="7"/>
        <v>1997</v>
      </c>
      <c r="C467" s="94">
        <v>5.67</v>
      </c>
    </row>
    <row r="468" spans="1:3" x14ac:dyDescent="0.25">
      <c r="A468" s="93">
        <v>35796</v>
      </c>
      <c r="B468" s="95">
        <f t="shared" si="7"/>
        <v>1998</v>
      </c>
      <c r="C468" s="94">
        <v>5.36</v>
      </c>
    </row>
    <row r="469" spans="1:3" x14ac:dyDescent="0.25">
      <c r="A469" s="93">
        <v>35827</v>
      </c>
      <c r="B469" s="95">
        <f t="shared" si="7"/>
        <v>1998</v>
      </c>
      <c r="C469" s="94">
        <v>5.43</v>
      </c>
    </row>
    <row r="470" spans="1:3" x14ac:dyDescent="0.25">
      <c r="A470" s="93">
        <v>35855</v>
      </c>
      <c r="B470" s="95">
        <f t="shared" si="7"/>
        <v>1998</v>
      </c>
      <c r="C470" s="94">
        <v>5.43</v>
      </c>
    </row>
    <row r="471" spans="1:3" x14ac:dyDescent="0.25">
      <c r="A471" s="93">
        <v>35886</v>
      </c>
      <c r="B471" s="95">
        <f t="shared" si="7"/>
        <v>1998</v>
      </c>
      <c r="C471" s="94">
        <v>5.31</v>
      </c>
    </row>
    <row r="472" spans="1:3" x14ac:dyDescent="0.25">
      <c r="A472" s="93">
        <v>35916</v>
      </c>
      <c r="B472" s="95">
        <f t="shared" si="7"/>
        <v>1998</v>
      </c>
      <c r="C472" s="94">
        <v>5.39</v>
      </c>
    </row>
    <row r="473" spans="1:3" x14ac:dyDescent="0.25">
      <c r="A473" s="93">
        <v>35947</v>
      </c>
      <c r="B473" s="95">
        <f t="shared" si="7"/>
        <v>1998</v>
      </c>
      <c r="C473" s="94">
        <v>5.32</v>
      </c>
    </row>
    <row r="474" spans="1:3" x14ac:dyDescent="0.25">
      <c r="A474" s="93">
        <v>35977</v>
      </c>
      <c r="B474" s="95">
        <f t="shared" si="7"/>
        <v>1998</v>
      </c>
      <c r="C474" s="94">
        <v>5.35</v>
      </c>
    </row>
    <row r="475" spans="1:3" x14ac:dyDescent="0.25">
      <c r="A475" s="93">
        <v>36008</v>
      </c>
      <c r="B475" s="95">
        <f t="shared" si="7"/>
        <v>1998</v>
      </c>
      <c r="C475" s="94">
        <v>5.57</v>
      </c>
    </row>
    <row r="476" spans="1:3" x14ac:dyDescent="0.25">
      <c r="A476" s="93">
        <v>36039</v>
      </c>
      <c r="B476" s="95">
        <f t="shared" si="7"/>
        <v>1998</v>
      </c>
      <c r="C476" s="94">
        <v>5.25</v>
      </c>
    </row>
    <row r="477" spans="1:3" x14ac:dyDescent="0.25">
      <c r="A477" s="93">
        <v>36069</v>
      </c>
      <c r="B477" s="95">
        <f t="shared" si="7"/>
        <v>1998</v>
      </c>
      <c r="C477" s="94">
        <v>4.91</v>
      </c>
    </row>
    <row r="478" spans="1:3" x14ac:dyDescent="0.25">
      <c r="A478" s="93">
        <v>36100</v>
      </c>
      <c r="B478" s="95">
        <f t="shared" si="7"/>
        <v>1998</v>
      </c>
      <c r="C478" s="94">
        <v>5.17</v>
      </c>
    </row>
    <row r="479" spans="1:3" x14ac:dyDescent="0.25">
      <c r="A479" s="93">
        <v>36130</v>
      </c>
      <c r="B479" s="95">
        <f t="shared" si="7"/>
        <v>1998</v>
      </c>
      <c r="C479" s="94">
        <v>4.87</v>
      </c>
    </row>
    <row r="480" spans="1:3" x14ac:dyDescent="0.25">
      <c r="A480" s="93">
        <v>36161</v>
      </c>
      <c r="B480" s="95">
        <f t="shared" si="7"/>
        <v>1999</v>
      </c>
      <c r="C480" s="94">
        <v>4.95</v>
      </c>
    </row>
    <row r="481" spans="1:3" x14ac:dyDescent="0.25">
      <c r="A481" s="93">
        <v>36192</v>
      </c>
      <c r="B481" s="95">
        <f t="shared" si="7"/>
        <v>1999</v>
      </c>
      <c r="C481" s="94">
        <v>5.12</v>
      </c>
    </row>
    <row r="482" spans="1:3" x14ac:dyDescent="0.25">
      <c r="A482" s="93">
        <v>36220</v>
      </c>
      <c r="B482" s="95">
        <f t="shared" si="7"/>
        <v>1999</v>
      </c>
      <c r="C482" s="94">
        <v>5.22</v>
      </c>
    </row>
    <row r="483" spans="1:3" x14ac:dyDescent="0.25">
      <c r="A483" s="93">
        <v>36251</v>
      </c>
      <c r="B483" s="95">
        <f t="shared" si="7"/>
        <v>1999</v>
      </c>
      <c r="C483" s="94">
        <v>5.03</v>
      </c>
    </row>
    <row r="484" spans="1:3" x14ac:dyDescent="0.25">
      <c r="A484" s="93">
        <v>36281</v>
      </c>
      <c r="B484" s="95">
        <f t="shared" si="7"/>
        <v>1999</v>
      </c>
      <c r="C484" s="94">
        <v>5.36</v>
      </c>
    </row>
    <row r="485" spans="1:3" x14ac:dyDescent="0.25">
      <c r="A485" s="93">
        <v>36312</v>
      </c>
      <c r="B485" s="95">
        <f t="shared" si="7"/>
        <v>1999</v>
      </c>
      <c r="C485" s="94">
        <v>5.58</v>
      </c>
    </row>
    <row r="486" spans="1:3" x14ac:dyDescent="0.25">
      <c r="A486" s="93">
        <v>36342</v>
      </c>
      <c r="B486" s="95">
        <f t="shared" si="7"/>
        <v>1999</v>
      </c>
      <c r="C486" s="94">
        <v>5.49</v>
      </c>
    </row>
    <row r="487" spans="1:3" x14ac:dyDescent="0.25">
      <c r="A487" s="93">
        <v>36373</v>
      </c>
      <c r="B487" s="95">
        <f t="shared" si="7"/>
        <v>1999</v>
      </c>
      <c r="C487" s="94">
        <v>5.76</v>
      </c>
    </row>
    <row r="488" spans="1:3" x14ac:dyDescent="0.25">
      <c r="A488" s="93">
        <v>36404</v>
      </c>
      <c r="B488" s="95">
        <f t="shared" si="7"/>
        <v>1999</v>
      </c>
      <c r="C488" s="94">
        <v>5.72</v>
      </c>
    </row>
    <row r="489" spans="1:3" x14ac:dyDescent="0.25">
      <c r="A489" s="93">
        <v>36434</v>
      </c>
      <c r="B489" s="95">
        <f t="shared" si="7"/>
        <v>1999</v>
      </c>
      <c r="C489" s="94">
        <v>6.09</v>
      </c>
    </row>
    <row r="490" spans="1:3" x14ac:dyDescent="0.25">
      <c r="A490" s="93">
        <v>36465</v>
      </c>
      <c r="B490" s="95">
        <f t="shared" si="7"/>
        <v>1999</v>
      </c>
      <c r="C490" s="94">
        <v>6.03</v>
      </c>
    </row>
    <row r="491" spans="1:3" x14ac:dyDescent="0.25">
      <c r="A491" s="93">
        <v>36495</v>
      </c>
      <c r="B491" s="95">
        <f t="shared" si="7"/>
        <v>1999</v>
      </c>
      <c r="C491" s="94">
        <v>6.14</v>
      </c>
    </row>
    <row r="492" spans="1:3" x14ac:dyDescent="0.25">
      <c r="A492" s="93">
        <v>36526</v>
      </c>
      <c r="B492" s="95">
        <f t="shared" si="7"/>
        <v>2000</v>
      </c>
      <c r="C492" s="94">
        <v>6.49</v>
      </c>
    </row>
    <row r="493" spans="1:3" x14ac:dyDescent="0.25">
      <c r="A493" s="93">
        <v>36557</v>
      </c>
      <c r="B493" s="95">
        <f t="shared" si="7"/>
        <v>2000</v>
      </c>
      <c r="C493" s="94">
        <v>6.34</v>
      </c>
    </row>
    <row r="494" spans="1:3" x14ac:dyDescent="0.25">
      <c r="A494" s="93">
        <v>36586</v>
      </c>
      <c r="B494" s="95">
        <f t="shared" si="7"/>
        <v>2000</v>
      </c>
      <c r="C494" s="94">
        <v>6.03</v>
      </c>
    </row>
    <row r="495" spans="1:3" x14ac:dyDescent="0.25">
      <c r="A495" s="93">
        <v>36617</v>
      </c>
      <c r="B495" s="95">
        <f t="shared" si="7"/>
        <v>2000</v>
      </c>
      <c r="C495" s="94">
        <v>5.92</v>
      </c>
    </row>
    <row r="496" spans="1:3" x14ac:dyDescent="0.25">
      <c r="A496" s="93">
        <v>36647</v>
      </c>
      <c r="B496" s="95">
        <f t="shared" si="7"/>
        <v>2000</v>
      </c>
      <c r="C496" s="94">
        <v>6.22</v>
      </c>
    </row>
    <row r="497" spans="1:3" x14ac:dyDescent="0.25">
      <c r="A497" s="93">
        <v>36678</v>
      </c>
      <c r="B497" s="95">
        <f t="shared" si="7"/>
        <v>2000</v>
      </c>
      <c r="C497" s="94">
        <v>5.9</v>
      </c>
    </row>
    <row r="498" spans="1:3" x14ac:dyDescent="0.25">
      <c r="A498" s="93">
        <v>36708</v>
      </c>
      <c r="B498" s="95">
        <f t="shared" si="7"/>
        <v>2000</v>
      </c>
      <c r="C498" s="94">
        <v>5.86</v>
      </c>
    </row>
    <row r="499" spans="1:3" x14ac:dyDescent="0.25">
      <c r="A499" s="93">
        <v>36739</v>
      </c>
      <c r="B499" s="95">
        <f t="shared" si="7"/>
        <v>2000</v>
      </c>
      <c r="C499" s="94">
        <v>5.77</v>
      </c>
    </row>
    <row r="500" spans="1:3" x14ac:dyDescent="0.25">
      <c r="A500" s="93">
        <v>36770</v>
      </c>
      <c r="B500" s="95">
        <f t="shared" si="7"/>
        <v>2000</v>
      </c>
      <c r="C500" s="94">
        <v>5.73</v>
      </c>
    </row>
    <row r="501" spans="1:3" x14ac:dyDescent="0.25">
      <c r="A501" s="93">
        <v>36800</v>
      </c>
      <c r="B501" s="95">
        <f t="shared" si="7"/>
        <v>2000</v>
      </c>
      <c r="C501" s="94">
        <v>5.72</v>
      </c>
    </row>
    <row r="502" spans="1:3" x14ac:dyDescent="0.25">
      <c r="A502" s="93">
        <v>36831</v>
      </c>
      <c r="B502" s="95">
        <f t="shared" si="7"/>
        <v>2000</v>
      </c>
      <c r="C502" s="94">
        <v>5.73</v>
      </c>
    </row>
    <row r="503" spans="1:3" x14ac:dyDescent="0.25">
      <c r="A503" s="93">
        <v>36861</v>
      </c>
      <c r="B503" s="95">
        <f t="shared" si="7"/>
        <v>2000</v>
      </c>
      <c r="C503" s="94">
        <v>5.4</v>
      </c>
    </row>
    <row r="504" spans="1:3" x14ac:dyDescent="0.25">
      <c r="A504" s="93">
        <v>36892</v>
      </c>
      <c r="B504" s="95">
        <f t="shared" si="7"/>
        <v>2001</v>
      </c>
      <c r="C504" s="94">
        <v>5.42</v>
      </c>
    </row>
    <row r="505" spans="1:3" x14ac:dyDescent="0.25">
      <c r="A505" s="93">
        <v>36923</v>
      </c>
      <c r="B505" s="95">
        <f t="shared" si="7"/>
        <v>2001</v>
      </c>
      <c r="C505" s="94">
        <v>5.43</v>
      </c>
    </row>
    <row r="506" spans="1:3" x14ac:dyDescent="0.25">
      <c r="A506" s="93">
        <v>36951</v>
      </c>
      <c r="B506" s="95">
        <f t="shared" si="7"/>
        <v>2001</v>
      </c>
      <c r="C506" s="94">
        <v>5.3</v>
      </c>
    </row>
    <row r="507" spans="1:3" x14ac:dyDescent="0.25">
      <c r="A507" s="93">
        <v>36982</v>
      </c>
      <c r="B507" s="95">
        <f t="shared" si="7"/>
        <v>2001</v>
      </c>
      <c r="C507" s="94">
        <v>5.59</v>
      </c>
    </row>
    <row r="508" spans="1:3" x14ac:dyDescent="0.25">
      <c r="A508" s="93">
        <v>37012</v>
      </c>
      <c r="B508" s="95">
        <f t="shared" si="7"/>
        <v>2001</v>
      </c>
      <c r="C508" s="94">
        <v>5.85</v>
      </c>
    </row>
    <row r="509" spans="1:3" x14ac:dyDescent="0.25">
      <c r="A509" s="93">
        <v>37043</v>
      </c>
      <c r="B509" s="95">
        <f t="shared" si="7"/>
        <v>2001</v>
      </c>
      <c r="C509" s="94">
        <v>5.72</v>
      </c>
    </row>
    <row r="510" spans="1:3" x14ac:dyDescent="0.25">
      <c r="A510" s="93">
        <v>37073</v>
      </c>
      <c r="B510" s="95">
        <f t="shared" si="7"/>
        <v>2001</v>
      </c>
      <c r="C510" s="94">
        <v>5.8</v>
      </c>
    </row>
    <row r="511" spans="1:3" x14ac:dyDescent="0.25">
      <c r="A511" s="93">
        <v>37104</v>
      </c>
      <c r="B511" s="95">
        <f t="shared" si="7"/>
        <v>2001</v>
      </c>
      <c r="C511" s="94">
        <v>5.53</v>
      </c>
    </row>
    <row r="512" spans="1:3" x14ac:dyDescent="0.25">
      <c r="A512" s="93">
        <v>37135</v>
      </c>
      <c r="B512" s="95">
        <f t="shared" si="7"/>
        <v>2001</v>
      </c>
      <c r="C512" s="94">
        <v>5.3</v>
      </c>
    </row>
    <row r="513" spans="1:3" x14ac:dyDescent="0.25">
      <c r="A513" s="93">
        <v>37165</v>
      </c>
      <c r="B513" s="95">
        <f t="shared" si="7"/>
        <v>2001</v>
      </c>
      <c r="C513" s="94">
        <v>5.23</v>
      </c>
    </row>
    <row r="514" spans="1:3" x14ac:dyDescent="0.25">
      <c r="A514" s="93">
        <v>37196</v>
      </c>
      <c r="B514" s="95">
        <f t="shared" si="7"/>
        <v>2001</v>
      </c>
      <c r="C514" s="94">
        <v>5.18</v>
      </c>
    </row>
    <row r="515" spans="1:3" x14ac:dyDescent="0.25">
      <c r="A515" s="93">
        <v>37226</v>
      </c>
      <c r="B515" s="95">
        <f t="shared" si="7"/>
        <v>2001</v>
      </c>
      <c r="C515" s="94">
        <v>5.41</v>
      </c>
    </row>
    <row r="516" spans="1:3" x14ac:dyDescent="0.25">
      <c r="A516" s="93">
        <v>37257</v>
      </c>
      <c r="B516" s="95">
        <f t="shared" si="7"/>
        <v>2002</v>
      </c>
      <c r="C516" s="94">
        <v>5.34</v>
      </c>
    </row>
    <row r="517" spans="1:3" x14ac:dyDescent="0.25">
      <c r="A517" s="93">
        <v>37288</v>
      </c>
      <c r="B517" s="95">
        <f t="shared" si="7"/>
        <v>2002</v>
      </c>
      <c r="C517" s="94">
        <v>5.32</v>
      </c>
    </row>
    <row r="518" spans="1:3" x14ac:dyDescent="0.25">
      <c r="A518" s="93">
        <v>37316</v>
      </c>
      <c r="B518" s="95">
        <f t="shared" si="7"/>
        <v>2002</v>
      </c>
      <c r="C518" s="94">
        <v>5.67</v>
      </c>
    </row>
    <row r="519" spans="1:3" x14ac:dyDescent="0.25">
      <c r="A519" s="93">
        <v>37347</v>
      </c>
      <c r="B519" s="95">
        <f t="shared" si="7"/>
        <v>2002</v>
      </c>
      <c r="C519" s="94">
        <v>5.66</v>
      </c>
    </row>
    <row r="520" spans="1:3" x14ac:dyDescent="0.25">
      <c r="A520" s="93">
        <v>37377</v>
      </c>
      <c r="B520" s="95">
        <f t="shared" si="7"/>
        <v>2002</v>
      </c>
      <c r="C520" s="94">
        <v>5.6</v>
      </c>
    </row>
    <row r="521" spans="1:3" x14ac:dyDescent="0.25">
      <c r="A521" s="93">
        <v>37408</v>
      </c>
      <c r="B521" s="95">
        <f t="shared" si="7"/>
        <v>2002</v>
      </c>
      <c r="C521" s="94">
        <v>5.42</v>
      </c>
    </row>
    <row r="522" spans="1:3" x14ac:dyDescent="0.25">
      <c r="A522" s="93">
        <v>37438</v>
      </c>
      <c r="B522" s="95">
        <f t="shared" si="7"/>
        <v>2002</v>
      </c>
      <c r="C522" s="94">
        <v>5.29</v>
      </c>
    </row>
    <row r="523" spans="1:3" x14ac:dyDescent="0.25">
      <c r="A523" s="93">
        <v>37469</v>
      </c>
      <c r="B523" s="95">
        <f t="shared" si="7"/>
        <v>2002</v>
      </c>
      <c r="C523" s="94">
        <v>5.12</v>
      </c>
    </row>
    <row r="524" spans="1:3" x14ac:dyDescent="0.25">
      <c r="A524" s="93">
        <v>37500</v>
      </c>
      <c r="B524" s="95">
        <f t="shared" si="7"/>
        <v>2002</v>
      </c>
      <c r="C524" s="94">
        <v>4.8899999999999997</v>
      </c>
    </row>
    <row r="525" spans="1:3" x14ac:dyDescent="0.25">
      <c r="A525" s="93">
        <v>37530</v>
      </c>
      <c r="B525" s="95">
        <f t="shared" ref="B525:B588" si="8">YEAR(A525)</f>
        <v>2002</v>
      </c>
      <c r="C525" s="94">
        <v>5.13</v>
      </c>
    </row>
    <row r="526" spans="1:3" x14ac:dyDescent="0.25">
      <c r="A526" s="93">
        <v>37561</v>
      </c>
      <c r="B526" s="95">
        <f t="shared" si="8"/>
        <v>2002</v>
      </c>
      <c r="C526" s="94">
        <v>5.09</v>
      </c>
    </row>
    <row r="527" spans="1:3" x14ac:dyDescent="0.25">
      <c r="A527" s="93">
        <v>37591</v>
      </c>
      <c r="B527" s="95">
        <f t="shared" si="8"/>
        <v>2002</v>
      </c>
      <c r="C527" s="94">
        <v>4.97</v>
      </c>
    </row>
    <row r="528" spans="1:3" x14ac:dyDescent="0.25">
      <c r="A528" s="93">
        <v>37622</v>
      </c>
      <c r="B528" s="95">
        <f t="shared" si="8"/>
        <v>2003</v>
      </c>
      <c r="C528" s="94">
        <v>4.96</v>
      </c>
    </row>
    <row r="529" spans="1:3" x14ac:dyDescent="0.25">
      <c r="A529" s="93">
        <v>37653</v>
      </c>
      <c r="B529" s="95">
        <f t="shared" si="8"/>
        <v>2003</v>
      </c>
      <c r="C529" s="94">
        <v>5.01</v>
      </c>
    </row>
    <row r="530" spans="1:3" x14ac:dyDescent="0.25">
      <c r="A530" s="93">
        <v>37681</v>
      </c>
      <c r="B530" s="95">
        <f t="shared" si="8"/>
        <v>2003</v>
      </c>
      <c r="C530" s="94">
        <v>5</v>
      </c>
    </row>
    <row r="531" spans="1:3" x14ac:dyDescent="0.25">
      <c r="A531" s="93">
        <v>37712</v>
      </c>
      <c r="B531" s="95">
        <f t="shared" si="8"/>
        <v>2003</v>
      </c>
      <c r="C531" s="94">
        <v>5.05</v>
      </c>
    </row>
    <row r="532" spans="1:3" x14ac:dyDescent="0.25">
      <c r="A532" s="93">
        <v>37742</v>
      </c>
      <c r="B532" s="95">
        <f t="shared" si="8"/>
        <v>2003</v>
      </c>
      <c r="C532" s="94">
        <v>4.67</v>
      </c>
    </row>
    <row r="533" spans="1:3" x14ac:dyDescent="0.25">
      <c r="A533" s="93">
        <v>37773</v>
      </c>
      <c r="B533" s="95">
        <f t="shared" si="8"/>
        <v>2003</v>
      </c>
      <c r="C533" s="94">
        <v>4.29</v>
      </c>
    </row>
    <row r="534" spans="1:3" x14ac:dyDescent="0.25">
      <c r="A534" s="93">
        <v>37803</v>
      </c>
      <c r="B534" s="95">
        <f t="shared" si="8"/>
        <v>2003</v>
      </c>
      <c r="C534" s="94">
        <v>4.68</v>
      </c>
    </row>
    <row r="535" spans="1:3" x14ac:dyDescent="0.25">
      <c r="A535" s="93">
        <v>37834</v>
      </c>
      <c r="B535" s="95">
        <f t="shared" si="8"/>
        <v>2003</v>
      </c>
      <c r="C535" s="94">
        <v>4.9000000000000004</v>
      </c>
    </row>
    <row r="536" spans="1:3" x14ac:dyDescent="0.25">
      <c r="A536" s="93">
        <v>37865</v>
      </c>
      <c r="B536" s="95">
        <f t="shared" si="8"/>
        <v>2003</v>
      </c>
      <c r="C536" s="94">
        <v>4.76</v>
      </c>
    </row>
    <row r="537" spans="1:3" x14ac:dyDescent="0.25">
      <c r="A537" s="93">
        <v>37895</v>
      </c>
      <c r="B537" s="95">
        <f t="shared" si="8"/>
        <v>2003</v>
      </c>
      <c r="C537" s="94">
        <v>4.82</v>
      </c>
    </row>
    <row r="538" spans="1:3" x14ac:dyDescent="0.25">
      <c r="A538" s="93">
        <v>37926</v>
      </c>
      <c r="B538" s="95">
        <f t="shared" si="8"/>
        <v>2003</v>
      </c>
      <c r="C538" s="94">
        <v>4.8600000000000003</v>
      </c>
    </row>
    <row r="539" spans="1:3" x14ac:dyDescent="0.25">
      <c r="A539" s="93">
        <v>37956</v>
      </c>
      <c r="B539" s="95">
        <f t="shared" si="8"/>
        <v>2003</v>
      </c>
      <c r="C539" s="94">
        <v>4.7300000000000004</v>
      </c>
    </row>
    <row r="540" spans="1:3" x14ac:dyDescent="0.25">
      <c r="A540" s="93">
        <v>37987</v>
      </c>
      <c r="B540" s="95">
        <f t="shared" si="8"/>
        <v>2004</v>
      </c>
      <c r="C540" s="94">
        <v>4.59</v>
      </c>
    </row>
    <row r="541" spans="1:3" x14ac:dyDescent="0.25">
      <c r="A541" s="93">
        <v>38018</v>
      </c>
      <c r="B541" s="95">
        <f t="shared" si="8"/>
        <v>2004</v>
      </c>
      <c r="C541" s="94">
        <v>4.45</v>
      </c>
    </row>
    <row r="542" spans="1:3" x14ac:dyDescent="0.25">
      <c r="A542" s="93">
        <v>38047</v>
      </c>
      <c r="B542" s="95">
        <f t="shared" si="8"/>
        <v>2004</v>
      </c>
      <c r="C542" s="94">
        <v>4.26</v>
      </c>
    </row>
    <row r="543" spans="1:3" x14ac:dyDescent="0.25">
      <c r="A543" s="93">
        <v>38078</v>
      </c>
      <c r="B543" s="95">
        <f t="shared" si="8"/>
        <v>2004</v>
      </c>
      <c r="C543" s="94">
        <v>4.6100000000000003</v>
      </c>
    </row>
    <row r="544" spans="1:3" x14ac:dyDescent="0.25">
      <c r="A544" s="93">
        <v>38108</v>
      </c>
      <c r="B544" s="95">
        <f t="shared" si="8"/>
        <v>2004</v>
      </c>
      <c r="C544" s="94">
        <v>4.7699999999999996</v>
      </c>
    </row>
    <row r="545" spans="1:3" x14ac:dyDescent="0.25">
      <c r="A545" s="93">
        <v>38139</v>
      </c>
      <c r="B545" s="95">
        <f t="shared" si="8"/>
        <v>2004</v>
      </c>
      <c r="C545" s="94">
        <v>4.93</v>
      </c>
    </row>
    <row r="546" spans="1:3" x14ac:dyDescent="0.25">
      <c r="A546" s="93">
        <v>38169</v>
      </c>
      <c r="B546" s="95">
        <f t="shared" si="8"/>
        <v>2004</v>
      </c>
      <c r="C546" s="94">
        <v>4.75</v>
      </c>
    </row>
    <row r="547" spans="1:3" x14ac:dyDescent="0.25">
      <c r="A547" s="93">
        <v>38200</v>
      </c>
      <c r="B547" s="95">
        <f t="shared" si="8"/>
        <v>2004</v>
      </c>
      <c r="C547" s="94">
        <v>4.63</v>
      </c>
    </row>
    <row r="548" spans="1:3" x14ac:dyDescent="0.25">
      <c r="A548" s="93">
        <v>38231</v>
      </c>
      <c r="B548" s="95">
        <f t="shared" si="8"/>
        <v>2004</v>
      </c>
      <c r="C548" s="94">
        <v>4.5999999999999996</v>
      </c>
    </row>
    <row r="549" spans="1:3" x14ac:dyDescent="0.25">
      <c r="A549" s="93">
        <v>38261</v>
      </c>
      <c r="B549" s="95">
        <f t="shared" si="8"/>
        <v>2004</v>
      </c>
      <c r="C549" s="94">
        <v>4.55</v>
      </c>
    </row>
    <row r="550" spans="1:3" x14ac:dyDescent="0.25">
      <c r="A550" s="93">
        <v>38292</v>
      </c>
      <c r="B550" s="95">
        <f t="shared" si="8"/>
        <v>2004</v>
      </c>
      <c r="C550" s="94">
        <v>4.4800000000000004</v>
      </c>
    </row>
    <row r="551" spans="1:3" x14ac:dyDescent="0.25">
      <c r="A551" s="93">
        <v>38322</v>
      </c>
      <c r="B551" s="95">
        <f t="shared" si="8"/>
        <v>2004</v>
      </c>
      <c r="C551" s="94">
        <v>4.32</v>
      </c>
    </row>
    <row r="552" spans="1:3" x14ac:dyDescent="0.25">
      <c r="A552" s="93">
        <v>38353</v>
      </c>
      <c r="B552" s="95">
        <f t="shared" si="8"/>
        <v>2005</v>
      </c>
      <c r="C552" s="94">
        <v>4.26</v>
      </c>
    </row>
    <row r="553" spans="1:3" x14ac:dyDescent="0.25">
      <c r="A553" s="93">
        <v>38384</v>
      </c>
      <c r="B553" s="95">
        <f t="shared" si="8"/>
        <v>2005</v>
      </c>
      <c r="C553" s="94">
        <v>4.21</v>
      </c>
    </row>
    <row r="554" spans="1:3" x14ac:dyDescent="0.25">
      <c r="A554" s="93">
        <v>38412</v>
      </c>
      <c r="B554" s="95">
        <f t="shared" si="8"/>
        <v>2005</v>
      </c>
      <c r="C554" s="94">
        <v>4.3600000000000003</v>
      </c>
    </row>
    <row r="555" spans="1:3" x14ac:dyDescent="0.25">
      <c r="A555" s="93">
        <v>38443</v>
      </c>
      <c r="B555" s="95">
        <f t="shared" si="8"/>
        <v>2005</v>
      </c>
      <c r="C555" s="94">
        <v>4.1900000000000004</v>
      </c>
    </row>
    <row r="556" spans="1:3" x14ac:dyDescent="0.25">
      <c r="A556" s="93">
        <v>38473</v>
      </c>
      <c r="B556" s="95">
        <f t="shared" si="8"/>
        <v>2005</v>
      </c>
      <c r="C556" s="94">
        <v>4.07</v>
      </c>
    </row>
    <row r="557" spans="1:3" x14ac:dyDescent="0.25">
      <c r="A557" s="93">
        <v>38504</v>
      </c>
      <c r="B557" s="95">
        <f t="shared" si="8"/>
        <v>2005</v>
      </c>
      <c r="C557" s="94">
        <v>3.83</v>
      </c>
    </row>
    <row r="558" spans="1:3" x14ac:dyDescent="0.25">
      <c r="A558" s="93">
        <v>38534</v>
      </c>
      <c r="B558" s="95">
        <f t="shared" si="8"/>
        <v>2005</v>
      </c>
      <c r="C558" s="94">
        <v>3.9</v>
      </c>
    </row>
    <row r="559" spans="1:3" x14ac:dyDescent="0.25">
      <c r="A559" s="93">
        <v>38565</v>
      </c>
      <c r="B559" s="95">
        <f t="shared" si="8"/>
        <v>2005</v>
      </c>
      <c r="C559" s="94">
        <v>3.92</v>
      </c>
    </row>
    <row r="560" spans="1:3" x14ac:dyDescent="0.25">
      <c r="A560" s="93">
        <v>38596</v>
      </c>
      <c r="B560" s="95">
        <f t="shared" si="8"/>
        <v>2005</v>
      </c>
      <c r="C560" s="94">
        <v>3.87</v>
      </c>
    </row>
    <row r="561" spans="1:3" x14ac:dyDescent="0.25">
      <c r="A561" s="93">
        <v>38626</v>
      </c>
      <c r="B561" s="95">
        <f t="shared" si="8"/>
        <v>2005</v>
      </c>
      <c r="C561" s="94">
        <v>4.05</v>
      </c>
    </row>
    <row r="562" spans="1:3" x14ac:dyDescent="0.25">
      <c r="A562" s="93">
        <v>38657</v>
      </c>
      <c r="B562" s="95">
        <f t="shared" si="8"/>
        <v>2005</v>
      </c>
      <c r="C562" s="94">
        <v>4.1100000000000003</v>
      </c>
    </row>
    <row r="563" spans="1:3" x14ac:dyDescent="0.25">
      <c r="A563" s="93">
        <v>38687</v>
      </c>
      <c r="B563" s="95">
        <f t="shared" si="8"/>
        <v>2005</v>
      </c>
      <c r="C563" s="94">
        <v>4.04</v>
      </c>
    </row>
    <row r="564" spans="1:3" x14ac:dyDescent="0.25">
      <c r="A564" s="93">
        <v>38718</v>
      </c>
      <c r="B564" s="95">
        <f t="shared" si="8"/>
        <v>2006</v>
      </c>
      <c r="C564" s="94">
        <v>4.03</v>
      </c>
    </row>
    <row r="565" spans="1:3" x14ac:dyDescent="0.25">
      <c r="A565" s="93">
        <v>38749</v>
      </c>
      <c r="B565" s="95">
        <f t="shared" si="8"/>
        <v>2006</v>
      </c>
      <c r="C565" s="94">
        <v>4.17</v>
      </c>
    </row>
    <row r="566" spans="1:3" x14ac:dyDescent="0.25">
      <c r="A566" s="93">
        <v>38777</v>
      </c>
      <c r="B566" s="95">
        <f t="shared" si="8"/>
        <v>2006</v>
      </c>
      <c r="C566" s="94">
        <v>4.2</v>
      </c>
    </row>
    <row r="567" spans="1:3" x14ac:dyDescent="0.25">
      <c r="A567" s="93">
        <v>38808</v>
      </c>
      <c r="B567" s="95">
        <f t="shared" si="8"/>
        <v>2006</v>
      </c>
      <c r="C567" s="94">
        <v>4.42</v>
      </c>
    </row>
    <row r="568" spans="1:3" x14ac:dyDescent="0.25">
      <c r="A568" s="93">
        <v>38838</v>
      </c>
      <c r="B568" s="95">
        <f t="shared" si="8"/>
        <v>2006</v>
      </c>
      <c r="C568" s="94">
        <v>4.4000000000000004</v>
      </c>
    </row>
    <row r="569" spans="1:3" x14ac:dyDescent="0.25">
      <c r="A569" s="93">
        <v>38869</v>
      </c>
      <c r="B569" s="95">
        <f t="shared" si="8"/>
        <v>2006</v>
      </c>
      <c r="C569" s="94">
        <v>4.4400000000000004</v>
      </c>
    </row>
    <row r="570" spans="1:3" x14ac:dyDescent="0.25">
      <c r="A570" s="93">
        <v>38899</v>
      </c>
      <c r="B570" s="95">
        <f t="shared" si="8"/>
        <v>2006</v>
      </c>
      <c r="C570" s="94">
        <v>4.4400000000000004</v>
      </c>
    </row>
    <row r="571" spans="1:3" x14ac:dyDescent="0.25">
      <c r="A571" s="93">
        <v>38930</v>
      </c>
      <c r="B571" s="95">
        <f t="shared" si="8"/>
        <v>2006</v>
      </c>
      <c r="C571" s="94">
        <v>4.25</v>
      </c>
    </row>
    <row r="572" spans="1:3" x14ac:dyDescent="0.25">
      <c r="A572" s="93">
        <v>38961</v>
      </c>
      <c r="B572" s="95">
        <f t="shared" si="8"/>
        <v>2006</v>
      </c>
      <c r="C572" s="94">
        <v>4.07</v>
      </c>
    </row>
    <row r="573" spans="1:3" x14ac:dyDescent="0.25">
      <c r="A573" s="93">
        <v>38991</v>
      </c>
      <c r="B573" s="95">
        <f t="shared" si="8"/>
        <v>2006</v>
      </c>
      <c r="C573" s="94">
        <v>4.1100000000000003</v>
      </c>
    </row>
    <row r="574" spans="1:3" x14ac:dyDescent="0.25">
      <c r="A574" s="93">
        <v>39022</v>
      </c>
      <c r="B574" s="95">
        <f t="shared" si="8"/>
        <v>2006</v>
      </c>
      <c r="C574" s="94">
        <v>4</v>
      </c>
    </row>
    <row r="575" spans="1:3" x14ac:dyDescent="0.25">
      <c r="A575" s="93">
        <v>39052</v>
      </c>
      <c r="B575" s="95">
        <f t="shared" si="8"/>
        <v>2006</v>
      </c>
      <c r="C575" s="94">
        <v>3.98</v>
      </c>
    </row>
    <row r="576" spans="1:3" x14ac:dyDescent="0.25">
      <c r="A576" s="93">
        <v>39083</v>
      </c>
      <c r="B576" s="95">
        <f t="shared" si="8"/>
        <v>2007</v>
      </c>
      <c r="C576" s="94">
        <v>4.12</v>
      </c>
    </row>
    <row r="577" spans="1:3" x14ac:dyDescent="0.25">
      <c r="A577" s="93">
        <v>39114</v>
      </c>
      <c r="B577" s="95">
        <f t="shared" si="8"/>
        <v>2007</v>
      </c>
      <c r="C577" s="94">
        <v>4.12</v>
      </c>
    </row>
    <row r="578" spans="1:3" x14ac:dyDescent="0.25">
      <c r="A578" s="93">
        <v>39142</v>
      </c>
      <c r="B578" s="95">
        <f t="shared" si="8"/>
        <v>2007</v>
      </c>
      <c r="C578" s="94">
        <v>4.05</v>
      </c>
    </row>
    <row r="579" spans="1:3" x14ac:dyDescent="0.25">
      <c r="A579" s="93">
        <v>39173</v>
      </c>
      <c r="B579" s="95">
        <f t="shared" si="8"/>
        <v>2007</v>
      </c>
      <c r="C579" s="94">
        <v>4.17</v>
      </c>
    </row>
    <row r="580" spans="1:3" x14ac:dyDescent="0.25">
      <c r="A580" s="93">
        <v>39203</v>
      </c>
      <c r="B580" s="95">
        <f t="shared" si="8"/>
        <v>2007</v>
      </c>
      <c r="C580" s="94">
        <v>4.29</v>
      </c>
    </row>
    <row r="581" spans="1:3" x14ac:dyDescent="0.25">
      <c r="A581" s="93">
        <v>39234</v>
      </c>
      <c r="B581" s="95">
        <f t="shared" si="8"/>
        <v>2007</v>
      </c>
      <c r="C581" s="94">
        <v>4.6100000000000003</v>
      </c>
    </row>
    <row r="582" spans="1:3" x14ac:dyDescent="0.25">
      <c r="A582" s="93">
        <v>39264</v>
      </c>
      <c r="B582" s="95">
        <f t="shared" si="8"/>
        <v>2007</v>
      </c>
      <c r="C582" s="94">
        <v>4.59</v>
      </c>
    </row>
    <row r="583" spans="1:3" x14ac:dyDescent="0.25">
      <c r="A583" s="93">
        <v>39295</v>
      </c>
      <c r="B583" s="95">
        <f t="shared" si="8"/>
        <v>2007</v>
      </c>
      <c r="C583" s="94">
        <v>4.43</v>
      </c>
    </row>
    <row r="584" spans="1:3" x14ac:dyDescent="0.25">
      <c r="A584" s="93">
        <v>39326</v>
      </c>
      <c r="B584" s="95">
        <f t="shared" si="8"/>
        <v>2007</v>
      </c>
      <c r="C584" s="94">
        <v>4.3600000000000003</v>
      </c>
    </row>
    <row r="585" spans="1:3" x14ac:dyDescent="0.25">
      <c r="A585" s="93">
        <v>39356</v>
      </c>
      <c r="B585" s="95">
        <f t="shared" si="8"/>
        <v>2007</v>
      </c>
      <c r="C585" s="94">
        <v>4.3600000000000003</v>
      </c>
    </row>
    <row r="586" spans="1:3" x14ac:dyDescent="0.25">
      <c r="A586" s="93">
        <v>39387</v>
      </c>
      <c r="B586" s="95">
        <f t="shared" si="8"/>
        <v>2007</v>
      </c>
      <c r="C586" s="94">
        <v>4.12</v>
      </c>
    </row>
    <row r="587" spans="1:3" x14ac:dyDescent="0.25">
      <c r="A587" s="93">
        <v>39417</v>
      </c>
      <c r="B587" s="95">
        <f t="shared" si="8"/>
        <v>2007</v>
      </c>
      <c r="C587" s="94">
        <v>4.0199999999999996</v>
      </c>
    </row>
    <row r="588" spans="1:3" x14ac:dyDescent="0.25">
      <c r="A588" s="93">
        <v>39448</v>
      </c>
      <c r="B588" s="95">
        <f t="shared" si="8"/>
        <v>2008</v>
      </c>
      <c r="C588" s="94">
        <v>3.85</v>
      </c>
    </row>
    <row r="589" spans="1:3" x14ac:dyDescent="0.25">
      <c r="A589" s="93">
        <v>39479</v>
      </c>
      <c r="B589" s="95">
        <f t="shared" ref="B589:B652" si="9">YEAR(A589)</f>
        <v>2008</v>
      </c>
      <c r="C589" s="94">
        <v>3.83</v>
      </c>
    </row>
    <row r="590" spans="1:3" x14ac:dyDescent="0.25">
      <c r="A590" s="93">
        <v>39508</v>
      </c>
      <c r="B590" s="95">
        <f t="shared" si="9"/>
        <v>2008</v>
      </c>
      <c r="C590" s="94">
        <v>3.51</v>
      </c>
    </row>
    <row r="591" spans="1:3" x14ac:dyDescent="0.25">
      <c r="A591" s="93">
        <v>39539</v>
      </c>
      <c r="B591" s="95">
        <f t="shared" si="9"/>
        <v>2008</v>
      </c>
      <c r="C591" s="94">
        <v>3.63</v>
      </c>
    </row>
    <row r="592" spans="1:3" x14ac:dyDescent="0.25">
      <c r="A592" s="93">
        <v>39569</v>
      </c>
      <c r="B592" s="95">
        <f t="shared" si="9"/>
        <v>2008</v>
      </c>
      <c r="C592" s="94">
        <v>3.62</v>
      </c>
    </row>
    <row r="593" spans="1:3" x14ac:dyDescent="0.25">
      <c r="A593" s="93">
        <v>39600</v>
      </c>
      <c r="B593" s="95">
        <f t="shared" si="9"/>
        <v>2008</v>
      </c>
      <c r="C593" s="94">
        <v>3.76</v>
      </c>
    </row>
    <row r="594" spans="1:3" x14ac:dyDescent="0.25">
      <c r="A594" s="93">
        <v>39630</v>
      </c>
      <c r="B594" s="95">
        <f t="shared" si="9"/>
        <v>2008</v>
      </c>
      <c r="C594" s="94">
        <v>3.75</v>
      </c>
    </row>
    <row r="595" spans="1:3" x14ac:dyDescent="0.25">
      <c r="A595" s="93">
        <v>39661</v>
      </c>
      <c r="B595" s="95">
        <f t="shared" si="9"/>
        <v>2008</v>
      </c>
      <c r="C595" s="94">
        <v>3.59</v>
      </c>
    </row>
    <row r="596" spans="1:3" x14ac:dyDescent="0.25">
      <c r="A596" s="93">
        <v>39692</v>
      </c>
      <c r="B596" s="95">
        <f t="shared" si="9"/>
        <v>2008</v>
      </c>
      <c r="C596" s="94">
        <v>3.54</v>
      </c>
    </row>
    <row r="597" spans="1:3" x14ac:dyDescent="0.25">
      <c r="A597" s="93">
        <v>39722</v>
      </c>
      <c r="B597" s="95">
        <f t="shared" si="9"/>
        <v>2008</v>
      </c>
      <c r="C597" s="94">
        <v>3.67</v>
      </c>
    </row>
    <row r="598" spans="1:3" x14ac:dyDescent="0.25">
      <c r="A598" s="93">
        <v>39753</v>
      </c>
      <c r="B598" s="95">
        <f t="shared" si="9"/>
        <v>2008</v>
      </c>
      <c r="C598" s="94">
        <v>3.57</v>
      </c>
    </row>
    <row r="599" spans="1:3" x14ac:dyDescent="0.25">
      <c r="A599" s="93">
        <v>39783</v>
      </c>
      <c r="B599" s="95">
        <f t="shared" si="9"/>
        <v>2008</v>
      </c>
      <c r="C599" s="94">
        <v>2.95</v>
      </c>
    </row>
    <row r="600" spans="1:3" x14ac:dyDescent="0.25">
      <c r="A600" s="93">
        <v>39814</v>
      </c>
      <c r="B600" s="95">
        <f t="shared" si="9"/>
        <v>2009</v>
      </c>
      <c r="C600" s="94">
        <v>2.81</v>
      </c>
    </row>
    <row r="601" spans="1:3" x14ac:dyDescent="0.25">
      <c r="A601" s="93">
        <v>39845</v>
      </c>
      <c r="B601" s="95">
        <f t="shared" si="9"/>
        <v>2009</v>
      </c>
      <c r="C601" s="94">
        <v>2.96</v>
      </c>
    </row>
    <row r="602" spans="1:3" x14ac:dyDescent="0.25">
      <c r="A602" s="93">
        <v>39873</v>
      </c>
      <c r="B602" s="95">
        <f t="shared" si="9"/>
        <v>2009</v>
      </c>
      <c r="C602" s="94">
        <v>2.89</v>
      </c>
    </row>
    <row r="603" spans="1:3" x14ac:dyDescent="0.25">
      <c r="A603" s="93">
        <v>39904</v>
      </c>
      <c r="B603" s="95">
        <f t="shared" si="9"/>
        <v>2009</v>
      </c>
      <c r="C603" s="94">
        <v>2.95</v>
      </c>
    </row>
    <row r="604" spans="1:3" x14ac:dyDescent="0.25">
      <c r="A604" s="93">
        <v>39934</v>
      </c>
      <c r="B604" s="95">
        <f t="shared" si="9"/>
        <v>2009</v>
      </c>
      <c r="C604" s="94">
        <v>3.2</v>
      </c>
    </row>
    <row r="605" spans="1:3" x14ac:dyDescent="0.25">
      <c r="A605" s="93">
        <v>39965</v>
      </c>
      <c r="B605" s="95">
        <f t="shared" si="9"/>
        <v>2009</v>
      </c>
      <c r="C605" s="94">
        <v>3.46</v>
      </c>
    </row>
    <row r="606" spans="1:3" x14ac:dyDescent="0.25">
      <c r="A606" s="93">
        <v>39995</v>
      </c>
      <c r="B606" s="95">
        <f t="shared" si="9"/>
        <v>2009</v>
      </c>
      <c r="C606" s="94">
        <v>3.43</v>
      </c>
    </row>
    <row r="607" spans="1:3" x14ac:dyDescent="0.25">
      <c r="A607" s="93">
        <v>40026</v>
      </c>
      <c r="B607" s="95">
        <f t="shared" si="9"/>
        <v>2009</v>
      </c>
      <c r="C607" s="94">
        <v>3.46</v>
      </c>
    </row>
    <row r="608" spans="1:3" x14ac:dyDescent="0.25">
      <c r="A608" s="93">
        <v>40057</v>
      </c>
      <c r="B608" s="95">
        <f t="shared" si="9"/>
        <v>2009</v>
      </c>
      <c r="C608" s="94">
        <v>3.37</v>
      </c>
    </row>
    <row r="609" spans="1:3" x14ac:dyDescent="0.25">
      <c r="A609" s="93">
        <v>40087</v>
      </c>
      <c r="B609" s="95">
        <f t="shared" si="9"/>
        <v>2009</v>
      </c>
      <c r="C609" s="94">
        <v>3.43</v>
      </c>
    </row>
    <row r="610" spans="1:3" x14ac:dyDescent="0.25">
      <c r="A610" s="93">
        <v>40118</v>
      </c>
      <c r="B610" s="95">
        <f t="shared" si="9"/>
        <v>2009</v>
      </c>
      <c r="C610" s="94">
        <v>3.39</v>
      </c>
    </row>
    <row r="611" spans="1:3" x14ac:dyDescent="0.25">
      <c r="A611" s="93">
        <v>40148</v>
      </c>
      <c r="B611" s="95">
        <f t="shared" si="9"/>
        <v>2009</v>
      </c>
      <c r="C611" s="94">
        <v>3.42</v>
      </c>
    </row>
    <row r="612" spans="1:3" x14ac:dyDescent="0.25">
      <c r="A612" s="93">
        <v>40179</v>
      </c>
      <c r="B612" s="95">
        <f t="shared" si="9"/>
        <v>2010</v>
      </c>
      <c r="C612" s="94">
        <v>3.49</v>
      </c>
    </row>
    <row r="613" spans="1:3" x14ac:dyDescent="0.25">
      <c r="A613" s="93">
        <v>40210</v>
      </c>
      <c r="B613" s="95">
        <f t="shared" si="9"/>
        <v>2010</v>
      </c>
      <c r="C613" s="94">
        <v>3.42</v>
      </c>
    </row>
    <row r="614" spans="1:3" x14ac:dyDescent="0.25">
      <c r="A614" s="93">
        <v>40238</v>
      </c>
      <c r="B614" s="95">
        <f t="shared" si="9"/>
        <v>2010</v>
      </c>
      <c r="C614" s="94">
        <v>3.49</v>
      </c>
    </row>
    <row r="615" spans="1:3" x14ac:dyDescent="0.25">
      <c r="A615" s="93">
        <v>40269</v>
      </c>
      <c r="B615" s="95">
        <f t="shared" si="9"/>
        <v>2010</v>
      </c>
      <c r="C615" s="94">
        <v>3.67</v>
      </c>
    </row>
    <row r="616" spans="1:3" x14ac:dyDescent="0.25">
      <c r="A616" s="93">
        <v>40299</v>
      </c>
      <c r="B616" s="95">
        <f t="shared" si="9"/>
        <v>2010</v>
      </c>
      <c r="C616" s="94">
        <v>3.45</v>
      </c>
    </row>
    <row r="617" spans="1:3" x14ac:dyDescent="0.25">
      <c r="A617" s="93">
        <v>40330</v>
      </c>
      <c r="B617" s="95">
        <f t="shared" si="9"/>
        <v>2010</v>
      </c>
      <c r="C617" s="94">
        <v>3.3</v>
      </c>
    </row>
    <row r="618" spans="1:3" x14ac:dyDescent="0.25">
      <c r="A618" s="93">
        <v>40360</v>
      </c>
      <c r="B618" s="95">
        <f t="shared" si="9"/>
        <v>2010</v>
      </c>
      <c r="C618" s="94">
        <v>3.19</v>
      </c>
    </row>
    <row r="619" spans="1:3" x14ac:dyDescent="0.25">
      <c r="A619" s="93">
        <v>40391</v>
      </c>
      <c r="B619" s="95">
        <f t="shared" si="9"/>
        <v>2010</v>
      </c>
      <c r="C619" s="94">
        <v>2.95</v>
      </c>
    </row>
    <row r="620" spans="1:3" x14ac:dyDescent="0.25">
      <c r="A620" s="93">
        <v>40422</v>
      </c>
      <c r="B620" s="95">
        <f t="shared" si="9"/>
        <v>2010</v>
      </c>
      <c r="C620" s="94">
        <v>2.88</v>
      </c>
    </row>
    <row r="621" spans="1:3" x14ac:dyDescent="0.25">
      <c r="A621" s="93">
        <v>40452</v>
      </c>
      <c r="B621" s="95">
        <f t="shared" si="9"/>
        <v>2010</v>
      </c>
      <c r="C621" s="94">
        <v>2.77</v>
      </c>
    </row>
    <row r="622" spans="1:3" x14ac:dyDescent="0.25">
      <c r="A622" s="93">
        <v>40483</v>
      </c>
      <c r="B622" s="95">
        <f t="shared" si="9"/>
        <v>2010</v>
      </c>
      <c r="C622" s="94">
        <v>3.02</v>
      </c>
    </row>
    <row r="623" spans="1:3" x14ac:dyDescent="0.25">
      <c r="A623" s="93">
        <v>40513</v>
      </c>
      <c r="B623" s="95">
        <f t="shared" si="9"/>
        <v>2010</v>
      </c>
      <c r="C623" s="94">
        <v>3.2</v>
      </c>
    </row>
    <row r="624" spans="1:3" x14ac:dyDescent="0.25">
      <c r="A624" s="93">
        <v>40544</v>
      </c>
      <c r="B624" s="95">
        <f t="shared" si="9"/>
        <v>2011</v>
      </c>
      <c r="C624" s="94">
        <v>3.25</v>
      </c>
    </row>
    <row r="625" spans="1:3" x14ac:dyDescent="0.25">
      <c r="A625" s="93">
        <v>40575</v>
      </c>
      <c r="B625" s="95">
        <f t="shared" si="9"/>
        <v>2011</v>
      </c>
      <c r="C625" s="94">
        <v>3.42</v>
      </c>
    </row>
    <row r="626" spans="1:3" x14ac:dyDescent="0.25">
      <c r="A626" s="93">
        <v>40603</v>
      </c>
      <c r="B626" s="95">
        <f t="shared" si="9"/>
        <v>2011</v>
      </c>
      <c r="C626" s="94">
        <v>3.27</v>
      </c>
    </row>
    <row r="627" spans="1:3" x14ac:dyDescent="0.25">
      <c r="A627" s="93">
        <v>40634</v>
      </c>
      <c r="B627" s="95">
        <f t="shared" si="9"/>
        <v>2011</v>
      </c>
      <c r="C627" s="94">
        <v>3.33</v>
      </c>
    </row>
    <row r="628" spans="1:3" x14ac:dyDescent="0.25">
      <c r="A628" s="93">
        <v>40664</v>
      </c>
      <c r="B628" s="95">
        <f t="shared" si="9"/>
        <v>2011</v>
      </c>
      <c r="C628" s="94">
        <v>3.15</v>
      </c>
    </row>
    <row r="629" spans="1:3" x14ac:dyDescent="0.25">
      <c r="A629" s="93">
        <v>40695</v>
      </c>
      <c r="B629" s="95">
        <f t="shared" si="9"/>
        <v>2011</v>
      </c>
      <c r="C629" s="94">
        <v>2.99</v>
      </c>
    </row>
    <row r="630" spans="1:3" x14ac:dyDescent="0.25">
      <c r="A630" s="93">
        <v>40725</v>
      </c>
      <c r="B630" s="95">
        <f t="shared" si="9"/>
        <v>2011</v>
      </c>
      <c r="C630" s="94">
        <v>2.94</v>
      </c>
    </row>
    <row r="631" spans="1:3" x14ac:dyDescent="0.25">
      <c r="A631" s="93">
        <v>40756</v>
      </c>
      <c r="B631" s="95">
        <f t="shared" si="9"/>
        <v>2011</v>
      </c>
      <c r="C631" s="94">
        <v>2.4500000000000002</v>
      </c>
    </row>
    <row r="632" spans="1:3" x14ac:dyDescent="0.25">
      <c r="A632" s="93">
        <v>40787</v>
      </c>
      <c r="B632" s="95">
        <f t="shared" si="9"/>
        <v>2011</v>
      </c>
      <c r="C632" s="94">
        <v>2.2000000000000002</v>
      </c>
    </row>
    <row r="633" spans="1:3" x14ac:dyDescent="0.25">
      <c r="A633" s="93">
        <v>40817</v>
      </c>
      <c r="B633" s="95">
        <f t="shared" si="9"/>
        <v>2011</v>
      </c>
      <c r="C633" s="94">
        <v>2.2999999999999998</v>
      </c>
    </row>
    <row r="634" spans="1:3" x14ac:dyDescent="0.25">
      <c r="A634" s="93">
        <v>40848</v>
      </c>
      <c r="B634" s="95">
        <f t="shared" si="9"/>
        <v>2011</v>
      </c>
      <c r="C634" s="94">
        <v>2.12</v>
      </c>
    </row>
    <row r="635" spans="1:3" x14ac:dyDescent="0.25">
      <c r="A635" s="93">
        <v>40878</v>
      </c>
      <c r="B635" s="95">
        <f t="shared" si="9"/>
        <v>2011</v>
      </c>
      <c r="C635" s="94">
        <v>1.99</v>
      </c>
    </row>
    <row r="636" spans="1:3" x14ac:dyDescent="0.25">
      <c r="A636" s="93">
        <v>40909</v>
      </c>
      <c r="B636" s="95">
        <f t="shared" si="9"/>
        <v>2012</v>
      </c>
      <c r="C636" s="94">
        <v>1.98</v>
      </c>
    </row>
    <row r="637" spans="1:3" x14ac:dyDescent="0.25">
      <c r="A637" s="93">
        <v>40940</v>
      </c>
      <c r="B637" s="95">
        <f t="shared" si="9"/>
        <v>2012</v>
      </c>
      <c r="C637" s="94">
        <v>2.02</v>
      </c>
    </row>
    <row r="638" spans="1:3" x14ac:dyDescent="0.25">
      <c r="A638" s="93">
        <v>40969</v>
      </c>
      <c r="B638" s="95">
        <f t="shared" si="9"/>
        <v>2012</v>
      </c>
      <c r="C638" s="94">
        <v>2.11</v>
      </c>
    </row>
    <row r="639" spans="1:3" x14ac:dyDescent="0.25">
      <c r="A639" s="93">
        <v>41000</v>
      </c>
      <c r="B639" s="95">
        <f t="shared" si="9"/>
        <v>2012</v>
      </c>
      <c r="C639" s="94">
        <v>2.06</v>
      </c>
    </row>
    <row r="640" spans="1:3" x14ac:dyDescent="0.25">
      <c r="A640" s="93">
        <v>41030</v>
      </c>
      <c r="B640" s="95">
        <f t="shared" si="9"/>
        <v>2012</v>
      </c>
      <c r="C640" s="94">
        <v>1.92</v>
      </c>
    </row>
    <row r="641" spans="1:3" x14ac:dyDescent="0.25">
      <c r="A641" s="93">
        <v>41061</v>
      </c>
      <c r="B641" s="95">
        <f t="shared" si="9"/>
        <v>2012</v>
      </c>
      <c r="C641" s="94">
        <v>1.75</v>
      </c>
    </row>
    <row r="642" spans="1:3" x14ac:dyDescent="0.25">
      <c r="A642" s="93">
        <v>41091</v>
      </c>
      <c r="B642" s="95">
        <f t="shared" si="9"/>
        <v>2012</v>
      </c>
      <c r="C642" s="94">
        <v>1.66</v>
      </c>
    </row>
    <row r="643" spans="1:3" x14ac:dyDescent="0.25">
      <c r="A643" s="93">
        <v>41122</v>
      </c>
      <c r="B643" s="95">
        <f t="shared" si="9"/>
        <v>2012</v>
      </c>
      <c r="C643" s="94">
        <v>1.83</v>
      </c>
    </row>
    <row r="644" spans="1:3" x14ac:dyDescent="0.25">
      <c r="A644" s="93">
        <v>41153</v>
      </c>
      <c r="B644" s="95">
        <f t="shared" si="9"/>
        <v>2012</v>
      </c>
      <c r="C644" s="94">
        <v>1.84</v>
      </c>
    </row>
    <row r="645" spans="1:3" x14ac:dyDescent="0.25">
      <c r="A645" s="93">
        <v>41183</v>
      </c>
      <c r="B645" s="95">
        <f t="shared" si="9"/>
        <v>2012</v>
      </c>
      <c r="C645" s="94">
        <v>1.81</v>
      </c>
    </row>
    <row r="646" spans="1:3" x14ac:dyDescent="0.25">
      <c r="A646" s="93">
        <v>41214</v>
      </c>
      <c r="B646" s="95">
        <f t="shared" si="9"/>
        <v>2012</v>
      </c>
      <c r="C646" s="94">
        <v>1.74</v>
      </c>
    </row>
    <row r="647" spans="1:3" x14ac:dyDescent="0.25">
      <c r="A647" s="93">
        <v>41244</v>
      </c>
      <c r="B647" s="95">
        <f t="shared" si="9"/>
        <v>2012</v>
      </c>
      <c r="C647" s="94">
        <v>1.77</v>
      </c>
    </row>
    <row r="648" spans="1:3" x14ac:dyDescent="0.25">
      <c r="A648" s="93">
        <v>41275</v>
      </c>
      <c r="B648" s="95">
        <f t="shared" si="9"/>
        <v>2013</v>
      </c>
      <c r="C648" s="94">
        <v>1.93</v>
      </c>
    </row>
    <row r="649" spans="1:3" x14ac:dyDescent="0.25">
      <c r="A649" s="93">
        <v>41306</v>
      </c>
      <c r="B649" s="95">
        <f t="shared" si="9"/>
        <v>2013</v>
      </c>
      <c r="C649" s="94">
        <v>1.97</v>
      </c>
    </row>
    <row r="650" spans="1:3" x14ac:dyDescent="0.25">
      <c r="A650" s="93">
        <v>41334</v>
      </c>
      <c r="B650" s="95">
        <f t="shared" si="9"/>
        <v>2013</v>
      </c>
      <c r="C650" s="94">
        <v>1.85</v>
      </c>
    </row>
    <row r="651" spans="1:3" x14ac:dyDescent="0.25">
      <c r="A651" s="93">
        <v>41365</v>
      </c>
      <c r="B651" s="95">
        <f t="shared" si="9"/>
        <v>2013</v>
      </c>
      <c r="C651" s="94">
        <v>1.75</v>
      </c>
    </row>
    <row r="652" spans="1:3" x14ac:dyDescent="0.25">
      <c r="A652" s="93">
        <v>41395</v>
      </c>
      <c r="B652" s="95">
        <f t="shared" si="9"/>
        <v>2013</v>
      </c>
      <c r="C652" s="94">
        <v>1.9</v>
      </c>
    </row>
    <row r="653" spans="1:3" x14ac:dyDescent="0.25">
      <c r="A653" s="93">
        <v>41426</v>
      </c>
      <c r="B653" s="95">
        <f t="shared" ref="B653:B701" si="10">YEAR(A653)</f>
        <v>2013</v>
      </c>
      <c r="C653" s="94">
        <v>2.2400000000000002</v>
      </c>
    </row>
    <row r="654" spans="1:3" x14ac:dyDescent="0.25">
      <c r="A654" s="93">
        <v>41456</v>
      </c>
      <c r="B654" s="95">
        <f t="shared" si="10"/>
        <v>2013</v>
      </c>
      <c r="C654" s="94">
        <v>2.44</v>
      </c>
    </row>
    <row r="655" spans="1:3" x14ac:dyDescent="0.25">
      <c r="A655" s="93">
        <v>41487</v>
      </c>
      <c r="B655" s="95">
        <f t="shared" si="10"/>
        <v>2013</v>
      </c>
      <c r="C655" s="94">
        <v>2.61</v>
      </c>
    </row>
    <row r="656" spans="1:3" x14ac:dyDescent="0.25">
      <c r="A656" s="93">
        <v>41518</v>
      </c>
      <c r="B656" s="95">
        <f t="shared" si="10"/>
        <v>2013</v>
      </c>
      <c r="C656" s="94">
        <v>2.7</v>
      </c>
    </row>
    <row r="657" spans="1:3" x14ac:dyDescent="0.25">
      <c r="A657" s="93">
        <v>41548</v>
      </c>
      <c r="B657" s="95">
        <f t="shared" si="10"/>
        <v>2013</v>
      </c>
      <c r="C657" s="94">
        <v>2.52</v>
      </c>
    </row>
    <row r="658" spans="1:3" x14ac:dyDescent="0.25">
      <c r="A658" s="93">
        <v>41579</v>
      </c>
      <c r="B658" s="95">
        <f t="shared" si="10"/>
        <v>2013</v>
      </c>
      <c r="C658" s="94">
        <v>2.56</v>
      </c>
    </row>
    <row r="659" spans="1:3" x14ac:dyDescent="0.25">
      <c r="A659" s="93">
        <v>41609</v>
      </c>
      <c r="B659" s="95">
        <f t="shared" si="10"/>
        <v>2013</v>
      </c>
      <c r="C659" s="94">
        <v>2.67</v>
      </c>
    </row>
    <row r="660" spans="1:3" x14ac:dyDescent="0.25">
      <c r="A660" s="93">
        <v>41640</v>
      </c>
      <c r="B660" s="95">
        <f t="shared" si="10"/>
        <v>2014</v>
      </c>
      <c r="C660" s="94">
        <v>2.5299999999999998</v>
      </c>
    </row>
    <row r="661" spans="1:3" x14ac:dyDescent="0.25">
      <c r="A661" s="93">
        <v>41671</v>
      </c>
      <c r="B661" s="95">
        <f t="shared" si="10"/>
        <v>2014</v>
      </c>
      <c r="C661" s="94">
        <v>2.42</v>
      </c>
    </row>
    <row r="662" spans="1:3" x14ac:dyDescent="0.25">
      <c r="A662" s="93">
        <v>41699</v>
      </c>
      <c r="B662" s="95">
        <f t="shared" si="10"/>
        <v>2014</v>
      </c>
      <c r="C662" s="94">
        <v>2.4500000000000002</v>
      </c>
    </row>
    <row r="663" spans="1:3" x14ac:dyDescent="0.25">
      <c r="A663" s="93">
        <v>41730</v>
      </c>
      <c r="B663" s="95">
        <f t="shared" si="10"/>
        <v>2014</v>
      </c>
      <c r="C663" s="94">
        <v>2.44</v>
      </c>
    </row>
    <row r="664" spans="1:3" x14ac:dyDescent="0.25">
      <c r="A664" s="93">
        <v>41760</v>
      </c>
      <c r="B664" s="95">
        <f t="shared" si="10"/>
        <v>2014</v>
      </c>
      <c r="C664" s="94">
        <v>2.3199999999999998</v>
      </c>
    </row>
    <row r="665" spans="1:3" x14ac:dyDescent="0.25">
      <c r="A665" s="93">
        <v>41791</v>
      </c>
      <c r="B665" s="95">
        <f t="shared" si="10"/>
        <v>2014</v>
      </c>
      <c r="C665" s="94">
        <v>2.2999999999999998</v>
      </c>
    </row>
    <row r="666" spans="1:3" x14ac:dyDescent="0.25">
      <c r="A666" s="93">
        <v>41821</v>
      </c>
      <c r="B666" s="95">
        <f t="shared" si="10"/>
        <v>2014</v>
      </c>
      <c r="C666" s="94">
        <v>2.19</v>
      </c>
    </row>
    <row r="667" spans="1:3" x14ac:dyDescent="0.25">
      <c r="A667" s="93">
        <v>41852</v>
      </c>
      <c r="B667" s="95">
        <f t="shared" si="10"/>
        <v>2014</v>
      </c>
      <c r="C667" s="94">
        <v>2.06</v>
      </c>
    </row>
    <row r="668" spans="1:3" x14ac:dyDescent="0.25">
      <c r="A668" s="93">
        <v>41883</v>
      </c>
      <c r="B668" s="95">
        <f t="shared" si="10"/>
        <v>2014</v>
      </c>
      <c r="C668" s="94">
        <v>2.1800000000000002</v>
      </c>
    </row>
    <row r="669" spans="1:3" x14ac:dyDescent="0.25">
      <c r="A669" s="93">
        <v>41913</v>
      </c>
      <c r="B669" s="95">
        <f t="shared" si="10"/>
        <v>2014</v>
      </c>
      <c r="C669" s="94">
        <v>2.0099999999999998</v>
      </c>
    </row>
    <row r="670" spans="1:3" x14ac:dyDescent="0.25">
      <c r="A670" s="93">
        <v>41944</v>
      </c>
      <c r="B670" s="95">
        <f t="shared" si="10"/>
        <v>2014</v>
      </c>
      <c r="C670" s="94">
        <v>2</v>
      </c>
    </row>
    <row r="671" spans="1:3" x14ac:dyDescent="0.25">
      <c r="A671" s="93">
        <v>41974</v>
      </c>
      <c r="B671" s="95">
        <f t="shared" si="10"/>
        <v>2014</v>
      </c>
      <c r="C671" s="94">
        <v>1.85</v>
      </c>
    </row>
    <row r="672" spans="1:3" x14ac:dyDescent="0.25">
      <c r="A672" s="93">
        <v>42005</v>
      </c>
      <c r="B672" s="95">
        <f t="shared" si="10"/>
        <v>2015</v>
      </c>
      <c r="C672" s="94">
        <v>1.53</v>
      </c>
    </row>
    <row r="673" spans="1:3" x14ac:dyDescent="0.25">
      <c r="A673" s="93">
        <v>42036</v>
      </c>
      <c r="B673" s="95">
        <f t="shared" si="10"/>
        <v>2015</v>
      </c>
      <c r="C673" s="94">
        <v>1.38</v>
      </c>
    </row>
    <row r="674" spans="1:3" x14ac:dyDescent="0.25">
      <c r="A674" s="93">
        <v>42064</v>
      </c>
      <c r="B674" s="95">
        <f t="shared" si="10"/>
        <v>2015</v>
      </c>
      <c r="C674" s="94">
        <v>1.42</v>
      </c>
    </row>
    <row r="675" spans="1:3" x14ac:dyDescent="0.25">
      <c r="A675" s="93">
        <v>42095</v>
      </c>
      <c r="B675" s="95">
        <f t="shared" si="10"/>
        <v>2015</v>
      </c>
      <c r="C675" s="94">
        <v>1.41</v>
      </c>
    </row>
    <row r="676" spans="1:3" x14ac:dyDescent="0.25">
      <c r="A676" s="93">
        <v>42125</v>
      </c>
      <c r="B676" s="95">
        <f t="shared" si="10"/>
        <v>2015</v>
      </c>
      <c r="C676" s="94">
        <v>1.74</v>
      </c>
    </row>
    <row r="677" spans="1:3" x14ac:dyDescent="0.25">
      <c r="A677" s="93">
        <v>42156</v>
      </c>
      <c r="B677" s="95">
        <f t="shared" si="10"/>
        <v>2015</v>
      </c>
      <c r="C677" s="94">
        <v>1.78</v>
      </c>
    </row>
    <row r="678" spans="1:3" x14ac:dyDescent="0.25">
      <c r="A678" s="93">
        <v>42186</v>
      </c>
      <c r="B678" s="95">
        <f t="shared" si="10"/>
        <v>2015</v>
      </c>
      <c r="C678" s="94">
        <v>1.57</v>
      </c>
    </row>
    <row r="679" spans="1:3" x14ac:dyDescent="0.25">
      <c r="A679" s="93">
        <v>42217</v>
      </c>
      <c r="B679" s="95">
        <f t="shared" si="10"/>
        <v>2015</v>
      </c>
      <c r="C679" s="94">
        <v>1.39</v>
      </c>
    </row>
    <row r="680" spans="1:3" x14ac:dyDescent="0.25">
      <c r="A680" s="93">
        <v>42248</v>
      </c>
      <c r="B680" s="95">
        <f t="shared" si="10"/>
        <v>2015</v>
      </c>
      <c r="C680" s="94">
        <v>1.48</v>
      </c>
    </row>
    <row r="681" spans="1:3" x14ac:dyDescent="0.25">
      <c r="A681" s="93">
        <v>42278</v>
      </c>
      <c r="B681" s="95">
        <f t="shared" si="10"/>
        <v>2015</v>
      </c>
      <c r="C681" s="94">
        <v>1.46</v>
      </c>
    </row>
    <row r="682" spans="1:3" x14ac:dyDescent="0.25">
      <c r="A682" s="93">
        <v>42309</v>
      </c>
      <c r="B682" s="95">
        <f t="shared" si="10"/>
        <v>2015</v>
      </c>
      <c r="C682" s="94">
        <v>1.63</v>
      </c>
    </row>
    <row r="683" spans="1:3" x14ac:dyDescent="0.25">
      <c r="A683" s="93">
        <v>42339</v>
      </c>
      <c r="B683" s="95">
        <f t="shared" si="10"/>
        <v>2015</v>
      </c>
      <c r="C683" s="94">
        <v>1.46</v>
      </c>
    </row>
    <row r="684" spans="1:3" x14ac:dyDescent="0.25">
      <c r="A684" s="93">
        <v>42370</v>
      </c>
      <c r="B684" s="95">
        <f t="shared" si="10"/>
        <v>2016</v>
      </c>
      <c r="C684" s="94">
        <v>1.26</v>
      </c>
    </row>
    <row r="685" spans="1:3" x14ac:dyDescent="0.25">
      <c r="A685" s="93">
        <v>42401</v>
      </c>
      <c r="B685" s="95">
        <f t="shared" si="10"/>
        <v>2016</v>
      </c>
      <c r="C685" s="94">
        <v>1.1200000000000001</v>
      </c>
    </row>
    <row r="686" spans="1:3" x14ac:dyDescent="0.25">
      <c r="A686" s="93">
        <v>42430</v>
      </c>
      <c r="B686" s="95">
        <f t="shared" si="10"/>
        <v>2016</v>
      </c>
      <c r="C686" s="94">
        <v>1.27</v>
      </c>
    </row>
    <row r="687" spans="1:3" x14ac:dyDescent="0.25">
      <c r="A687" s="93">
        <v>42461</v>
      </c>
      <c r="B687" s="95">
        <f t="shared" si="10"/>
        <v>2016</v>
      </c>
      <c r="C687" s="94">
        <v>1.34</v>
      </c>
    </row>
    <row r="688" spans="1:3" x14ac:dyDescent="0.25">
      <c r="A688" s="93">
        <v>42491</v>
      </c>
      <c r="B688" s="95">
        <f t="shared" si="10"/>
        <v>2016</v>
      </c>
      <c r="C688" s="94">
        <v>1.35</v>
      </c>
    </row>
    <row r="689" spans="1:3" x14ac:dyDescent="0.25">
      <c r="A689" s="93">
        <v>42522</v>
      </c>
      <c r="B689" s="95">
        <f t="shared" si="10"/>
        <v>2016</v>
      </c>
      <c r="C689" s="94">
        <v>1.17</v>
      </c>
    </row>
    <row r="690" spans="1:3" x14ac:dyDescent="0.25">
      <c r="A690" s="93">
        <v>42552</v>
      </c>
      <c r="B690" s="95">
        <f t="shared" si="10"/>
        <v>2016</v>
      </c>
      <c r="C690" s="94">
        <v>1.05</v>
      </c>
    </row>
    <row r="691" spans="1:3" x14ac:dyDescent="0.25">
      <c r="A691" s="93">
        <v>42583</v>
      </c>
      <c r="B691" s="95">
        <f t="shared" si="10"/>
        <v>2016</v>
      </c>
      <c r="C691" s="94">
        <v>1.04</v>
      </c>
    </row>
    <row r="692" spans="1:3" x14ac:dyDescent="0.25">
      <c r="A692" s="93">
        <v>42614</v>
      </c>
      <c r="B692" s="95">
        <f t="shared" si="10"/>
        <v>2016</v>
      </c>
      <c r="C692" s="94">
        <v>1.0900000000000001</v>
      </c>
    </row>
    <row r="693" spans="1:3" x14ac:dyDescent="0.25">
      <c r="A693" s="93">
        <v>42644</v>
      </c>
      <c r="B693" s="95">
        <f t="shared" si="10"/>
        <v>2016</v>
      </c>
      <c r="C693" s="94">
        <v>1.17</v>
      </c>
    </row>
    <row r="694" spans="1:3" x14ac:dyDescent="0.25">
      <c r="A694" s="93">
        <v>42675</v>
      </c>
      <c r="B694" s="95">
        <f t="shared" si="10"/>
        <v>2016</v>
      </c>
      <c r="C694" s="94">
        <v>1.43</v>
      </c>
    </row>
    <row r="695" spans="1:3" x14ac:dyDescent="0.25">
      <c r="A695" s="93">
        <v>42705</v>
      </c>
      <c r="B695" s="95">
        <f t="shared" si="10"/>
        <v>2016</v>
      </c>
      <c r="C695" s="94">
        <v>1.73</v>
      </c>
    </row>
    <row r="696" spans="1:3" x14ac:dyDescent="0.25">
      <c r="A696" s="93">
        <v>42736</v>
      </c>
      <c r="B696" s="95">
        <f t="shared" si="10"/>
        <v>2017</v>
      </c>
      <c r="C696" s="94">
        <v>1.72</v>
      </c>
    </row>
    <row r="697" spans="1:3" x14ac:dyDescent="0.25">
      <c r="A697" s="93">
        <v>42767</v>
      </c>
      <c r="B697" s="95">
        <f t="shared" si="10"/>
        <v>2017</v>
      </c>
      <c r="C697" s="94">
        <v>1.7</v>
      </c>
    </row>
    <row r="698" spans="1:3" x14ac:dyDescent="0.25">
      <c r="A698" s="93">
        <v>42795</v>
      </c>
      <c r="B698" s="95">
        <f t="shared" si="10"/>
        <v>2017</v>
      </c>
      <c r="C698" s="94">
        <v>1.71</v>
      </c>
    </row>
    <row r="699" spans="1:3" x14ac:dyDescent="0.25">
      <c r="A699" s="93">
        <v>42826</v>
      </c>
      <c r="B699" s="95">
        <f t="shared" si="10"/>
        <v>2017</v>
      </c>
      <c r="C699" s="94">
        <v>1.52</v>
      </c>
    </row>
    <row r="700" spans="1:3" x14ac:dyDescent="0.25">
      <c r="A700" s="93">
        <v>42856</v>
      </c>
      <c r="B700" s="95">
        <f t="shared" si="10"/>
        <v>2017</v>
      </c>
      <c r="C700" s="94">
        <v>1.51</v>
      </c>
    </row>
    <row r="701" spans="1:3" x14ac:dyDescent="0.25">
      <c r="A701" s="93">
        <v>42887</v>
      </c>
      <c r="B701" s="95">
        <f t="shared" si="10"/>
        <v>2017</v>
      </c>
      <c r="C701" s="94">
        <v>1.48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2:N40"/>
  <sheetViews>
    <sheetView showGridLines="0" topLeftCell="A4" zoomScale="75" zoomScaleNormal="75" workbookViewId="0">
      <selection activeCell="H43" sqref="H43"/>
    </sheetView>
  </sheetViews>
  <sheetFormatPr defaultRowHeight="15" x14ac:dyDescent="0.25"/>
  <cols>
    <col min="2" max="2" width="4.85546875" customWidth="1"/>
    <col min="3" max="3" width="23.7109375" customWidth="1"/>
    <col min="4" max="5" width="14.42578125" customWidth="1"/>
    <col min="6" max="7" width="19.28515625" customWidth="1"/>
    <col min="8" max="8" width="40.5703125" customWidth="1"/>
    <col min="9" max="10" width="24" customWidth="1"/>
    <col min="11" max="11" width="14.85546875" customWidth="1"/>
    <col min="12" max="12" width="14.7109375" customWidth="1"/>
    <col min="13" max="13" width="15" customWidth="1"/>
    <col min="14" max="14" width="41.28515625" customWidth="1"/>
  </cols>
  <sheetData>
    <row r="2" spans="2:14" ht="18.75" x14ac:dyDescent="0.3">
      <c r="B2" s="62" t="str">
        <f ca="1">MID(CELL("filename",B1),FIND("]",CELL("filename",B1))+1,256)</f>
        <v>Capital Price Calculation</v>
      </c>
      <c r="F2" s="1"/>
      <c r="G2" s="1"/>
      <c r="I2" s="1"/>
      <c r="J2" s="1"/>
      <c r="K2" s="1"/>
    </row>
    <row r="3" spans="2:14" x14ac:dyDescent="0.25">
      <c r="B3" s="1"/>
      <c r="F3" s="1"/>
      <c r="G3" s="1"/>
      <c r="I3" s="1"/>
      <c r="J3" s="1"/>
      <c r="K3" s="1"/>
    </row>
    <row r="4" spans="2:14" x14ac:dyDescent="0.25">
      <c r="B4" s="100" t="s">
        <v>69</v>
      </c>
      <c r="C4" s="100"/>
      <c r="D4" s="104"/>
      <c r="E4" s="104"/>
      <c r="F4" s="99"/>
      <c r="G4" s="1"/>
      <c r="I4" s="1"/>
      <c r="J4" s="1"/>
      <c r="K4" s="1"/>
    </row>
    <row r="5" spans="2:14" x14ac:dyDescent="0.25">
      <c r="B5" s="64" t="s">
        <v>193</v>
      </c>
      <c r="C5" s="64"/>
      <c r="D5" s="105"/>
      <c r="E5" s="107"/>
      <c r="F5" s="106"/>
      <c r="G5" s="1"/>
      <c r="I5" s="1"/>
      <c r="J5" s="1"/>
      <c r="K5" s="1"/>
    </row>
    <row r="6" spans="2:14" x14ac:dyDescent="0.25">
      <c r="B6" s="1"/>
      <c r="C6" s="1"/>
      <c r="D6" s="1"/>
      <c r="E6" s="1"/>
      <c r="F6" s="1"/>
      <c r="G6" s="1"/>
      <c r="I6" s="1"/>
      <c r="J6" s="1"/>
      <c r="K6" s="1"/>
    </row>
    <row r="7" spans="2:14" ht="15.75" x14ac:dyDescent="0.25">
      <c r="B7" s="65" t="s">
        <v>194</v>
      </c>
      <c r="C7" s="65"/>
      <c r="D7" s="65"/>
      <c r="E7" s="65"/>
      <c r="F7" s="66"/>
      <c r="G7" s="66"/>
      <c r="H7" s="66"/>
      <c r="I7" s="66"/>
      <c r="J7" s="66"/>
      <c r="K7" s="66"/>
    </row>
    <row r="8" spans="2:14" x14ac:dyDescent="0.25">
      <c r="B8" s="67"/>
      <c r="C8" s="67"/>
      <c r="D8" s="67"/>
      <c r="E8" s="67"/>
      <c r="F8" s="68"/>
      <c r="G8" s="1"/>
      <c r="I8" s="1"/>
      <c r="J8" s="1"/>
      <c r="K8" s="1"/>
    </row>
    <row r="9" spans="2:14" x14ac:dyDescent="0.25">
      <c r="B9" s="69" t="s">
        <v>71</v>
      </c>
      <c r="C9" s="69"/>
      <c r="D9" s="107" t="s">
        <v>198</v>
      </c>
      <c r="E9" s="69"/>
      <c r="F9" s="70"/>
      <c r="G9" s="70"/>
      <c r="H9" s="70"/>
      <c r="I9" s="70"/>
      <c r="J9" s="70"/>
      <c r="K9" s="70"/>
    </row>
    <row r="11" spans="2:14" ht="60" x14ac:dyDescent="0.25">
      <c r="B11" s="58"/>
      <c r="C11" s="58" t="s">
        <v>1</v>
      </c>
      <c r="D11" s="58" t="s">
        <v>0</v>
      </c>
      <c r="E11" s="58" t="s">
        <v>37</v>
      </c>
      <c r="F11" s="58" t="s">
        <v>172</v>
      </c>
      <c r="G11" s="58" t="s">
        <v>173</v>
      </c>
      <c r="H11" s="58" t="s">
        <v>177</v>
      </c>
      <c r="I11" s="58" t="s">
        <v>179</v>
      </c>
      <c r="J11" s="58" t="s">
        <v>178</v>
      </c>
      <c r="K11" s="58" t="s">
        <v>174</v>
      </c>
      <c r="L11" s="58" t="s">
        <v>186</v>
      </c>
      <c r="M11" s="58" t="s">
        <v>187</v>
      </c>
      <c r="N11" s="58" t="s">
        <v>188</v>
      </c>
    </row>
    <row r="12" spans="2:14" x14ac:dyDescent="0.25">
      <c r="B12" s="58"/>
      <c r="C12" s="58"/>
      <c r="D12" s="58"/>
      <c r="E12" s="58"/>
      <c r="F12" s="58" t="s">
        <v>180</v>
      </c>
      <c r="G12" s="58" t="s">
        <v>181</v>
      </c>
      <c r="H12" s="58" t="s">
        <v>185</v>
      </c>
      <c r="I12" s="58" t="s">
        <v>184</v>
      </c>
      <c r="J12" s="58" t="s">
        <v>183</v>
      </c>
      <c r="K12" s="58" t="s">
        <v>182</v>
      </c>
      <c r="L12" s="58" t="s">
        <v>189</v>
      </c>
      <c r="M12" s="58" t="s">
        <v>190</v>
      </c>
      <c r="N12" s="58" t="s">
        <v>191</v>
      </c>
    </row>
    <row r="13" spans="2:14" ht="41.25" customHeight="1" x14ac:dyDescent="0.25">
      <c r="B13" s="58"/>
      <c r="C13" s="58"/>
      <c r="D13" s="58"/>
      <c r="E13" s="58"/>
      <c r="F13" s="58"/>
      <c r="G13" s="58"/>
      <c r="H13" s="58"/>
      <c r="I13" s="58"/>
      <c r="J13" s="58"/>
      <c r="K13" s="58"/>
      <c r="L13" s="58"/>
      <c r="M13" s="58" t="s">
        <v>192</v>
      </c>
      <c r="N13" s="58"/>
    </row>
    <row r="14" spans="2:14" x14ac:dyDescent="0.25">
      <c r="B14" s="109">
        <v>1</v>
      </c>
      <c r="C14" s="60" t="s">
        <v>2</v>
      </c>
      <c r="D14" s="60">
        <v>1992</v>
      </c>
      <c r="E14" s="60" t="s">
        <v>53</v>
      </c>
      <c r="F14" s="101">
        <f>'All Variables'!D13</f>
        <v>0</v>
      </c>
      <c r="G14" s="101">
        <f>'All Variables'!E13</f>
        <v>0.38</v>
      </c>
      <c r="H14" s="143">
        <f t="array" ref="H14">INDEX('All Variables'!$J$13:$J$37,MATCH('Capital Price Calculation'!D14,'All Variables'!$C$13:$C$37,0))</f>
        <v>0.51147759340371279</v>
      </c>
      <c r="I14" s="102">
        <f>IFERROR(INDEX('Enbridge Ratings and Yields'!$D$24:$AB$24,MATCH('Capital Price Calculation'!D14,'Enbridge Ratings and Yields'!$D$23:$AB$23,0))/100,"-")</f>
        <v>8.688499999999999E-2</v>
      </c>
      <c r="J14" s="102">
        <f>INDEX('Expected Inflation (i)'!$H$14:$H$39,MATCH('Capital Price Calculation'!D14,'Expected Inflation (i)'!$C$14:$C$39,0))/100</f>
        <v>5.1790262935579208E-2</v>
      </c>
      <c r="K14" s="144">
        <f>'All Variables'!F13</f>
        <v>33</v>
      </c>
      <c r="L14" s="103">
        <f>IFERROR(INDEX('Handy-Whitman Index'!$B$6:$G$110,MATCH('Capital Price Calculation'!D14,'Handy-Whitman Index'!$A$6:$A$110,0)-1,MATCH('Capital Price Calculation'!E14,'Handy-Whitman Index'!$B$5:$G$5,0)),"-")</f>
        <v>286.75</v>
      </c>
      <c r="M14" s="90">
        <f t="shared" ref="M14:M38" si="0">IFERROR((L14/100),"-")</f>
        <v>2.8675000000000002</v>
      </c>
      <c r="N14" s="90">
        <f t="shared" ref="N14:N38" si="1">IFERROR((1-$F14-($G14*$H14))/(1-$G14)*($I14-$J14)*(1-(((1+$J14)/(1+$I14))^$K14))^(-1)*$M14,"-")</f>
        <v>0.1976909902623889</v>
      </c>
    </row>
    <row r="15" spans="2:14" x14ac:dyDescent="0.25">
      <c r="B15" s="109">
        <f t="shared" ref="B15:B38" si="2">B14+1</f>
        <v>2</v>
      </c>
      <c r="C15" s="60" t="s">
        <v>2</v>
      </c>
      <c r="D15" s="60">
        <v>1993</v>
      </c>
      <c r="E15" s="60" t="s">
        <v>53</v>
      </c>
      <c r="F15" s="101">
        <f>'All Variables'!D14</f>
        <v>0</v>
      </c>
      <c r="G15" s="101">
        <f>'All Variables'!E14</f>
        <v>0.38</v>
      </c>
      <c r="H15" s="143">
        <f t="array" ref="H15">INDEX('All Variables'!$J$13:$J$37,MATCH('Capital Price Calculation'!D15,'All Variables'!$C$13:$C$37,0))</f>
        <v>0.51147759340371279</v>
      </c>
      <c r="I15" s="102">
        <f>IFERROR(INDEX('Enbridge Ratings and Yields'!$D$24:$AB$24,MATCH('Capital Price Calculation'!D15,'Enbridge Ratings and Yields'!$D$23:$AB$23,0))/100,"-")</f>
        <v>7.5929923974131633E-2</v>
      </c>
      <c r="J15" s="102">
        <f>INDEX('Expected Inflation (i)'!$H$14:$H$39,MATCH('Capital Price Calculation'!D15,'Expected Inflation (i)'!$C$14:$C$39,0))/100</f>
        <v>4.3790262935579208E-2</v>
      </c>
      <c r="K15" s="144">
        <f>'All Variables'!F14</f>
        <v>33</v>
      </c>
      <c r="L15" s="103">
        <f>IFERROR(INDEX('Handy-Whitman Index'!$B$6:$G$110,MATCH('Capital Price Calculation'!D15,'Handy-Whitman Index'!$A$6:$A$110,0)-1,MATCH('Capital Price Calculation'!E15,'Handy-Whitman Index'!$B$5:$G$5,0)),"-")</f>
        <v>290.25</v>
      </c>
      <c r="M15" s="90">
        <f t="shared" si="0"/>
        <v>2.9024999999999999</v>
      </c>
      <c r="N15" s="90">
        <f t="shared" si="1"/>
        <v>0.19167449287151214</v>
      </c>
    </row>
    <row r="16" spans="2:14" x14ac:dyDescent="0.25">
      <c r="B16" s="109">
        <f t="shared" si="2"/>
        <v>3</v>
      </c>
      <c r="C16" s="60" t="s">
        <v>2</v>
      </c>
      <c r="D16" s="60">
        <v>1994</v>
      </c>
      <c r="E16" s="60" t="s">
        <v>53</v>
      </c>
      <c r="F16" s="101">
        <f>'All Variables'!D15</f>
        <v>0</v>
      </c>
      <c r="G16" s="101">
        <f>'All Variables'!E15</f>
        <v>0.38</v>
      </c>
      <c r="H16" s="143">
        <f t="array" ref="H16">INDEX('All Variables'!$J$13:$J$37,MATCH('Capital Price Calculation'!D16,'All Variables'!$C$13:$C$37,0))</f>
        <v>0.51147759340371279</v>
      </c>
      <c r="I16" s="102">
        <f>IFERROR(INDEX('Enbridge Ratings and Yields'!$D$24:$AB$24,MATCH('Capital Price Calculation'!D16,'Enbridge Ratings and Yields'!$D$23:$AB$23,0))/100,"-")</f>
        <v>8.3006988964506118E-2</v>
      </c>
      <c r="J16" s="102">
        <f>INDEX('Expected Inflation (i)'!$H$14:$H$39,MATCH('Capital Price Calculation'!D16,'Expected Inflation (i)'!$C$14:$C$39,0))/100</f>
        <v>5.4181929602245882E-2</v>
      </c>
      <c r="K16" s="144">
        <f>'All Variables'!F15</f>
        <v>33</v>
      </c>
      <c r="L16" s="103">
        <f>IFERROR(INDEX('Handy-Whitman Index'!$B$6:$G$110,MATCH('Capital Price Calculation'!D16,'Handy-Whitman Index'!$A$6:$A$110,0)-1,MATCH('Capital Price Calculation'!E16,'Handy-Whitman Index'!$B$5:$G$5,0)),"-")</f>
        <v>298</v>
      </c>
      <c r="M16" s="90">
        <f t="shared" si="0"/>
        <v>2.98</v>
      </c>
      <c r="N16" s="90">
        <f t="shared" si="1"/>
        <v>0.18936480100501488</v>
      </c>
    </row>
    <row r="17" spans="2:14" x14ac:dyDescent="0.25">
      <c r="B17" s="109">
        <f t="shared" si="2"/>
        <v>4</v>
      </c>
      <c r="C17" s="60" t="s">
        <v>2</v>
      </c>
      <c r="D17" s="60">
        <v>1995</v>
      </c>
      <c r="E17" s="60" t="s">
        <v>53</v>
      </c>
      <c r="F17" s="101">
        <f>'All Variables'!D16</f>
        <v>0</v>
      </c>
      <c r="G17" s="101">
        <f>'All Variables'!E16</f>
        <v>0.38</v>
      </c>
      <c r="H17" s="143">
        <f t="array" ref="H17">INDEX('All Variables'!$J$13:$J$37,MATCH('Capital Price Calculation'!D17,'All Variables'!$C$13:$C$37,0))</f>
        <v>0.51147759340371279</v>
      </c>
      <c r="I17" s="102">
        <f>IFERROR(INDEX('Enbridge Ratings and Yields'!$D$24:$AB$24,MATCH('Capital Price Calculation'!D17,'Enbridge Ratings and Yields'!$D$23:$AB$23,0))/100,"-")</f>
        <v>7.8908808487787307E-2</v>
      </c>
      <c r="J17" s="102">
        <f>INDEX('Expected Inflation (i)'!$H$14:$H$39,MATCH('Capital Price Calculation'!D17,'Expected Inflation (i)'!$C$14:$C$39,0))/100</f>
        <v>5.2698596268912545E-2</v>
      </c>
      <c r="K17" s="144">
        <f>'All Variables'!F16</f>
        <v>33</v>
      </c>
      <c r="L17" s="103">
        <f>IFERROR(INDEX('Handy-Whitman Index'!$B$6:$G$110,MATCH('Capital Price Calculation'!D17,'Handy-Whitman Index'!$A$6:$A$110,0)-1,MATCH('Capital Price Calculation'!E17,'Handy-Whitman Index'!$B$5:$G$5,0)),"-")</f>
        <v>307.25</v>
      </c>
      <c r="M17" s="90">
        <f t="shared" si="0"/>
        <v>3.0724999999999998</v>
      </c>
      <c r="N17" s="90">
        <f t="shared" si="1"/>
        <v>0.1882605234035393</v>
      </c>
    </row>
    <row r="18" spans="2:14" x14ac:dyDescent="0.25">
      <c r="B18" s="109">
        <f t="shared" si="2"/>
        <v>5</v>
      </c>
      <c r="C18" s="60" t="s">
        <v>2</v>
      </c>
      <c r="D18" s="60">
        <v>1996</v>
      </c>
      <c r="E18" s="60" t="s">
        <v>53</v>
      </c>
      <c r="F18" s="101">
        <f>'All Variables'!D17</f>
        <v>0</v>
      </c>
      <c r="G18" s="101">
        <f>'All Variables'!E17</f>
        <v>0.38</v>
      </c>
      <c r="H18" s="143">
        <f t="array" ref="H18">INDEX('All Variables'!$J$13:$J$37,MATCH('Capital Price Calculation'!D18,'All Variables'!$C$13:$C$37,0))</f>
        <v>0.51147759340371279</v>
      </c>
      <c r="I18" s="102">
        <f>IFERROR(INDEX('Enbridge Ratings and Yields'!$D$24:$AB$24,MATCH('Capital Price Calculation'!D18,'Enbridge Ratings and Yields'!$D$23:$AB$23,0))/100,"-")</f>
        <v>7.7464358465608465E-2</v>
      </c>
      <c r="J18" s="102">
        <f>INDEX('Expected Inflation (i)'!$H$14:$H$39,MATCH('Capital Price Calculation'!D18,'Expected Inflation (i)'!$C$14:$C$39,0))/100</f>
        <v>4.3381929602245878E-2</v>
      </c>
      <c r="K18" s="144">
        <f>'All Variables'!F17</f>
        <v>33</v>
      </c>
      <c r="L18" s="103">
        <f>IFERROR(INDEX('Handy-Whitman Index'!$B$6:$G$110,MATCH('Capital Price Calculation'!D18,'Handy-Whitman Index'!$A$6:$A$110,0)-1,MATCH('Capital Price Calculation'!E18,'Handy-Whitman Index'!$B$5:$G$5,0)),"-")</f>
        <v>316.5</v>
      </c>
      <c r="M18" s="90">
        <f t="shared" si="0"/>
        <v>3.165</v>
      </c>
      <c r="N18" s="90">
        <f t="shared" si="1"/>
        <v>0.21439323515831685</v>
      </c>
    </row>
    <row r="19" spans="2:14" x14ac:dyDescent="0.25">
      <c r="B19" s="109">
        <f t="shared" si="2"/>
        <v>6</v>
      </c>
      <c r="C19" s="60" t="s">
        <v>2</v>
      </c>
      <c r="D19" s="60">
        <v>1997</v>
      </c>
      <c r="E19" s="60" t="s">
        <v>53</v>
      </c>
      <c r="F19" s="101">
        <f>'All Variables'!D18</f>
        <v>0</v>
      </c>
      <c r="G19" s="101">
        <f>'All Variables'!E18</f>
        <v>0.38</v>
      </c>
      <c r="H19" s="143">
        <f t="array" ref="H19">INDEX('All Variables'!$J$13:$J$37,MATCH('Capital Price Calculation'!D19,'All Variables'!$C$13:$C$37,0))</f>
        <v>0.51147759340371279</v>
      </c>
      <c r="I19" s="102">
        <f>IFERROR(INDEX('Enbridge Ratings and Yields'!$D$24:$AB$24,MATCH('Capital Price Calculation'!D19,'Enbridge Ratings and Yields'!$D$23:$AB$23,0))/100,"-")</f>
        <v>7.5946161173134852E-2</v>
      </c>
      <c r="J19" s="102">
        <f>INDEX('Expected Inflation (i)'!$H$14:$H$39,MATCH('Capital Price Calculation'!D19,'Expected Inflation (i)'!$C$14:$C$39,0))/100</f>
        <v>3.2498596268912543E-2</v>
      </c>
      <c r="K19" s="144">
        <f>'All Variables'!F18</f>
        <v>33</v>
      </c>
      <c r="L19" s="103">
        <f>IFERROR(INDEX('Handy-Whitman Index'!$B$6:$G$110,MATCH('Capital Price Calculation'!D19,'Handy-Whitman Index'!$A$6:$A$110,0)-1,MATCH('Capital Price Calculation'!E19,'Handy-Whitman Index'!$B$5:$G$5,0)),"-")</f>
        <v>321.75</v>
      </c>
      <c r="M19" s="90">
        <f t="shared" si="0"/>
        <v>3.2174999999999998</v>
      </c>
      <c r="N19" s="90">
        <f t="shared" si="1"/>
        <v>0.24435022244243326</v>
      </c>
    </row>
    <row r="20" spans="2:14" x14ac:dyDescent="0.25">
      <c r="B20" s="109">
        <f t="shared" si="2"/>
        <v>7</v>
      </c>
      <c r="C20" s="60" t="s">
        <v>2</v>
      </c>
      <c r="D20" s="60">
        <v>1998</v>
      </c>
      <c r="E20" s="60" t="s">
        <v>53</v>
      </c>
      <c r="F20" s="101">
        <f>'All Variables'!D19</f>
        <v>0</v>
      </c>
      <c r="G20" s="101">
        <f>'All Variables'!E19</f>
        <v>0.38</v>
      </c>
      <c r="H20" s="143">
        <f t="array" ref="H20">INDEX('All Variables'!$J$13:$J$37,MATCH('Capital Price Calculation'!D20,'All Variables'!$C$13:$C$37,0))</f>
        <v>0.51147759340371279</v>
      </c>
      <c r="I20" s="102">
        <f>IFERROR(INDEX('Enbridge Ratings and Yields'!$D$24:$AB$24,MATCH('Capital Price Calculation'!D20,'Enbridge Ratings and Yields'!$D$23:$AB$23,0))/100,"-")</f>
        <v>7.0452212538923073E-2</v>
      </c>
      <c r="J20" s="102">
        <f>INDEX('Expected Inflation (i)'!$H$14:$H$39,MATCH('Capital Price Calculation'!D20,'Expected Inflation (i)'!$C$14:$C$39,0))/100</f>
        <v>2.3881929602245871E-2</v>
      </c>
      <c r="K20" s="144">
        <f>'All Variables'!F19</f>
        <v>33</v>
      </c>
      <c r="L20" s="103">
        <f>IFERROR(INDEX('Handy-Whitman Index'!$B$6:$G$110,MATCH('Capital Price Calculation'!D20,'Handy-Whitman Index'!$A$6:$A$110,0)-1,MATCH('Capital Price Calculation'!E20,'Handy-Whitman Index'!$B$5:$G$5,0)),"-")</f>
        <v>326.75</v>
      </c>
      <c r="M20" s="90">
        <f t="shared" si="0"/>
        <v>3.2675000000000001</v>
      </c>
      <c r="N20" s="90">
        <f t="shared" si="1"/>
        <v>0.25693357349307611</v>
      </c>
    </row>
    <row r="21" spans="2:14" x14ac:dyDescent="0.25">
      <c r="B21" s="109">
        <f t="shared" si="2"/>
        <v>8</v>
      </c>
      <c r="C21" s="60" t="s">
        <v>2</v>
      </c>
      <c r="D21" s="60">
        <v>1999</v>
      </c>
      <c r="E21" s="60" t="s">
        <v>53</v>
      </c>
      <c r="F21" s="101">
        <f>'All Variables'!D20</f>
        <v>0</v>
      </c>
      <c r="G21" s="101">
        <f>'All Variables'!E20</f>
        <v>0.38</v>
      </c>
      <c r="H21" s="143">
        <f t="array" ref="H21">INDEX('All Variables'!$J$13:$J$37,MATCH('Capital Price Calculation'!D21,'All Variables'!$C$13:$C$37,0))</f>
        <v>0.51147759340371279</v>
      </c>
      <c r="I21" s="102">
        <f>IFERROR(INDEX('Enbridge Ratings and Yields'!$D$24:$AB$24,MATCH('Capital Price Calculation'!D21,'Enbridge Ratings and Yields'!$D$23:$AB$23,0))/100,"-")</f>
        <v>7.6206676903061349E-2</v>
      </c>
      <c r="J21" s="102">
        <f>INDEX('Expected Inflation (i)'!$H$14:$H$39,MATCH('Capital Price Calculation'!D21,'Expected Inflation (i)'!$C$14:$C$39,0))/100</f>
        <v>2.6490262935579201E-2</v>
      </c>
      <c r="K21" s="144">
        <f>'All Variables'!F20</f>
        <v>33</v>
      </c>
      <c r="L21" s="103">
        <f>IFERROR(INDEX('Handy-Whitman Index'!$B$6:$G$110,MATCH('Capital Price Calculation'!D21,'Handy-Whitman Index'!$A$6:$A$110,0)-1,MATCH('Capital Price Calculation'!E21,'Handy-Whitman Index'!$B$5:$G$5,0)),"-")</f>
        <v>334.25</v>
      </c>
      <c r="M21" s="90">
        <f t="shared" si="0"/>
        <v>3.3424999999999998</v>
      </c>
      <c r="N21" s="90">
        <f t="shared" si="1"/>
        <v>0.2733221120503232</v>
      </c>
    </row>
    <row r="22" spans="2:14" x14ac:dyDescent="0.25">
      <c r="B22" s="109">
        <f t="shared" si="2"/>
        <v>9</v>
      </c>
      <c r="C22" s="60" t="s">
        <v>2</v>
      </c>
      <c r="D22" s="60">
        <v>2000</v>
      </c>
      <c r="E22" s="60" t="s">
        <v>53</v>
      </c>
      <c r="F22" s="101">
        <f>'All Variables'!D21</f>
        <v>0</v>
      </c>
      <c r="G22" s="101">
        <f>'All Variables'!E21</f>
        <v>0.38</v>
      </c>
      <c r="H22" s="143">
        <f t="array" ref="H22">INDEX('All Variables'!$J$13:$J$37,MATCH('Capital Price Calculation'!D22,'All Variables'!$C$13:$C$37,0))</f>
        <v>0.51147759340371279</v>
      </c>
      <c r="I22" s="102">
        <f>IFERROR(INDEX('Enbridge Ratings and Yields'!$D$24:$AB$24,MATCH('Capital Price Calculation'!D22,'Enbridge Ratings and Yields'!$D$23:$AB$23,0))/100,"-")</f>
        <v>8.2451816336790607E-2</v>
      </c>
      <c r="J22" s="102">
        <f>INDEX('Expected Inflation (i)'!$H$14:$H$39,MATCH('Capital Price Calculation'!D22,'Expected Inflation (i)'!$C$14:$C$39,0))/100</f>
        <v>3.0340262935579218E-2</v>
      </c>
      <c r="K22" s="144">
        <f>'All Variables'!F21</f>
        <v>33</v>
      </c>
      <c r="L22" s="103">
        <f>IFERROR(INDEX('Handy-Whitman Index'!$B$6:$G$110,MATCH('Capital Price Calculation'!D22,'Handy-Whitman Index'!$A$6:$A$110,0)-1,MATCH('Capital Price Calculation'!E22,'Handy-Whitman Index'!$B$5:$G$5,0)),"-")</f>
        <v>336.75</v>
      </c>
      <c r="M22" s="90">
        <f t="shared" si="0"/>
        <v>3.3675000000000002</v>
      </c>
      <c r="N22" s="90">
        <f t="shared" si="1"/>
        <v>0.28371751939654566</v>
      </c>
    </row>
    <row r="23" spans="2:14" x14ac:dyDescent="0.25">
      <c r="B23" s="109">
        <f t="shared" si="2"/>
        <v>10</v>
      </c>
      <c r="C23" s="60" t="s">
        <v>2</v>
      </c>
      <c r="D23" s="60">
        <v>2001</v>
      </c>
      <c r="E23" s="60" t="s">
        <v>53</v>
      </c>
      <c r="F23" s="101">
        <f>'All Variables'!D22</f>
        <v>0</v>
      </c>
      <c r="G23" s="101">
        <f>'All Variables'!E22</f>
        <v>0.38</v>
      </c>
      <c r="H23" s="143">
        <f t="array" ref="H23">INDEX('All Variables'!$J$13:$J$37,MATCH('Capital Price Calculation'!D23,'All Variables'!$C$13:$C$37,0))</f>
        <v>0.51147759340371279</v>
      </c>
      <c r="I23" s="102">
        <f>IFERROR(INDEX('Enbridge Ratings and Yields'!$D$24:$AB$24,MATCH('Capital Price Calculation'!D23,'Enbridge Ratings and Yields'!$D$23:$AB$23,0))/100,"-")</f>
        <v>7.7602651363483238E-2</v>
      </c>
      <c r="J23" s="102">
        <f>INDEX('Expected Inflation (i)'!$H$14:$H$39,MATCH('Capital Price Calculation'!D23,'Expected Inflation (i)'!$C$14:$C$39,0))/100</f>
        <v>2.5881929602245873E-2</v>
      </c>
      <c r="K23" s="144">
        <f>'All Variables'!F22</f>
        <v>33</v>
      </c>
      <c r="L23" s="103">
        <f>IFERROR(INDEX('Handy-Whitman Index'!$B$6:$G$110,MATCH('Capital Price Calculation'!D23,'Handy-Whitman Index'!$A$6:$A$110,0)-1,MATCH('Capital Price Calculation'!E23,'Handy-Whitman Index'!$B$5:$G$5,0)),"-")</f>
        <v>345.5</v>
      </c>
      <c r="M23" s="90">
        <f t="shared" si="0"/>
        <v>3.4550000000000001</v>
      </c>
      <c r="N23" s="90">
        <f t="shared" si="1"/>
        <v>0.28926497006431062</v>
      </c>
    </row>
    <row r="24" spans="2:14" x14ac:dyDescent="0.25">
      <c r="B24" s="109">
        <f t="shared" si="2"/>
        <v>11</v>
      </c>
      <c r="C24" s="60" t="s">
        <v>2</v>
      </c>
      <c r="D24" s="60">
        <v>2002</v>
      </c>
      <c r="E24" s="60" t="s">
        <v>53</v>
      </c>
      <c r="F24" s="101">
        <f>'All Variables'!D23</f>
        <v>0</v>
      </c>
      <c r="G24" s="101">
        <f>'All Variables'!E23</f>
        <v>0.38</v>
      </c>
      <c r="H24" s="143">
        <f t="array" ref="H24">INDEX('All Variables'!$J$13:$J$37,MATCH('Capital Price Calculation'!D24,'All Variables'!$C$13:$C$37,0))</f>
        <v>0.51147759340371279</v>
      </c>
      <c r="I24" s="102">
        <f>IFERROR(INDEX('Enbridge Ratings and Yields'!$D$24:$AB$24,MATCH('Capital Price Calculation'!D24,'Enbridge Ratings and Yields'!$D$23:$AB$23,0))/100,"-")</f>
        <v>7.371311090225563E-2</v>
      </c>
      <c r="J24" s="102">
        <f>INDEX('Expected Inflation (i)'!$H$14:$H$39,MATCH('Capital Price Calculation'!D24,'Expected Inflation (i)'!$C$14:$C$39,0))/100</f>
        <v>2.3998596268912546E-2</v>
      </c>
      <c r="K24" s="144">
        <f>'All Variables'!F23</f>
        <v>33</v>
      </c>
      <c r="L24" s="103">
        <f>IFERROR(INDEX('Handy-Whitman Index'!$B$6:$G$110,MATCH('Capital Price Calculation'!D24,'Handy-Whitman Index'!$A$6:$A$110,0)-1,MATCH('Capital Price Calculation'!E24,'Handy-Whitman Index'!$B$5:$G$5,0)),"-")</f>
        <v>355.75</v>
      </c>
      <c r="M24" s="90">
        <f t="shared" si="0"/>
        <v>3.5575000000000001</v>
      </c>
      <c r="N24" s="90">
        <f t="shared" si="1"/>
        <v>0.29061046457174605</v>
      </c>
    </row>
    <row r="25" spans="2:14" x14ac:dyDescent="0.25">
      <c r="B25" s="109">
        <f t="shared" si="2"/>
        <v>12</v>
      </c>
      <c r="C25" s="60" t="s">
        <v>2</v>
      </c>
      <c r="D25" s="60">
        <v>2003</v>
      </c>
      <c r="E25" s="60" t="s">
        <v>53</v>
      </c>
      <c r="F25" s="101">
        <f>'All Variables'!D24</f>
        <v>0</v>
      </c>
      <c r="G25" s="101">
        <f>'All Variables'!E24</f>
        <v>0.38</v>
      </c>
      <c r="H25" s="143">
        <f t="array" ref="H25">INDEX('All Variables'!$J$13:$J$37,MATCH('Capital Price Calculation'!D25,'All Variables'!$C$13:$C$37,0))</f>
        <v>0.51147759340371279</v>
      </c>
      <c r="I25" s="102">
        <f>IFERROR(INDEX('Enbridge Ratings and Yields'!$D$24:$AB$24,MATCH('Capital Price Calculation'!D25,'Enbridge Ratings and Yields'!$D$23:$AB$23,0))/100,"-")</f>
        <v>6.5780961818539221E-2</v>
      </c>
      <c r="J25" s="102">
        <f>INDEX('Expected Inflation (i)'!$H$14:$H$39,MATCH('Capital Price Calculation'!D25,'Expected Inflation (i)'!$C$14:$C$39,0))/100</f>
        <v>1.9190262935579197E-2</v>
      </c>
      <c r="K25" s="144">
        <f>'All Variables'!F24</f>
        <v>33</v>
      </c>
      <c r="L25" s="103">
        <f>IFERROR(INDEX('Handy-Whitman Index'!$B$6:$G$110,MATCH('Capital Price Calculation'!D25,'Handy-Whitman Index'!$A$6:$A$110,0)-1,MATCH('Capital Price Calculation'!E25,'Handy-Whitman Index'!$B$5:$G$5,0)),"-")</f>
        <v>367.5</v>
      </c>
      <c r="M25" s="90">
        <f t="shared" si="0"/>
        <v>3.6749999999999998</v>
      </c>
      <c r="N25" s="90">
        <f t="shared" si="1"/>
        <v>0.2884801066794016</v>
      </c>
    </row>
    <row r="26" spans="2:14" x14ac:dyDescent="0.25">
      <c r="B26" s="109">
        <f t="shared" si="2"/>
        <v>13</v>
      </c>
      <c r="C26" s="60" t="s">
        <v>2</v>
      </c>
      <c r="D26" s="60">
        <v>2004</v>
      </c>
      <c r="E26" s="60" t="s">
        <v>53</v>
      </c>
      <c r="F26" s="101">
        <f>'All Variables'!D25</f>
        <v>0</v>
      </c>
      <c r="G26" s="101">
        <f>'All Variables'!E25</f>
        <v>0.38</v>
      </c>
      <c r="H26" s="143">
        <f t="array" ref="H26">INDEX('All Variables'!$J$13:$J$37,MATCH('Capital Price Calculation'!D26,'All Variables'!$C$13:$C$37,0))</f>
        <v>0.51147759340371279</v>
      </c>
      <c r="I26" s="102">
        <f>IFERROR(INDEX('Enbridge Ratings and Yields'!$D$24:$AB$24,MATCH('Capital Price Calculation'!D26,'Enbridge Ratings and Yields'!$D$23:$AB$23,0))/100,"-")</f>
        <v>6.162228410700666E-2</v>
      </c>
      <c r="J26" s="102">
        <f>INDEX('Expected Inflation (i)'!$H$14:$H$39,MATCH('Capital Price Calculation'!D26,'Expected Inflation (i)'!$C$14:$C$39,0))/100</f>
        <v>1.6865262935579217E-2</v>
      </c>
      <c r="K26" s="144">
        <f>'All Variables'!F25</f>
        <v>33</v>
      </c>
      <c r="L26" s="103">
        <f>IFERROR(INDEX('Handy-Whitman Index'!$B$6:$G$110,MATCH('Capital Price Calculation'!D26,'Handy-Whitman Index'!$A$6:$A$110,0)-1,MATCH('Capital Price Calculation'!E26,'Handy-Whitman Index'!$B$5:$G$5,0)),"-")</f>
        <v>374.75</v>
      </c>
      <c r="M26" s="90">
        <f t="shared" si="0"/>
        <v>3.7475000000000001</v>
      </c>
      <c r="N26" s="90">
        <f t="shared" si="1"/>
        <v>0.28729021568711738</v>
      </c>
    </row>
    <row r="27" spans="2:14" x14ac:dyDescent="0.25">
      <c r="B27" s="109">
        <f t="shared" si="2"/>
        <v>14</v>
      </c>
      <c r="C27" s="60" t="s">
        <v>2</v>
      </c>
      <c r="D27" s="60">
        <v>2005</v>
      </c>
      <c r="E27" s="60" t="s">
        <v>53</v>
      </c>
      <c r="F27" s="101">
        <f>'All Variables'!D26</f>
        <v>0</v>
      </c>
      <c r="G27" s="101">
        <f>'All Variables'!E26</f>
        <v>0.38</v>
      </c>
      <c r="H27" s="143">
        <f t="array" ref="H27">INDEX('All Variables'!$J$13:$J$37,MATCH('Capital Price Calculation'!D27,'All Variables'!$C$13:$C$37,0))</f>
        <v>0.51147759340371279</v>
      </c>
      <c r="I27" s="102">
        <f>IFERROR(INDEX('Enbridge Ratings and Yields'!$D$24:$AB$24,MATCH('Capital Price Calculation'!D27,'Enbridge Ratings and Yields'!$D$23:$AB$23,0))/100,"-")</f>
        <v>5.6484772153539309E-2</v>
      </c>
      <c r="J27" s="102">
        <f>INDEX('Expected Inflation (i)'!$H$14:$H$39,MATCH('Capital Price Calculation'!D27,'Expected Inflation (i)'!$C$14:$C$39,0))/100</f>
        <v>1.1756929602245876E-2</v>
      </c>
      <c r="K27" s="144">
        <f>'All Variables'!F26</f>
        <v>33</v>
      </c>
      <c r="L27" s="103">
        <f>IFERROR(INDEX('Handy-Whitman Index'!$B$6:$G$110,MATCH('Capital Price Calculation'!D27,'Handy-Whitman Index'!$A$6:$A$110,0)-1,MATCH('Capital Price Calculation'!E27,'Handy-Whitman Index'!$B$5:$G$5,0)),"-")</f>
        <v>399.25</v>
      </c>
      <c r="M27" s="90">
        <f t="shared" si="0"/>
        <v>3.9925000000000002</v>
      </c>
      <c r="N27" s="90">
        <f t="shared" si="1"/>
        <v>0.30528095834488023</v>
      </c>
    </row>
    <row r="28" spans="2:14" x14ac:dyDescent="0.25">
      <c r="B28" s="109">
        <f t="shared" si="2"/>
        <v>15</v>
      </c>
      <c r="C28" s="60" t="s">
        <v>2</v>
      </c>
      <c r="D28" s="60">
        <v>2006</v>
      </c>
      <c r="E28" s="60" t="s">
        <v>53</v>
      </c>
      <c r="F28" s="101">
        <f>'All Variables'!D27</f>
        <v>0</v>
      </c>
      <c r="G28" s="101">
        <f>'All Variables'!E27</f>
        <v>0.38</v>
      </c>
      <c r="H28" s="143">
        <f t="array" ref="H28">INDEX('All Variables'!$J$13:$J$37,MATCH('Capital Price Calculation'!D28,'All Variables'!$C$13:$C$37,0))</f>
        <v>0.51147759340371279</v>
      </c>
      <c r="I28" s="102">
        <f>IFERROR(INDEX('Enbridge Ratings and Yields'!$D$24:$AB$24,MATCH('Capital Price Calculation'!D28,'Enbridge Ratings and Yields'!$D$23:$AB$23,0))/100,"-")</f>
        <v>6.0671105988786181E-2</v>
      </c>
      <c r="J28" s="102">
        <f>INDEX('Expected Inflation (i)'!$H$14:$H$39,MATCH('Capital Price Calculation'!D28,'Expected Inflation (i)'!$C$14:$C$39,0))/100</f>
        <v>1.3173596268912542E-2</v>
      </c>
      <c r="K28" s="144">
        <f>'All Variables'!F27</f>
        <v>33</v>
      </c>
      <c r="L28" s="103">
        <f>IFERROR(INDEX('Handy-Whitman Index'!$B$6:$G$110,MATCH('Capital Price Calculation'!D28,'Handy-Whitman Index'!$A$6:$A$110,0)-1,MATCH('Capital Price Calculation'!E28,'Handy-Whitman Index'!$B$5:$G$5,0)),"-")</f>
        <v>432.5</v>
      </c>
      <c r="M28" s="90">
        <f t="shared" si="0"/>
        <v>4.3250000000000002</v>
      </c>
      <c r="N28" s="90">
        <f t="shared" si="1"/>
        <v>0.34244262452118368</v>
      </c>
    </row>
    <row r="29" spans="2:14" x14ac:dyDescent="0.25">
      <c r="B29" s="109">
        <f t="shared" si="2"/>
        <v>16</v>
      </c>
      <c r="C29" s="60" t="s">
        <v>2</v>
      </c>
      <c r="D29" s="60">
        <v>2007</v>
      </c>
      <c r="E29" s="60" t="s">
        <v>53</v>
      </c>
      <c r="F29" s="101">
        <f>'All Variables'!D28</f>
        <v>0</v>
      </c>
      <c r="G29" s="101">
        <f>'All Variables'!E28</f>
        <v>0.38</v>
      </c>
      <c r="H29" s="143">
        <f t="array" ref="H29">INDEX('All Variables'!$J$13:$J$37,MATCH('Capital Price Calculation'!D29,'All Variables'!$C$13:$C$37,0))</f>
        <v>0.51147759340371279</v>
      </c>
      <c r="I29" s="102">
        <f>IFERROR(INDEX('Enbridge Ratings and Yields'!$D$24:$AB$24,MATCH('Capital Price Calculation'!D29,'Enbridge Ratings and Yields'!$D$23:$AB$23,0))/100,"-")</f>
        <v>6.0718944219078662E-2</v>
      </c>
      <c r="J29" s="102">
        <f>INDEX('Expected Inflation (i)'!$H$14:$H$39,MATCH('Capital Price Calculation'!D29,'Expected Inflation (i)'!$C$14:$C$39,0))/100</f>
        <v>1.3781929602245873E-2</v>
      </c>
      <c r="K29" s="144">
        <f>'All Variables'!F28</f>
        <v>33</v>
      </c>
      <c r="L29" s="103">
        <f>IFERROR(INDEX('Handy-Whitman Index'!$B$6:$G$110,MATCH('Capital Price Calculation'!D29,'Handy-Whitman Index'!$A$6:$A$110,0)-1,MATCH('Capital Price Calculation'!E29,'Handy-Whitman Index'!$B$5:$G$5,0)),"-")</f>
        <v>478.5</v>
      </c>
      <c r="M29" s="90">
        <f t="shared" si="0"/>
        <v>4.7850000000000001</v>
      </c>
      <c r="N29" s="90">
        <f t="shared" si="1"/>
        <v>0.37636178461776065</v>
      </c>
    </row>
    <row r="30" spans="2:14" x14ac:dyDescent="0.25">
      <c r="B30" s="109">
        <f t="shared" si="2"/>
        <v>17</v>
      </c>
      <c r="C30" s="60" t="s">
        <v>2</v>
      </c>
      <c r="D30" s="60">
        <v>2008</v>
      </c>
      <c r="E30" s="60" t="s">
        <v>53</v>
      </c>
      <c r="F30" s="101">
        <f>'All Variables'!D29</f>
        <v>0</v>
      </c>
      <c r="G30" s="101">
        <f>'All Variables'!E29</f>
        <v>0.38</v>
      </c>
      <c r="H30" s="143">
        <f t="array" ref="H30">INDEX('All Variables'!$J$13:$J$37,MATCH('Capital Price Calculation'!D30,'All Variables'!$C$13:$C$37,0))</f>
        <v>0.51147759340371279</v>
      </c>
      <c r="I30" s="102">
        <f>IFERROR(INDEX('Enbridge Ratings and Yields'!$D$24:$AB$24,MATCH('Capital Price Calculation'!D30,'Enbridge Ratings and Yields'!$D$23:$AB$23,0))/100,"-")</f>
        <v>6.5276243386243382E-2</v>
      </c>
      <c r="J30" s="102">
        <f>INDEX('Expected Inflation (i)'!$H$14:$H$39,MATCH('Capital Price Calculation'!D30,'Expected Inflation (i)'!$C$14:$C$39,0))/100</f>
        <v>7.1402629355792205E-3</v>
      </c>
      <c r="K30" s="144">
        <f>'All Variables'!F29</f>
        <v>33</v>
      </c>
      <c r="L30" s="103">
        <f>IFERROR(INDEX('Handy-Whitman Index'!$B$6:$G$110,MATCH('Capital Price Calculation'!D30,'Handy-Whitman Index'!$A$6:$A$110,0)-1,MATCH('Capital Price Calculation'!E30,'Handy-Whitman Index'!$B$5:$G$5,0)),"-")</f>
        <v>532.44704139288206</v>
      </c>
      <c r="M30" s="90">
        <f t="shared" si="0"/>
        <v>5.3244704139288208</v>
      </c>
      <c r="N30" s="90">
        <f t="shared" si="1"/>
        <v>0.47709836377145004</v>
      </c>
    </row>
    <row r="31" spans="2:14" x14ac:dyDescent="0.25">
      <c r="B31" s="109">
        <f t="shared" si="2"/>
        <v>18</v>
      </c>
      <c r="C31" s="60" t="s">
        <v>2</v>
      </c>
      <c r="D31" s="60">
        <v>2009</v>
      </c>
      <c r="E31" s="60" t="s">
        <v>53</v>
      </c>
      <c r="F31" s="101">
        <f>'All Variables'!D30</f>
        <v>0</v>
      </c>
      <c r="G31" s="101">
        <f>'All Variables'!E30</f>
        <v>0.38</v>
      </c>
      <c r="H31" s="143">
        <f t="array" ref="H31">INDEX('All Variables'!$J$13:$J$37,MATCH('Capital Price Calculation'!D31,'All Variables'!$C$13:$C$37,0))</f>
        <v>0.51147759340371279</v>
      </c>
      <c r="I31" s="102">
        <f>IFERROR(INDEX('Enbridge Ratings and Yields'!$D$24:$AB$24,MATCH('Capital Price Calculation'!D31,'Enbridge Ratings and Yields'!$D$23:$AB$23,0))/100,"-")</f>
        <v>6.0378863446495033E-2</v>
      </c>
      <c r="J31" s="102">
        <f>INDEX('Expected Inflation (i)'!$H$14:$H$39,MATCH('Capital Price Calculation'!D31,'Expected Inflation (i)'!$C$14:$C$39,0))/100</f>
        <v>3.3902629355792111E-3</v>
      </c>
      <c r="K31" s="144">
        <f>'All Variables'!F30</f>
        <v>33</v>
      </c>
      <c r="L31" s="103">
        <f>IFERROR(INDEX('Handy-Whitman Index'!$B$6:$G$110,MATCH('Capital Price Calculation'!D31,'Handy-Whitman Index'!$A$6:$A$110,0)-1,MATCH('Capital Price Calculation'!E31,'Handy-Whitman Index'!$B$5:$G$5,0)),"-")</f>
        <v>582.25</v>
      </c>
      <c r="M31" s="90">
        <f t="shared" si="0"/>
        <v>5.8224999999999998</v>
      </c>
      <c r="N31" s="90">
        <f t="shared" si="1"/>
        <v>0.51423991825917181</v>
      </c>
    </row>
    <row r="32" spans="2:14" x14ac:dyDescent="0.25">
      <c r="B32" s="109">
        <f t="shared" si="2"/>
        <v>19</v>
      </c>
      <c r="C32" s="60" t="s">
        <v>2</v>
      </c>
      <c r="D32" s="60">
        <v>2010</v>
      </c>
      <c r="E32" s="60" t="s">
        <v>53</v>
      </c>
      <c r="F32" s="101">
        <f>'All Variables'!D31</f>
        <v>0</v>
      </c>
      <c r="G32" s="101">
        <f>'All Variables'!E31</f>
        <v>0.38</v>
      </c>
      <c r="H32" s="143">
        <f t="array" ref="H32">INDEX('All Variables'!$J$13:$J$37,MATCH('Capital Price Calculation'!D32,'All Variables'!$C$13:$C$37,0))</f>
        <v>0.51147759340371279</v>
      </c>
      <c r="I32" s="102">
        <f>IFERROR(INDEX('Enbridge Ratings and Yields'!$D$24:$AB$24,MATCH('Capital Price Calculation'!D32,'Enbridge Ratings and Yields'!$D$23:$AB$23,0))/100,"-")</f>
        <v>5.4637512217632349E-2</v>
      </c>
      <c r="J32" s="102">
        <f>INDEX('Expected Inflation (i)'!$H$14:$H$39,MATCH('Capital Price Calculation'!D32,'Expected Inflation (i)'!$C$14:$C$39,0))/100</f>
        <v>3.4402629355792147E-3</v>
      </c>
      <c r="K32" s="144">
        <f>'All Variables'!F31</f>
        <v>33</v>
      </c>
      <c r="L32" s="103">
        <f>IFERROR(INDEX('Handy-Whitman Index'!$B$6:$G$110,MATCH('Capital Price Calculation'!D32,'Handy-Whitman Index'!$A$6:$A$110,0)-1,MATCH('Capital Price Calculation'!E32,'Handy-Whitman Index'!$B$5:$G$5,0)),"-")</f>
        <v>598.25</v>
      </c>
      <c r="M32" s="90">
        <f t="shared" si="0"/>
        <v>5.9824999999999999</v>
      </c>
      <c r="N32" s="90">
        <f t="shared" si="1"/>
        <v>0.49352079904302193</v>
      </c>
    </row>
    <row r="33" spans="2:14" x14ac:dyDescent="0.25">
      <c r="B33" s="109">
        <f t="shared" si="2"/>
        <v>20</v>
      </c>
      <c r="C33" s="60" t="s">
        <v>2</v>
      </c>
      <c r="D33" s="60">
        <v>2011</v>
      </c>
      <c r="E33" s="60" t="s">
        <v>53</v>
      </c>
      <c r="F33" s="101">
        <f>'All Variables'!D32</f>
        <v>0</v>
      </c>
      <c r="G33" s="101">
        <f>'All Variables'!E32</f>
        <v>0.38</v>
      </c>
      <c r="H33" s="143">
        <f t="array" ref="H33">INDEX('All Variables'!$J$13:$J$37,MATCH('Capital Price Calculation'!D33,'All Variables'!$C$13:$C$37,0))</f>
        <v>0.51147759340371279</v>
      </c>
      <c r="I33" s="102">
        <f>IFERROR(INDEX('Enbridge Ratings and Yields'!$D$24:$AB$24,MATCH('Capital Price Calculation'!D33,'Enbridge Ratings and Yields'!$D$23:$AB$23,0))/100,"-")</f>
        <v>5.040692960167216E-2</v>
      </c>
      <c r="J33" s="102">
        <f>INDEX('Expected Inflation (i)'!$H$14:$H$39,MATCH('Capital Price Calculation'!D33,'Expected Inflation (i)'!$C$14:$C$39,0))/100</f>
        <v>-1.0764037310874608E-3</v>
      </c>
      <c r="K33" s="144">
        <f>'All Variables'!F32</f>
        <v>33</v>
      </c>
      <c r="L33" s="103">
        <f>IFERROR(INDEX('Handy-Whitman Index'!$B$6:$G$110,MATCH('Capital Price Calculation'!D33,'Handy-Whitman Index'!$A$6:$A$110,0)-1,MATCH('Capital Price Calculation'!E33,'Handy-Whitman Index'!$B$5:$G$5,0)),"-")</f>
        <v>619.25</v>
      </c>
      <c r="M33" s="90">
        <f t="shared" si="0"/>
        <v>6.1924999999999999</v>
      </c>
      <c r="N33" s="90">
        <f t="shared" si="1"/>
        <v>0.51172159380545468</v>
      </c>
    </row>
    <row r="34" spans="2:14" x14ac:dyDescent="0.25">
      <c r="B34" s="109">
        <f t="shared" si="2"/>
        <v>21</v>
      </c>
      <c r="C34" s="60" t="s">
        <v>2</v>
      </c>
      <c r="D34" s="60">
        <v>2012</v>
      </c>
      <c r="E34" s="60" t="s">
        <v>53</v>
      </c>
      <c r="F34" s="101">
        <f>'All Variables'!D33</f>
        <v>0</v>
      </c>
      <c r="G34" s="101">
        <f>'All Variables'!E33</f>
        <v>0.38</v>
      </c>
      <c r="H34" s="143">
        <f t="array" ref="H34">INDEX('All Variables'!$J$13:$J$37,MATCH('Capital Price Calculation'!D34,'All Variables'!$C$13:$C$37,0))</f>
        <v>0.51147759340371279</v>
      </c>
      <c r="I34" s="102">
        <f>IFERROR(INDEX('Enbridge Ratings and Yields'!$D$24:$AB$24,MATCH('Capital Price Calculation'!D34,'Enbridge Ratings and Yields'!$D$23:$AB$23,0))/100,"-")</f>
        <v>4.1294805178294876E-2</v>
      </c>
      <c r="J34" s="102">
        <f>INDEX('Expected Inflation (i)'!$H$14:$H$39,MATCH('Capital Price Calculation'!D34,'Expected Inflation (i)'!$C$14:$C$39,0))/100</f>
        <v>-1.0176403731087458E-2</v>
      </c>
      <c r="K34" s="144">
        <f>'All Variables'!F33</f>
        <v>33</v>
      </c>
      <c r="L34" s="103">
        <f>IFERROR(INDEX('Handy-Whitman Index'!$B$6:$G$110,MATCH('Capital Price Calculation'!D34,'Handy-Whitman Index'!$A$6:$A$110,0)-1,MATCH('Capital Price Calculation'!E34,'Handy-Whitman Index'!$B$5:$G$5,0)),"-")</f>
        <v>649.75</v>
      </c>
      <c r="M34" s="90">
        <f t="shared" si="0"/>
        <v>6.4974999999999996</v>
      </c>
      <c r="N34" s="90">
        <f t="shared" si="1"/>
        <v>0.53498953789924508</v>
      </c>
    </row>
    <row r="35" spans="2:14" x14ac:dyDescent="0.25">
      <c r="B35" s="109">
        <f t="shared" si="2"/>
        <v>22</v>
      </c>
      <c r="C35" s="60" t="s">
        <v>2</v>
      </c>
      <c r="D35" s="60">
        <v>2013</v>
      </c>
      <c r="E35" s="60" t="s">
        <v>53</v>
      </c>
      <c r="F35" s="101">
        <f>'All Variables'!D34</f>
        <v>0</v>
      </c>
      <c r="G35" s="101">
        <f>'All Variables'!E34</f>
        <v>0.38</v>
      </c>
      <c r="H35" s="143">
        <f t="array" ref="H35">INDEX('All Variables'!$J$13:$J$37,MATCH('Capital Price Calculation'!D35,'All Variables'!$C$13:$C$37,0))</f>
        <v>0.51147759340371279</v>
      </c>
      <c r="I35" s="102">
        <f>IFERROR(INDEX('Enbridge Ratings and Yields'!$D$24:$AB$24,MATCH('Capital Price Calculation'!D35,'Enbridge Ratings and Yields'!$D$23:$AB$23,0))/100,"-")</f>
        <v>4.4771496544391276E-2</v>
      </c>
      <c r="J35" s="102">
        <f>INDEX('Expected Inflation (i)'!$H$14:$H$39,MATCH('Capital Price Calculation'!D35,'Expected Inflation (i)'!$C$14:$C$39,0))/100</f>
        <v>-6.3014037310874559E-3</v>
      </c>
      <c r="K35" s="144">
        <f>'All Variables'!F34</f>
        <v>33</v>
      </c>
      <c r="L35" s="103">
        <f>IFERROR(INDEX('Handy-Whitman Index'!$B$6:$G$110,MATCH('Capital Price Calculation'!D35,'Handy-Whitman Index'!$A$6:$A$110,0)-1,MATCH('Capital Price Calculation'!E35,'Handy-Whitman Index'!$B$5:$G$5,0)),"-")</f>
        <v>678.5</v>
      </c>
      <c r="M35" s="90">
        <f t="shared" si="0"/>
        <v>6.7850000000000001</v>
      </c>
      <c r="N35" s="90">
        <f t="shared" si="1"/>
        <v>0.55679859706705193</v>
      </c>
    </row>
    <row r="36" spans="2:14" x14ac:dyDescent="0.25">
      <c r="B36" s="109">
        <f t="shared" si="2"/>
        <v>23</v>
      </c>
      <c r="C36" s="60" t="s">
        <v>2</v>
      </c>
      <c r="D36" s="60">
        <v>2014</v>
      </c>
      <c r="E36" s="60" t="s">
        <v>53</v>
      </c>
      <c r="F36" s="101">
        <f>'All Variables'!D35</f>
        <v>0</v>
      </c>
      <c r="G36" s="101">
        <f>'All Variables'!E35</f>
        <v>0.38</v>
      </c>
      <c r="H36" s="143">
        <f t="array" ref="H36">INDEX('All Variables'!$J$13:$J$37,MATCH('Capital Price Calculation'!D36,'All Variables'!$C$13:$C$37,0))</f>
        <v>0.51147759340371279</v>
      </c>
      <c r="I36" s="102">
        <f>IFERROR(INDEX('Enbridge Ratings and Yields'!$D$24:$AB$24,MATCH('Capital Price Calculation'!D36,'Enbridge Ratings and Yields'!$D$23:$AB$23,0))/100,"-")</f>
        <v>4.2768954583428262E-2</v>
      </c>
      <c r="J36" s="102">
        <f>INDEX('Expected Inflation (i)'!$H$14:$H$39,MATCH('Capital Price Calculation'!D36,'Expected Inflation (i)'!$C$14:$C$39,0))/100</f>
        <v>-6.6264037310874583E-3</v>
      </c>
      <c r="K36" s="144">
        <f>'All Variables'!F35</f>
        <v>33</v>
      </c>
      <c r="L36" s="103">
        <f>IFERROR(INDEX('Handy-Whitman Index'!$B$6:$G$110,MATCH('Capital Price Calculation'!D36,'Handy-Whitman Index'!$A$6:$A$110,0)-1,MATCH('Capital Price Calculation'!E36,'Handy-Whitman Index'!$B$5:$G$5,0)),"-")</f>
        <v>701</v>
      </c>
      <c r="M36" s="90">
        <f t="shared" si="0"/>
        <v>7.01</v>
      </c>
      <c r="N36" s="90">
        <f t="shared" si="1"/>
        <v>0.56355571848277231</v>
      </c>
    </row>
    <row r="37" spans="2:14" x14ac:dyDescent="0.25">
      <c r="B37" s="109">
        <f t="shared" si="2"/>
        <v>24</v>
      </c>
      <c r="C37" s="60" t="s">
        <v>2</v>
      </c>
      <c r="D37" s="60">
        <v>2015</v>
      </c>
      <c r="E37" s="60" t="s">
        <v>53</v>
      </c>
      <c r="F37" s="101">
        <f>'All Variables'!D36</f>
        <v>0</v>
      </c>
      <c r="G37" s="101">
        <f>'All Variables'!E36</f>
        <v>0.38</v>
      </c>
      <c r="H37" s="143">
        <f t="array" ref="H37">INDEX('All Variables'!$J$13:$J$37,MATCH('Capital Price Calculation'!D37,'All Variables'!$C$13:$C$37,0))</f>
        <v>0.51147759340371279</v>
      </c>
      <c r="I37" s="102">
        <f>IFERROR(INDEX('Enbridge Ratings and Yields'!$D$24:$AB$24,MATCH('Capital Price Calculation'!D37,'Enbridge Ratings and Yields'!$D$23:$AB$23,0))/100,"-")</f>
        <v>4.7082237506645398E-2</v>
      </c>
      <c r="J37" s="102">
        <f>INDEX('Expected Inflation (i)'!$H$14:$H$39,MATCH('Capital Price Calculation'!D37,'Expected Inflation (i)'!$C$14:$C$39,0))/100</f>
        <v>-1.3709737064420791E-2</v>
      </c>
      <c r="K37" s="144">
        <f>'All Variables'!F36</f>
        <v>33</v>
      </c>
      <c r="L37" s="103">
        <f>IFERROR(INDEX('Handy-Whitman Index'!$B$6:$G$110,MATCH('Capital Price Calculation'!D37,'Handy-Whitman Index'!$A$6:$A$110,0)-1,MATCH('Capital Price Calculation'!E37,'Handy-Whitman Index'!$B$5:$G$5,0)),"-")</f>
        <v>722</v>
      </c>
      <c r="M37" s="90">
        <f t="shared" si="0"/>
        <v>7.22</v>
      </c>
      <c r="N37" s="90">
        <f t="shared" si="1"/>
        <v>0.66235774558659966</v>
      </c>
    </row>
    <row r="38" spans="2:14" x14ac:dyDescent="0.25">
      <c r="B38" s="109">
        <f t="shared" si="2"/>
        <v>25</v>
      </c>
      <c r="C38" s="60" t="s">
        <v>2</v>
      </c>
      <c r="D38" s="60">
        <v>2016</v>
      </c>
      <c r="E38" s="60" t="s">
        <v>53</v>
      </c>
      <c r="F38" s="101">
        <f>'All Variables'!D37</f>
        <v>0</v>
      </c>
      <c r="G38" s="101">
        <f>'All Variables'!E37</f>
        <v>0.38</v>
      </c>
      <c r="H38" s="143">
        <f t="array" ref="H38">INDEX('All Variables'!$J$13:$J$37,MATCH('Capital Price Calculation'!D38,'All Variables'!$C$13:$C$37,0))</f>
        <v>0.51147759340371279</v>
      </c>
      <c r="I38" s="102">
        <f>IFERROR(INDEX('Enbridge Ratings and Yields'!$D$24:$AB$24,MATCH('Capital Price Calculation'!D38,'Enbridge Ratings and Yields'!$D$23:$AB$23,0))/100,"-")</f>
        <v>4.6753089509016278E-2</v>
      </c>
      <c r="J38" s="102">
        <f>INDEX('Expected Inflation (i)'!$H$14:$H$39,MATCH('Capital Price Calculation'!D38,'Expected Inflation (i)'!$C$14:$C$39,0))/100</f>
        <v>-1.6401403731087456E-2</v>
      </c>
      <c r="K38" s="144">
        <f>'All Variables'!F37</f>
        <v>33</v>
      </c>
      <c r="L38" s="103">
        <f>IFERROR(INDEX('Handy-Whitman Index'!$B$6:$G$110,MATCH('Capital Price Calculation'!D38,'Handy-Whitman Index'!$A$6:$A$110,0)-1,MATCH('Capital Price Calculation'!E38,'Handy-Whitman Index'!$B$5:$G$5,0)),"-")</f>
        <v>737.25</v>
      </c>
      <c r="M38" s="90">
        <f t="shared" si="0"/>
        <v>7.3724999999999996</v>
      </c>
      <c r="N38" s="90">
        <f t="shared" si="1"/>
        <v>0.69404296544597155</v>
      </c>
    </row>
    <row r="39" spans="2:14" x14ac:dyDescent="0.25">
      <c r="I39" s="139"/>
    </row>
    <row r="40" spans="2:14" x14ac:dyDescent="0.25">
      <c r="N40" s="148"/>
    </row>
  </sheetData>
  <pageMargins left="0.7" right="0.7" top="0.75" bottom="0.75" header="0.3" footer="0.3"/>
  <pageSetup orientation="portrait" r:id="rId1"/>
  <drawing r:id="rId2"/>
  <legacyDrawing r:id="rId3"/>
  <oleObjects>
    <mc:AlternateContent xmlns:mc="http://schemas.openxmlformats.org/markup-compatibility/2006">
      <mc:Choice Requires="x14">
        <oleObject progId="Equation.3" shapeId="22531" r:id="rId4">
          <objectPr defaultSize="0" autoPict="0" r:id="rId5">
            <anchor moveWithCells="1" sizeWithCells="1">
              <from>
                <xdr:col>7</xdr:col>
                <xdr:colOff>85725</xdr:colOff>
                <xdr:row>12</xdr:row>
                <xdr:rowOff>9525</xdr:rowOff>
              </from>
              <to>
                <xdr:col>7</xdr:col>
                <xdr:colOff>2628900</xdr:colOff>
                <xdr:row>13</xdr:row>
                <xdr:rowOff>0</xdr:rowOff>
              </to>
            </anchor>
          </objectPr>
        </oleObject>
      </mc:Choice>
      <mc:Fallback>
        <oleObject progId="Equation.3" shapeId="22531" r:id="rId4"/>
      </mc:Fallback>
    </mc:AlternateContent>
    <mc:AlternateContent xmlns:mc="http://schemas.openxmlformats.org/markup-compatibility/2006">
      <mc:Choice Requires="x14">
        <oleObject progId="Equation.3" shapeId="22534" r:id="rId6">
          <objectPr defaultSize="0" autoPict="0" r:id="rId7">
            <anchor moveWithCells="1" sizeWithCells="1">
              <from>
                <xdr:col>13</xdr:col>
                <xdr:colOff>114300</xdr:colOff>
                <xdr:row>12</xdr:row>
                <xdr:rowOff>19050</xdr:rowOff>
              </from>
              <to>
                <xdr:col>13</xdr:col>
                <xdr:colOff>2600325</xdr:colOff>
                <xdr:row>12</xdr:row>
                <xdr:rowOff>447675</xdr:rowOff>
              </to>
            </anchor>
          </objectPr>
        </oleObject>
      </mc:Choice>
      <mc:Fallback>
        <oleObject progId="Equation.3" shapeId="22534" r:id="rId6"/>
      </mc:Fallback>
    </mc:AlternateContent>
  </oleObjects>
  <extLst>
    <ext xmlns:x14="http://schemas.microsoft.com/office/spreadsheetml/2009/9/main" uri="{78C0D931-6437-407d-A8EE-F0AAD7539E65}">
      <x14:conditionalFormattings>
        <x14:conditionalFormatting xmlns:xm="http://schemas.microsoft.com/office/excel/2006/main">
          <x14:cfRule type="containsText" priority="4" operator="containsText" text="See Memo on TFP Update for Enbridge" id="{CC46CAE4-0A85-4FA6-9D83-6350D6255903}">
            <xm:f>NOT(ISERROR(SEARCH("See Memo on TFP Update for Enbridge",'Capital Stock Calculation'!A2)))</xm:f>
            <x14:dxf>
              <fill>
                <patternFill>
                  <bgColor rgb="FFFFFF00"/>
                </patternFill>
              </fill>
            </x14:dxf>
          </x14:cfRule>
          <xm:sqref>D11:E12 C11:C13</xm:sqref>
        </x14:conditionalFormatting>
        <x14:conditionalFormatting xmlns:xm="http://schemas.microsoft.com/office/excel/2006/main">
          <x14:cfRule type="containsText" priority="3" operator="containsText" text="See Memo on TFP Update for Enbridge" id="{331E9FFF-BC32-4769-AB76-0264BDF28CE3}">
            <xm:f>NOT(ISERROR(SEARCH("See Memo on TFP Update for Enbridge",'Capital Stock Calculation'!B2)))</xm:f>
            <x14:dxf>
              <fill>
                <patternFill>
                  <bgColor rgb="FFFFFF00"/>
                </patternFill>
              </fill>
            </x14:dxf>
          </x14:cfRule>
          <xm:sqref>B11:B12</xm:sqref>
        </x14:conditionalFormatting>
        <x14:conditionalFormatting xmlns:xm="http://schemas.microsoft.com/office/excel/2006/main">
          <x14:cfRule type="containsText" priority="38" operator="containsText" text="See Memo on TFP Update for Enbridge" id="{CC46CAE4-0A85-4FA6-9D83-6350D6255903}">
            <xm:f>NOT(ISERROR(SEARCH("See Memo on TFP Update for Enbridge",'Capital Stock Calculation'!B3)))</xm:f>
            <x14:dxf>
              <fill>
                <patternFill>
                  <bgColor rgb="FFFFFF00"/>
                </patternFill>
              </fill>
            </x14:dxf>
          </x14:cfRule>
          <xm:sqref>D13:E13</xm:sqref>
        </x14:conditionalFormatting>
        <x14:conditionalFormatting xmlns:xm="http://schemas.microsoft.com/office/excel/2006/main">
          <x14:cfRule type="containsText" priority="40" operator="containsText" text="See Memo on TFP Update for Enbridge" id="{2D706C77-1A46-4B32-B1B6-F88E081BEE97}">
            <xm:f>NOT(ISERROR(SEARCH("See Memo on TFP Update for Enbridge",'Capital Stock Calculation'!B3)))</xm:f>
            <x14:dxf>
              <fill>
                <patternFill>
                  <bgColor rgb="FFFFFF00"/>
                </patternFill>
              </fill>
            </x14:dxf>
          </x14:cfRule>
          <xm:sqref>B13</xm:sqref>
        </x14:conditionalFormatting>
        <x14:conditionalFormatting xmlns:xm="http://schemas.microsoft.com/office/excel/2006/main">
          <x14:cfRule type="containsText" priority="2" operator="containsText" text="See Memo on TFP Update for Enbridge" id="{1AA96712-6660-40D9-9BD7-FEE1D03D2FAB}">
            <xm:f>NOT(ISERROR(SEARCH("See Memo on TFP Update for Enbridge",'Capital Stock Calculation'!H2)))</xm:f>
            <x14:dxf>
              <fill>
                <patternFill>
                  <bgColor rgb="FFFFFF00"/>
                </patternFill>
              </fill>
            </x14:dxf>
          </x14:cfRule>
          <xm:sqref>L11:N13 I11:I12</xm:sqref>
        </x14:conditionalFormatting>
        <x14:conditionalFormatting xmlns:xm="http://schemas.microsoft.com/office/excel/2006/main">
          <x14:cfRule type="containsText" priority="45" operator="containsText" text="See Memo on TFP Update for Enbridge" id="{CC46CAE4-0A85-4FA6-9D83-6350D6255903}">
            <xm:f>NOT(ISERROR(SEARCH("See Memo on TFP Update for Enbridge",'Capital Stock Calculation'!C3)))</xm:f>
            <x14:dxf>
              <fill>
                <patternFill>
                  <bgColor rgb="FFFFFF00"/>
                </patternFill>
              </fill>
            </x14:dxf>
          </x14:cfRule>
          <xm:sqref>F13:G13 J13</xm:sqref>
        </x14:conditionalFormatting>
        <x14:conditionalFormatting xmlns:xm="http://schemas.microsoft.com/office/excel/2006/main">
          <x14:cfRule type="containsText" priority="50" operator="containsText" text="See Memo on TFP Update for Enbridge" id="{1AA96712-6660-40D9-9BD7-FEE1D03D2FAB}">
            <xm:f>NOT(ISERROR(SEARCH("See Memo on TFP Update for Enbridge",'Capital Stock Calculation'!C2)))</xm:f>
            <x14:dxf>
              <fill>
                <patternFill>
                  <bgColor rgb="FFFFFF00"/>
                </patternFill>
              </fill>
            </x14:dxf>
          </x14:cfRule>
          <xm:sqref>J11:J12 F11:G12</xm:sqref>
        </x14:conditionalFormatting>
        <x14:conditionalFormatting xmlns:xm="http://schemas.microsoft.com/office/excel/2006/main">
          <x14:cfRule type="containsText" priority="53" operator="containsText" text="See Memo on TFP Update for Enbridge" id="{CC46CAE4-0A85-4FA6-9D83-6350D6255903}">
            <xm:f>NOT(ISERROR(SEARCH("See Memo on TFP Update for Enbridge",'Capital Stock Calculation'!E3)))</xm:f>
            <x14:dxf>
              <fill>
                <patternFill>
                  <bgColor rgb="FFFFFF00"/>
                </patternFill>
              </fill>
            </x14:dxf>
          </x14:cfRule>
          <xm:sqref>K13</xm:sqref>
        </x14:conditionalFormatting>
        <x14:conditionalFormatting xmlns:xm="http://schemas.microsoft.com/office/excel/2006/main">
          <x14:cfRule type="containsText" priority="61" operator="containsText" text="See Memo on TFP Update for Enbridge" id="{1AA96712-6660-40D9-9BD7-FEE1D03D2FAB}">
            <xm:f>NOT(ISERROR(SEARCH("See Memo on TFP Update for Enbridge",'Capital Stock Calculation'!J2)))</xm:f>
            <x14:dxf>
              <fill>
                <patternFill>
                  <bgColor rgb="FFFFFF00"/>
                </patternFill>
              </fill>
            </x14:dxf>
          </x14:cfRule>
          <xm:sqref>H11:H12</xm:sqref>
        </x14:conditionalFormatting>
        <x14:conditionalFormatting xmlns:xm="http://schemas.microsoft.com/office/excel/2006/main">
          <x14:cfRule type="containsText" priority="65" operator="containsText" text="See Memo on TFP Update for Enbridge" id="{CC46CAE4-0A85-4FA6-9D83-6350D6255903}">
            <xm:f>NOT(ISERROR(SEARCH("See Memo on TFP Update for Enbridge",'Capital Stock Calculation'!J3)))</xm:f>
            <x14:dxf>
              <fill>
                <patternFill>
                  <bgColor rgb="FFFFFF00"/>
                </patternFill>
              </fill>
            </x14:dxf>
          </x14:cfRule>
          <xm:sqref>H13</xm:sqref>
        </x14:conditionalFormatting>
        <x14:conditionalFormatting xmlns:xm="http://schemas.microsoft.com/office/excel/2006/main">
          <x14:cfRule type="containsText" priority="77" operator="containsText" text="See Memo on TFP Update for Enbridge" id="{CC46CAE4-0A85-4FA6-9D83-6350D6255903}">
            <xm:f>NOT(ISERROR(SEARCH("See Memo on TFP Update for Enbridge",'Capital Stock Calculation'!H3)))</xm:f>
            <x14:dxf>
              <fill>
                <patternFill>
                  <bgColor rgb="FFFFFF00"/>
                </patternFill>
              </fill>
            </x14:dxf>
          </x14:cfRule>
          <xm:sqref>I13</xm:sqref>
        </x14:conditionalFormatting>
        <x14:conditionalFormatting xmlns:xm="http://schemas.microsoft.com/office/excel/2006/main">
          <x14:cfRule type="containsText" priority="83" operator="containsText" text="See Memo on TFP Update for Enbridge" id="{1AA96712-6660-40D9-9BD7-FEE1D03D2FAB}">
            <xm:f>NOT(ISERROR(SEARCH("See Memo on TFP Update for Enbridge",'Capital Stock Calculation'!E2)))</xm:f>
            <x14:dxf>
              <fill>
                <patternFill>
                  <bgColor rgb="FFFFFF00"/>
                </patternFill>
              </fill>
            </x14:dxf>
          </x14:cfRule>
          <xm:sqref>K11:K12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B2:J37"/>
  <sheetViews>
    <sheetView showGridLines="0" zoomScale="75" zoomScaleNormal="75" workbookViewId="0">
      <selection activeCell="C21" sqref="C21"/>
    </sheetView>
  </sheetViews>
  <sheetFormatPr defaultRowHeight="15" x14ac:dyDescent="0.25"/>
  <cols>
    <col min="2" max="2" width="5.140625" customWidth="1"/>
    <col min="3" max="3" width="25.28515625" customWidth="1"/>
    <col min="4" max="5" width="19.28515625" customWidth="1"/>
    <col min="6" max="6" width="14.85546875" customWidth="1"/>
    <col min="7" max="7" width="35.85546875" customWidth="1"/>
    <col min="8" max="9" width="13.5703125" customWidth="1"/>
    <col min="10" max="10" width="40.5703125" customWidth="1"/>
  </cols>
  <sheetData>
    <row r="2" spans="2:10" ht="18.75" x14ac:dyDescent="0.3">
      <c r="B2" s="62" t="str">
        <f ca="1">MID(CELL("filename",B1),FIND("]",CELL("filename",B1))+1,256)</f>
        <v>All Variables</v>
      </c>
    </row>
    <row r="3" spans="2:10" x14ac:dyDescent="0.25">
      <c r="B3" s="1"/>
    </row>
    <row r="4" spans="2:10" x14ac:dyDescent="0.25">
      <c r="B4" s="100" t="s">
        <v>69</v>
      </c>
      <c r="C4" s="100"/>
    </row>
    <row r="5" spans="2:10" x14ac:dyDescent="0.25">
      <c r="B5" s="64" t="s">
        <v>196</v>
      </c>
      <c r="C5" s="64"/>
    </row>
    <row r="6" spans="2:10" x14ac:dyDescent="0.25">
      <c r="B6" s="1"/>
      <c r="C6" s="1"/>
    </row>
    <row r="7" spans="2:10" ht="15.75" x14ac:dyDescent="0.25">
      <c r="B7" s="65" t="s">
        <v>195</v>
      </c>
      <c r="C7" s="65"/>
    </row>
    <row r="8" spans="2:10" x14ac:dyDescent="0.25">
      <c r="B8" s="67"/>
      <c r="C8" s="67"/>
    </row>
    <row r="9" spans="2:10" x14ac:dyDescent="0.25">
      <c r="B9" s="69" t="s">
        <v>71</v>
      </c>
      <c r="C9" s="69"/>
      <c r="D9" s="108" t="s">
        <v>197</v>
      </c>
      <c r="E9" s="69"/>
      <c r="F9" s="69"/>
      <c r="G9" s="69"/>
    </row>
    <row r="11" spans="2:10" ht="30" x14ac:dyDescent="0.25">
      <c r="B11" s="58"/>
      <c r="C11" s="58" t="s">
        <v>0</v>
      </c>
      <c r="D11" s="58" t="s">
        <v>172</v>
      </c>
      <c r="E11" s="58" t="s">
        <v>173</v>
      </c>
      <c r="F11" s="58" t="s">
        <v>174</v>
      </c>
      <c r="G11" s="58" t="s">
        <v>175</v>
      </c>
      <c r="H11" s="58" t="s">
        <v>176</v>
      </c>
      <c r="I11" s="58" t="s">
        <v>178</v>
      </c>
      <c r="J11" s="58" t="s">
        <v>177</v>
      </c>
    </row>
    <row r="12" spans="2:10" ht="42" customHeight="1" x14ac:dyDescent="0.25">
      <c r="B12" s="58"/>
      <c r="C12" s="58"/>
      <c r="D12" s="58"/>
      <c r="E12" s="58"/>
      <c r="F12" s="58"/>
      <c r="G12" s="58"/>
      <c r="H12" s="58"/>
      <c r="I12" s="58"/>
      <c r="J12" s="58"/>
    </row>
    <row r="13" spans="2:10" x14ac:dyDescent="0.25">
      <c r="B13" s="109">
        <v>1</v>
      </c>
      <c r="C13" s="60">
        <v>1992</v>
      </c>
      <c r="D13" s="101">
        <v>0</v>
      </c>
      <c r="E13" s="101">
        <v>0.38</v>
      </c>
      <c r="F13" s="71">
        <v>33</v>
      </c>
      <c r="G13" s="88">
        <v>0.1</v>
      </c>
      <c r="H13" s="71">
        <v>23</v>
      </c>
      <c r="I13" s="88">
        <f t="array" ref="I13">INDEX('Expected Inflation (i)'!$H$14:$H$39,MATCH('All Variables'!C13,'Expected Inflation (i)'!$C$14:$C$39,0))</f>
        <v>5.1790262935579205</v>
      </c>
      <c r="J13" s="145">
        <f t="shared" ref="J13:J37" si="0">(2/(G13*H13))*(1-((1+G13)/(G13*(H13+1)))*(1-(1/(1+G13))^(H13+1)))</f>
        <v>0.51147759340371279</v>
      </c>
    </row>
    <row r="14" spans="2:10" x14ac:dyDescent="0.25">
      <c r="B14" s="109">
        <f t="shared" ref="B14:B37" si="1">B13+1</f>
        <v>2</v>
      </c>
      <c r="C14" s="60">
        <v>1993</v>
      </c>
      <c r="D14" s="101">
        <v>0</v>
      </c>
      <c r="E14" s="101">
        <v>0.38</v>
      </c>
      <c r="F14" s="71">
        <v>33</v>
      </c>
      <c r="G14" s="88">
        <v>0.1</v>
      </c>
      <c r="H14" s="71">
        <v>23</v>
      </c>
      <c r="I14" s="88">
        <f t="array" ref="I14">INDEX('Expected Inflation (i)'!$H$14:$H$39,MATCH('All Variables'!C14,'Expected Inflation (i)'!$C$14:$C$39,0))</f>
        <v>4.3790262935579207</v>
      </c>
      <c r="J14" s="145">
        <f t="shared" si="0"/>
        <v>0.51147759340371279</v>
      </c>
    </row>
    <row r="15" spans="2:10" x14ac:dyDescent="0.25">
      <c r="B15" s="109">
        <f t="shared" si="1"/>
        <v>3</v>
      </c>
      <c r="C15" s="60">
        <v>1994</v>
      </c>
      <c r="D15" s="101">
        <v>0</v>
      </c>
      <c r="E15" s="101">
        <v>0.38</v>
      </c>
      <c r="F15" s="71">
        <v>33</v>
      </c>
      <c r="G15" s="88">
        <v>0.1</v>
      </c>
      <c r="H15" s="71">
        <v>23</v>
      </c>
      <c r="I15" s="88">
        <f t="array" ref="I15">INDEX('Expected Inflation (i)'!$H$14:$H$39,MATCH('All Variables'!C15,'Expected Inflation (i)'!$C$14:$C$39,0))</f>
        <v>5.4181929602245882</v>
      </c>
      <c r="J15" s="145">
        <f t="shared" si="0"/>
        <v>0.51147759340371279</v>
      </c>
    </row>
    <row r="16" spans="2:10" x14ac:dyDescent="0.25">
      <c r="B16" s="109">
        <f t="shared" si="1"/>
        <v>4</v>
      </c>
      <c r="C16" s="60">
        <v>1995</v>
      </c>
      <c r="D16" s="101">
        <v>0</v>
      </c>
      <c r="E16" s="101">
        <v>0.38</v>
      </c>
      <c r="F16" s="71">
        <v>33</v>
      </c>
      <c r="G16" s="88">
        <v>0.1</v>
      </c>
      <c r="H16" s="71">
        <v>23</v>
      </c>
      <c r="I16" s="88">
        <f t="array" ref="I16">INDEX('Expected Inflation (i)'!$H$14:$H$39,MATCH('All Variables'!C16,'Expected Inflation (i)'!$C$14:$C$39,0))</f>
        <v>5.2698596268912548</v>
      </c>
      <c r="J16" s="145">
        <f t="shared" si="0"/>
        <v>0.51147759340371279</v>
      </c>
    </row>
    <row r="17" spans="2:10" x14ac:dyDescent="0.25">
      <c r="B17" s="109">
        <f t="shared" si="1"/>
        <v>5</v>
      </c>
      <c r="C17" s="60">
        <v>1996</v>
      </c>
      <c r="D17" s="101">
        <v>0</v>
      </c>
      <c r="E17" s="101">
        <v>0.38</v>
      </c>
      <c r="F17" s="71">
        <v>33</v>
      </c>
      <c r="G17" s="88">
        <v>0.1</v>
      </c>
      <c r="H17" s="71">
        <v>23</v>
      </c>
      <c r="I17" s="88">
        <f t="array" ref="I17">INDEX('Expected Inflation (i)'!$H$14:$H$39,MATCH('All Variables'!C17,'Expected Inflation (i)'!$C$14:$C$39,0))</f>
        <v>4.3381929602245881</v>
      </c>
      <c r="J17" s="145">
        <f t="shared" si="0"/>
        <v>0.51147759340371279</v>
      </c>
    </row>
    <row r="18" spans="2:10" x14ac:dyDescent="0.25">
      <c r="B18" s="109">
        <f t="shared" si="1"/>
        <v>6</v>
      </c>
      <c r="C18" s="60">
        <v>1997</v>
      </c>
      <c r="D18" s="101">
        <v>0</v>
      </c>
      <c r="E18" s="101">
        <v>0.38</v>
      </c>
      <c r="F18" s="71">
        <v>33</v>
      </c>
      <c r="G18" s="88">
        <v>0.1</v>
      </c>
      <c r="H18" s="71">
        <v>23</v>
      </c>
      <c r="I18" s="88">
        <f t="array" ref="I18">INDEX('Expected Inflation (i)'!$H$14:$H$39,MATCH('All Variables'!C18,'Expected Inflation (i)'!$C$14:$C$39,0))</f>
        <v>3.2498596268912543</v>
      </c>
      <c r="J18" s="145">
        <f t="shared" si="0"/>
        <v>0.51147759340371279</v>
      </c>
    </row>
    <row r="19" spans="2:10" x14ac:dyDescent="0.25">
      <c r="B19" s="109">
        <f t="shared" si="1"/>
        <v>7</v>
      </c>
      <c r="C19" s="60">
        <v>1998</v>
      </c>
      <c r="D19" s="101">
        <v>0</v>
      </c>
      <c r="E19" s="101">
        <v>0.38</v>
      </c>
      <c r="F19" s="71">
        <v>33</v>
      </c>
      <c r="G19" s="88">
        <v>0.1</v>
      </c>
      <c r="H19" s="71">
        <v>23</v>
      </c>
      <c r="I19" s="88">
        <f t="array" ref="I19">INDEX('Expected Inflation (i)'!$H$14:$H$39,MATCH('All Variables'!C19,'Expected Inflation (i)'!$C$14:$C$39,0))</f>
        <v>2.388192960224587</v>
      </c>
      <c r="J19" s="145">
        <f t="shared" si="0"/>
        <v>0.51147759340371279</v>
      </c>
    </row>
    <row r="20" spans="2:10" x14ac:dyDescent="0.25">
      <c r="B20" s="109">
        <f t="shared" si="1"/>
        <v>8</v>
      </c>
      <c r="C20" s="60">
        <v>1999</v>
      </c>
      <c r="D20" s="101">
        <v>0</v>
      </c>
      <c r="E20" s="101">
        <v>0.38</v>
      </c>
      <c r="F20" s="71">
        <v>33</v>
      </c>
      <c r="G20" s="88">
        <v>0.1</v>
      </c>
      <c r="H20" s="71">
        <v>23</v>
      </c>
      <c r="I20" s="88">
        <f t="array" ref="I20">INDEX('Expected Inflation (i)'!$H$14:$H$39,MATCH('All Variables'!C20,'Expected Inflation (i)'!$C$14:$C$39,0))</f>
        <v>2.6490262935579203</v>
      </c>
      <c r="J20" s="145">
        <f t="shared" si="0"/>
        <v>0.51147759340371279</v>
      </c>
    </row>
    <row r="21" spans="2:10" x14ac:dyDescent="0.25">
      <c r="B21" s="109">
        <f t="shared" si="1"/>
        <v>9</v>
      </c>
      <c r="C21" s="60">
        <v>2000</v>
      </c>
      <c r="D21" s="101">
        <v>0</v>
      </c>
      <c r="E21" s="101">
        <v>0.38</v>
      </c>
      <c r="F21" s="71">
        <v>33</v>
      </c>
      <c r="G21" s="88">
        <v>0.1</v>
      </c>
      <c r="H21" s="71">
        <v>23</v>
      </c>
      <c r="I21" s="88">
        <f t="array" ref="I21">INDEX('Expected Inflation (i)'!$H$14:$H$39,MATCH('All Variables'!C21,'Expected Inflation (i)'!$C$14:$C$39,0))</f>
        <v>3.0340262935579219</v>
      </c>
      <c r="J21" s="145">
        <f t="shared" si="0"/>
        <v>0.51147759340371279</v>
      </c>
    </row>
    <row r="22" spans="2:10" x14ac:dyDescent="0.25">
      <c r="B22" s="109">
        <f t="shared" si="1"/>
        <v>10</v>
      </c>
      <c r="C22" s="60">
        <v>2001</v>
      </c>
      <c r="D22" s="101">
        <v>0</v>
      </c>
      <c r="E22" s="101">
        <v>0.38</v>
      </c>
      <c r="F22" s="71">
        <v>33</v>
      </c>
      <c r="G22" s="88">
        <v>0.1</v>
      </c>
      <c r="H22" s="71">
        <v>23</v>
      </c>
      <c r="I22" s="88">
        <f t="array" ref="I22">INDEX('Expected Inflation (i)'!$H$14:$H$39,MATCH('All Variables'!C22,'Expected Inflation (i)'!$C$14:$C$39,0))</f>
        <v>2.5881929602245872</v>
      </c>
      <c r="J22" s="145">
        <f t="shared" si="0"/>
        <v>0.51147759340371279</v>
      </c>
    </row>
    <row r="23" spans="2:10" x14ac:dyDescent="0.25">
      <c r="B23" s="109">
        <f t="shared" si="1"/>
        <v>11</v>
      </c>
      <c r="C23" s="60">
        <v>2002</v>
      </c>
      <c r="D23" s="101">
        <v>0</v>
      </c>
      <c r="E23" s="101">
        <v>0.38</v>
      </c>
      <c r="F23" s="71">
        <v>33</v>
      </c>
      <c r="G23" s="88">
        <v>0.1</v>
      </c>
      <c r="H23" s="71">
        <v>23</v>
      </c>
      <c r="I23" s="88">
        <f t="array" ref="I23">INDEX('Expected Inflation (i)'!$H$14:$H$39,MATCH('All Variables'!C23,'Expected Inflation (i)'!$C$14:$C$39,0))</f>
        <v>2.3998596268912546</v>
      </c>
      <c r="J23" s="145">
        <f t="shared" si="0"/>
        <v>0.51147759340371279</v>
      </c>
    </row>
    <row r="24" spans="2:10" x14ac:dyDescent="0.25">
      <c r="B24" s="109">
        <f t="shared" si="1"/>
        <v>12</v>
      </c>
      <c r="C24" s="60">
        <v>2003</v>
      </c>
      <c r="D24" s="101">
        <v>0</v>
      </c>
      <c r="E24" s="101">
        <v>0.38</v>
      </c>
      <c r="F24" s="71">
        <v>33</v>
      </c>
      <c r="G24" s="88">
        <v>0.1</v>
      </c>
      <c r="H24" s="71">
        <v>23</v>
      </c>
      <c r="I24" s="88">
        <f t="array" ref="I24">INDEX('Expected Inflation (i)'!$H$14:$H$39,MATCH('All Variables'!C24,'Expected Inflation (i)'!$C$14:$C$39,0))</f>
        <v>1.9190262935579199</v>
      </c>
      <c r="J24" s="145">
        <f t="shared" si="0"/>
        <v>0.51147759340371279</v>
      </c>
    </row>
    <row r="25" spans="2:10" x14ac:dyDescent="0.25">
      <c r="B25" s="109">
        <f t="shared" si="1"/>
        <v>13</v>
      </c>
      <c r="C25" s="60">
        <v>2004</v>
      </c>
      <c r="D25" s="101">
        <v>0</v>
      </c>
      <c r="E25" s="101">
        <v>0.38</v>
      </c>
      <c r="F25" s="71">
        <v>33</v>
      </c>
      <c r="G25" s="88">
        <v>0.1</v>
      </c>
      <c r="H25" s="71">
        <v>23</v>
      </c>
      <c r="I25" s="88">
        <f t="array" ref="I25">INDEX('Expected Inflation (i)'!$H$14:$H$39,MATCH('All Variables'!C25,'Expected Inflation (i)'!$C$14:$C$39,0))</f>
        <v>1.6865262935579217</v>
      </c>
      <c r="J25" s="145">
        <f t="shared" si="0"/>
        <v>0.51147759340371279</v>
      </c>
    </row>
    <row r="26" spans="2:10" x14ac:dyDescent="0.25">
      <c r="B26" s="109">
        <f t="shared" si="1"/>
        <v>14</v>
      </c>
      <c r="C26" s="60">
        <v>2005</v>
      </c>
      <c r="D26" s="101">
        <v>0</v>
      </c>
      <c r="E26" s="101">
        <v>0.38</v>
      </c>
      <c r="F26" s="71">
        <v>33</v>
      </c>
      <c r="G26" s="88">
        <v>0.1</v>
      </c>
      <c r="H26" s="71">
        <v>23</v>
      </c>
      <c r="I26" s="88">
        <f t="array" ref="I26">INDEX('Expected Inflation (i)'!$H$14:$H$39,MATCH('All Variables'!C26,'Expected Inflation (i)'!$C$14:$C$39,0))</f>
        <v>1.1756929602245876</v>
      </c>
      <c r="J26" s="145">
        <f t="shared" si="0"/>
        <v>0.51147759340371279</v>
      </c>
    </row>
    <row r="27" spans="2:10" x14ac:dyDescent="0.25">
      <c r="B27" s="109">
        <f t="shared" si="1"/>
        <v>15</v>
      </c>
      <c r="C27" s="60">
        <v>2006</v>
      </c>
      <c r="D27" s="101">
        <v>0</v>
      </c>
      <c r="E27" s="101">
        <v>0.38</v>
      </c>
      <c r="F27" s="71">
        <v>33</v>
      </c>
      <c r="G27" s="88">
        <v>0.1</v>
      </c>
      <c r="H27" s="71">
        <v>23</v>
      </c>
      <c r="I27" s="88">
        <f t="array" ref="I27">INDEX('Expected Inflation (i)'!$H$14:$H$39,MATCH('All Variables'!C27,'Expected Inflation (i)'!$C$14:$C$39,0))</f>
        <v>1.3173596268912542</v>
      </c>
      <c r="J27" s="145">
        <f t="shared" si="0"/>
        <v>0.51147759340371279</v>
      </c>
    </row>
    <row r="28" spans="2:10" x14ac:dyDescent="0.25">
      <c r="B28" s="109">
        <f t="shared" si="1"/>
        <v>16</v>
      </c>
      <c r="C28" s="60">
        <v>2007</v>
      </c>
      <c r="D28" s="101">
        <v>0</v>
      </c>
      <c r="E28" s="101">
        <v>0.38</v>
      </c>
      <c r="F28" s="71">
        <v>33</v>
      </c>
      <c r="G28" s="88">
        <v>0.1</v>
      </c>
      <c r="H28" s="71">
        <v>23</v>
      </c>
      <c r="I28" s="88">
        <f t="array" ref="I28">INDEX('Expected Inflation (i)'!$H$14:$H$39,MATCH('All Variables'!C28,'Expected Inflation (i)'!$C$14:$C$39,0))</f>
        <v>1.3781929602245873</v>
      </c>
      <c r="J28" s="145">
        <f t="shared" si="0"/>
        <v>0.51147759340371279</v>
      </c>
    </row>
    <row r="29" spans="2:10" x14ac:dyDescent="0.25">
      <c r="B29" s="109">
        <f t="shared" si="1"/>
        <v>17</v>
      </c>
      <c r="C29" s="60">
        <v>2008</v>
      </c>
      <c r="D29" s="101">
        <v>0</v>
      </c>
      <c r="E29" s="101">
        <v>0.38</v>
      </c>
      <c r="F29" s="71">
        <v>33</v>
      </c>
      <c r="G29" s="88">
        <v>0.1</v>
      </c>
      <c r="H29" s="71">
        <v>23</v>
      </c>
      <c r="I29" s="88">
        <f t="array" ref="I29">INDEX('Expected Inflation (i)'!$H$14:$H$39,MATCH('All Variables'!C29,'Expected Inflation (i)'!$C$14:$C$39,0))</f>
        <v>0.71402629355792202</v>
      </c>
      <c r="J29" s="145">
        <f t="shared" si="0"/>
        <v>0.51147759340371279</v>
      </c>
    </row>
    <row r="30" spans="2:10" x14ac:dyDescent="0.25">
      <c r="B30" s="109">
        <f t="shared" si="1"/>
        <v>18</v>
      </c>
      <c r="C30" s="60">
        <v>2009</v>
      </c>
      <c r="D30" s="101">
        <v>0</v>
      </c>
      <c r="E30" s="101">
        <v>0.38</v>
      </c>
      <c r="F30" s="71">
        <v>33</v>
      </c>
      <c r="G30" s="88">
        <v>0.1</v>
      </c>
      <c r="H30" s="71">
        <v>23</v>
      </c>
      <c r="I30" s="88">
        <f t="array" ref="I30">INDEX('Expected Inflation (i)'!$H$14:$H$39,MATCH('All Variables'!C30,'Expected Inflation (i)'!$C$14:$C$39,0))</f>
        <v>0.33902629355792113</v>
      </c>
      <c r="J30" s="145">
        <f t="shared" si="0"/>
        <v>0.51147759340371279</v>
      </c>
    </row>
    <row r="31" spans="2:10" x14ac:dyDescent="0.25">
      <c r="B31" s="109">
        <f t="shared" si="1"/>
        <v>19</v>
      </c>
      <c r="C31" s="60">
        <v>2010</v>
      </c>
      <c r="D31" s="101">
        <v>0</v>
      </c>
      <c r="E31" s="101">
        <v>0.38</v>
      </c>
      <c r="F31" s="71">
        <v>33</v>
      </c>
      <c r="G31" s="88">
        <v>0.1</v>
      </c>
      <c r="H31" s="71">
        <v>23</v>
      </c>
      <c r="I31" s="88">
        <f t="array" ref="I31">INDEX('Expected Inflation (i)'!$H$14:$H$39,MATCH('All Variables'!C31,'Expected Inflation (i)'!$C$14:$C$39,0))</f>
        <v>0.34402629355792147</v>
      </c>
      <c r="J31" s="145">
        <f t="shared" si="0"/>
        <v>0.51147759340371279</v>
      </c>
    </row>
    <row r="32" spans="2:10" x14ac:dyDescent="0.25">
      <c r="B32" s="109">
        <f t="shared" si="1"/>
        <v>20</v>
      </c>
      <c r="C32" s="60">
        <v>2011</v>
      </c>
      <c r="D32" s="101">
        <v>0</v>
      </c>
      <c r="E32" s="101">
        <v>0.38</v>
      </c>
      <c r="F32" s="71">
        <v>33</v>
      </c>
      <c r="G32" s="88">
        <v>0.1</v>
      </c>
      <c r="H32" s="71">
        <v>23</v>
      </c>
      <c r="I32" s="88">
        <f t="array" ref="I32">INDEX('Expected Inflation (i)'!$H$14:$H$39,MATCH('All Variables'!C32,'Expected Inflation (i)'!$C$14:$C$39,0))</f>
        <v>-0.10764037310874608</v>
      </c>
      <c r="J32" s="145">
        <f t="shared" si="0"/>
        <v>0.51147759340371279</v>
      </c>
    </row>
    <row r="33" spans="2:10" x14ac:dyDescent="0.25">
      <c r="B33" s="109">
        <f t="shared" si="1"/>
        <v>21</v>
      </c>
      <c r="C33" s="60">
        <v>2012</v>
      </c>
      <c r="D33" s="101">
        <v>0</v>
      </c>
      <c r="E33" s="101">
        <v>0.38</v>
      </c>
      <c r="F33" s="71">
        <v>33</v>
      </c>
      <c r="G33" s="88">
        <v>0.1</v>
      </c>
      <c r="H33" s="71">
        <v>23</v>
      </c>
      <c r="I33" s="88">
        <f t="array" ref="I33">INDEX('Expected Inflation (i)'!$H$14:$H$39,MATCH('All Variables'!C33,'Expected Inflation (i)'!$C$14:$C$39,0))</f>
        <v>-1.0176403731087458</v>
      </c>
      <c r="J33" s="145">
        <f t="shared" si="0"/>
        <v>0.51147759340371279</v>
      </c>
    </row>
    <row r="34" spans="2:10" x14ac:dyDescent="0.25">
      <c r="B34" s="109">
        <f t="shared" si="1"/>
        <v>22</v>
      </c>
      <c r="C34" s="60">
        <v>2013</v>
      </c>
      <c r="D34" s="101">
        <v>0</v>
      </c>
      <c r="E34" s="101">
        <v>0.38</v>
      </c>
      <c r="F34" s="71">
        <v>33</v>
      </c>
      <c r="G34" s="88">
        <v>0.1</v>
      </c>
      <c r="H34" s="71">
        <v>23</v>
      </c>
      <c r="I34" s="88">
        <f t="array" ref="I34">INDEX('Expected Inflation (i)'!$H$14:$H$39,MATCH('All Variables'!C34,'Expected Inflation (i)'!$C$14:$C$39,0))</f>
        <v>-0.6301403731087456</v>
      </c>
      <c r="J34" s="145">
        <f t="shared" si="0"/>
        <v>0.51147759340371279</v>
      </c>
    </row>
    <row r="35" spans="2:10" x14ac:dyDescent="0.25">
      <c r="B35" s="109">
        <f t="shared" si="1"/>
        <v>23</v>
      </c>
      <c r="C35" s="60">
        <v>2014</v>
      </c>
      <c r="D35" s="101">
        <v>0</v>
      </c>
      <c r="E35" s="101">
        <v>0.38</v>
      </c>
      <c r="F35" s="71">
        <v>33</v>
      </c>
      <c r="G35" s="88">
        <v>0.1</v>
      </c>
      <c r="H35" s="71">
        <v>23</v>
      </c>
      <c r="I35" s="88">
        <f t="array" ref="I35">INDEX('Expected Inflation (i)'!$H$14:$H$39,MATCH('All Variables'!C35,'Expected Inflation (i)'!$C$14:$C$39,0))</f>
        <v>-0.66264037310874579</v>
      </c>
      <c r="J35" s="145">
        <f t="shared" si="0"/>
        <v>0.51147759340371279</v>
      </c>
    </row>
    <row r="36" spans="2:10" x14ac:dyDescent="0.25">
      <c r="B36" s="109">
        <f t="shared" si="1"/>
        <v>24</v>
      </c>
      <c r="C36" s="60">
        <v>2015</v>
      </c>
      <c r="D36" s="101">
        <v>0</v>
      </c>
      <c r="E36" s="101">
        <v>0.38</v>
      </c>
      <c r="F36" s="71">
        <v>33</v>
      </c>
      <c r="G36" s="88">
        <v>0.1</v>
      </c>
      <c r="H36" s="71">
        <v>23</v>
      </c>
      <c r="I36" s="88">
        <f t="array" ref="I36">INDEX('Expected Inflation (i)'!$H$14:$H$39,MATCH('All Variables'!C36,'Expected Inflation (i)'!$C$14:$C$39,0))</f>
        <v>-1.3709737064420791</v>
      </c>
      <c r="J36" s="145">
        <f t="shared" si="0"/>
        <v>0.51147759340371279</v>
      </c>
    </row>
    <row r="37" spans="2:10" x14ac:dyDescent="0.25">
      <c r="B37" s="109">
        <f t="shared" si="1"/>
        <v>25</v>
      </c>
      <c r="C37" s="60">
        <v>2016</v>
      </c>
      <c r="D37" s="101">
        <v>0</v>
      </c>
      <c r="E37" s="101">
        <v>0.38</v>
      </c>
      <c r="F37" s="71">
        <v>33</v>
      </c>
      <c r="G37" s="88">
        <v>0.1</v>
      </c>
      <c r="H37" s="71">
        <v>23</v>
      </c>
      <c r="I37" s="88">
        <f t="array" ref="I37">INDEX('Expected Inflation (i)'!$H$14:$H$39,MATCH('All Variables'!C37,'Expected Inflation (i)'!$C$14:$C$39,0))</f>
        <v>-1.6401403731087456</v>
      </c>
      <c r="J37" s="145">
        <f t="shared" si="0"/>
        <v>0.51147759340371279</v>
      </c>
    </row>
  </sheetData>
  <pageMargins left="0.7" right="0.7" top="0.75" bottom="0.75" header="0.3" footer="0.3"/>
  <pageSetup orientation="portrait" r:id="rId1"/>
  <drawing r:id="rId2"/>
  <legacyDrawing r:id="rId3"/>
  <oleObjects>
    <mc:AlternateContent xmlns:mc="http://schemas.openxmlformats.org/markup-compatibility/2006">
      <mc:Choice Requires="x14">
        <oleObject progId="Equation.3" shapeId="23558" r:id="rId4">
          <objectPr defaultSize="0" autoPict="0" r:id="rId5">
            <anchor moveWithCells="1" sizeWithCells="1">
              <from>
                <xdr:col>9</xdr:col>
                <xdr:colOff>85725</xdr:colOff>
                <xdr:row>11</xdr:row>
                <xdr:rowOff>9525</xdr:rowOff>
              </from>
              <to>
                <xdr:col>9</xdr:col>
                <xdr:colOff>2628900</xdr:colOff>
                <xdr:row>12</xdr:row>
                <xdr:rowOff>0</xdr:rowOff>
              </to>
            </anchor>
          </objectPr>
        </oleObject>
      </mc:Choice>
      <mc:Fallback>
        <oleObject progId="Equation.3" shapeId="23558" r:id="rId4"/>
      </mc:Fallback>
    </mc:AlternateContent>
  </oleObjects>
  <extLst>
    <ext xmlns:x14="http://schemas.microsoft.com/office/spreadsheetml/2009/9/main" uri="{78C0D931-6437-407d-A8EE-F0AAD7539E65}">
      <x14:conditionalFormattings>
        <x14:conditionalFormatting xmlns:xm="http://schemas.microsoft.com/office/excel/2006/main">
          <x14:cfRule type="containsText" priority="2" operator="containsText" text="See Memo on TFP Update for Enbridge" id="{035B3480-967B-4090-9396-CD6A0E97244B}">
            <xm:f>NOT(ISERROR(SEARCH("See Memo on TFP Update for Enbridge",'Capital Stock Calculation'!B2)))</xm:f>
            <x14:dxf>
              <fill>
                <patternFill>
                  <bgColor rgb="FFFFFF00"/>
                </patternFill>
              </fill>
            </x14:dxf>
          </x14:cfRule>
          <xm:sqref>B11:J12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2:J41"/>
  <sheetViews>
    <sheetView showGridLines="0" zoomScale="75" zoomScaleNormal="75" workbookViewId="0">
      <selection activeCell="M42" sqref="M42"/>
    </sheetView>
  </sheetViews>
  <sheetFormatPr defaultRowHeight="15" x14ac:dyDescent="0.25"/>
  <cols>
    <col min="2" max="2" width="4.7109375" customWidth="1"/>
    <col min="3" max="3" width="12.7109375" customWidth="1"/>
    <col min="4" max="5" width="15" customWidth="1"/>
    <col min="6" max="6" width="14.7109375" customWidth="1"/>
    <col min="7" max="7" width="15.28515625" customWidth="1"/>
    <col min="8" max="8" width="14.28515625" customWidth="1"/>
    <col min="9" max="9" width="20.7109375" customWidth="1"/>
  </cols>
  <sheetData>
    <row r="2" spans="2:10" ht="18.75" x14ac:dyDescent="0.3">
      <c r="B2" s="62" t="str">
        <f ca="1">MID(CELL("filename",A1),FIND("]",CELL("filename",A1))+1,256)</f>
        <v>Expected Inflation (i)</v>
      </c>
      <c r="C2" s="1"/>
      <c r="D2" s="1"/>
      <c r="E2" s="1"/>
      <c r="F2" s="1"/>
      <c r="G2" s="1"/>
      <c r="H2" s="1"/>
      <c r="I2" s="1"/>
      <c r="J2" s="1"/>
    </row>
    <row r="3" spans="2:10" x14ac:dyDescent="0.25">
      <c r="B3" s="1"/>
      <c r="C3" s="1"/>
      <c r="D3" s="1"/>
      <c r="E3" s="1"/>
      <c r="F3" s="1"/>
      <c r="G3" s="1"/>
      <c r="H3" s="1"/>
      <c r="I3" s="1"/>
      <c r="J3" s="1"/>
    </row>
    <row r="4" spans="2:10" x14ac:dyDescent="0.25">
      <c r="B4" s="63" t="s">
        <v>69</v>
      </c>
      <c r="C4" s="63"/>
      <c r="D4" s="1"/>
      <c r="E4" s="1"/>
      <c r="F4" s="1"/>
      <c r="G4" s="1"/>
      <c r="H4" s="1"/>
      <c r="I4" s="1"/>
      <c r="J4" s="1"/>
    </row>
    <row r="5" spans="2:10" x14ac:dyDescent="0.25">
      <c r="B5" s="64" t="s">
        <v>170</v>
      </c>
      <c r="C5" s="64"/>
      <c r="D5" s="1"/>
      <c r="E5" s="1"/>
      <c r="F5" s="1"/>
      <c r="G5" s="1"/>
      <c r="H5" s="1"/>
      <c r="I5" s="1"/>
      <c r="J5" s="1"/>
    </row>
    <row r="6" spans="2:10" x14ac:dyDescent="0.25">
      <c r="B6" s="1"/>
      <c r="C6" s="1"/>
      <c r="D6" s="1"/>
      <c r="E6" s="1"/>
      <c r="F6" s="1"/>
      <c r="G6" s="1"/>
      <c r="H6" s="1"/>
      <c r="I6" s="1"/>
      <c r="J6" s="1"/>
    </row>
    <row r="7" spans="2:10" ht="15.75" x14ac:dyDescent="0.25">
      <c r="B7" s="65" t="s">
        <v>168</v>
      </c>
      <c r="C7" s="66"/>
      <c r="D7" s="66"/>
      <c r="E7" s="66"/>
      <c r="F7" s="1"/>
      <c r="G7" s="1"/>
      <c r="H7" s="1"/>
      <c r="I7" s="1"/>
      <c r="J7" s="1"/>
    </row>
    <row r="8" spans="2:10" x14ac:dyDescent="0.25">
      <c r="B8" s="67"/>
      <c r="C8" s="68"/>
      <c r="D8" s="1"/>
      <c r="E8" s="1"/>
      <c r="F8" s="1"/>
      <c r="G8" s="1"/>
      <c r="H8" s="1"/>
      <c r="I8" s="1"/>
      <c r="J8" s="1"/>
    </row>
    <row r="9" spans="2:10" x14ac:dyDescent="0.25">
      <c r="B9" s="69" t="s">
        <v>71</v>
      </c>
      <c r="C9" s="70"/>
      <c r="D9" s="70" t="s">
        <v>169</v>
      </c>
      <c r="E9" s="70"/>
      <c r="F9" s="1"/>
      <c r="G9" s="1"/>
      <c r="H9" s="1"/>
      <c r="I9" s="1"/>
      <c r="J9" s="1"/>
    </row>
    <row r="11" spans="2:10" ht="90" x14ac:dyDescent="0.25">
      <c r="B11" s="58"/>
      <c r="C11" s="58" t="s">
        <v>0</v>
      </c>
      <c r="D11" s="58" t="s">
        <v>158</v>
      </c>
      <c r="E11" s="58" t="s">
        <v>159</v>
      </c>
      <c r="F11" s="58" t="s">
        <v>160</v>
      </c>
      <c r="G11" s="58" t="s">
        <v>161</v>
      </c>
      <c r="H11" s="58" t="s">
        <v>162</v>
      </c>
      <c r="I11" s="58" t="s">
        <v>163</v>
      </c>
    </row>
    <row r="12" spans="2:10" x14ac:dyDescent="0.25">
      <c r="B12" s="58"/>
      <c r="C12" s="58"/>
      <c r="D12" s="58" t="s">
        <v>43</v>
      </c>
      <c r="E12" s="58" t="s">
        <v>44</v>
      </c>
      <c r="F12" s="58" t="s">
        <v>54</v>
      </c>
      <c r="G12" s="58" t="s">
        <v>46</v>
      </c>
      <c r="H12" s="58" t="s">
        <v>47</v>
      </c>
      <c r="I12" s="58" t="s">
        <v>48</v>
      </c>
    </row>
    <row r="13" spans="2:10" ht="30" customHeight="1" x14ac:dyDescent="0.25">
      <c r="B13" s="58"/>
      <c r="C13" s="58"/>
      <c r="D13" s="58" t="s">
        <v>43</v>
      </c>
      <c r="E13" s="58" t="s">
        <v>44</v>
      </c>
      <c r="F13" s="122" t="s">
        <v>164</v>
      </c>
      <c r="G13" s="58" t="s">
        <v>165</v>
      </c>
      <c r="H13" s="58" t="s">
        <v>166</v>
      </c>
      <c r="I13" s="58" t="s">
        <v>48</v>
      </c>
    </row>
    <row r="14" spans="2:10" x14ac:dyDescent="0.25">
      <c r="B14" s="109">
        <v>1</v>
      </c>
      <c r="C14" s="60">
        <v>1991</v>
      </c>
      <c r="D14" s="88">
        <f>AVERAGEIFS('Canadian 10 Year Bond Yield'!$C$12:$C$701,'Canadian 10 Year Bond Yield'!$B$12:$B$701,'Expected Inflation (i)'!C14)</f>
        <v>9.5033333333333339</v>
      </c>
      <c r="E14" s="88">
        <f>AVERAGEIFS('Canadian CPI'!$C$7:$C$1248,'Canadian CPI'!$B$7:$B$1248,'Expected Inflation (i)'!C14)</f>
        <v>82.766666666666666</v>
      </c>
      <c r="F14" s="90" t="str">
        <f>IFERROR(((E14-#REF!)/#REF!)*100,"-")</f>
        <v>-</v>
      </c>
      <c r="G14" s="90" t="str">
        <f t="shared" ref="G14:G39" si="0">IFERROR(D14-F14,"-")</f>
        <v>-</v>
      </c>
      <c r="H14" s="90">
        <f t="shared" ref="H14:H39" si="1">D14-$G$41</f>
        <v>6.6115262935579215</v>
      </c>
      <c r="I14" s="72">
        <f t="shared" ref="I14:I39" si="2">ROUND(H14,0)</f>
        <v>7</v>
      </c>
    </row>
    <row r="15" spans="2:10" x14ac:dyDescent="0.25">
      <c r="B15" s="109">
        <f t="shared" ref="B15:B39" si="3">B14+1</f>
        <v>2</v>
      </c>
      <c r="C15" s="60">
        <v>1992</v>
      </c>
      <c r="D15" s="88">
        <f>AVERAGEIFS('Canadian 10 Year Bond Yield'!$C$12:$C$701,'Canadian 10 Year Bond Yield'!$B$12:$B$701,'Expected Inflation (i)'!C15)</f>
        <v>8.0708333333333329</v>
      </c>
      <c r="E15" s="88">
        <f>AVERAGEIFS('Canadian CPI'!$C$7:$C$1248,'Canadian CPI'!$B$7:$B$1248,'Expected Inflation (i)'!C15)</f>
        <v>84.000000000000014</v>
      </c>
      <c r="F15" s="90">
        <f t="shared" ref="F15:F39" si="4">IFERROR(((E15-E14)/E14)*100,"-")</f>
        <v>1.4901329037454876</v>
      </c>
      <c r="G15" s="90">
        <f t="shared" si="0"/>
        <v>6.5807004295878455</v>
      </c>
      <c r="H15" s="90">
        <f t="shared" si="1"/>
        <v>5.1790262935579205</v>
      </c>
      <c r="I15" s="72">
        <f t="shared" si="2"/>
        <v>5</v>
      </c>
    </row>
    <row r="16" spans="2:10" x14ac:dyDescent="0.25">
      <c r="B16" s="109">
        <f t="shared" si="3"/>
        <v>3</v>
      </c>
      <c r="C16" s="60">
        <v>1993</v>
      </c>
      <c r="D16" s="88">
        <f>AVERAGEIFS('Canadian 10 Year Bond Yield'!$C$12:$C$701,'Canadian 10 Year Bond Yield'!$B$12:$B$701,'Expected Inflation (i)'!C16)</f>
        <v>7.270833333333333</v>
      </c>
      <c r="E16" s="88">
        <f>AVERAGEIFS('Canadian CPI'!$C$7:$C$1248,'Canadian CPI'!$B$7:$B$1248,'Expected Inflation (i)'!C16)</f>
        <v>85.566666666666663</v>
      </c>
      <c r="F16" s="90">
        <f t="shared" si="4"/>
        <v>1.8650793650793431</v>
      </c>
      <c r="G16" s="90">
        <f t="shared" si="0"/>
        <v>5.4057539682539897</v>
      </c>
      <c r="H16" s="90">
        <f t="shared" si="1"/>
        <v>4.3790262935579207</v>
      </c>
      <c r="I16" s="72">
        <f t="shared" si="2"/>
        <v>4</v>
      </c>
    </row>
    <row r="17" spans="2:9" x14ac:dyDescent="0.25">
      <c r="B17" s="109">
        <f t="shared" si="3"/>
        <v>4</v>
      </c>
      <c r="C17" s="60">
        <v>1994</v>
      </c>
      <c r="D17" s="88">
        <f>AVERAGEIFS('Canadian 10 Year Bond Yield'!$C$12:$C$701,'Canadian 10 Year Bond Yield'!$B$12:$B$701,'Expected Inflation (i)'!C17)</f>
        <v>8.31</v>
      </c>
      <c r="E17" s="88">
        <f>AVERAGEIFS('Canadian CPI'!$C$7:$C$1248,'Canadian CPI'!$B$7:$B$1248,'Expected Inflation (i)'!C17)</f>
        <v>85.708333333333329</v>
      </c>
      <c r="F17" s="90">
        <f t="shared" si="4"/>
        <v>0.16556291390728367</v>
      </c>
      <c r="G17" s="90">
        <f t="shared" si="0"/>
        <v>8.1444370860927169</v>
      </c>
      <c r="H17" s="90">
        <f t="shared" si="1"/>
        <v>5.4181929602245882</v>
      </c>
      <c r="I17" s="72">
        <f t="shared" si="2"/>
        <v>5</v>
      </c>
    </row>
    <row r="18" spans="2:9" x14ac:dyDescent="0.25">
      <c r="B18" s="109">
        <f t="shared" si="3"/>
        <v>5</v>
      </c>
      <c r="C18" s="60">
        <v>1995</v>
      </c>
      <c r="D18" s="88">
        <f>AVERAGEIFS('Canadian 10 Year Bond Yield'!$C$12:$C$701,'Canadian 10 Year Bond Yield'!$B$12:$B$701,'Expected Inflation (i)'!C18)</f>
        <v>8.1616666666666671</v>
      </c>
      <c r="E18" s="88">
        <f>AVERAGEIFS('Canadian CPI'!$C$7:$C$1248,'Canadian CPI'!$B$7:$B$1248,'Expected Inflation (i)'!C18)</f>
        <v>87.550000000000011</v>
      </c>
      <c r="F18" s="90">
        <f t="shared" si="4"/>
        <v>2.1487603305785314</v>
      </c>
      <c r="G18" s="90">
        <f t="shared" si="0"/>
        <v>6.0129063360881361</v>
      </c>
      <c r="H18" s="90">
        <f t="shared" si="1"/>
        <v>5.2698596268912548</v>
      </c>
      <c r="I18" s="72">
        <f t="shared" si="2"/>
        <v>5</v>
      </c>
    </row>
    <row r="19" spans="2:9" x14ac:dyDescent="0.25">
      <c r="B19" s="109">
        <f t="shared" si="3"/>
        <v>6</v>
      </c>
      <c r="C19" s="60">
        <v>1996</v>
      </c>
      <c r="D19" s="88">
        <f>AVERAGEIFS('Canadian 10 Year Bond Yield'!$C$12:$C$701,'Canadian 10 Year Bond Yield'!$B$12:$B$701,'Expected Inflation (i)'!C19)</f>
        <v>7.23</v>
      </c>
      <c r="E19" s="88">
        <f>AVERAGEIFS('Canadian CPI'!$C$7:$C$1248,'Canadian CPI'!$B$7:$B$1248,'Expected Inflation (i)'!C19)</f>
        <v>88.924999999999997</v>
      </c>
      <c r="F19" s="90">
        <f t="shared" si="4"/>
        <v>1.5705311250713714</v>
      </c>
      <c r="G19" s="90">
        <f t="shared" si="0"/>
        <v>5.6594688749286295</v>
      </c>
      <c r="H19" s="90">
        <f t="shared" si="1"/>
        <v>4.3381929602245881</v>
      </c>
      <c r="I19" s="72">
        <f t="shared" si="2"/>
        <v>4</v>
      </c>
    </row>
    <row r="20" spans="2:9" x14ac:dyDescent="0.25">
      <c r="B20" s="109">
        <f t="shared" si="3"/>
        <v>7</v>
      </c>
      <c r="C20" s="60">
        <v>1997</v>
      </c>
      <c r="D20" s="88">
        <f>AVERAGEIFS('Canadian 10 Year Bond Yield'!$C$12:$C$701,'Canadian 10 Year Bond Yield'!$B$12:$B$701,'Expected Inflation (i)'!C20)</f>
        <v>6.1416666666666666</v>
      </c>
      <c r="E20" s="88">
        <f>AVERAGEIFS('Canadian CPI'!$C$7:$C$1248,'Canadian CPI'!$B$7:$B$1248,'Expected Inflation (i)'!C20)</f>
        <v>90.366666666666674</v>
      </c>
      <c r="F20" s="90">
        <f t="shared" si="4"/>
        <v>1.6212163808452935</v>
      </c>
      <c r="G20" s="90">
        <f t="shared" si="0"/>
        <v>4.5204502858213731</v>
      </c>
      <c r="H20" s="90">
        <f t="shared" si="1"/>
        <v>3.2498596268912543</v>
      </c>
      <c r="I20" s="72">
        <f t="shared" si="2"/>
        <v>3</v>
      </c>
    </row>
    <row r="21" spans="2:9" x14ac:dyDescent="0.25">
      <c r="B21" s="109">
        <f t="shared" si="3"/>
        <v>8</v>
      </c>
      <c r="C21" s="60">
        <v>1998</v>
      </c>
      <c r="D21" s="88">
        <f>AVERAGEIFS('Canadian 10 Year Bond Yield'!$C$12:$C$701,'Canadian 10 Year Bond Yield'!$B$12:$B$701,'Expected Inflation (i)'!C21)</f>
        <v>5.2799999999999994</v>
      </c>
      <c r="E21" s="88">
        <f>AVERAGEIFS('Canadian CPI'!$C$7:$C$1248,'Canadian CPI'!$B$7:$B$1248,'Expected Inflation (i)'!C21)</f>
        <v>91.266666666666666</v>
      </c>
      <c r="F21" s="90">
        <f t="shared" si="4"/>
        <v>0.99594245665805026</v>
      </c>
      <c r="G21" s="90">
        <f t="shared" si="0"/>
        <v>4.284057543341949</v>
      </c>
      <c r="H21" s="90">
        <f t="shared" si="1"/>
        <v>2.388192960224587</v>
      </c>
      <c r="I21" s="72">
        <f t="shared" si="2"/>
        <v>2</v>
      </c>
    </row>
    <row r="22" spans="2:9" x14ac:dyDescent="0.25">
      <c r="B22" s="109">
        <f t="shared" si="3"/>
        <v>9</v>
      </c>
      <c r="C22" s="60">
        <v>1999</v>
      </c>
      <c r="D22" s="88">
        <f>AVERAGEIFS('Canadian 10 Year Bond Yield'!$C$12:$C$701,'Canadian 10 Year Bond Yield'!$B$12:$B$701,'Expected Inflation (i)'!C22)</f>
        <v>5.5408333333333326</v>
      </c>
      <c r="E22" s="88">
        <f>AVERAGEIFS('Canadian CPI'!$C$7:$C$1248,'Canadian CPI'!$B$7:$B$1248,'Expected Inflation (i)'!C22)</f>
        <v>92.850000000000009</v>
      </c>
      <c r="F22" s="90">
        <f t="shared" si="4"/>
        <v>1.7348429510591776</v>
      </c>
      <c r="G22" s="90">
        <f t="shared" si="0"/>
        <v>3.805990382274155</v>
      </c>
      <c r="H22" s="90">
        <f t="shared" si="1"/>
        <v>2.6490262935579203</v>
      </c>
      <c r="I22" s="72">
        <f t="shared" si="2"/>
        <v>3</v>
      </c>
    </row>
    <row r="23" spans="2:9" x14ac:dyDescent="0.25">
      <c r="B23" s="109">
        <f t="shared" si="3"/>
        <v>10</v>
      </c>
      <c r="C23" s="60">
        <v>2000</v>
      </c>
      <c r="D23" s="88">
        <f>AVERAGEIFS('Canadian 10 Year Bond Yield'!$C$12:$C$701,'Canadian 10 Year Bond Yield'!$B$12:$B$701,'Expected Inflation (i)'!C23)</f>
        <v>5.9258333333333342</v>
      </c>
      <c r="E23" s="88">
        <f>AVERAGEIFS('Canadian CPI'!$C$7:$C$1248,'Canadian CPI'!$B$7:$B$1248,'Expected Inflation (i)'!C23)</f>
        <v>95.375</v>
      </c>
      <c r="F23" s="90">
        <f t="shared" si="4"/>
        <v>2.7194399569197536</v>
      </c>
      <c r="G23" s="90">
        <f t="shared" si="0"/>
        <v>3.2063933764135806</v>
      </c>
      <c r="H23" s="90">
        <f t="shared" si="1"/>
        <v>3.0340262935579219</v>
      </c>
      <c r="I23" s="72">
        <f t="shared" si="2"/>
        <v>3</v>
      </c>
    </row>
    <row r="24" spans="2:9" x14ac:dyDescent="0.25">
      <c r="B24" s="109">
        <f t="shared" si="3"/>
        <v>11</v>
      </c>
      <c r="C24" s="60">
        <v>2001</v>
      </c>
      <c r="D24" s="88">
        <f>AVERAGEIFS('Canadian 10 Year Bond Yield'!$C$12:$C$701,'Canadian 10 Year Bond Yield'!$B$12:$B$701,'Expected Inflation (i)'!C24)</f>
        <v>5.4799999999999995</v>
      </c>
      <c r="E24" s="88">
        <f>AVERAGEIFS('Canadian CPI'!$C$7:$C$1248,'Canadian CPI'!$B$7:$B$1248,'Expected Inflation (i)'!C24)</f>
        <v>97.783333333333346</v>
      </c>
      <c r="F24" s="90">
        <f t="shared" si="4"/>
        <v>2.5251201397990517</v>
      </c>
      <c r="G24" s="90">
        <f t="shared" si="0"/>
        <v>2.9548798602009478</v>
      </c>
      <c r="H24" s="90">
        <f t="shared" si="1"/>
        <v>2.5881929602245872</v>
      </c>
      <c r="I24" s="72">
        <f t="shared" si="2"/>
        <v>3</v>
      </c>
    </row>
    <row r="25" spans="2:9" x14ac:dyDescent="0.25">
      <c r="B25" s="109">
        <f t="shared" si="3"/>
        <v>12</v>
      </c>
      <c r="C25" s="60">
        <v>2002</v>
      </c>
      <c r="D25" s="88">
        <f>AVERAGEIFS('Canadian 10 Year Bond Yield'!$C$12:$C$701,'Canadian 10 Year Bond Yield'!$B$12:$B$701,'Expected Inflation (i)'!C25)</f>
        <v>5.291666666666667</v>
      </c>
      <c r="E25" s="88">
        <f>AVERAGEIFS('Canadian CPI'!$C$7:$C$1248,'Canadian CPI'!$B$7:$B$1248,'Expected Inflation (i)'!C25)</f>
        <v>99.991666666666674</v>
      </c>
      <c r="F25" s="90">
        <f t="shared" si="4"/>
        <v>2.2583944094085511</v>
      </c>
      <c r="G25" s="90">
        <f t="shared" si="0"/>
        <v>3.0332722572581159</v>
      </c>
      <c r="H25" s="90">
        <f t="shared" si="1"/>
        <v>2.3998596268912546</v>
      </c>
      <c r="I25" s="72">
        <f t="shared" si="2"/>
        <v>2</v>
      </c>
    </row>
    <row r="26" spans="2:9" x14ac:dyDescent="0.25">
      <c r="B26" s="109">
        <f t="shared" si="3"/>
        <v>13</v>
      </c>
      <c r="C26" s="60">
        <v>2003</v>
      </c>
      <c r="D26" s="88">
        <f>AVERAGEIFS('Canadian 10 Year Bond Yield'!$C$12:$C$701,'Canadian 10 Year Bond Yield'!$B$12:$B$701,'Expected Inflation (i)'!C26)</f>
        <v>4.8108333333333322</v>
      </c>
      <c r="E26" s="88">
        <f>AVERAGEIFS('Canadian CPI'!$C$7:$C$1248,'Canadian CPI'!$B$7:$B$1248,'Expected Inflation (i)'!C26)</f>
        <v>102.75</v>
      </c>
      <c r="F26" s="90">
        <f t="shared" si="4"/>
        <v>2.7585632136011258</v>
      </c>
      <c r="G26" s="90">
        <f t="shared" si="0"/>
        <v>2.0522701197322064</v>
      </c>
      <c r="H26" s="90">
        <f t="shared" si="1"/>
        <v>1.9190262935579199</v>
      </c>
      <c r="I26" s="72">
        <f t="shared" si="2"/>
        <v>2</v>
      </c>
    </row>
    <row r="27" spans="2:9" x14ac:dyDescent="0.25">
      <c r="B27" s="109">
        <f t="shared" si="3"/>
        <v>14</v>
      </c>
      <c r="C27" s="60">
        <v>2004</v>
      </c>
      <c r="D27" s="88">
        <f>AVERAGEIFS('Canadian 10 Year Bond Yield'!$C$12:$C$701,'Canadian 10 Year Bond Yield'!$B$12:$B$701,'Expected Inflation (i)'!C27)</f>
        <v>4.578333333333334</v>
      </c>
      <c r="E27" s="88">
        <f>AVERAGEIFS('Canadian CPI'!$C$7:$C$1248,'Canadian CPI'!$B$7:$B$1248,'Expected Inflation (i)'!C27)</f>
        <v>104.65833333333335</v>
      </c>
      <c r="F27" s="90">
        <f t="shared" si="4"/>
        <v>1.8572587185725991</v>
      </c>
      <c r="G27" s="90">
        <f t="shared" si="0"/>
        <v>2.721074614760735</v>
      </c>
      <c r="H27" s="90">
        <f t="shared" si="1"/>
        <v>1.6865262935579217</v>
      </c>
      <c r="I27" s="72">
        <f t="shared" si="2"/>
        <v>2</v>
      </c>
    </row>
    <row r="28" spans="2:9" x14ac:dyDescent="0.25">
      <c r="B28" s="109">
        <f t="shared" si="3"/>
        <v>15</v>
      </c>
      <c r="C28" s="60">
        <v>2005</v>
      </c>
      <c r="D28" s="88">
        <f>AVERAGEIFS('Canadian 10 Year Bond Yield'!$C$12:$C$701,'Canadian 10 Year Bond Yield'!$B$12:$B$701,'Expected Inflation (i)'!C28)</f>
        <v>4.0674999999999999</v>
      </c>
      <c r="E28" s="88">
        <f>AVERAGEIFS('Canadian CPI'!$C$7:$C$1248,'Canadian CPI'!$B$7:$B$1248,'Expected Inflation (i)'!C28)</f>
        <v>106.97500000000001</v>
      </c>
      <c r="F28" s="90">
        <f t="shared" si="4"/>
        <v>2.2135520343976389</v>
      </c>
      <c r="G28" s="90">
        <f t="shared" si="0"/>
        <v>1.853947965602361</v>
      </c>
      <c r="H28" s="90">
        <f t="shared" si="1"/>
        <v>1.1756929602245876</v>
      </c>
      <c r="I28" s="72">
        <f t="shared" si="2"/>
        <v>1</v>
      </c>
    </row>
    <row r="29" spans="2:9" x14ac:dyDescent="0.25">
      <c r="B29" s="109">
        <f t="shared" si="3"/>
        <v>16</v>
      </c>
      <c r="C29" s="60">
        <v>2006</v>
      </c>
      <c r="D29" s="88">
        <f>AVERAGEIFS('Canadian 10 Year Bond Yield'!$C$12:$C$701,'Canadian 10 Year Bond Yield'!$B$12:$B$701,'Expected Inflation (i)'!C29)</f>
        <v>4.2091666666666665</v>
      </c>
      <c r="E29" s="88">
        <f>AVERAGEIFS('Canadian CPI'!$C$7:$C$1248,'Canadian CPI'!$B$7:$B$1248,'Expected Inflation (i)'!C29)</f>
        <v>109.11666666666667</v>
      </c>
      <c r="F29" s="90">
        <f t="shared" si="4"/>
        <v>2.0020253953415899</v>
      </c>
      <c r="G29" s="90">
        <f t="shared" si="0"/>
        <v>2.2071412713250766</v>
      </c>
      <c r="H29" s="90">
        <f t="shared" si="1"/>
        <v>1.3173596268912542</v>
      </c>
      <c r="I29" s="72">
        <f t="shared" si="2"/>
        <v>1</v>
      </c>
    </row>
    <row r="30" spans="2:9" x14ac:dyDescent="0.25">
      <c r="B30" s="109">
        <f t="shared" si="3"/>
        <v>17</v>
      </c>
      <c r="C30" s="60">
        <v>2007</v>
      </c>
      <c r="D30" s="88">
        <f>AVERAGEIFS('Canadian 10 Year Bond Yield'!$C$12:$C$701,'Canadian 10 Year Bond Yield'!$B$12:$B$701,'Expected Inflation (i)'!C30)</f>
        <v>4.2699999999999996</v>
      </c>
      <c r="E30" s="88">
        <f>AVERAGEIFS('Canadian CPI'!$C$7:$C$1248,'Canadian CPI'!$B$7:$B$1248,'Expected Inflation (i)'!C30)</f>
        <v>111.45</v>
      </c>
      <c r="F30" s="90">
        <f t="shared" si="4"/>
        <v>2.1383839926683934</v>
      </c>
      <c r="G30" s="90">
        <f t="shared" si="0"/>
        <v>2.1316160073316062</v>
      </c>
      <c r="H30" s="90">
        <f t="shared" si="1"/>
        <v>1.3781929602245873</v>
      </c>
      <c r="I30" s="72">
        <f t="shared" si="2"/>
        <v>1</v>
      </c>
    </row>
    <row r="31" spans="2:9" x14ac:dyDescent="0.25">
      <c r="B31" s="109">
        <f t="shared" si="3"/>
        <v>18</v>
      </c>
      <c r="C31" s="60">
        <v>2008</v>
      </c>
      <c r="D31" s="88">
        <f>AVERAGEIFS('Canadian 10 Year Bond Yield'!$C$12:$C$701,'Canadian 10 Year Bond Yield'!$B$12:$B$701,'Expected Inflation (i)'!C31)</f>
        <v>3.6058333333333343</v>
      </c>
      <c r="E31" s="88">
        <f>AVERAGEIFS('Canadian CPI'!$C$7:$C$1248,'Canadian CPI'!$B$7:$B$1248,'Expected Inflation (i)'!C31)</f>
        <v>114.09166666666665</v>
      </c>
      <c r="F31" s="90">
        <f t="shared" si="4"/>
        <v>2.3702706744429354</v>
      </c>
      <c r="G31" s="90">
        <f t="shared" si="0"/>
        <v>1.235562658890399</v>
      </c>
      <c r="H31" s="90">
        <f t="shared" si="1"/>
        <v>0.71402629355792202</v>
      </c>
      <c r="I31" s="72">
        <f t="shared" si="2"/>
        <v>1</v>
      </c>
    </row>
    <row r="32" spans="2:9" x14ac:dyDescent="0.25">
      <c r="B32" s="109">
        <f t="shared" si="3"/>
        <v>19</v>
      </c>
      <c r="C32" s="60">
        <v>2009</v>
      </c>
      <c r="D32" s="88">
        <f>AVERAGEIFS('Canadian 10 Year Bond Yield'!$C$12:$C$701,'Canadian 10 Year Bond Yield'!$B$12:$B$701,'Expected Inflation (i)'!C32)</f>
        <v>3.2308333333333334</v>
      </c>
      <c r="E32" s="88">
        <f>AVERAGEIFS('Canadian CPI'!$C$7:$C$1248,'Canadian CPI'!$B$7:$B$1248,'Expected Inflation (i)'!C32)</f>
        <v>114.43333333333334</v>
      </c>
      <c r="F32" s="90">
        <f t="shared" si="4"/>
        <v>0.29946680300929035</v>
      </c>
      <c r="G32" s="90">
        <f t="shared" si="0"/>
        <v>2.931366530324043</v>
      </c>
      <c r="H32" s="90">
        <f t="shared" si="1"/>
        <v>0.33902629355792113</v>
      </c>
      <c r="I32" s="72">
        <f t="shared" si="2"/>
        <v>0</v>
      </c>
    </row>
    <row r="33" spans="2:9" x14ac:dyDescent="0.25">
      <c r="B33" s="109">
        <f t="shared" si="3"/>
        <v>20</v>
      </c>
      <c r="C33" s="60">
        <v>2010</v>
      </c>
      <c r="D33" s="88">
        <f>AVERAGEIFS('Canadian 10 Year Bond Yield'!$C$12:$C$701,'Canadian 10 Year Bond Yield'!$B$12:$B$701,'Expected Inflation (i)'!C33)</f>
        <v>3.2358333333333338</v>
      </c>
      <c r="E33" s="88">
        <f>AVERAGEIFS('Canadian CPI'!$C$7:$C$1248,'Canadian CPI'!$B$7:$B$1248,'Expected Inflation (i)'!C33)</f>
        <v>116.46666666666668</v>
      </c>
      <c r="F33" s="90">
        <f t="shared" si="4"/>
        <v>1.7768715409263143</v>
      </c>
      <c r="G33" s="90">
        <f t="shared" si="0"/>
        <v>1.4589617924070195</v>
      </c>
      <c r="H33" s="90">
        <f t="shared" si="1"/>
        <v>0.34402629355792147</v>
      </c>
      <c r="I33" s="72">
        <f t="shared" si="2"/>
        <v>0</v>
      </c>
    </row>
    <row r="34" spans="2:9" x14ac:dyDescent="0.25">
      <c r="B34" s="109">
        <f t="shared" si="3"/>
        <v>21</v>
      </c>
      <c r="C34" s="60">
        <v>2011</v>
      </c>
      <c r="D34" s="88">
        <f>AVERAGEIFS('Canadian 10 Year Bond Yield'!$C$12:$C$701,'Canadian 10 Year Bond Yield'!$B$12:$B$701,'Expected Inflation (i)'!C34)</f>
        <v>2.7841666666666662</v>
      </c>
      <c r="E34" s="88">
        <f>AVERAGEIFS('Canadian CPI'!$C$7:$C$1248,'Canadian CPI'!$B$7:$B$1248,'Expected Inflation (i)'!C34)</f>
        <v>119.85833333333333</v>
      </c>
      <c r="F34" s="90">
        <f t="shared" si="4"/>
        <v>2.9121350887235127</v>
      </c>
      <c r="G34" s="90">
        <f t="shared" si="0"/>
        <v>-0.12796842205684644</v>
      </c>
      <c r="H34" s="90">
        <f t="shared" si="1"/>
        <v>-0.10764037310874608</v>
      </c>
      <c r="I34" s="72">
        <f t="shared" si="2"/>
        <v>0</v>
      </c>
    </row>
    <row r="35" spans="2:9" x14ac:dyDescent="0.25">
      <c r="B35" s="109">
        <f t="shared" si="3"/>
        <v>22</v>
      </c>
      <c r="C35" s="60">
        <v>2012</v>
      </c>
      <c r="D35" s="88">
        <f>AVERAGEIFS('Canadian 10 Year Bond Yield'!$C$12:$C$701,'Canadian 10 Year Bond Yield'!$B$12:$B$701,'Expected Inflation (i)'!C35)</f>
        <v>1.8741666666666665</v>
      </c>
      <c r="E35" s="88">
        <f>AVERAGEIFS('Canadian CPI'!$C$7:$C$1248,'Canadian CPI'!$B$7:$B$1248,'Expected Inflation (i)'!C35)</f>
        <v>121.67500000000001</v>
      </c>
      <c r="F35" s="90">
        <f t="shared" si="4"/>
        <v>1.5156782312452286</v>
      </c>
      <c r="G35" s="90">
        <f t="shared" si="0"/>
        <v>0.35848843542143793</v>
      </c>
      <c r="H35" s="90">
        <f t="shared" si="1"/>
        <v>-1.0176403731087458</v>
      </c>
      <c r="I35" s="72">
        <f t="shared" si="2"/>
        <v>-1</v>
      </c>
    </row>
    <row r="36" spans="2:9" x14ac:dyDescent="0.25">
      <c r="B36" s="109">
        <f t="shared" si="3"/>
        <v>23</v>
      </c>
      <c r="C36" s="60">
        <v>2013</v>
      </c>
      <c r="D36" s="88">
        <f>AVERAGEIFS('Canadian 10 Year Bond Yield'!$C$12:$C$701,'Canadian 10 Year Bond Yield'!$B$12:$B$701,'Expected Inflation (i)'!C36)</f>
        <v>2.2616666666666667</v>
      </c>
      <c r="E36" s="88">
        <f>AVERAGEIFS('Canadian CPI'!$C$7:$C$1248,'Canadian CPI'!$B$7:$B$1248,'Expected Inflation (i)'!C36)</f>
        <v>122.81666666666666</v>
      </c>
      <c r="F36" s="90">
        <f t="shared" si="4"/>
        <v>0.93829189781520561</v>
      </c>
      <c r="G36" s="90">
        <f t="shared" si="0"/>
        <v>1.323374768851461</v>
      </c>
      <c r="H36" s="90">
        <f t="shared" si="1"/>
        <v>-0.6301403731087456</v>
      </c>
      <c r="I36" s="72">
        <f t="shared" si="2"/>
        <v>-1</v>
      </c>
    </row>
    <row r="37" spans="2:9" x14ac:dyDescent="0.25">
      <c r="B37" s="109">
        <f t="shared" si="3"/>
        <v>24</v>
      </c>
      <c r="C37" s="60">
        <v>2014</v>
      </c>
      <c r="D37" s="88">
        <f>AVERAGEIFS('Canadian 10 Year Bond Yield'!$C$12:$C$701,'Canadian 10 Year Bond Yield'!$B$12:$B$701,'Expected Inflation (i)'!C37)</f>
        <v>2.2291666666666665</v>
      </c>
      <c r="E37" s="88">
        <f>AVERAGEIFS('Canadian CPI'!$C$7:$C$1248,'Canadian CPI'!$B$7:$B$1248,'Expected Inflation (i)'!C37)</f>
        <v>125.15833333333336</v>
      </c>
      <c r="F37" s="90">
        <f t="shared" si="4"/>
        <v>1.9066359071787462</v>
      </c>
      <c r="G37" s="90">
        <f t="shared" si="0"/>
        <v>0.32253075948792032</v>
      </c>
      <c r="H37" s="90">
        <f t="shared" si="1"/>
        <v>-0.66264037310874579</v>
      </c>
      <c r="I37" s="72">
        <f t="shared" si="2"/>
        <v>-1</v>
      </c>
    </row>
    <row r="38" spans="2:9" x14ac:dyDescent="0.25">
      <c r="B38" s="109">
        <f t="shared" si="3"/>
        <v>25</v>
      </c>
      <c r="C38" s="60">
        <v>2015</v>
      </c>
      <c r="D38" s="88">
        <f>AVERAGEIFS('Canadian 10 Year Bond Yield'!$C$12:$C$701,'Canadian 10 Year Bond Yield'!$B$12:$B$701,'Expected Inflation (i)'!C38)</f>
        <v>1.5208333333333333</v>
      </c>
      <c r="E38" s="88">
        <f>AVERAGEIFS('Canadian CPI'!$C$7:$C$1248,'Canadian CPI'!$B$7:$B$1248,'Expected Inflation (i)'!C38)</f>
        <v>126.56666666666666</v>
      </c>
      <c r="F38" s="90">
        <f t="shared" si="4"/>
        <v>1.1252413609427814</v>
      </c>
      <c r="G38" s="90">
        <f t="shared" si="0"/>
        <v>0.39559197239055188</v>
      </c>
      <c r="H38" s="90">
        <f t="shared" si="1"/>
        <v>-1.3709737064420791</v>
      </c>
      <c r="I38" s="72">
        <f t="shared" si="2"/>
        <v>-1</v>
      </c>
    </row>
    <row r="39" spans="2:9" x14ac:dyDescent="0.25">
      <c r="B39" s="109">
        <f t="shared" si="3"/>
        <v>26</v>
      </c>
      <c r="C39" s="60">
        <v>2016</v>
      </c>
      <c r="D39" s="88">
        <f>AVERAGEIFS('Canadian 10 Year Bond Yield'!$C$12:$C$701,'Canadian 10 Year Bond Yield'!$B$12:$B$701,'Expected Inflation (i)'!C39)</f>
        <v>1.2516666666666667</v>
      </c>
      <c r="E39" s="88">
        <f>AVERAGEIFS('Canadian CPI'!$C$7:$C$1248,'Canadian CPI'!$B$7:$B$1248,'Expected Inflation (i)'!C39)</f>
        <v>128.37499999999997</v>
      </c>
      <c r="F39" s="90">
        <f t="shared" si="4"/>
        <v>1.4287595470107786</v>
      </c>
      <c r="G39" s="90">
        <f t="shared" si="0"/>
        <v>-0.17709288034411186</v>
      </c>
      <c r="H39" s="90">
        <f t="shared" si="1"/>
        <v>-1.6401403731087456</v>
      </c>
      <c r="I39" s="72">
        <f t="shared" si="2"/>
        <v>-2</v>
      </c>
    </row>
    <row r="41" spans="2:9" x14ac:dyDescent="0.25">
      <c r="F41" s="97" t="s">
        <v>167</v>
      </c>
      <c r="G41" s="98">
        <f>AVERAGE(G15:G39)</f>
        <v>2.8918070397754123</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3" operator="containsText" text="See Memo on TFP Update for Enbridge" id="{9FCF616C-12BE-4423-A561-A6993E5BA3DA}">
            <xm:f>NOT(ISERROR(SEARCH("See Memo on TFP Update for Enbridge",'Capital Stock Calculation'!B2)))</xm:f>
            <x14:dxf>
              <fill>
                <patternFill>
                  <bgColor rgb="FFFFFF00"/>
                </patternFill>
              </fill>
            </x14:dxf>
          </x14:cfRule>
          <xm:sqref>B11:I13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2:LB344"/>
  <sheetViews>
    <sheetView showGridLines="0" zoomScale="75" zoomScaleNormal="75" workbookViewId="0">
      <selection activeCell="C39" sqref="C39"/>
    </sheetView>
  </sheetViews>
  <sheetFormatPr defaultColWidth="9.140625" defaultRowHeight="12.75" x14ac:dyDescent="0.2"/>
  <cols>
    <col min="1" max="1" width="9.140625" style="1"/>
    <col min="2" max="2" width="2.5703125" style="1" customWidth="1"/>
    <col min="3" max="3" width="40.28515625" style="1" customWidth="1"/>
    <col min="4" max="4" width="15" style="1" customWidth="1"/>
    <col min="5" max="26" width="9.140625" style="1"/>
    <col min="27" max="27" width="9.7109375" style="1" customWidth="1"/>
    <col min="28" max="16384" width="9.140625" style="1"/>
  </cols>
  <sheetData>
    <row r="2" spans="2:306" ht="18.75" x14ac:dyDescent="0.3">
      <c r="B2" s="62" t="str">
        <f ca="1">MID(CELL("filename",A1),FIND("]",CELL("filename",A1))+1,256)</f>
        <v>Enbridge Ratings and Yields</v>
      </c>
    </row>
    <row r="4" spans="2:306" ht="15" x14ac:dyDescent="0.25">
      <c r="B4" s="63" t="s">
        <v>69</v>
      </c>
      <c r="C4" s="63"/>
    </row>
    <row r="5" spans="2:306" ht="15" x14ac:dyDescent="0.25">
      <c r="B5" s="64" t="s">
        <v>125</v>
      </c>
      <c r="C5" s="64"/>
    </row>
    <row r="7" spans="2:306" ht="15.75" x14ac:dyDescent="0.25">
      <c r="B7" s="65" t="s">
        <v>132</v>
      </c>
      <c r="C7" s="66"/>
      <c r="D7" s="66"/>
      <c r="E7" s="66"/>
    </row>
    <row r="8" spans="2:306" ht="15" x14ac:dyDescent="0.25">
      <c r="B8" s="67"/>
      <c r="C8" s="68"/>
    </row>
    <row r="9" spans="2:306" ht="15" x14ac:dyDescent="0.25">
      <c r="B9" s="69" t="s">
        <v>71</v>
      </c>
      <c r="C9" s="70"/>
      <c r="D9" s="70" t="s">
        <v>211</v>
      </c>
      <c r="E9" s="70"/>
    </row>
    <row r="11" spans="2:306" ht="15" x14ac:dyDescent="0.2">
      <c r="B11" s="58"/>
      <c r="C11" s="58"/>
      <c r="D11" s="58">
        <v>1992</v>
      </c>
      <c r="E11" s="58">
        <v>1992</v>
      </c>
      <c r="F11" s="58">
        <v>1992</v>
      </c>
      <c r="G11" s="58">
        <v>1992</v>
      </c>
      <c r="H11" s="58">
        <v>1992</v>
      </c>
      <c r="I11" s="58">
        <v>1992</v>
      </c>
      <c r="J11" s="58">
        <v>1992</v>
      </c>
      <c r="K11" s="58">
        <v>1992</v>
      </c>
      <c r="L11" s="58">
        <v>1992</v>
      </c>
      <c r="M11" s="58">
        <v>1992</v>
      </c>
      <c r="N11" s="58">
        <v>1992</v>
      </c>
      <c r="O11" s="58">
        <v>1992</v>
      </c>
      <c r="P11" s="58">
        <v>1993</v>
      </c>
      <c r="Q11" s="58">
        <v>1993</v>
      </c>
      <c r="R11" s="58">
        <v>1993</v>
      </c>
      <c r="S11" s="58">
        <v>1993</v>
      </c>
      <c r="T11" s="58">
        <v>1993</v>
      </c>
      <c r="U11" s="58">
        <v>1993</v>
      </c>
      <c r="V11" s="58">
        <v>1993</v>
      </c>
      <c r="W11" s="58">
        <v>1993</v>
      </c>
      <c r="X11" s="58">
        <v>1993</v>
      </c>
      <c r="Y11" s="58">
        <v>1993</v>
      </c>
      <c r="Z11" s="58">
        <v>1993</v>
      </c>
      <c r="AA11" s="58">
        <v>1993</v>
      </c>
      <c r="AB11" s="58">
        <v>1994</v>
      </c>
      <c r="AC11" s="58">
        <v>1994</v>
      </c>
      <c r="AD11" s="58">
        <v>1994</v>
      </c>
      <c r="AE11" s="58">
        <v>1994</v>
      </c>
      <c r="AF11" s="58">
        <v>1994</v>
      </c>
      <c r="AG11" s="58">
        <v>1994</v>
      </c>
      <c r="AH11" s="58">
        <v>1994</v>
      </c>
      <c r="AI11" s="58">
        <v>1994</v>
      </c>
      <c r="AJ11" s="58">
        <v>1994</v>
      </c>
      <c r="AK11" s="58">
        <v>1994</v>
      </c>
      <c r="AL11" s="58">
        <v>1994</v>
      </c>
      <c r="AM11" s="58">
        <v>1994</v>
      </c>
      <c r="AN11" s="58">
        <v>1995</v>
      </c>
      <c r="AO11" s="58">
        <v>1995</v>
      </c>
      <c r="AP11" s="58">
        <v>1995</v>
      </c>
      <c r="AQ11" s="58">
        <v>1995</v>
      </c>
      <c r="AR11" s="58">
        <v>1995</v>
      </c>
      <c r="AS11" s="58">
        <v>1995</v>
      </c>
      <c r="AT11" s="58">
        <v>1995</v>
      </c>
      <c r="AU11" s="58">
        <v>1995</v>
      </c>
      <c r="AV11" s="58">
        <v>1995</v>
      </c>
      <c r="AW11" s="58">
        <v>1995</v>
      </c>
      <c r="AX11" s="58">
        <v>1995</v>
      </c>
      <c r="AY11" s="58">
        <v>1995</v>
      </c>
      <c r="AZ11" s="58">
        <v>1996</v>
      </c>
      <c r="BA11" s="58">
        <v>1996</v>
      </c>
      <c r="BB11" s="58">
        <v>1996</v>
      </c>
      <c r="BC11" s="58">
        <v>1996</v>
      </c>
      <c r="BD11" s="58">
        <v>1996</v>
      </c>
      <c r="BE11" s="58">
        <v>1996</v>
      </c>
      <c r="BF11" s="58">
        <v>1996</v>
      </c>
      <c r="BG11" s="58">
        <v>1996</v>
      </c>
      <c r="BH11" s="58">
        <v>1996</v>
      </c>
      <c r="BI11" s="58">
        <v>1996</v>
      </c>
      <c r="BJ11" s="58">
        <v>1996</v>
      </c>
      <c r="BK11" s="58">
        <v>1996</v>
      </c>
      <c r="BL11" s="58">
        <v>1997</v>
      </c>
      <c r="BM11" s="58">
        <v>1997</v>
      </c>
      <c r="BN11" s="58">
        <v>1997</v>
      </c>
      <c r="BO11" s="58">
        <v>1997</v>
      </c>
      <c r="BP11" s="58">
        <v>1997</v>
      </c>
      <c r="BQ11" s="58">
        <v>1997</v>
      </c>
      <c r="BR11" s="58">
        <v>1997</v>
      </c>
      <c r="BS11" s="58">
        <v>1997</v>
      </c>
      <c r="BT11" s="58">
        <v>1997</v>
      </c>
      <c r="BU11" s="58">
        <v>1997</v>
      </c>
      <c r="BV11" s="58">
        <v>1997</v>
      </c>
      <c r="BW11" s="58">
        <v>1997</v>
      </c>
      <c r="BX11" s="58">
        <v>1998</v>
      </c>
      <c r="BY11" s="58">
        <v>1998</v>
      </c>
      <c r="BZ11" s="58">
        <v>1998</v>
      </c>
      <c r="CA11" s="58">
        <v>1998</v>
      </c>
      <c r="CB11" s="58">
        <v>1998</v>
      </c>
      <c r="CC11" s="58">
        <v>1998</v>
      </c>
      <c r="CD11" s="58">
        <v>1998</v>
      </c>
      <c r="CE11" s="58">
        <v>1998</v>
      </c>
      <c r="CF11" s="58">
        <v>1998</v>
      </c>
      <c r="CG11" s="58">
        <v>1998</v>
      </c>
      <c r="CH11" s="58">
        <v>1998</v>
      </c>
      <c r="CI11" s="58">
        <v>1998</v>
      </c>
      <c r="CJ11" s="58">
        <v>1999</v>
      </c>
      <c r="CK11" s="58">
        <v>1999</v>
      </c>
      <c r="CL11" s="58">
        <v>1999</v>
      </c>
      <c r="CM11" s="58">
        <v>1999</v>
      </c>
      <c r="CN11" s="58">
        <v>1999</v>
      </c>
      <c r="CO11" s="58">
        <v>1999</v>
      </c>
      <c r="CP11" s="58">
        <v>1999</v>
      </c>
      <c r="CQ11" s="58">
        <v>1999</v>
      </c>
      <c r="CR11" s="58">
        <v>1999</v>
      </c>
      <c r="CS11" s="58">
        <v>1999</v>
      </c>
      <c r="CT11" s="58">
        <v>1999</v>
      </c>
      <c r="CU11" s="58">
        <v>1999</v>
      </c>
      <c r="CV11" s="58">
        <v>2000</v>
      </c>
      <c r="CW11" s="58">
        <v>2000</v>
      </c>
      <c r="CX11" s="58">
        <v>2000</v>
      </c>
      <c r="CY11" s="58">
        <v>2000</v>
      </c>
      <c r="CZ11" s="58">
        <v>2000</v>
      </c>
      <c r="DA11" s="58">
        <v>2000</v>
      </c>
      <c r="DB11" s="58">
        <v>2000</v>
      </c>
      <c r="DC11" s="58">
        <v>2000</v>
      </c>
      <c r="DD11" s="58">
        <v>2000</v>
      </c>
      <c r="DE11" s="58">
        <v>2000</v>
      </c>
      <c r="DF11" s="58">
        <v>2000</v>
      </c>
      <c r="DG11" s="58">
        <v>2000</v>
      </c>
      <c r="DH11" s="58">
        <v>2001</v>
      </c>
      <c r="DI11" s="58">
        <v>2001</v>
      </c>
      <c r="DJ11" s="58">
        <v>2001</v>
      </c>
      <c r="DK11" s="58">
        <v>2001</v>
      </c>
      <c r="DL11" s="58">
        <v>2001</v>
      </c>
      <c r="DM11" s="58">
        <v>2001</v>
      </c>
      <c r="DN11" s="58">
        <v>2001</v>
      </c>
      <c r="DO11" s="58">
        <v>2001</v>
      </c>
      <c r="DP11" s="58">
        <v>2001</v>
      </c>
      <c r="DQ11" s="58">
        <v>2001</v>
      </c>
      <c r="DR11" s="58">
        <v>2001</v>
      </c>
      <c r="DS11" s="58">
        <v>2001</v>
      </c>
      <c r="DT11" s="58">
        <v>2002</v>
      </c>
      <c r="DU11" s="58">
        <v>2002</v>
      </c>
      <c r="DV11" s="58">
        <v>2002</v>
      </c>
      <c r="DW11" s="58">
        <v>2002</v>
      </c>
      <c r="DX11" s="58">
        <v>2002</v>
      </c>
      <c r="DY11" s="58">
        <v>2002</v>
      </c>
      <c r="DZ11" s="58">
        <v>2002</v>
      </c>
      <c r="EA11" s="58">
        <v>2002</v>
      </c>
      <c r="EB11" s="58">
        <v>2002</v>
      </c>
      <c r="EC11" s="58">
        <v>2002</v>
      </c>
      <c r="ED11" s="58">
        <v>2002</v>
      </c>
      <c r="EE11" s="58">
        <v>2002</v>
      </c>
      <c r="EF11" s="58">
        <v>2003</v>
      </c>
      <c r="EG11" s="58">
        <v>2003</v>
      </c>
      <c r="EH11" s="58">
        <v>2003</v>
      </c>
      <c r="EI11" s="58">
        <v>2003</v>
      </c>
      <c r="EJ11" s="58">
        <v>2003</v>
      </c>
      <c r="EK11" s="58">
        <v>2003</v>
      </c>
      <c r="EL11" s="58">
        <v>2003</v>
      </c>
      <c r="EM11" s="58">
        <v>2003</v>
      </c>
      <c r="EN11" s="58">
        <v>2003</v>
      </c>
      <c r="EO11" s="58">
        <v>2003</v>
      </c>
      <c r="EP11" s="58">
        <v>2003</v>
      </c>
      <c r="EQ11" s="58">
        <v>2003</v>
      </c>
      <c r="ER11" s="58">
        <v>2004</v>
      </c>
      <c r="ES11" s="58">
        <v>2004</v>
      </c>
      <c r="ET11" s="58">
        <v>2004</v>
      </c>
      <c r="EU11" s="58">
        <v>2004</v>
      </c>
      <c r="EV11" s="58">
        <v>2004</v>
      </c>
      <c r="EW11" s="58">
        <v>2004</v>
      </c>
      <c r="EX11" s="58">
        <v>2004</v>
      </c>
      <c r="EY11" s="58">
        <v>2004</v>
      </c>
      <c r="EZ11" s="58">
        <v>2004</v>
      </c>
      <c r="FA11" s="58">
        <v>2004</v>
      </c>
      <c r="FB11" s="58">
        <v>2004</v>
      </c>
      <c r="FC11" s="58">
        <v>2004</v>
      </c>
      <c r="FD11" s="58">
        <v>2005</v>
      </c>
      <c r="FE11" s="58">
        <v>2005</v>
      </c>
      <c r="FF11" s="58">
        <v>2005</v>
      </c>
      <c r="FG11" s="58">
        <v>2005</v>
      </c>
      <c r="FH11" s="58">
        <v>2005</v>
      </c>
      <c r="FI11" s="58">
        <v>2005</v>
      </c>
      <c r="FJ11" s="58">
        <v>2005</v>
      </c>
      <c r="FK11" s="58">
        <v>2005</v>
      </c>
      <c r="FL11" s="58">
        <v>2005</v>
      </c>
      <c r="FM11" s="58">
        <v>2005</v>
      </c>
      <c r="FN11" s="58">
        <v>2005</v>
      </c>
      <c r="FO11" s="58">
        <v>2005</v>
      </c>
      <c r="FP11" s="58">
        <v>2006</v>
      </c>
      <c r="FQ11" s="58">
        <v>2006</v>
      </c>
      <c r="FR11" s="58">
        <v>2006</v>
      </c>
      <c r="FS11" s="58">
        <v>2006</v>
      </c>
      <c r="FT11" s="58">
        <v>2006</v>
      </c>
      <c r="FU11" s="58">
        <v>2006</v>
      </c>
      <c r="FV11" s="58">
        <v>2006</v>
      </c>
      <c r="FW11" s="58">
        <v>2006</v>
      </c>
      <c r="FX11" s="58">
        <v>2006</v>
      </c>
      <c r="FY11" s="58">
        <v>2006</v>
      </c>
      <c r="FZ11" s="58">
        <v>2006</v>
      </c>
      <c r="GA11" s="58">
        <v>2006</v>
      </c>
      <c r="GB11" s="58">
        <v>2007</v>
      </c>
      <c r="GC11" s="58">
        <v>2007</v>
      </c>
      <c r="GD11" s="58">
        <v>2007</v>
      </c>
      <c r="GE11" s="58">
        <v>2007</v>
      </c>
      <c r="GF11" s="58">
        <v>2007</v>
      </c>
      <c r="GG11" s="58">
        <v>2007</v>
      </c>
      <c r="GH11" s="58">
        <v>2007</v>
      </c>
      <c r="GI11" s="58">
        <v>2007</v>
      </c>
      <c r="GJ11" s="58">
        <v>2007</v>
      </c>
      <c r="GK11" s="58">
        <v>2007</v>
      </c>
      <c r="GL11" s="58">
        <v>2007</v>
      </c>
      <c r="GM11" s="58">
        <v>2007</v>
      </c>
      <c r="GN11" s="58">
        <v>2008</v>
      </c>
      <c r="GO11" s="58">
        <v>2008</v>
      </c>
      <c r="GP11" s="58">
        <v>2008</v>
      </c>
      <c r="GQ11" s="58">
        <v>2008</v>
      </c>
      <c r="GR11" s="58">
        <v>2008</v>
      </c>
      <c r="GS11" s="58">
        <v>2008</v>
      </c>
      <c r="GT11" s="58">
        <v>2008</v>
      </c>
      <c r="GU11" s="58">
        <v>2008</v>
      </c>
      <c r="GV11" s="58">
        <v>2008</v>
      </c>
      <c r="GW11" s="58">
        <v>2008</v>
      </c>
      <c r="GX11" s="58">
        <v>2008</v>
      </c>
      <c r="GY11" s="58">
        <v>2008</v>
      </c>
      <c r="GZ11" s="58">
        <v>2009</v>
      </c>
      <c r="HA11" s="58">
        <v>2009</v>
      </c>
      <c r="HB11" s="58">
        <v>2009</v>
      </c>
      <c r="HC11" s="58">
        <v>2009</v>
      </c>
      <c r="HD11" s="58">
        <v>2009</v>
      </c>
      <c r="HE11" s="58">
        <v>2009</v>
      </c>
      <c r="HF11" s="58">
        <v>2009</v>
      </c>
      <c r="HG11" s="58">
        <v>2009</v>
      </c>
      <c r="HH11" s="58">
        <v>2009</v>
      </c>
      <c r="HI11" s="58">
        <v>2009</v>
      </c>
      <c r="HJ11" s="58">
        <v>2009</v>
      </c>
      <c r="HK11" s="58">
        <v>2009</v>
      </c>
      <c r="HL11" s="58">
        <v>2010</v>
      </c>
      <c r="HM11" s="58">
        <v>2010</v>
      </c>
      <c r="HN11" s="58">
        <v>2010</v>
      </c>
      <c r="HO11" s="58">
        <v>2010</v>
      </c>
      <c r="HP11" s="58">
        <v>2010</v>
      </c>
      <c r="HQ11" s="58">
        <v>2010</v>
      </c>
      <c r="HR11" s="58">
        <v>2010</v>
      </c>
      <c r="HS11" s="58">
        <v>2010</v>
      </c>
      <c r="HT11" s="58">
        <v>2010</v>
      </c>
      <c r="HU11" s="58">
        <v>2010</v>
      </c>
      <c r="HV11" s="58">
        <v>2010</v>
      </c>
      <c r="HW11" s="58">
        <v>2010</v>
      </c>
      <c r="HX11" s="58">
        <v>2011</v>
      </c>
      <c r="HY11" s="58">
        <v>2011</v>
      </c>
      <c r="HZ11" s="58">
        <v>2011</v>
      </c>
      <c r="IA11" s="58">
        <v>2011</v>
      </c>
      <c r="IB11" s="58">
        <v>2011</v>
      </c>
      <c r="IC11" s="58">
        <v>2011</v>
      </c>
      <c r="ID11" s="58">
        <v>2011</v>
      </c>
      <c r="IE11" s="58">
        <v>2011</v>
      </c>
      <c r="IF11" s="58">
        <v>2011</v>
      </c>
      <c r="IG11" s="58">
        <v>2011</v>
      </c>
      <c r="IH11" s="58">
        <v>2011</v>
      </c>
      <c r="II11" s="58">
        <v>2011</v>
      </c>
      <c r="IJ11" s="58">
        <v>2012</v>
      </c>
      <c r="IK11" s="58">
        <v>2012</v>
      </c>
      <c r="IL11" s="58">
        <v>2012</v>
      </c>
      <c r="IM11" s="58">
        <v>2012</v>
      </c>
      <c r="IN11" s="58">
        <v>2012</v>
      </c>
      <c r="IO11" s="58">
        <v>2012</v>
      </c>
      <c r="IP11" s="58">
        <v>2012</v>
      </c>
      <c r="IQ11" s="58">
        <v>2012</v>
      </c>
      <c r="IR11" s="58">
        <v>2012</v>
      </c>
      <c r="IS11" s="58">
        <v>2012</v>
      </c>
      <c r="IT11" s="58">
        <v>2012</v>
      </c>
      <c r="IU11" s="58">
        <v>2012</v>
      </c>
      <c r="IV11" s="58">
        <v>2013</v>
      </c>
      <c r="IW11" s="58">
        <v>2013</v>
      </c>
      <c r="IX11" s="58">
        <v>2013</v>
      </c>
      <c r="IY11" s="58">
        <v>2013</v>
      </c>
      <c r="IZ11" s="58">
        <v>2013</v>
      </c>
      <c r="JA11" s="58">
        <v>2013</v>
      </c>
      <c r="JB11" s="58">
        <v>2013</v>
      </c>
      <c r="JC11" s="58">
        <v>2013</v>
      </c>
      <c r="JD11" s="58">
        <v>2013</v>
      </c>
      <c r="JE11" s="58">
        <v>2013</v>
      </c>
      <c r="JF11" s="58">
        <v>2013</v>
      </c>
      <c r="JG11" s="58">
        <v>2013</v>
      </c>
      <c r="JH11" s="58">
        <v>2014</v>
      </c>
      <c r="JI11" s="58">
        <v>2014</v>
      </c>
      <c r="JJ11" s="58">
        <v>2014</v>
      </c>
      <c r="JK11" s="58">
        <v>2014</v>
      </c>
      <c r="JL11" s="58">
        <v>2014</v>
      </c>
      <c r="JM11" s="58">
        <v>2014</v>
      </c>
      <c r="JN11" s="58">
        <v>2014</v>
      </c>
      <c r="JO11" s="58">
        <v>2014</v>
      </c>
      <c r="JP11" s="58">
        <v>2014</v>
      </c>
      <c r="JQ11" s="58">
        <v>2014</v>
      </c>
      <c r="JR11" s="58">
        <v>2014</v>
      </c>
      <c r="JS11" s="58">
        <v>2014</v>
      </c>
      <c r="JT11" s="58">
        <v>2015</v>
      </c>
      <c r="JU11" s="58">
        <v>2015</v>
      </c>
      <c r="JV11" s="58">
        <v>2015</v>
      </c>
      <c r="JW11" s="58">
        <v>2015</v>
      </c>
      <c r="JX11" s="58">
        <v>2015</v>
      </c>
      <c r="JY11" s="58">
        <v>2015</v>
      </c>
      <c r="JZ11" s="58">
        <v>2015</v>
      </c>
      <c r="KA11" s="58">
        <v>2015</v>
      </c>
      <c r="KB11" s="58">
        <v>2015</v>
      </c>
      <c r="KC11" s="58">
        <v>2015</v>
      </c>
      <c r="KD11" s="58">
        <v>2015</v>
      </c>
      <c r="KE11" s="58">
        <v>2015</v>
      </c>
      <c r="KF11" s="58">
        <v>2016</v>
      </c>
      <c r="KG11" s="58">
        <v>2016</v>
      </c>
      <c r="KH11" s="58">
        <v>2016</v>
      </c>
      <c r="KI11" s="58">
        <v>2016</v>
      </c>
      <c r="KJ11" s="58">
        <v>2016</v>
      </c>
      <c r="KK11" s="58">
        <v>2016</v>
      </c>
      <c r="KL11" s="58">
        <v>2016</v>
      </c>
      <c r="KM11" s="58">
        <v>2016</v>
      </c>
      <c r="KN11" s="58">
        <v>2016</v>
      </c>
      <c r="KO11" s="58">
        <v>2016</v>
      </c>
      <c r="KP11" s="58">
        <v>2016</v>
      </c>
      <c r="KQ11" s="58">
        <v>2016</v>
      </c>
      <c r="KS11" s="82" t="s">
        <v>116</v>
      </c>
      <c r="KT11" s="83"/>
    </row>
    <row r="12" spans="2:306" ht="15" x14ac:dyDescent="0.2">
      <c r="B12" s="58"/>
      <c r="C12" s="58"/>
      <c r="D12" s="58">
        <v>1</v>
      </c>
      <c r="E12" s="58">
        <v>2</v>
      </c>
      <c r="F12" s="58">
        <v>3</v>
      </c>
      <c r="G12" s="58">
        <v>4</v>
      </c>
      <c r="H12" s="58">
        <v>5</v>
      </c>
      <c r="I12" s="58">
        <v>6</v>
      </c>
      <c r="J12" s="58">
        <v>7</v>
      </c>
      <c r="K12" s="58">
        <v>8</v>
      </c>
      <c r="L12" s="58">
        <v>9</v>
      </c>
      <c r="M12" s="58">
        <v>10</v>
      </c>
      <c r="N12" s="58">
        <v>11</v>
      </c>
      <c r="O12" s="58">
        <v>12</v>
      </c>
      <c r="P12" s="58">
        <v>1</v>
      </c>
      <c r="Q12" s="58">
        <v>2</v>
      </c>
      <c r="R12" s="58">
        <v>3</v>
      </c>
      <c r="S12" s="58">
        <v>4</v>
      </c>
      <c r="T12" s="58">
        <v>5</v>
      </c>
      <c r="U12" s="58">
        <v>6</v>
      </c>
      <c r="V12" s="58">
        <v>7</v>
      </c>
      <c r="W12" s="58">
        <v>8</v>
      </c>
      <c r="X12" s="58">
        <v>9</v>
      </c>
      <c r="Y12" s="58">
        <v>10</v>
      </c>
      <c r="Z12" s="58">
        <v>11</v>
      </c>
      <c r="AA12" s="58">
        <v>12</v>
      </c>
      <c r="AB12" s="58">
        <v>1</v>
      </c>
      <c r="AC12" s="58">
        <v>2</v>
      </c>
      <c r="AD12" s="58">
        <v>3</v>
      </c>
      <c r="AE12" s="58">
        <v>4</v>
      </c>
      <c r="AF12" s="58">
        <v>5</v>
      </c>
      <c r="AG12" s="58">
        <v>6</v>
      </c>
      <c r="AH12" s="58">
        <v>7</v>
      </c>
      <c r="AI12" s="58">
        <v>8</v>
      </c>
      <c r="AJ12" s="58">
        <v>9</v>
      </c>
      <c r="AK12" s="58">
        <v>10</v>
      </c>
      <c r="AL12" s="58">
        <v>11</v>
      </c>
      <c r="AM12" s="58">
        <v>12</v>
      </c>
      <c r="AN12" s="58">
        <v>1</v>
      </c>
      <c r="AO12" s="58">
        <v>2</v>
      </c>
      <c r="AP12" s="58">
        <v>3</v>
      </c>
      <c r="AQ12" s="58">
        <v>4</v>
      </c>
      <c r="AR12" s="58">
        <v>5</v>
      </c>
      <c r="AS12" s="58">
        <v>6</v>
      </c>
      <c r="AT12" s="58">
        <v>7</v>
      </c>
      <c r="AU12" s="58">
        <v>8</v>
      </c>
      <c r="AV12" s="58">
        <v>9</v>
      </c>
      <c r="AW12" s="58">
        <v>10</v>
      </c>
      <c r="AX12" s="58">
        <v>11</v>
      </c>
      <c r="AY12" s="58">
        <v>12</v>
      </c>
      <c r="AZ12" s="58">
        <v>1</v>
      </c>
      <c r="BA12" s="58">
        <v>2</v>
      </c>
      <c r="BB12" s="58">
        <v>3</v>
      </c>
      <c r="BC12" s="58">
        <v>4</v>
      </c>
      <c r="BD12" s="58">
        <v>5</v>
      </c>
      <c r="BE12" s="58">
        <v>6</v>
      </c>
      <c r="BF12" s="58">
        <v>7</v>
      </c>
      <c r="BG12" s="58">
        <v>8</v>
      </c>
      <c r="BH12" s="58">
        <v>9</v>
      </c>
      <c r="BI12" s="58">
        <v>10</v>
      </c>
      <c r="BJ12" s="58">
        <v>11</v>
      </c>
      <c r="BK12" s="58">
        <v>12</v>
      </c>
      <c r="BL12" s="58">
        <v>1</v>
      </c>
      <c r="BM12" s="58">
        <v>2</v>
      </c>
      <c r="BN12" s="58">
        <v>3</v>
      </c>
      <c r="BO12" s="58">
        <v>4</v>
      </c>
      <c r="BP12" s="58">
        <v>5</v>
      </c>
      <c r="BQ12" s="58">
        <v>6</v>
      </c>
      <c r="BR12" s="58">
        <v>7</v>
      </c>
      <c r="BS12" s="58">
        <v>8</v>
      </c>
      <c r="BT12" s="58">
        <v>9</v>
      </c>
      <c r="BU12" s="58">
        <v>10</v>
      </c>
      <c r="BV12" s="58">
        <v>11</v>
      </c>
      <c r="BW12" s="58">
        <v>12</v>
      </c>
      <c r="BX12" s="58">
        <v>1</v>
      </c>
      <c r="BY12" s="58">
        <v>2</v>
      </c>
      <c r="BZ12" s="58">
        <v>3</v>
      </c>
      <c r="CA12" s="58">
        <v>4</v>
      </c>
      <c r="CB12" s="58">
        <v>5</v>
      </c>
      <c r="CC12" s="58">
        <v>6</v>
      </c>
      <c r="CD12" s="58">
        <v>7</v>
      </c>
      <c r="CE12" s="58">
        <v>8</v>
      </c>
      <c r="CF12" s="58">
        <v>9</v>
      </c>
      <c r="CG12" s="58">
        <v>10</v>
      </c>
      <c r="CH12" s="58">
        <v>11</v>
      </c>
      <c r="CI12" s="58">
        <v>12</v>
      </c>
      <c r="CJ12" s="58">
        <v>1</v>
      </c>
      <c r="CK12" s="58">
        <v>2</v>
      </c>
      <c r="CL12" s="58">
        <v>3</v>
      </c>
      <c r="CM12" s="58">
        <v>4</v>
      </c>
      <c r="CN12" s="58">
        <v>5</v>
      </c>
      <c r="CO12" s="58">
        <v>6</v>
      </c>
      <c r="CP12" s="58">
        <v>7</v>
      </c>
      <c r="CQ12" s="58">
        <v>8</v>
      </c>
      <c r="CR12" s="58">
        <v>9</v>
      </c>
      <c r="CS12" s="58">
        <v>10</v>
      </c>
      <c r="CT12" s="58">
        <v>11</v>
      </c>
      <c r="CU12" s="58">
        <v>12</v>
      </c>
      <c r="CV12" s="58">
        <v>1</v>
      </c>
      <c r="CW12" s="58">
        <v>2</v>
      </c>
      <c r="CX12" s="58">
        <v>3</v>
      </c>
      <c r="CY12" s="58">
        <v>4</v>
      </c>
      <c r="CZ12" s="58">
        <v>5</v>
      </c>
      <c r="DA12" s="58">
        <v>6</v>
      </c>
      <c r="DB12" s="58">
        <v>7</v>
      </c>
      <c r="DC12" s="58">
        <v>8</v>
      </c>
      <c r="DD12" s="58">
        <v>9</v>
      </c>
      <c r="DE12" s="58">
        <v>10</v>
      </c>
      <c r="DF12" s="58">
        <v>11</v>
      </c>
      <c r="DG12" s="58">
        <v>12</v>
      </c>
      <c r="DH12" s="58">
        <v>1</v>
      </c>
      <c r="DI12" s="58">
        <v>2</v>
      </c>
      <c r="DJ12" s="58">
        <v>3</v>
      </c>
      <c r="DK12" s="58">
        <v>4</v>
      </c>
      <c r="DL12" s="58">
        <v>5</v>
      </c>
      <c r="DM12" s="58">
        <v>6</v>
      </c>
      <c r="DN12" s="58">
        <v>7</v>
      </c>
      <c r="DO12" s="58">
        <v>8</v>
      </c>
      <c r="DP12" s="58">
        <v>9</v>
      </c>
      <c r="DQ12" s="58">
        <v>10</v>
      </c>
      <c r="DR12" s="58">
        <v>11</v>
      </c>
      <c r="DS12" s="58">
        <v>12</v>
      </c>
      <c r="DT12" s="58">
        <v>1</v>
      </c>
      <c r="DU12" s="58">
        <v>2</v>
      </c>
      <c r="DV12" s="58">
        <v>3</v>
      </c>
      <c r="DW12" s="58">
        <v>4</v>
      </c>
      <c r="DX12" s="58">
        <v>5</v>
      </c>
      <c r="DY12" s="58">
        <v>6</v>
      </c>
      <c r="DZ12" s="58">
        <v>7</v>
      </c>
      <c r="EA12" s="58">
        <v>8</v>
      </c>
      <c r="EB12" s="58">
        <v>9</v>
      </c>
      <c r="EC12" s="58">
        <v>10</v>
      </c>
      <c r="ED12" s="58">
        <v>11</v>
      </c>
      <c r="EE12" s="58">
        <v>12</v>
      </c>
      <c r="EF12" s="58">
        <v>1</v>
      </c>
      <c r="EG12" s="58">
        <v>2</v>
      </c>
      <c r="EH12" s="58">
        <v>3</v>
      </c>
      <c r="EI12" s="58">
        <v>4</v>
      </c>
      <c r="EJ12" s="58">
        <v>5</v>
      </c>
      <c r="EK12" s="58">
        <v>6</v>
      </c>
      <c r="EL12" s="58">
        <v>7</v>
      </c>
      <c r="EM12" s="58">
        <v>8</v>
      </c>
      <c r="EN12" s="58">
        <v>9</v>
      </c>
      <c r="EO12" s="58">
        <v>10</v>
      </c>
      <c r="EP12" s="58">
        <v>11</v>
      </c>
      <c r="EQ12" s="58">
        <v>12</v>
      </c>
      <c r="ER12" s="58">
        <v>1</v>
      </c>
      <c r="ES12" s="58">
        <v>2</v>
      </c>
      <c r="ET12" s="58">
        <v>3</v>
      </c>
      <c r="EU12" s="58">
        <v>4</v>
      </c>
      <c r="EV12" s="58">
        <v>5</v>
      </c>
      <c r="EW12" s="58">
        <v>6</v>
      </c>
      <c r="EX12" s="58">
        <v>7</v>
      </c>
      <c r="EY12" s="58">
        <v>8</v>
      </c>
      <c r="EZ12" s="58">
        <v>9</v>
      </c>
      <c r="FA12" s="58">
        <v>10</v>
      </c>
      <c r="FB12" s="58">
        <v>11</v>
      </c>
      <c r="FC12" s="58">
        <v>12</v>
      </c>
      <c r="FD12" s="58">
        <v>1</v>
      </c>
      <c r="FE12" s="58">
        <v>2</v>
      </c>
      <c r="FF12" s="58">
        <v>3</v>
      </c>
      <c r="FG12" s="58">
        <v>4</v>
      </c>
      <c r="FH12" s="58">
        <v>5</v>
      </c>
      <c r="FI12" s="58">
        <v>6</v>
      </c>
      <c r="FJ12" s="58">
        <v>7</v>
      </c>
      <c r="FK12" s="58">
        <v>8</v>
      </c>
      <c r="FL12" s="58">
        <v>9</v>
      </c>
      <c r="FM12" s="58">
        <v>10</v>
      </c>
      <c r="FN12" s="58">
        <v>11</v>
      </c>
      <c r="FO12" s="58">
        <v>12</v>
      </c>
      <c r="FP12" s="58">
        <v>1</v>
      </c>
      <c r="FQ12" s="58">
        <v>2</v>
      </c>
      <c r="FR12" s="58">
        <v>3</v>
      </c>
      <c r="FS12" s="58">
        <v>4</v>
      </c>
      <c r="FT12" s="58">
        <v>5</v>
      </c>
      <c r="FU12" s="58">
        <v>6</v>
      </c>
      <c r="FV12" s="58">
        <v>7</v>
      </c>
      <c r="FW12" s="58">
        <v>8</v>
      </c>
      <c r="FX12" s="58">
        <v>9</v>
      </c>
      <c r="FY12" s="58">
        <v>10</v>
      </c>
      <c r="FZ12" s="58">
        <v>11</v>
      </c>
      <c r="GA12" s="58">
        <v>12</v>
      </c>
      <c r="GB12" s="58">
        <v>1</v>
      </c>
      <c r="GC12" s="58">
        <v>2</v>
      </c>
      <c r="GD12" s="58">
        <v>3</v>
      </c>
      <c r="GE12" s="58">
        <v>4</v>
      </c>
      <c r="GF12" s="58">
        <v>5</v>
      </c>
      <c r="GG12" s="58">
        <v>6</v>
      </c>
      <c r="GH12" s="58">
        <v>7</v>
      </c>
      <c r="GI12" s="58">
        <v>8</v>
      </c>
      <c r="GJ12" s="58">
        <v>9</v>
      </c>
      <c r="GK12" s="58">
        <v>10</v>
      </c>
      <c r="GL12" s="58">
        <v>11</v>
      </c>
      <c r="GM12" s="58">
        <v>12</v>
      </c>
      <c r="GN12" s="58">
        <v>1</v>
      </c>
      <c r="GO12" s="58">
        <v>2</v>
      </c>
      <c r="GP12" s="58">
        <v>3</v>
      </c>
      <c r="GQ12" s="58">
        <v>4</v>
      </c>
      <c r="GR12" s="58">
        <v>5</v>
      </c>
      <c r="GS12" s="58">
        <v>6</v>
      </c>
      <c r="GT12" s="58">
        <v>7</v>
      </c>
      <c r="GU12" s="58">
        <v>8</v>
      </c>
      <c r="GV12" s="58">
        <v>9</v>
      </c>
      <c r="GW12" s="58">
        <v>10</v>
      </c>
      <c r="GX12" s="58">
        <v>11</v>
      </c>
      <c r="GY12" s="58">
        <v>12</v>
      </c>
      <c r="GZ12" s="58">
        <v>1</v>
      </c>
      <c r="HA12" s="58">
        <v>2</v>
      </c>
      <c r="HB12" s="58">
        <v>3</v>
      </c>
      <c r="HC12" s="58">
        <v>4</v>
      </c>
      <c r="HD12" s="58">
        <v>5</v>
      </c>
      <c r="HE12" s="58">
        <v>6</v>
      </c>
      <c r="HF12" s="58">
        <v>7</v>
      </c>
      <c r="HG12" s="58">
        <v>8</v>
      </c>
      <c r="HH12" s="58">
        <v>9</v>
      </c>
      <c r="HI12" s="58">
        <v>10</v>
      </c>
      <c r="HJ12" s="58">
        <v>11</v>
      </c>
      <c r="HK12" s="58">
        <v>12</v>
      </c>
      <c r="HL12" s="58">
        <v>1</v>
      </c>
      <c r="HM12" s="58">
        <v>2</v>
      </c>
      <c r="HN12" s="58">
        <v>3</v>
      </c>
      <c r="HO12" s="58">
        <v>4</v>
      </c>
      <c r="HP12" s="58">
        <v>5</v>
      </c>
      <c r="HQ12" s="58">
        <v>6</v>
      </c>
      <c r="HR12" s="58">
        <v>7</v>
      </c>
      <c r="HS12" s="58">
        <v>8</v>
      </c>
      <c r="HT12" s="58">
        <v>9</v>
      </c>
      <c r="HU12" s="58">
        <v>10</v>
      </c>
      <c r="HV12" s="58">
        <v>11</v>
      </c>
      <c r="HW12" s="58">
        <v>12</v>
      </c>
      <c r="HX12" s="58">
        <v>1</v>
      </c>
      <c r="HY12" s="58">
        <v>2</v>
      </c>
      <c r="HZ12" s="58">
        <v>3</v>
      </c>
      <c r="IA12" s="58">
        <v>4</v>
      </c>
      <c r="IB12" s="58">
        <v>5</v>
      </c>
      <c r="IC12" s="58">
        <v>6</v>
      </c>
      <c r="ID12" s="58">
        <v>7</v>
      </c>
      <c r="IE12" s="58">
        <v>8</v>
      </c>
      <c r="IF12" s="58">
        <v>9</v>
      </c>
      <c r="IG12" s="58">
        <v>10</v>
      </c>
      <c r="IH12" s="58">
        <v>11</v>
      </c>
      <c r="II12" s="58">
        <v>12</v>
      </c>
      <c r="IJ12" s="58">
        <v>1</v>
      </c>
      <c r="IK12" s="58">
        <v>2</v>
      </c>
      <c r="IL12" s="58">
        <v>3</v>
      </c>
      <c r="IM12" s="58">
        <v>4</v>
      </c>
      <c r="IN12" s="58">
        <v>5</v>
      </c>
      <c r="IO12" s="58">
        <v>6</v>
      </c>
      <c r="IP12" s="58">
        <v>7</v>
      </c>
      <c r="IQ12" s="58">
        <v>8</v>
      </c>
      <c r="IR12" s="58">
        <v>9</v>
      </c>
      <c r="IS12" s="58">
        <v>10</v>
      </c>
      <c r="IT12" s="58">
        <v>11</v>
      </c>
      <c r="IU12" s="58">
        <v>12</v>
      </c>
      <c r="IV12" s="58">
        <v>1</v>
      </c>
      <c r="IW12" s="58">
        <v>2</v>
      </c>
      <c r="IX12" s="58">
        <v>3</v>
      </c>
      <c r="IY12" s="58">
        <v>4</v>
      </c>
      <c r="IZ12" s="58">
        <v>5</v>
      </c>
      <c r="JA12" s="58">
        <v>6</v>
      </c>
      <c r="JB12" s="58">
        <v>7</v>
      </c>
      <c r="JC12" s="58">
        <v>8</v>
      </c>
      <c r="JD12" s="58">
        <v>9</v>
      </c>
      <c r="JE12" s="58">
        <v>10</v>
      </c>
      <c r="JF12" s="58">
        <v>11</v>
      </c>
      <c r="JG12" s="58">
        <v>12</v>
      </c>
      <c r="JH12" s="58">
        <v>1</v>
      </c>
      <c r="JI12" s="58">
        <v>2</v>
      </c>
      <c r="JJ12" s="58">
        <v>3</v>
      </c>
      <c r="JK12" s="58">
        <v>4</v>
      </c>
      <c r="JL12" s="58">
        <v>5</v>
      </c>
      <c r="JM12" s="58">
        <v>6</v>
      </c>
      <c r="JN12" s="58">
        <v>7</v>
      </c>
      <c r="JO12" s="58">
        <v>8</v>
      </c>
      <c r="JP12" s="58">
        <v>9</v>
      </c>
      <c r="JQ12" s="58">
        <v>10</v>
      </c>
      <c r="JR12" s="58">
        <v>11</v>
      </c>
      <c r="JS12" s="58">
        <v>12</v>
      </c>
      <c r="JT12" s="58">
        <v>1</v>
      </c>
      <c r="JU12" s="58">
        <v>2</v>
      </c>
      <c r="JV12" s="58">
        <v>3</v>
      </c>
      <c r="JW12" s="58">
        <v>4</v>
      </c>
      <c r="JX12" s="58">
        <v>5</v>
      </c>
      <c r="JY12" s="58">
        <v>6</v>
      </c>
      <c r="JZ12" s="58">
        <v>7</v>
      </c>
      <c r="KA12" s="58">
        <v>8</v>
      </c>
      <c r="KB12" s="58">
        <v>9</v>
      </c>
      <c r="KC12" s="58">
        <v>10</v>
      </c>
      <c r="KD12" s="58">
        <v>11</v>
      </c>
      <c r="KE12" s="58">
        <v>12</v>
      </c>
      <c r="KF12" s="58">
        <v>1</v>
      </c>
      <c r="KG12" s="58">
        <v>2</v>
      </c>
      <c r="KH12" s="58">
        <v>3</v>
      </c>
      <c r="KI12" s="58">
        <v>4</v>
      </c>
      <c r="KJ12" s="58">
        <v>5</v>
      </c>
      <c r="KK12" s="58">
        <v>6</v>
      </c>
      <c r="KL12" s="58">
        <v>7</v>
      </c>
      <c r="KM12" s="58">
        <v>8</v>
      </c>
      <c r="KN12" s="58">
        <v>9</v>
      </c>
      <c r="KO12" s="58">
        <v>10</v>
      </c>
      <c r="KP12" s="58">
        <v>11</v>
      </c>
      <c r="KQ12" s="58">
        <v>12</v>
      </c>
      <c r="KS12" s="84"/>
      <c r="KT12" s="84"/>
    </row>
    <row r="13" spans="2:306" ht="15" x14ac:dyDescent="0.2">
      <c r="B13" s="58"/>
      <c r="C13" s="58" t="s">
        <v>131</v>
      </c>
      <c r="D13" s="58" t="str">
        <f t="shared" ref="D13:BD13" si="0">CONCATENATE(D11, "M",D12)</f>
        <v>1992M1</v>
      </c>
      <c r="E13" s="58" t="str">
        <f t="shared" si="0"/>
        <v>1992M2</v>
      </c>
      <c r="F13" s="58" t="str">
        <f t="shared" si="0"/>
        <v>1992M3</v>
      </c>
      <c r="G13" s="58" t="str">
        <f t="shared" si="0"/>
        <v>1992M4</v>
      </c>
      <c r="H13" s="58" t="str">
        <f t="shared" si="0"/>
        <v>1992M5</v>
      </c>
      <c r="I13" s="58" t="str">
        <f t="shared" si="0"/>
        <v>1992M6</v>
      </c>
      <c r="J13" s="58" t="str">
        <f t="shared" si="0"/>
        <v>1992M7</v>
      </c>
      <c r="K13" s="58" t="str">
        <f t="shared" si="0"/>
        <v>1992M8</v>
      </c>
      <c r="L13" s="58" t="str">
        <f t="shared" si="0"/>
        <v>1992M9</v>
      </c>
      <c r="M13" s="58" t="str">
        <f t="shared" si="0"/>
        <v>1992M10</v>
      </c>
      <c r="N13" s="58" t="str">
        <f t="shared" si="0"/>
        <v>1992M11</v>
      </c>
      <c r="O13" s="58" t="str">
        <f t="shared" si="0"/>
        <v>1992M12</v>
      </c>
      <c r="P13" s="58" t="str">
        <f t="shared" si="0"/>
        <v>1993M1</v>
      </c>
      <c r="Q13" s="58" t="str">
        <f t="shared" si="0"/>
        <v>1993M2</v>
      </c>
      <c r="R13" s="58" t="str">
        <f t="shared" si="0"/>
        <v>1993M3</v>
      </c>
      <c r="S13" s="58" t="str">
        <f t="shared" si="0"/>
        <v>1993M4</v>
      </c>
      <c r="T13" s="58" t="str">
        <f t="shared" si="0"/>
        <v>1993M5</v>
      </c>
      <c r="U13" s="58" t="str">
        <f t="shared" si="0"/>
        <v>1993M6</v>
      </c>
      <c r="V13" s="58" t="str">
        <f t="shared" si="0"/>
        <v>1993M7</v>
      </c>
      <c r="W13" s="58" t="str">
        <f t="shared" si="0"/>
        <v>1993M8</v>
      </c>
      <c r="X13" s="58" t="str">
        <f t="shared" si="0"/>
        <v>1993M9</v>
      </c>
      <c r="Y13" s="58" t="str">
        <f t="shared" si="0"/>
        <v>1993M10</v>
      </c>
      <c r="Z13" s="58" t="str">
        <f t="shared" si="0"/>
        <v>1993M11</v>
      </c>
      <c r="AA13" s="58" t="str">
        <f t="shared" si="0"/>
        <v>1993M12</v>
      </c>
      <c r="AB13" s="58" t="str">
        <f t="shared" si="0"/>
        <v>1994M1</v>
      </c>
      <c r="AC13" s="58" t="str">
        <f t="shared" si="0"/>
        <v>1994M2</v>
      </c>
      <c r="AD13" s="58" t="str">
        <f t="shared" si="0"/>
        <v>1994M3</v>
      </c>
      <c r="AE13" s="58" t="str">
        <f t="shared" si="0"/>
        <v>1994M4</v>
      </c>
      <c r="AF13" s="58" t="str">
        <f t="shared" si="0"/>
        <v>1994M5</v>
      </c>
      <c r="AG13" s="58" t="str">
        <f t="shared" si="0"/>
        <v>1994M6</v>
      </c>
      <c r="AH13" s="58" t="str">
        <f t="shared" si="0"/>
        <v>1994M7</v>
      </c>
      <c r="AI13" s="58" t="str">
        <f t="shared" si="0"/>
        <v>1994M8</v>
      </c>
      <c r="AJ13" s="58" t="str">
        <f t="shared" si="0"/>
        <v>1994M9</v>
      </c>
      <c r="AK13" s="58" t="str">
        <f t="shared" si="0"/>
        <v>1994M10</v>
      </c>
      <c r="AL13" s="58" t="str">
        <f t="shared" si="0"/>
        <v>1994M11</v>
      </c>
      <c r="AM13" s="58" t="str">
        <f t="shared" si="0"/>
        <v>1994M12</v>
      </c>
      <c r="AN13" s="58" t="str">
        <f t="shared" si="0"/>
        <v>1995M1</v>
      </c>
      <c r="AO13" s="58" t="str">
        <f t="shared" si="0"/>
        <v>1995M2</v>
      </c>
      <c r="AP13" s="58" t="str">
        <f t="shared" si="0"/>
        <v>1995M3</v>
      </c>
      <c r="AQ13" s="58" t="str">
        <f t="shared" si="0"/>
        <v>1995M4</v>
      </c>
      <c r="AR13" s="58" t="str">
        <f t="shared" si="0"/>
        <v>1995M5</v>
      </c>
      <c r="AS13" s="58" t="str">
        <f t="shared" si="0"/>
        <v>1995M6</v>
      </c>
      <c r="AT13" s="58" t="str">
        <f t="shared" si="0"/>
        <v>1995M7</v>
      </c>
      <c r="AU13" s="58" t="str">
        <f t="shared" si="0"/>
        <v>1995M8</v>
      </c>
      <c r="AV13" s="58" t="str">
        <f t="shared" si="0"/>
        <v>1995M9</v>
      </c>
      <c r="AW13" s="58" t="str">
        <f t="shared" si="0"/>
        <v>1995M10</v>
      </c>
      <c r="AX13" s="58" t="str">
        <f t="shared" si="0"/>
        <v>1995M11</v>
      </c>
      <c r="AY13" s="58" t="str">
        <f t="shared" si="0"/>
        <v>1995M12</v>
      </c>
      <c r="AZ13" s="58" t="str">
        <f t="shared" si="0"/>
        <v>1996M1</v>
      </c>
      <c r="BA13" s="58" t="str">
        <f t="shared" si="0"/>
        <v>1996M2</v>
      </c>
      <c r="BB13" s="58" t="str">
        <f t="shared" si="0"/>
        <v>1996M3</v>
      </c>
      <c r="BC13" s="58" t="str">
        <f t="shared" si="0"/>
        <v>1996M4</v>
      </c>
      <c r="BD13" s="58" t="str">
        <f t="shared" si="0"/>
        <v>1996M5</v>
      </c>
      <c r="BE13" s="58" t="str">
        <f t="shared" ref="BE13:DP13" si="1">CONCATENATE(BE11, "M",BE12)</f>
        <v>1996M6</v>
      </c>
      <c r="BF13" s="58" t="str">
        <f t="shared" si="1"/>
        <v>1996M7</v>
      </c>
      <c r="BG13" s="58" t="str">
        <f t="shared" si="1"/>
        <v>1996M8</v>
      </c>
      <c r="BH13" s="58" t="str">
        <f t="shared" si="1"/>
        <v>1996M9</v>
      </c>
      <c r="BI13" s="58" t="str">
        <f t="shared" si="1"/>
        <v>1996M10</v>
      </c>
      <c r="BJ13" s="58" t="str">
        <f t="shared" si="1"/>
        <v>1996M11</v>
      </c>
      <c r="BK13" s="58" t="str">
        <f t="shared" si="1"/>
        <v>1996M12</v>
      </c>
      <c r="BL13" s="58" t="str">
        <f t="shared" si="1"/>
        <v>1997M1</v>
      </c>
      <c r="BM13" s="58" t="str">
        <f t="shared" si="1"/>
        <v>1997M2</v>
      </c>
      <c r="BN13" s="58" t="str">
        <f t="shared" si="1"/>
        <v>1997M3</v>
      </c>
      <c r="BO13" s="58" t="str">
        <f t="shared" si="1"/>
        <v>1997M4</v>
      </c>
      <c r="BP13" s="58" t="str">
        <f t="shared" si="1"/>
        <v>1997M5</v>
      </c>
      <c r="BQ13" s="58" t="str">
        <f t="shared" si="1"/>
        <v>1997M6</v>
      </c>
      <c r="BR13" s="58" t="str">
        <f t="shared" si="1"/>
        <v>1997M7</v>
      </c>
      <c r="BS13" s="58" t="str">
        <f t="shared" si="1"/>
        <v>1997M8</v>
      </c>
      <c r="BT13" s="58" t="str">
        <f t="shared" si="1"/>
        <v>1997M9</v>
      </c>
      <c r="BU13" s="58" t="str">
        <f t="shared" si="1"/>
        <v>1997M10</v>
      </c>
      <c r="BV13" s="58" t="str">
        <f t="shared" si="1"/>
        <v>1997M11</v>
      </c>
      <c r="BW13" s="58" t="str">
        <f t="shared" si="1"/>
        <v>1997M12</v>
      </c>
      <c r="BX13" s="58" t="str">
        <f t="shared" si="1"/>
        <v>1998M1</v>
      </c>
      <c r="BY13" s="58" t="str">
        <f t="shared" si="1"/>
        <v>1998M2</v>
      </c>
      <c r="BZ13" s="58" t="str">
        <f t="shared" si="1"/>
        <v>1998M3</v>
      </c>
      <c r="CA13" s="58" t="str">
        <f t="shared" si="1"/>
        <v>1998M4</v>
      </c>
      <c r="CB13" s="58" t="str">
        <f t="shared" si="1"/>
        <v>1998M5</v>
      </c>
      <c r="CC13" s="58" t="str">
        <f t="shared" si="1"/>
        <v>1998M6</v>
      </c>
      <c r="CD13" s="58" t="str">
        <f t="shared" si="1"/>
        <v>1998M7</v>
      </c>
      <c r="CE13" s="58" t="str">
        <f t="shared" si="1"/>
        <v>1998M8</v>
      </c>
      <c r="CF13" s="58" t="str">
        <f t="shared" si="1"/>
        <v>1998M9</v>
      </c>
      <c r="CG13" s="58" t="str">
        <f t="shared" si="1"/>
        <v>1998M10</v>
      </c>
      <c r="CH13" s="58" t="str">
        <f t="shared" si="1"/>
        <v>1998M11</v>
      </c>
      <c r="CI13" s="58" t="str">
        <f t="shared" si="1"/>
        <v>1998M12</v>
      </c>
      <c r="CJ13" s="58" t="str">
        <f t="shared" si="1"/>
        <v>1999M1</v>
      </c>
      <c r="CK13" s="58" t="str">
        <f t="shared" si="1"/>
        <v>1999M2</v>
      </c>
      <c r="CL13" s="58" t="str">
        <f t="shared" si="1"/>
        <v>1999M3</v>
      </c>
      <c r="CM13" s="58" t="str">
        <f t="shared" si="1"/>
        <v>1999M4</v>
      </c>
      <c r="CN13" s="58" t="str">
        <f t="shared" si="1"/>
        <v>1999M5</v>
      </c>
      <c r="CO13" s="58" t="str">
        <f t="shared" si="1"/>
        <v>1999M6</v>
      </c>
      <c r="CP13" s="58" t="str">
        <f t="shared" si="1"/>
        <v>1999M7</v>
      </c>
      <c r="CQ13" s="58" t="str">
        <f t="shared" si="1"/>
        <v>1999M8</v>
      </c>
      <c r="CR13" s="58" t="str">
        <f t="shared" si="1"/>
        <v>1999M9</v>
      </c>
      <c r="CS13" s="58" t="str">
        <f t="shared" si="1"/>
        <v>1999M10</v>
      </c>
      <c r="CT13" s="58" t="str">
        <f t="shared" si="1"/>
        <v>1999M11</v>
      </c>
      <c r="CU13" s="58" t="str">
        <f t="shared" si="1"/>
        <v>1999M12</v>
      </c>
      <c r="CV13" s="58" t="str">
        <f t="shared" si="1"/>
        <v>2000M1</v>
      </c>
      <c r="CW13" s="58" t="str">
        <f t="shared" si="1"/>
        <v>2000M2</v>
      </c>
      <c r="CX13" s="58" t="str">
        <f t="shared" si="1"/>
        <v>2000M3</v>
      </c>
      <c r="CY13" s="58" t="str">
        <f t="shared" si="1"/>
        <v>2000M4</v>
      </c>
      <c r="CZ13" s="58" t="str">
        <f t="shared" si="1"/>
        <v>2000M5</v>
      </c>
      <c r="DA13" s="58" t="str">
        <f t="shared" si="1"/>
        <v>2000M6</v>
      </c>
      <c r="DB13" s="58" t="str">
        <f t="shared" si="1"/>
        <v>2000M7</v>
      </c>
      <c r="DC13" s="58" t="str">
        <f t="shared" si="1"/>
        <v>2000M8</v>
      </c>
      <c r="DD13" s="58" t="str">
        <f t="shared" si="1"/>
        <v>2000M9</v>
      </c>
      <c r="DE13" s="58" t="str">
        <f t="shared" si="1"/>
        <v>2000M10</v>
      </c>
      <c r="DF13" s="58" t="str">
        <f t="shared" si="1"/>
        <v>2000M11</v>
      </c>
      <c r="DG13" s="58" t="str">
        <f t="shared" si="1"/>
        <v>2000M12</v>
      </c>
      <c r="DH13" s="58" t="str">
        <f t="shared" si="1"/>
        <v>2001M1</v>
      </c>
      <c r="DI13" s="58" t="str">
        <f t="shared" si="1"/>
        <v>2001M2</v>
      </c>
      <c r="DJ13" s="58" t="str">
        <f t="shared" si="1"/>
        <v>2001M3</v>
      </c>
      <c r="DK13" s="58" t="str">
        <f t="shared" si="1"/>
        <v>2001M4</v>
      </c>
      <c r="DL13" s="58" t="str">
        <f t="shared" si="1"/>
        <v>2001M5</v>
      </c>
      <c r="DM13" s="58" t="str">
        <f t="shared" si="1"/>
        <v>2001M6</v>
      </c>
      <c r="DN13" s="58" t="str">
        <f t="shared" si="1"/>
        <v>2001M7</v>
      </c>
      <c r="DO13" s="58" t="str">
        <f t="shared" si="1"/>
        <v>2001M8</v>
      </c>
      <c r="DP13" s="58" t="str">
        <f t="shared" si="1"/>
        <v>2001M9</v>
      </c>
      <c r="DQ13" s="58" t="str">
        <f t="shared" ref="DQ13:GB13" si="2">CONCATENATE(DQ11, "M",DQ12)</f>
        <v>2001M10</v>
      </c>
      <c r="DR13" s="58" t="str">
        <f t="shared" si="2"/>
        <v>2001M11</v>
      </c>
      <c r="DS13" s="58" t="str">
        <f t="shared" si="2"/>
        <v>2001M12</v>
      </c>
      <c r="DT13" s="58" t="str">
        <f t="shared" si="2"/>
        <v>2002M1</v>
      </c>
      <c r="DU13" s="58" t="str">
        <f t="shared" si="2"/>
        <v>2002M2</v>
      </c>
      <c r="DV13" s="58" t="str">
        <f t="shared" si="2"/>
        <v>2002M3</v>
      </c>
      <c r="DW13" s="58" t="str">
        <f t="shared" si="2"/>
        <v>2002M4</v>
      </c>
      <c r="DX13" s="58" t="str">
        <f t="shared" si="2"/>
        <v>2002M5</v>
      </c>
      <c r="DY13" s="58" t="str">
        <f t="shared" si="2"/>
        <v>2002M6</v>
      </c>
      <c r="DZ13" s="58" t="str">
        <f t="shared" si="2"/>
        <v>2002M7</v>
      </c>
      <c r="EA13" s="58" t="str">
        <f t="shared" si="2"/>
        <v>2002M8</v>
      </c>
      <c r="EB13" s="58" t="str">
        <f t="shared" si="2"/>
        <v>2002M9</v>
      </c>
      <c r="EC13" s="58" t="str">
        <f t="shared" si="2"/>
        <v>2002M10</v>
      </c>
      <c r="ED13" s="58" t="str">
        <f t="shared" si="2"/>
        <v>2002M11</v>
      </c>
      <c r="EE13" s="58" t="str">
        <f t="shared" si="2"/>
        <v>2002M12</v>
      </c>
      <c r="EF13" s="58" t="str">
        <f t="shared" si="2"/>
        <v>2003M1</v>
      </c>
      <c r="EG13" s="58" t="str">
        <f t="shared" si="2"/>
        <v>2003M2</v>
      </c>
      <c r="EH13" s="58" t="str">
        <f t="shared" si="2"/>
        <v>2003M3</v>
      </c>
      <c r="EI13" s="58" t="str">
        <f t="shared" si="2"/>
        <v>2003M4</v>
      </c>
      <c r="EJ13" s="58" t="str">
        <f t="shared" si="2"/>
        <v>2003M5</v>
      </c>
      <c r="EK13" s="58" t="str">
        <f t="shared" si="2"/>
        <v>2003M6</v>
      </c>
      <c r="EL13" s="58" t="str">
        <f t="shared" si="2"/>
        <v>2003M7</v>
      </c>
      <c r="EM13" s="58" t="str">
        <f t="shared" si="2"/>
        <v>2003M8</v>
      </c>
      <c r="EN13" s="58" t="str">
        <f t="shared" si="2"/>
        <v>2003M9</v>
      </c>
      <c r="EO13" s="58" t="str">
        <f t="shared" si="2"/>
        <v>2003M10</v>
      </c>
      <c r="EP13" s="58" t="str">
        <f t="shared" si="2"/>
        <v>2003M11</v>
      </c>
      <c r="EQ13" s="58" t="str">
        <f t="shared" si="2"/>
        <v>2003M12</v>
      </c>
      <c r="ER13" s="58" t="str">
        <f t="shared" si="2"/>
        <v>2004M1</v>
      </c>
      <c r="ES13" s="58" t="str">
        <f t="shared" si="2"/>
        <v>2004M2</v>
      </c>
      <c r="ET13" s="58" t="str">
        <f t="shared" si="2"/>
        <v>2004M3</v>
      </c>
      <c r="EU13" s="58" t="str">
        <f t="shared" si="2"/>
        <v>2004M4</v>
      </c>
      <c r="EV13" s="58" t="str">
        <f t="shared" si="2"/>
        <v>2004M5</v>
      </c>
      <c r="EW13" s="58" t="str">
        <f t="shared" si="2"/>
        <v>2004M6</v>
      </c>
      <c r="EX13" s="58" t="str">
        <f t="shared" si="2"/>
        <v>2004M7</v>
      </c>
      <c r="EY13" s="58" t="str">
        <f t="shared" si="2"/>
        <v>2004M8</v>
      </c>
      <c r="EZ13" s="58" t="str">
        <f t="shared" si="2"/>
        <v>2004M9</v>
      </c>
      <c r="FA13" s="58" t="str">
        <f t="shared" si="2"/>
        <v>2004M10</v>
      </c>
      <c r="FB13" s="58" t="str">
        <f t="shared" si="2"/>
        <v>2004M11</v>
      </c>
      <c r="FC13" s="58" t="str">
        <f t="shared" si="2"/>
        <v>2004M12</v>
      </c>
      <c r="FD13" s="58" t="str">
        <f t="shared" si="2"/>
        <v>2005M1</v>
      </c>
      <c r="FE13" s="58" t="str">
        <f t="shared" si="2"/>
        <v>2005M2</v>
      </c>
      <c r="FF13" s="58" t="str">
        <f t="shared" si="2"/>
        <v>2005M3</v>
      </c>
      <c r="FG13" s="58" t="str">
        <f t="shared" si="2"/>
        <v>2005M4</v>
      </c>
      <c r="FH13" s="58" t="str">
        <f t="shared" si="2"/>
        <v>2005M5</v>
      </c>
      <c r="FI13" s="58" t="str">
        <f t="shared" si="2"/>
        <v>2005M6</v>
      </c>
      <c r="FJ13" s="58" t="str">
        <f t="shared" si="2"/>
        <v>2005M7</v>
      </c>
      <c r="FK13" s="58" t="str">
        <f t="shared" si="2"/>
        <v>2005M8</v>
      </c>
      <c r="FL13" s="58" t="str">
        <f t="shared" si="2"/>
        <v>2005M9</v>
      </c>
      <c r="FM13" s="58" t="str">
        <f t="shared" si="2"/>
        <v>2005M10</v>
      </c>
      <c r="FN13" s="58" t="str">
        <f t="shared" si="2"/>
        <v>2005M11</v>
      </c>
      <c r="FO13" s="58" t="str">
        <f t="shared" si="2"/>
        <v>2005M12</v>
      </c>
      <c r="FP13" s="58" t="str">
        <f t="shared" si="2"/>
        <v>2006M1</v>
      </c>
      <c r="FQ13" s="58" t="str">
        <f t="shared" si="2"/>
        <v>2006M2</v>
      </c>
      <c r="FR13" s="58" t="str">
        <f t="shared" si="2"/>
        <v>2006M3</v>
      </c>
      <c r="FS13" s="58" t="str">
        <f t="shared" si="2"/>
        <v>2006M4</v>
      </c>
      <c r="FT13" s="58" t="str">
        <f t="shared" si="2"/>
        <v>2006M5</v>
      </c>
      <c r="FU13" s="58" t="str">
        <f t="shared" si="2"/>
        <v>2006M6</v>
      </c>
      <c r="FV13" s="58" t="str">
        <f t="shared" si="2"/>
        <v>2006M7</v>
      </c>
      <c r="FW13" s="58" t="str">
        <f t="shared" si="2"/>
        <v>2006M8</v>
      </c>
      <c r="FX13" s="58" t="str">
        <f t="shared" si="2"/>
        <v>2006M9</v>
      </c>
      <c r="FY13" s="58" t="str">
        <f t="shared" si="2"/>
        <v>2006M10</v>
      </c>
      <c r="FZ13" s="58" t="str">
        <f t="shared" si="2"/>
        <v>2006M11</v>
      </c>
      <c r="GA13" s="58" t="str">
        <f t="shared" si="2"/>
        <v>2006M12</v>
      </c>
      <c r="GB13" s="58" t="str">
        <f t="shared" si="2"/>
        <v>2007M1</v>
      </c>
      <c r="GC13" s="58" t="str">
        <f t="shared" ref="GC13:IN13" si="3">CONCATENATE(GC11, "M",GC12)</f>
        <v>2007M2</v>
      </c>
      <c r="GD13" s="58" t="str">
        <f t="shared" si="3"/>
        <v>2007M3</v>
      </c>
      <c r="GE13" s="58" t="str">
        <f t="shared" si="3"/>
        <v>2007M4</v>
      </c>
      <c r="GF13" s="58" t="str">
        <f t="shared" si="3"/>
        <v>2007M5</v>
      </c>
      <c r="GG13" s="58" t="str">
        <f t="shared" si="3"/>
        <v>2007M6</v>
      </c>
      <c r="GH13" s="58" t="str">
        <f t="shared" si="3"/>
        <v>2007M7</v>
      </c>
      <c r="GI13" s="58" t="str">
        <f t="shared" si="3"/>
        <v>2007M8</v>
      </c>
      <c r="GJ13" s="58" t="str">
        <f t="shared" si="3"/>
        <v>2007M9</v>
      </c>
      <c r="GK13" s="58" t="str">
        <f t="shared" si="3"/>
        <v>2007M10</v>
      </c>
      <c r="GL13" s="58" t="str">
        <f t="shared" si="3"/>
        <v>2007M11</v>
      </c>
      <c r="GM13" s="58" t="str">
        <f t="shared" si="3"/>
        <v>2007M12</v>
      </c>
      <c r="GN13" s="58" t="str">
        <f t="shared" si="3"/>
        <v>2008M1</v>
      </c>
      <c r="GO13" s="58" t="str">
        <f t="shared" si="3"/>
        <v>2008M2</v>
      </c>
      <c r="GP13" s="58" t="str">
        <f t="shared" si="3"/>
        <v>2008M3</v>
      </c>
      <c r="GQ13" s="58" t="str">
        <f t="shared" si="3"/>
        <v>2008M4</v>
      </c>
      <c r="GR13" s="58" t="str">
        <f t="shared" si="3"/>
        <v>2008M5</v>
      </c>
      <c r="GS13" s="58" t="str">
        <f t="shared" si="3"/>
        <v>2008M6</v>
      </c>
      <c r="GT13" s="58" t="str">
        <f t="shared" si="3"/>
        <v>2008M7</v>
      </c>
      <c r="GU13" s="58" t="str">
        <f t="shared" si="3"/>
        <v>2008M8</v>
      </c>
      <c r="GV13" s="58" t="str">
        <f t="shared" si="3"/>
        <v>2008M9</v>
      </c>
      <c r="GW13" s="58" t="str">
        <f t="shared" si="3"/>
        <v>2008M10</v>
      </c>
      <c r="GX13" s="58" t="str">
        <f t="shared" si="3"/>
        <v>2008M11</v>
      </c>
      <c r="GY13" s="58" t="str">
        <f t="shared" si="3"/>
        <v>2008M12</v>
      </c>
      <c r="GZ13" s="58" t="str">
        <f t="shared" si="3"/>
        <v>2009M1</v>
      </c>
      <c r="HA13" s="58" t="str">
        <f t="shared" si="3"/>
        <v>2009M2</v>
      </c>
      <c r="HB13" s="58" t="str">
        <f t="shared" si="3"/>
        <v>2009M3</v>
      </c>
      <c r="HC13" s="58" t="str">
        <f t="shared" si="3"/>
        <v>2009M4</v>
      </c>
      <c r="HD13" s="58" t="str">
        <f t="shared" si="3"/>
        <v>2009M5</v>
      </c>
      <c r="HE13" s="58" t="str">
        <f t="shared" si="3"/>
        <v>2009M6</v>
      </c>
      <c r="HF13" s="58" t="str">
        <f t="shared" si="3"/>
        <v>2009M7</v>
      </c>
      <c r="HG13" s="58" t="str">
        <f t="shared" si="3"/>
        <v>2009M8</v>
      </c>
      <c r="HH13" s="58" t="str">
        <f t="shared" si="3"/>
        <v>2009M9</v>
      </c>
      <c r="HI13" s="58" t="str">
        <f t="shared" si="3"/>
        <v>2009M10</v>
      </c>
      <c r="HJ13" s="58" t="str">
        <f t="shared" si="3"/>
        <v>2009M11</v>
      </c>
      <c r="HK13" s="58" t="str">
        <f t="shared" si="3"/>
        <v>2009M12</v>
      </c>
      <c r="HL13" s="58" t="str">
        <f t="shared" si="3"/>
        <v>2010M1</v>
      </c>
      <c r="HM13" s="58" t="str">
        <f t="shared" si="3"/>
        <v>2010M2</v>
      </c>
      <c r="HN13" s="58" t="str">
        <f t="shared" si="3"/>
        <v>2010M3</v>
      </c>
      <c r="HO13" s="58" t="str">
        <f t="shared" si="3"/>
        <v>2010M4</v>
      </c>
      <c r="HP13" s="58" t="str">
        <f t="shared" si="3"/>
        <v>2010M5</v>
      </c>
      <c r="HQ13" s="58" t="str">
        <f t="shared" si="3"/>
        <v>2010M6</v>
      </c>
      <c r="HR13" s="58" t="str">
        <f t="shared" si="3"/>
        <v>2010M7</v>
      </c>
      <c r="HS13" s="58" t="str">
        <f t="shared" si="3"/>
        <v>2010M8</v>
      </c>
      <c r="HT13" s="58" t="str">
        <f t="shared" si="3"/>
        <v>2010M9</v>
      </c>
      <c r="HU13" s="58" t="str">
        <f t="shared" si="3"/>
        <v>2010M10</v>
      </c>
      <c r="HV13" s="58" t="str">
        <f t="shared" si="3"/>
        <v>2010M11</v>
      </c>
      <c r="HW13" s="58" t="str">
        <f t="shared" si="3"/>
        <v>2010M12</v>
      </c>
      <c r="HX13" s="58" t="str">
        <f t="shared" si="3"/>
        <v>2011M1</v>
      </c>
      <c r="HY13" s="58" t="str">
        <f t="shared" si="3"/>
        <v>2011M2</v>
      </c>
      <c r="HZ13" s="58" t="str">
        <f t="shared" si="3"/>
        <v>2011M3</v>
      </c>
      <c r="IA13" s="58" t="str">
        <f t="shared" si="3"/>
        <v>2011M4</v>
      </c>
      <c r="IB13" s="58" t="str">
        <f t="shared" si="3"/>
        <v>2011M5</v>
      </c>
      <c r="IC13" s="58" t="str">
        <f t="shared" si="3"/>
        <v>2011M6</v>
      </c>
      <c r="ID13" s="58" t="str">
        <f t="shared" si="3"/>
        <v>2011M7</v>
      </c>
      <c r="IE13" s="58" t="str">
        <f t="shared" si="3"/>
        <v>2011M8</v>
      </c>
      <c r="IF13" s="58" t="str">
        <f t="shared" si="3"/>
        <v>2011M9</v>
      </c>
      <c r="IG13" s="58" t="str">
        <f t="shared" si="3"/>
        <v>2011M10</v>
      </c>
      <c r="IH13" s="58" t="str">
        <f t="shared" si="3"/>
        <v>2011M11</v>
      </c>
      <c r="II13" s="58" t="str">
        <f t="shared" si="3"/>
        <v>2011M12</v>
      </c>
      <c r="IJ13" s="58" t="str">
        <f t="shared" si="3"/>
        <v>2012M1</v>
      </c>
      <c r="IK13" s="58" t="str">
        <f t="shared" si="3"/>
        <v>2012M2</v>
      </c>
      <c r="IL13" s="58" t="str">
        <f t="shared" si="3"/>
        <v>2012M3</v>
      </c>
      <c r="IM13" s="58" t="str">
        <f t="shared" si="3"/>
        <v>2012M4</v>
      </c>
      <c r="IN13" s="58" t="str">
        <f t="shared" si="3"/>
        <v>2012M5</v>
      </c>
      <c r="IO13" s="58" t="str">
        <f t="shared" ref="IO13:KQ13" si="4">CONCATENATE(IO11, "M",IO12)</f>
        <v>2012M6</v>
      </c>
      <c r="IP13" s="58" t="str">
        <f t="shared" si="4"/>
        <v>2012M7</v>
      </c>
      <c r="IQ13" s="58" t="str">
        <f t="shared" si="4"/>
        <v>2012M8</v>
      </c>
      <c r="IR13" s="58" t="str">
        <f t="shared" si="4"/>
        <v>2012M9</v>
      </c>
      <c r="IS13" s="58" t="str">
        <f t="shared" si="4"/>
        <v>2012M10</v>
      </c>
      <c r="IT13" s="58" t="str">
        <f t="shared" si="4"/>
        <v>2012M11</v>
      </c>
      <c r="IU13" s="58" t="str">
        <f t="shared" si="4"/>
        <v>2012M12</v>
      </c>
      <c r="IV13" s="58" t="str">
        <f t="shared" si="4"/>
        <v>2013M1</v>
      </c>
      <c r="IW13" s="58" t="str">
        <f t="shared" si="4"/>
        <v>2013M2</v>
      </c>
      <c r="IX13" s="58" t="str">
        <f t="shared" si="4"/>
        <v>2013M3</v>
      </c>
      <c r="IY13" s="58" t="str">
        <f t="shared" si="4"/>
        <v>2013M4</v>
      </c>
      <c r="IZ13" s="58" t="str">
        <f t="shared" si="4"/>
        <v>2013M5</v>
      </c>
      <c r="JA13" s="58" t="str">
        <f t="shared" si="4"/>
        <v>2013M6</v>
      </c>
      <c r="JB13" s="58" t="str">
        <f t="shared" si="4"/>
        <v>2013M7</v>
      </c>
      <c r="JC13" s="58" t="str">
        <f t="shared" si="4"/>
        <v>2013M8</v>
      </c>
      <c r="JD13" s="58" t="str">
        <f t="shared" si="4"/>
        <v>2013M9</v>
      </c>
      <c r="JE13" s="58" t="str">
        <f t="shared" si="4"/>
        <v>2013M10</v>
      </c>
      <c r="JF13" s="58" t="str">
        <f t="shared" si="4"/>
        <v>2013M11</v>
      </c>
      <c r="JG13" s="58" t="str">
        <f t="shared" si="4"/>
        <v>2013M12</v>
      </c>
      <c r="JH13" s="58" t="str">
        <f t="shared" si="4"/>
        <v>2014M1</v>
      </c>
      <c r="JI13" s="58" t="str">
        <f t="shared" si="4"/>
        <v>2014M2</v>
      </c>
      <c r="JJ13" s="58" t="str">
        <f t="shared" si="4"/>
        <v>2014M3</v>
      </c>
      <c r="JK13" s="58" t="str">
        <f t="shared" si="4"/>
        <v>2014M4</v>
      </c>
      <c r="JL13" s="58" t="str">
        <f t="shared" si="4"/>
        <v>2014M5</v>
      </c>
      <c r="JM13" s="58" t="str">
        <f t="shared" si="4"/>
        <v>2014M6</v>
      </c>
      <c r="JN13" s="58" t="str">
        <f t="shared" si="4"/>
        <v>2014M7</v>
      </c>
      <c r="JO13" s="58" t="str">
        <f t="shared" si="4"/>
        <v>2014M8</v>
      </c>
      <c r="JP13" s="58" t="str">
        <f t="shared" si="4"/>
        <v>2014M9</v>
      </c>
      <c r="JQ13" s="58" t="str">
        <f t="shared" si="4"/>
        <v>2014M10</v>
      </c>
      <c r="JR13" s="58" t="str">
        <f t="shared" si="4"/>
        <v>2014M11</v>
      </c>
      <c r="JS13" s="58" t="str">
        <f t="shared" si="4"/>
        <v>2014M12</v>
      </c>
      <c r="JT13" s="58" t="str">
        <f t="shared" si="4"/>
        <v>2015M1</v>
      </c>
      <c r="JU13" s="58" t="str">
        <f t="shared" si="4"/>
        <v>2015M2</v>
      </c>
      <c r="JV13" s="58" t="str">
        <f t="shared" si="4"/>
        <v>2015M3</v>
      </c>
      <c r="JW13" s="58" t="str">
        <f t="shared" si="4"/>
        <v>2015M4</v>
      </c>
      <c r="JX13" s="58" t="str">
        <f t="shared" si="4"/>
        <v>2015M5</v>
      </c>
      <c r="JY13" s="58" t="str">
        <f t="shared" si="4"/>
        <v>2015M6</v>
      </c>
      <c r="JZ13" s="58" t="str">
        <f t="shared" si="4"/>
        <v>2015M7</v>
      </c>
      <c r="KA13" s="58" t="str">
        <f t="shared" si="4"/>
        <v>2015M8</v>
      </c>
      <c r="KB13" s="58" t="str">
        <f t="shared" si="4"/>
        <v>2015M9</v>
      </c>
      <c r="KC13" s="58" t="str">
        <f t="shared" si="4"/>
        <v>2015M10</v>
      </c>
      <c r="KD13" s="58" t="str">
        <f t="shared" si="4"/>
        <v>2015M11</v>
      </c>
      <c r="KE13" s="58" t="str">
        <f t="shared" si="4"/>
        <v>2015M12</v>
      </c>
      <c r="KF13" s="58" t="str">
        <f t="shared" si="4"/>
        <v>2016M1</v>
      </c>
      <c r="KG13" s="58" t="str">
        <f t="shared" si="4"/>
        <v>2016M2</v>
      </c>
      <c r="KH13" s="58" t="str">
        <f t="shared" si="4"/>
        <v>2016M3</v>
      </c>
      <c r="KI13" s="58" t="str">
        <f t="shared" si="4"/>
        <v>2016M4</v>
      </c>
      <c r="KJ13" s="58" t="str">
        <f t="shared" si="4"/>
        <v>2016M5</v>
      </c>
      <c r="KK13" s="58" t="str">
        <f t="shared" si="4"/>
        <v>2016M6</v>
      </c>
      <c r="KL13" s="58" t="str">
        <f t="shared" si="4"/>
        <v>2016M7</v>
      </c>
      <c r="KM13" s="58" t="str">
        <f t="shared" si="4"/>
        <v>2016M8</v>
      </c>
      <c r="KN13" s="58" t="str">
        <f t="shared" si="4"/>
        <v>2016M9</v>
      </c>
      <c r="KO13" s="58" t="str">
        <f t="shared" si="4"/>
        <v>2016M10</v>
      </c>
      <c r="KP13" s="58" t="str">
        <f t="shared" si="4"/>
        <v>2016M11</v>
      </c>
      <c r="KQ13" s="58" t="str">
        <f t="shared" si="4"/>
        <v>2016M12</v>
      </c>
      <c r="KS13" s="84"/>
      <c r="KT13" s="84"/>
    </row>
    <row r="14" spans="2:306" ht="15" x14ac:dyDescent="0.2">
      <c r="B14" s="60" t="s">
        <v>124</v>
      </c>
      <c r="C14" s="60" t="s">
        <v>126</v>
      </c>
      <c r="D14" s="61" t="s">
        <v>101</v>
      </c>
      <c r="E14" s="61" t="s">
        <v>101</v>
      </c>
      <c r="F14" s="61" t="s">
        <v>101</v>
      </c>
      <c r="G14" s="61" t="s">
        <v>101</v>
      </c>
      <c r="H14" s="61" t="s">
        <v>101</v>
      </c>
      <c r="I14" s="61" t="s">
        <v>101</v>
      </c>
      <c r="J14" s="61" t="s">
        <v>101</v>
      </c>
      <c r="K14" s="61" t="s">
        <v>101</v>
      </c>
      <c r="L14" s="61" t="s">
        <v>101</v>
      </c>
      <c r="M14" s="61" t="s">
        <v>101</v>
      </c>
      <c r="N14" s="61" t="s">
        <v>101</v>
      </c>
      <c r="O14" s="61" t="s">
        <v>101</v>
      </c>
      <c r="P14" s="61" t="s">
        <v>101</v>
      </c>
      <c r="Q14" s="61" t="s">
        <v>101</v>
      </c>
      <c r="R14" s="61" t="s">
        <v>101</v>
      </c>
      <c r="S14" s="61" t="s">
        <v>101</v>
      </c>
      <c r="T14" s="61" t="s">
        <v>101</v>
      </c>
      <c r="U14" s="61" t="s">
        <v>101</v>
      </c>
      <c r="V14" s="61" t="s">
        <v>101</v>
      </c>
      <c r="W14" s="61" t="s">
        <v>101</v>
      </c>
      <c r="X14" s="61" t="s">
        <v>101</v>
      </c>
      <c r="Y14" s="61" t="s">
        <v>101</v>
      </c>
      <c r="Z14" s="61" t="s">
        <v>101</v>
      </c>
      <c r="AA14" s="61" t="s">
        <v>101</v>
      </c>
      <c r="AB14" s="61" t="s">
        <v>101</v>
      </c>
      <c r="AC14" s="61" t="s">
        <v>101</v>
      </c>
      <c r="AD14" s="61" t="s">
        <v>101</v>
      </c>
      <c r="AE14" s="61" t="s">
        <v>101</v>
      </c>
      <c r="AF14" s="61" t="s">
        <v>101</v>
      </c>
      <c r="AG14" s="61" t="s">
        <v>101</v>
      </c>
      <c r="AH14" s="61" t="s">
        <v>101</v>
      </c>
      <c r="AI14" s="61" t="s">
        <v>101</v>
      </c>
      <c r="AJ14" s="61" t="s">
        <v>101</v>
      </c>
      <c r="AK14" s="61" t="s">
        <v>101</v>
      </c>
      <c r="AL14" s="61" t="s">
        <v>101</v>
      </c>
      <c r="AM14" s="61" t="s">
        <v>101</v>
      </c>
      <c r="AN14" s="61" t="s">
        <v>101</v>
      </c>
      <c r="AO14" s="61" t="s">
        <v>101</v>
      </c>
      <c r="AP14" s="61" t="s">
        <v>101</v>
      </c>
      <c r="AQ14" s="61" t="s">
        <v>101</v>
      </c>
      <c r="AR14" s="61" t="s">
        <v>101</v>
      </c>
      <c r="AS14" s="61" t="s">
        <v>101</v>
      </c>
      <c r="AT14" s="61" t="s">
        <v>101</v>
      </c>
      <c r="AU14" s="61" t="s">
        <v>101</v>
      </c>
      <c r="AV14" s="61" t="s">
        <v>101</v>
      </c>
      <c r="AW14" s="61" t="s">
        <v>101</v>
      </c>
      <c r="AX14" s="61" t="s">
        <v>101</v>
      </c>
      <c r="AY14" s="61" t="s">
        <v>101</v>
      </c>
      <c r="AZ14" s="61" t="s">
        <v>101</v>
      </c>
      <c r="BA14" s="61" t="s">
        <v>101</v>
      </c>
      <c r="BB14" s="61" t="s">
        <v>101</v>
      </c>
      <c r="BC14" s="61" t="s">
        <v>101</v>
      </c>
      <c r="BD14" s="61" t="s">
        <v>101</v>
      </c>
      <c r="BE14" s="61" t="s">
        <v>101</v>
      </c>
      <c r="BF14" s="61" t="s">
        <v>101</v>
      </c>
      <c r="BG14" s="61" t="s">
        <v>101</v>
      </c>
      <c r="BH14" s="61" t="s">
        <v>101</v>
      </c>
      <c r="BI14" s="61" t="s">
        <v>101</v>
      </c>
      <c r="BJ14" s="61" t="s">
        <v>101</v>
      </c>
      <c r="BK14" s="61" t="s">
        <v>101</v>
      </c>
      <c r="BL14" s="61" t="s">
        <v>101</v>
      </c>
      <c r="BM14" s="61" t="s">
        <v>101</v>
      </c>
      <c r="BN14" s="61" t="s">
        <v>101</v>
      </c>
      <c r="BO14" s="61" t="s">
        <v>101</v>
      </c>
      <c r="BP14" s="61" t="s">
        <v>101</v>
      </c>
      <c r="BQ14" s="61" t="s">
        <v>101</v>
      </c>
      <c r="BR14" s="61" t="s">
        <v>101</v>
      </c>
      <c r="BS14" s="61" t="s">
        <v>101</v>
      </c>
      <c r="BT14" s="61" t="s">
        <v>101</v>
      </c>
      <c r="BU14" s="61" t="s">
        <v>101</v>
      </c>
      <c r="BV14" s="61" t="s">
        <v>101</v>
      </c>
      <c r="BW14" s="61" t="s">
        <v>101</v>
      </c>
      <c r="BX14" s="61" t="s">
        <v>101</v>
      </c>
      <c r="BY14" s="61" t="s">
        <v>101</v>
      </c>
      <c r="BZ14" s="61" t="s">
        <v>101</v>
      </c>
      <c r="CA14" s="61" t="s">
        <v>101</v>
      </c>
      <c r="CB14" s="61" t="s">
        <v>101</v>
      </c>
      <c r="CC14" s="61" t="s">
        <v>101</v>
      </c>
      <c r="CD14" s="61" t="s">
        <v>101</v>
      </c>
      <c r="CE14" s="61" t="s">
        <v>101</v>
      </c>
      <c r="CF14" s="61" t="s">
        <v>101</v>
      </c>
      <c r="CG14" s="61" t="s">
        <v>101</v>
      </c>
      <c r="CH14" s="61" t="s">
        <v>101</v>
      </c>
      <c r="CI14" s="61" t="s">
        <v>101</v>
      </c>
      <c r="CJ14" s="61" t="s">
        <v>101</v>
      </c>
      <c r="CK14" s="61" t="s">
        <v>101</v>
      </c>
      <c r="CL14" s="61" t="s">
        <v>101</v>
      </c>
      <c r="CM14" s="61" t="s">
        <v>101</v>
      </c>
      <c r="CN14" s="61" t="s">
        <v>101</v>
      </c>
      <c r="CO14" s="61" t="s">
        <v>101</v>
      </c>
      <c r="CP14" s="61" t="s">
        <v>101</v>
      </c>
      <c r="CQ14" s="61" t="s">
        <v>101</v>
      </c>
      <c r="CR14" s="61" t="s">
        <v>101</v>
      </c>
      <c r="CS14" s="61" t="s">
        <v>101</v>
      </c>
      <c r="CT14" s="61" t="s">
        <v>101</v>
      </c>
      <c r="CU14" s="61" t="s">
        <v>101</v>
      </c>
      <c r="CV14" s="61" t="s">
        <v>101</v>
      </c>
      <c r="CW14" s="61" t="s">
        <v>101</v>
      </c>
      <c r="CX14" s="61" t="s">
        <v>101</v>
      </c>
      <c r="CY14" s="61" t="s">
        <v>101</v>
      </c>
      <c r="CZ14" s="61" t="s">
        <v>101</v>
      </c>
      <c r="DA14" s="61" t="s">
        <v>101</v>
      </c>
      <c r="DB14" s="61" t="s">
        <v>101</v>
      </c>
      <c r="DC14" s="61" t="s">
        <v>101</v>
      </c>
      <c r="DD14" s="61" t="s">
        <v>101</v>
      </c>
      <c r="DE14" s="61" t="s">
        <v>101</v>
      </c>
      <c r="DF14" s="61" t="s">
        <v>101</v>
      </c>
      <c r="DG14" s="61" t="s">
        <v>101</v>
      </c>
      <c r="DH14" s="61" t="s">
        <v>101</v>
      </c>
      <c r="DI14" s="61" t="s">
        <v>101</v>
      </c>
      <c r="DJ14" s="61" t="s">
        <v>101</v>
      </c>
      <c r="DK14" s="61" t="s">
        <v>101</v>
      </c>
      <c r="DL14" s="61" t="s">
        <v>101</v>
      </c>
      <c r="DM14" s="61" t="s">
        <v>101</v>
      </c>
      <c r="DN14" s="61" t="s">
        <v>101</v>
      </c>
      <c r="DO14" s="61" t="s">
        <v>101</v>
      </c>
      <c r="DP14" s="61" t="s">
        <v>101</v>
      </c>
      <c r="DQ14" s="61" t="s">
        <v>101</v>
      </c>
      <c r="DR14" s="61" t="s">
        <v>101</v>
      </c>
      <c r="DS14" s="61" t="s">
        <v>114</v>
      </c>
      <c r="DT14" s="61" t="s">
        <v>114</v>
      </c>
      <c r="DU14" s="61" t="s">
        <v>114</v>
      </c>
      <c r="DV14" s="61" t="s">
        <v>114</v>
      </c>
      <c r="DW14" s="61" t="s">
        <v>114</v>
      </c>
      <c r="DX14" s="61" t="s">
        <v>114</v>
      </c>
      <c r="DY14" s="61" t="s">
        <v>114</v>
      </c>
      <c r="DZ14" s="61" t="s">
        <v>114</v>
      </c>
      <c r="EA14" s="61" t="s">
        <v>114</v>
      </c>
      <c r="EB14" s="61" t="s">
        <v>114</v>
      </c>
      <c r="EC14" s="61" t="s">
        <v>114</v>
      </c>
      <c r="ED14" s="61" t="s">
        <v>114</v>
      </c>
      <c r="EE14" s="61" t="s">
        <v>114</v>
      </c>
      <c r="EF14" s="61" t="s">
        <v>114</v>
      </c>
      <c r="EG14" s="61" t="s">
        <v>114</v>
      </c>
      <c r="EH14" s="61" t="s">
        <v>114</v>
      </c>
      <c r="EI14" s="61" t="s">
        <v>114</v>
      </c>
      <c r="EJ14" s="61" t="s">
        <v>114</v>
      </c>
      <c r="EK14" s="61" t="s">
        <v>114</v>
      </c>
      <c r="EL14" s="61" t="s">
        <v>114</v>
      </c>
      <c r="EM14" s="61" t="s">
        <v>114</v>
      </c>
      <c r="EN14" s="61" t="s">
        <v>114</v>
      </c>
      <c r="EO14" s="61" t="s">
        <v>114</v>
      </c>
      <c r="EP14" s="61" t="s">
        <v>114</v>
      </c>
      <c r="EQ14" s="61" t="s">
        <v>114</v>
      </c>
      <c r="ER14" s="61" t="s">
        <v>114</v>
      </c>
      <c r="ES14" s="61" t="s">
        <v>114</v>
      </c>
      <c r="ET14" s="61" t="s">
        <v>114</v>
      </c>
      <c r="EU14" s="61" t="s">
        <v>114</v>
      </c>
      <c r="EV14" s="61" t="s">
        <v>114</v>
      </c>
      <c r="EW14" s="61" t="s">
        <v>114</v>
      </c>
      <c r="EX14" s="61" t="s">
        <v>114</v>
      </c>
      <c r="EY14" s="61" t="s">
        <v>114</v>
      </c>
      <c r="EZ14" s="61" t="s">
        <v>114</v>
      </c>
      <c r="FA14" s="61" t="s">
        <v>114</v>
      </c>
      <c r="FB14" s="61" t="s">
        <v>114</v>
      </c>
      <c r="FC14" s="61" t="s">
        <v>114</v>
      </c>
      <c r="FD14" s="61" t="s">
        <v>114</v>
      </c>
      <c r="FE14" s="61" t="s">
        <v>114</v>
      </c>
      <c r="FF14" s="61" t="s">
        <v>114</v>
      </c>
      <c r="FG14" s="61" t="s">
        <v>114</v>
      </c>
      <c r="FH14" s="61" t="s">
        <v>114</v>
      </c>
      <c r="FI14" s="61" t="s">
        <v>114</v>
      </c>
      <c r="FJ14" s="61" t="s">
        <v>114</v>
      </c>
      <c r="FK14" s="61" t="s">
        <v>114</v>
      </c>
      <c r="FL14" s="61" t="s">
        <v>114</v>
      </c>
      <c r="FM14" s="61" t="s">
        <v>114</v>
      </c>
      <c r="FN14" s="61" t="s">
        <v>114</v>
      </c>
      <c r="FO14" s="61" t="s">
        <v>114</v>
      </c>
      <c r="FP14" s="61" t="s">
        <v>114</v>
      </c>
      <c r="FQ14" s="61" t="s">
        <v>114</v>
      </c>
      <c r="FR14" s="61" t="s">
        <v>114</v>
      </c>
      <c r="FS14" s="61" t="s">
        <v>114</v>
      </c>
      <c r="FT14" s="61" t="s">
        <v>114</v>
      </c>
      <c r="FU14" s="61" t="s">
        <v>114</v>
      </c>
      <c r="FV14" s="61" t="s">
        <v>114</v>
      </c>
      <c r="FW14" s="61" t="s">
        <v>114</v>
      </c>
      <c r="FX14" s="61" t="s">
        <v>114</v>
      </c>
      <c r="FY14" s="61" t="s">
        <v>114</v>
      </c>
      <c r="FZ14" s="61" t="s">
        <v>114</v>
      </c>
      <c r="GA14" s="61" t="s">
        <v>114</v>
      </c>
      <c r="GB14" s="61" t="s">
        <v>114</v>
      </c>
      <c r="GC14" s="61" t="s">
        <v>114</v>
      </c>
      <c r="GD14" s="61" t="s">
        <v>114</v>
      </c>
      <c r="GE14" s="61" t="s">
        <v>114</v>
      </c>
      <c r="GF14" s="61" t="s">
        <v>114</v>
      </c>
      <c r="GG14" s="61" t="s">
        <v>114</v>
      </c>
      <c r="GH14" s="61" t="s">
        <v>114</v>
      </c>
      <c r="GI14" s="61" t="s">
        <v>114</v>
      </c>
      <c r="GJ14" s="61" t="s">
        <v>114</v>
      </c>
      <c r="GK14" s="61" t="s">
        <v>114</v>
      </c>
      <c r="GL14" s="61" t="s">
        <v>114</v>
      </c>
      <c r="GM14" s="61" t="s">
        <v>114</v>
      </c>
      <c r="GN14" s="61" t="s">
        <v>114</v>
      </c>
      <c r="GO14" s="61" t="s">
        <v>114</v>
      </c>
      <c r="GP14" s="61" t="s">
        <v>114</v>
      </c>
      <c r="GQ14" s="61" t="s">
        <v>114</v>
      </c>
      <c r="GR14" s="61" t="s">
        <v>114</v>
      </c>
      <c r="GS14" s="61" t="s">
        <v>114</v>
      </c>
      <c r="GT14" s="61" t="s">
        <v>114</v>
      </c>
      <c r="GU14" s="61" t="s">
        <v>114</v>
      </c>
      <c r="GV14" s="61" t="s">
        <v>114</v>
      </c>
      <c r="GW14" s="61" t="s">
        <v>114</v>
      </c>
      <c r="GX14" s="61" t="s">
        <v>114</v>
      </c>
      <c r="GY14" s="61" t="s">
        <v>114</v>
      </c>
      <c r="GZ14" s="61" t="s">
        <v>114</v>
      </c>
      <c r="HA14" s="61" t="s">
        <v>114</v>
      </c>
      <c r="HB14" s="61" t="s">
        <v>114</v>
      </c>
      <c r="HC14" s="61" t="s">
        <v>114</v>
      </c>
      <c r="HD14" s="61" t="s">
        <v>114</v>
      </c>
      <c r="HE14" s="61" t="s">
        <v>114</v>
      </c>
      <c r="HF14" s="61" t="s">
        <v>114</v>
      </c>
      <c r="HG14" s="61" t="s">
        <v>114</v>
      </c>
      <c r="HH14" s="61" t="s">
        <v>114</v>
      </c>
      <c r="HI14" s="61" t="s">
        <v>114</v>
      </c>
      <c r="HJ14" s="61" t="s">
        <v>114</v>
      </c>
      <c r="HK14" s="61" t="s">
        <v>114</v>
      </c>
      <c r="HL14" s="61" t="s">
        <v>114</v>
      </c>
      <c r="HM14" s="61" t="s">
        <v>114</v>
      </c>
      <c r="HN14" s="61" t="s">
        <v>114</v>
      </c>
      <c r="HO14" s="61" t="s">
        <v>114</v>
      </c>
      <c r="HP14" s="61" t="s">
        <v>114</v>
      </c>
      <c r="HQ14" s="61" t="s">
        <v>114</v>
      </c>
      <c r="HR14" s="61" t="s">
        <v>114</v>
      </c>
      <c r="HS14" s="61" t="s">
        <v>114</v>
      </c>
      <c r="HT14" s="61" t="s">
        <v>114</v>
      </c>
      <c r="HU14" s="61" t="s">
        <v>114</v>
      </c>
      <c r="HV14" s="61" t="s">
        <v>114</v>
      </c>
      <c r="HW14" s="61" t="s">
        <v>114</v>
      </c>
      <c r="HX14" s="61" t="s">
        <v>114</v>
      </c>
      <c r="HY14" s="61" t="s">
        <v>114</v>
      </c>
      <c r="HZ14" s="61" t="s">
        <v>114</v>
      </c>
      <c r="IA14" s="61" t="s">
        <v>114</v>
      </c>
      <c r="IB14" s="61" t="s">
        <v>114</v>
      </c>
      <c r="IC14" s="61" t="s">
        <v>114</v>
      </c>
      <c r="ID14" s="61" t="s">
        <v>114</v>
      </c>
      <c r="IE14" s="61" t="s">
        <v>114</v>
      </c>
      <c r="IF14" s="61" t="s">
        <v>114</v>
      </c>
      <c r="IG14" s="61" t="s">
        <v>114</v>
      </c>
      <c r="IH14" s="61" t="s">
        <v>114</v>
      </c>
      <c r="II14" s="61" t="s">
        <v>114</v>
      </c>
      <c r="IJ14" s="61" t="s">
        <v>114</v>
      </c>
      <c r="IK14" s="61" t="s">
        <v>114</v>
      </c>
      <c r="IL14" s="61" t="s">
        <v>114</v>
      </c>
      <c r="IM14" s="61" t="s">
        <v>114</v>
      </c>
      <c r="IN14" s="61" t="s">
        <v>114</v>
      </c>
      <c r="IO14" s="61" t="s">
        <v>114</v>
      </c>
      <c r="IP14" s="61" t="s">
        <v>114</v>
      </c>
      <c r="IQ14" s="61" t="s">
        <v>114</v>
      </c>
      <c r="IR14" s="61" t="s">
        <v>114</v>
      </c>
      <c r="IS14" s="61" t="s">
        <v>114</v>
      </c>
      <c r="IT14" s="61" t="s">
        <v>114</v>
      </c>
      <c r="IU14" s="61" t="s">
        <v>114</v>
      </c>
      <c r="IV14" s="61" t="s">
        <v>114</v>
      </c>
      <c r="IW14" s="61" t="s">
        <v>114</v>
      </c>
      <c r="IX14" s="61" t="s">
        <v>114</v>
      </c>
      <c r="IY14" s="61" t="s">
        <v>114</v>
      </c>
      <c r="IZ14" s="61" t="s">
        <v>114</v>
      </c>
      <c r="JA14" s="61" t="s">
        <v>114</v>
      </c>
      <c r="JB14" s="61" t="s">
        <v>114</v>
      </c>
      <c r="JC14" s="61" t="s">
        <v>114</v>
      </c>
      <c r="JD14" s="61" t="s">
        <v>114</v>
      </c>
      <c r="JE14" s="61" t="s">
        <v>114</v>
      </c>
      <c r="JF14" s="61" t="s">
        <v>114</v>
      </c>
      <c r="JG14" s="61" t="s">
        <v>114</v>
      </c>
      <c r="JH14" s="61" t="s">
        <v>114</v>
      </c>
      <c r="JI14" s="61" t="s">
        <v>114</v>
      </c>
      <c r="JJ14" s="61" t="s">
        <v>114</v>
      </c>
      <c r="JK14" s="61" t="s">
        <v>114</v>
      </c>
      <c r="JL14" s="61" t="s">
        <v>114</v>
      </c>
      <c r="JM14" s="61" t="s">
        <v>114</v>
      </c>
      <c r="JN14" s="61" t="s">
        <v>114</v>
      </c>
      <c r="JO14" s="61" t="s">
        <v>114</v>
      </c>
      <c r="JP14" s="61" t="s">
        <v>114</v>
      </c>
      <c r="JQ14" s="61" t="s">
        <v>114</v>
      </c>
      <c r="JR14" s="61" t="s">
        <v>114</v>
      </c>
      <c r="JS14" s="61" t="s">
        <v>114</v>
      </c>
      <c r="JT14" s="61" t="s">
        <v>114</v>
      </c>
      <c r="JU14" s="61" t="s">
        <v>114</v>
      </c>
      <c r="JV14" s="61" t="s">
        <v>114</v>
      </c>
      <c r="JW14" s="61" t="s">
        <v>114</v>
      </c>
      <c r="JX14" s="61" t="s">
        <v>114</v>
      </c>
      <c r="JY14" s="61" t="s">
        <v>113</v>
      </c>
      <c r="JZ14" s="61" t="s">
        <v>113</v>
      </c>
      <c r="KA14" s="61" t="s">
        <v>113</v>
      </c>
      <c r="KB14" s="61" t="s">
        <v>113</v>
      </c>
      <c r="KC14" s="61" t="s">
        <v>113</v>
      </c>
      <c r="KD14" s="61" t="s">
        <v>113</v>
      </c>
      <c r="KE14" s="61" t="s">
        <v>113</v>
      </c>
      <c r="KF14" s="61" t="s">
        <v>113</v>
      </c>
      <c r="KG14" s="61" t="s">
        <v>113</v>
      </c>
      <c r="KH14" s="61" t="s">
        <v>113</v>
      </c>
      <c r="KI14" s="61" t="s">
        <v>113</v>
      </c>
      <c r="KJ14" s="61" t="s">
        <v>113</v>
      </c>
      <c r="KK14" s="61" t="s">
        <v>113</v>
      </c>
      <c r="KL14" s="61" t="s">
        <v>113</v>
      </c>
      <c r="KM14" s="61" t="s">
        <v>113</v>
      </c>
      <c r="KN14" s="61" t="s">
        <v>113</v>
      </c>
      <c r="KO14" s="61" t="s">
        <v>113</v>
      </c>
      <c r="KP14" s="61" t="s">
        <v>113</v>
      </c>
      <c r="KQ14" s="61" t="s">
        <v>113</v>
      </c>
      <c r="KS14" s="85" t="s">
        <v>99</v>
      </c>
      <c r="KT14" s="85" t="s">
        <v>99</v>
      </c>
    </row>
    <row r="15" spans="2:306" ht="15" x14ac:dyDescent="0.2">
      <c r="B15" s="60" t="s">
        <v>127</v>
      </c>
      <c r="C15" s="60" t="s">
        <v>129</v>
      </c>
      <c r="D15" s="61" t="str">
        <f t="shared" ref="D15:BO15" si="5">VLOOKUP(D14,$KS$14:$KT$31,2,FALSE)</f>
        <v>A</v>
      </c>
      <c r="E15" s="61" t="str">
        <f t="shared" si="5"/>
        <v>A</v>
      </c>
      <c r="F15" s="61" t="str">
        <f t="shared" si="5"/>
        <v>A</v>
      </c>
      <c r="G15" s="61" t="str">
        <f t="shared" si="5"/>
        <v>A</v>
      </c>
      <c r="H15" s="61" t="str">
        <f t="shared" si="5"/>
        <v>A</v>
      </c>
      <c r="I15" s="61" t="str">
        <f t="shared" si="5"/>
        <v>A</v>
      </c>
      <c r="J15" s="61" t="str">
        <f t="shared" si="5"/>
        <v>A</v>
      </c>
      <c r="K15" s="61" t="str">
        <f t="shared" si="5"/>
        <v>A</v>
      </c>
      <c r="L15" s="61" t="str">
        <f t="shared" si="5"/>
        <v>A</v>
      </c>
      <c r="M15" s="61" t="str">
        <f t="shared" si="5"/>
        <v>A</v>
      </c>
      <c r="N15" s="61" t="str">
        <f t="shared" si="5"/>
        <v>A</v>
      </c>
      <c r="O15" s="61" t="str">
        <f t="shared" si="5"/>
        <v>A</v>
      </c>
      <c r="P15" s="61" t="str">
        <f t="shared" si="5"/>
        <v>A</v>
      </c>
      <c r="Q15" s="61" t="str">
        <f t="shared" si="5"/>
        <v>A</v>
      </c>
      <c r="R15" s="61" t="str">
        <f t="shared" si="5"/>
        <v>A</v>
      </c>
      <c r="S15" s="61" t="str">
        <f t="shared" si="5"/>
        <v>A</v>
      </c>
      <c r="T15" s="61" t="str">
        <f t="shared" si="5"/>
        <v>A</v>
      </c>
      <c r="U15" s="61" t="str">
        <f t="shared" si="5"/>
        <v>A</v>
      </c>
      <c r="V15" s="61" t="str">
        <f t="shared" si="5"/>
        <v>A</v>
      </c>
      <c r="W15" s="61" t="str">
        <f t="shared" si="5"/>
        <v>A</v>
      </c>
      <c r="X15" s="61" t="str">
        <f t="shared" si="5"/>
        <v>A</v>
      </c>
      <c r="Y15" s="61" t="str">
        <f t="shared" si="5"/>
        <v>A</v>
      </c>
      <c r="Z15" s="61" t="str">
        <f t="shared" si="5"/>
        <v>A</v>
      </c>
      <c r="AA15" s="61" t="str">
        <f t="shared" si="5"/>
        <v>A</v>
      </c>
      <c r="AB15" s="61" t="str">
        <f t="shared" si="5"/>
        <v>A</v>
      </c>
      <c r="AC15" s="61" t="str">
        <f t="shared" si="5"/>
        <v>A</v>
      </c>
      <c r="AD15" s="61" t="str">
        <f t="shared" si="5"/>
        <v>A</v>
      </c>
      <c r="AE15" s="61" t="str">
        <f t="shared" si="5"/>
        <v>A</v>
      </c>
      <c r="AF15" s="61" t="str">
        <f t="shared" si="5"/>
        <v>A</v>
      </c>
      <c r="AG15" s="61" t="str">
        <f t="shared" si="5"/>
        <v>A</v>
      </c>
      <c r="AH15" s="61" t="str">
        <f t="shared" si="5"/>
        <v>A</v>
      </c>
      <c r="AI15" s="61" t="str">
        <f t="shared" si="5"/>
        <v>A</v>
      </c>
      <c r="AJ15" s="61" t="str">
        <f t="shared" si="5"/>
        <v>A</v>
      </c>
      <c r="AK15" s="61" t="str">
        <f t="shared" si="5"/>
        <v>A</v>
      </c>
      <c r="AL15" s="61" t="str">
        <f t="shared" si="5"/>
        <v>A</v>
      </c>
      <c r="AM15" s="61" t="str">
        <f t="shared" si="5"/>
        <v>A</v>
      </c>
      <c r="AN15" s="61" t="str">
        <f t="shared" si="5"/>
        <v>A</v>
      </c>
      <c r="AO15" s="61" t="str">
        <f t="shared" si="5"/>
        <v>A</v>
      </c>
      <c r="AP15" s="61" t="str">
        <f t="shared" si="5"/>
        <v>A</v>
      </c>
      <c r="AQ15" s="61" t="str">
        <f t="shared" si="5"/>
        <v>A</v>
      </c>
      <c r="AR15" s="61" t="str">
        <f t="shared" si="5"/>
        <v>A</v>
      </c>
      <c r="AS15" s="61" t="str">
        <f t="shared" si="5"/>
        <v>A</v>
      </c>
      <c r="AT15" s="61" t="str">
        <f t="shared" si="5"/>
        <v>A</v>
      </c>
      <c r="AU15" s="61" t="str">
        <f t="shared" si="5"/>
        <v>A</v>
      </c>
      <c r="AV15" s="61" t="str">
        <f t="shared" si="5"/>
        <v>A</v>
      </c>
      <c r="AW15" s="61" t="str">
        <f t="shared" si="5"/>
        <v>A</v>
      </c>
      <c r="AX15" s="61" t="str">
        <f t="shared" si="5"/>
        <v>A</v>
      </c>
      <c r="AY15" s="61" t="str">
        <f t="shared" si="5"/>
        <v>A</v>
      </c>
      <c r="AZ15" s="61" t="str">
        <f t="shared" si="5"/>
        <v>A</v>
      </c>
      <c r="BA15" s="61" t="str">
        <f t="shared" si="5"/>
        <v>A</v>
      </c>
      <c r="BB15" s="61" t="str">
        <f t="shared" si="5"/>
        <v>A</v>
      </c>
      <c r="BC15" s="61" t="str">
        <f t="shared" si="5"/>
        <v>A</v>
      </c>
      <c r="BD15" s="61" t="str">
        <f t="shared" si="5"/>
        <v>A</v>
      </c>
      <c r="BE15" s="61" t="str">
        <f t="shared" si="5"/>
        <v>A</v>
      </c>
      <c r="BF15" s="61" t="str">
        <f t="shared" si="5"/>
        <v>A</v>
      </c>
      <c r="BG15" s="61" t="str">
        <f t="shared" si="5"/>
        <v>A</v>
      </c>
      <c r="BH15" s="61" t="str">
        <f t="shared" si="5"/>
        <v>A</v>
      </c>
      <c r="BI15" s="61" t="str">
        <f t="shared" si="5"/>
        <v>A</v>
      </c>
      <c r="BJ15" s="61" t="str">
        <f t="shared" si="5"/>
        <v>A</v>
      </c>
      <c r="BK15" s="61" t="str">
        <f t="shared" si="5"/>
        <v>A</v>
      </c>
      <c r="BL15" s="61" t="str">
        <f t="shared" si="5"/>
        <v>A</v>
      </c>
      <c r="BM15" s="61" t="str">
        <f t="shared" si="5"/>
        <v>A</v>
      </c>
      <c r="BN15" s="61" t="str">
        <f t="shared" si="5"/>
        <v>A</v>
      </c>
      <c r="BO15" s="61" t="str">
        <f t="shared" si="5"/>
        <v>A</v>
      </c>
      <c r="BP15" s="61" t="str">
        <f t="shared" ref="BP15:EA15" si="6">VLOOKUP(BP14,$KS$14:$KT$31,2,FALSE)</f>
        <v>A</v>
      </c>
      <c r="BQ15" s="61" t="str">
        <f t="shared" si="6"/>
        <v>A</v>
      </c>
      <c r="BR15" s="61" t="str">
        <f t="shared" si="6"/>
        <v>A</v>
      </c>
      <c r="BS15" s="61" t="str">
        <f t="shared" si="6"/>
        <v>A</v>
      </c>
      <c r="BT15" s="61" t="str">
        <f t="shared" si="6"/>
        <v>A</v>
      </c>
      <c r="BU15" s="61" t="str">
        <f t="shared" si="6"/>
        <v>A</v>
      </c>
      <c r="BV15" s="61" t="str">
        <f t="shared" si="6"/>
        <v>A</v>
      </c>
      <c r="BW15" s="61" t="str">
        <f t="shared" si="6"/>
        <v>A</v>
      </c>
      <c r="BX15" s="61" t="str">
        <f t="shared" si="6"/>
        <v>A</v>
      </c>
      <c r="BY15" s="61" t="str">
        <f t="shared" si="6"/>
        <v>A</v>
      </c>
      <c r="BZ15" s="61" t="str">
        <f t="shared" si="6"/>
        <v>A</v>
      </c>
      <c r="CA15" s="61" t="str">
        <f t="shared" si="6"/>
        <v>A</v>
      </c>
      <c r="CB15" s="61" t="str">
        <f t="shared" si="6"/>
        <v>A</v>
      </c>
      <c r="CC15" s="61" t="str">
        <f t="shared" si="6"/>
        <v>A</v>
      </c>
      <c r="CD15" s="61" t="str">
        <f t="shared" si="6"/>
        <v>A</v>
      </c>
      <c r="CE15" s="61" t="str">
        <f t="shared" si="6"/>
        <v>A</v>
      </c>
      <c r="CF15" s="61" t="str">
        <f t="shared" si="6"/>
        <v>A</v>
      </c>
      <c r="CG15" s="61" t="str">
        <f t="shared" si="6"/>
        <v>A</v>
      </c>
      <c r="CH15" s="61" t="str">
        <f t="shared" si="6"/>
        <v>A</v>
      </c>
      <c r="CI15" s="61" t="str">
        <f t="shared" si="6"/>
        <v>A</v>
      </c>
      <c r="CJ15" s="61" t="str">
        <f t="shared" si="6"/>
        <v>A</v>
      </c>
      <c r="CK15" s="61" t="str">
        <f t="shared" si="6"/>
        <v>A</v>
      </c>
      <c r="CL15" s="61" t="str">
        <f t="shared" si="6"/>
        <v>A</v>
      </c>
      <c r="CM15" s="61" t="str">
        <f t="shared" si="6"/>
        <v>A</v>
      </c>
      <c r="CN15" s="61" t="str">
        <f t="shared" si="6"/>
        <v>A</v>
      </c>
      <c r="CO15" s="61" t="str">
        <f t="shared" si="6"/>
        <v>A</v>
      </c>
      <c r="CP15" s="61" t="str">
        <f t="shared" si="6"/>
        <v>A</v>
      </c>
      <c r="CQ15" s="61" t="str">
        <f t="shared" si="6"/>
        <v>A</v>
      </c>
      <c r="CR15" s="61" t="str">
        <f t="shared" si="6"/>
        <v>A</v>
      </c>
      <c r="CS15" s="61" t="str">
        <f t="shared" si="6"/>
        <v>A</v>
      </c>
      <c r="CT15" s="61" t="str">
        <f t="shared" si="6"/>
        <v>A</v>
      </c>
      <c r="CU15" s="61" t="str">
        <f t="shared" si="6"/>
        <v>A</v>
      </c>
      <c r="CV15" s="61" t="str">
        <f t="shared" si="6"/>
        <v>A</v>
      </c>
      <c r="CW15" s="61" t="str">
        <f t="shared" si="6"/>
        <v>A</v>
      </c>
      <c r="CX15" s="61" t="str">
        <f t="shared" si="6"/>
        <v>A</v>
      </c>
      <c r="CY15" s="61" t="str">
        <f t="shared" si="6"/>
        <v>A</v>
      </c>
      <c r="CZ15" s="61" t="str">
        <f t="shared" si="6"/>
        <v>A</v>
      </c>
      <c r="DA15" s="61" t="str">
        <f t="shared" si="6"/>
        <v>A</v>
      </c>
      <c r="DB15" s="61" t="str">
        <f t="shared" si="6"/>
        <v>A</v>
      </c>
      <c r="DC15" s="61" t="str">
        <f t="shared" si="6"/>
        <v>A</v>
      </c>
      <c r="DD15" s="61" t="str">
        <f t="shared" si="6"/>
        <v>A</v>
      </c>
      <c r="DE15" s="61" t="str">
        <f t="shared" si="6"/>
        <v>A</v>
      </c>
      <c r="DF15" s="61" t="str">
        <f t="shared" si="6"/>
        <v>A</v>
      </c>
      <c r="DG15" s="61" t="str">
        <f t="shared" si="6"/>
        <v>A</v>
      </c>
      <c r="DH15" s="61" t="str">
        <f t="shared" si="6"/>
        <v>A</v>
      </c>
      <c r="DI15" s="61" t="str">
        <f t="shared" si="6"/>
        <v>A</v>
      </c>
      <c r="DJ15" s="61" t="str">
        <f t="shared" si="6"/>
        <v>A</v>
      </c>
      <c r="DK15" s="61" t="str">
        <f t="shared" si="6"/>
        <v>A</v>
      </c>
      <c r="DL15" s="61" t="str">
        <f t="shared" si="6"/>
        <v>A</v>
      </c>
      <c r="DM15" s="61" t="str">
        <f t="shared" si="6"/>
        <v>A</v>
      </c>
      <c r="DN15" s="61" t="str">
        <f t="shared" si="6"/>
        <v>A</v>
      </c>
      <c r="DO15" s="61" t="str">
        <f t="shared" si="6"/>
        <v>A</v>
      </c>
      <c r="DP15" s="61" t="str">
        <f t="shared" si="6"/>
        <v>A</v>
      </c>
      <c r="DQ15" s="61" t="str">
        <f t="shared" si="6"/>
        <v>A</v>
      </c>
      <c r="DR15" s="61" t="str">
        <f t="shared" si="6"/>
        <v>A</v>
      </c>
      <c r="DS15" s="61" t="str">
        <f t="shared" si="6"/>
        <v>A</v>
      </c>
      <c r="DT15" s="61" t="str">
        <f t="shared" si="6"/>
        <v>A</v>
      </c>
      <c r="DU15" s="61" t="str">
        <f t="shared" si="6"/>
        <v>A</v>
      </c>
      <c r="DV15" s="61" t="str">
        <f t="shared" si="6"/>
        <v>A</v>
      </c>
      <c r="DW15" s="61" t="str">
        <f t="shared" si="6"/>
        <v>A</v>
      </c>
      <c r="DX15" s="61" t="str">
        <f t="shared" si="6"/>
        <v>A</v>
      </c>
      <c r="DY15" s="61" t="str">
        <f t="shared" si="6"/>
        <v>A</v>
      </c>
      <c r="DZ15" s="61" t="str">
        <f t="shared" si="6"/>
        <v>A</v>
      </c>
      <c r="EA15" s="61" t="str">
        <f t="shared" si="6"/>
        <v>A</v>
      </c>
      <c r="EB15" s="61" t="str">
        <f t="shared" ref="EB15:GM15" si="7">VLOOKUP(EB14,$KS$14:$KT$31,2,FALSE)</f>
        <v>A</v>
      </c>
      <c r="EC15" s="61" t="str">
        <f t="shared" si="7"/>
        <v>A</v>
      </c>
      <c r="ED15" s="61" t="str">
        <f t="shared" si="7"/>
        <v>A</v>
      </c>
      <c r="EE15" s="61" t="str">
        <f t="shared" si="7"/>
        <v>A</v>
      </c>
      <c r="EF15" s="61" t="str">
        <f t="shared" si="7"/>
        <v>A</v>
      </c>
      <c r="EG15" s="61" t="str">
        <f t="shared" si="7"/>
        <v>A</v>
      </c>
      <c r="EH15" s="61" t="str">
        <f t="shared" si="7"/>
        <v>A</v>
      </c>
      <c r="EI15" s="61" t="str">
        <f t="shared" si="7"/>
        <v>A</v>
      </c>
      <c r="EJ15" s="61" t="str">
        <f t="shared" si="7"/>
        <v>A</v>
      </c>
      <c r="EK15" s="61" t="str">
        <f t="shared" si="7"/>
        <v>A</v>
      </c>
      <c r="EL15" s="61" t="str">
        <f t="shared" si="7"/>
        <v>A</v>
      </c>
      <c r="EM15" s="61" t="str">
        <f t="shared" si="7"/>
        <v>A</v>
      </c>
      <c r="EN15" s="61" t="str">
        <f t="shared" si="7"/>
        <v>A</v>
      </c>
      <c r="EO15" s="61" t="str">
        <f t="shared" si="7"/>
        <v>A</v>
      </c>
      <c r="EP15" s="61" t="str">
        <f t="shared" si="7"/>
        <v>A</v>
      </c>
      <c r="EQ15" s="61" t="str">
        <f t="shared" si="7"/>
        <v>A</v>
      </c>
      <c r="ER15" s="61" t="str">
        <f t="shared" si="7"/>
        <v>A</v>
      </c>
      <c r="ES15" s="61" t="str">
        <f t="shared" si="7"/>
        <v>A</v>
      </c>
      <c r="ET15" s="61" t="str">
        <f t="shared" si="7"/>
        <v>A</v>
      </c>
      <c r="EU15" s="61" t="str">
        <f t="shared" si="7"/>
        <v>A</v>
      </c>
      <c r="EV15" s="61" t="str">
        <f t="shared" si="7"/>
        <v>A</v>
      </c>
      <c r="EW15" s="61" t="str">
        <f t="shared" si="7"/>
        <v>A</v>
      </c>
      <c r="EX15" s="61" t="str">
        <f t="shared" si="7"/>
        <v>A</v>
      </c>
      <c r="EY15" s="61" t="str">
        <f t="shared" si="7"/>
        <v>A</v>
      </c>
      <c r="EZ15" s="61" t="str">
        <f t="shared" si="7"/>
        <v>A</v>
      </c>
      <c r="FA15" s="61" t="str">
        <f t="shared" si="7"/>
        <v>A</v>
      </c>
      <c r="FB15" s="61" t="str">
        <f t="shared" si="7"/>
        <v>A</v>
      </c>
      <c r="FC15" s="61" t="str">
        <f t="shared" si="7"/>
        <v>A</v>
      </c>
      <c r="FD15" s="61" t="str">
        <f t="shared" si="7"/>
        <v>A</v>
      </c>
      <c r="FE15" s="61" t="str">
        <f t="shared" si="7"/>
        <v>A</v>
      </c>
      <c r="FF15" s="61" t="str">
        <f t="shared" si="7"/>
        <v>A</v>
      </c>
      <c r="FG15" s="61" t="str">
        <f t="shared" si="7"/>
        <v>A</v>
      </c>
      <c r="FH15" s="61" t="str">
        <f t="shared" si="7"/>
        <v>A</v>
      </c>
      <c r="FI15" s="61" t="str">
        <f t="shared" si="7"/>
        <v>A</v>
      </c>
      <c r="FJ15" s="61" t="str">
        <f t="shared" si="7"/>
        <v>A</v>
      </c>
      <c r="FK15" s="61" t="str">
        <f t="shared" si="7"/>
        <v>A</v>
      </c>
      <c r="FL15" s="61" t="str">
        <f t="shared" si="7"/>
        <v>A</v>
      </c>
      <c r="FM15" s="61" t="str">
        <f t="shared" si="7"/>
        <v>A</v>
      </c>
      <c r="FN15" s="61" t="str">
        <f t="shared" si="7"/>
        <v>A</v>
      </c>
      <c r="FO15" s="61" t="str">
        <f t="shared" si="7"/>
        <v>A</v>
      </c>
      <c r="FP15" s="61" t="str">
        <f t="shared" si="7"/>
        <v>A</v>
      </c>
      <c r="FQ15" s="61" t="str">
        <f t="shared" si="7"/>
        <v>A</v>
      </c>
      <c r="FR15" s="61" t="str">
        <f t="shared" si="7"/>
        <v>A</v>
      </c>
      <c r="FS15" s="61" t="str">
        <f t="shared" si="7"/>
        <v>A</v>
      </c>
      <c r="FT15" s="61" t="str">
        <f t="shared" si="7"/>
        <v>A</v>
      </c>
      <c r="FU15" s="61" t="str">
        <f t="shared" si="7"/>
        <v>A</v>
      </c>
      <c r="FV15" s="61" t="str">
        <f t="shared" si="7"/>
        <v>A</v>
      </c>
      <c r="FW15" s="61" t="str">
        <f t="shared" si="7"/>
        <v>A</v>
      </c>
      <c r="FX15" s="61" t="str">
        <f t="shared" si="7"/>
        <v>A</v>
      </c>
      <c r="FY15" s="61" t="str">
        <f t="shared" si="7"/>
        <v>A</v>
      </c>
      <c r="FZ15" s="61" t="str">
        <f t="shared" si="7"/>
        <v>A</v>
      </c>
      <c r="GA15" s="61" t="str">
        <f t="shared" si="7"/>
        <v>A</v>
      </c>
      <c r="GB15" s="61" t="str">
        <f t="shared" si="7"/>
        <v>A</v>
      </c>
      <c r="GC15" s="61" t="str">
        <f t="shared" si="7"/>
        <v>A</v>
      </c>
      <c r="GD15" s="61" t="str">
        <f t="shared" si="7"/>
        <v>A</v>
      </c>
      <c r="GE15" s="61" t="str">
        <f t="shared" si="7"/>
        <v>A</v>
      </c>
      <c r="GF15" s="61" t="str">
        <f t="shared" si="7"/>
        <v>A</v>
      </c>
      <c r="GG15" s="61" t="str">
        <f t="shared" si="7"/>
        <v>A</v>
      </c>
      <c r="GH15" s="61" t="str">
        <f t="shared" si="7"/>
        <v>A</v>
      </c>
      <c r="GI15" s="61" t="str">
        <f t="shared" si="7"/>
        <v>A</v>
      </c>
      <c r="GJ15" s="61" t="str">
        <f t="shared" si="7"/>
        <v>A</v>
      </c>
      <c r="GK15" s="61" t="str">
        <f t="shared" si="7"/>
        <v>A</v>
      </c>
      <c r="GL15" s="61" t="str">
        <f t="shared" si="7"/>
        <v>A</v>
      </c>
      <c r="GM15" s="61" t="str">
        <f t="shared" si="7"/>
        <v>A</v>
      </c>
      <c r="GN15" s="61" t="str">
        <f t="shared" ref="GN15:IY15" si="8">VLOOKUP(GN14,$KS$14:$KT$31,2,FALSE)</f>
        <v>A</v>
      </c>
      <c r="GO15" s="61" t="str">
        <f t="shared" si="8"/>
        <v>A</v>
      </c>
      <c r="GP15" s="61" t="str">
        <f t="shared" si="8"/>
        <v>A</v>
      </c>
      <c r="GQ15" s="61" t="str">
        <f t="shared" si="8"/>
        <v>A</v>
      </c>
      <c r="GR15" s="61" t="str">
        <f t="shared" si="8"/>
        <v>A</v>
      </c>
      <c r="GS15" s="61" t="str">
        <f t="shared" si="8"/>
        <v>A</v>
      </c>
      <c r="GT15" s="61" t="str">
        <f t="shared" si="8"/>
        <v>A</v>
      </c>
      <c r="GU15" s="61" t="str">
        <f t="shared" si="8"/>
        <v>A</v>
      </c>
      <c r="GV15" s="61" t="str">
        <f t="shared" si="8"/>
        <v>A</v>
      </c>
      <c r="GW15" s="61" t="str">
        <f t="shared" si="8"/>
        <v>A</v>
      </c>
      <c r="GX15" s="61" t="str">
        <f t="shared" si="8"/>
        <v>A</v>
      </c>
      <c r="GY15" s="61" t="str">
        <f t="shared" si="8"/>
        <v>A</v>
      </c>
      <c r="GZ15" s="61" t="str">
        <f t="shared" si="8"/>
        <v>A</v>
      </c>
      <c r="HA15" s="61" t="str">
        <f t="shared" si="8"/>
        <v>A</v>
      </c>
      <c r="HB15" s="61" t="str">
        <f t="shared" si="8"/>
        <v>A</v>
      </c>
      <c r="HC15" s="61" t="str">
        <f t="shared" si="8"/>
        <v>A</v>
      </c>
      <c r="HD15" s="61" t="str">
        <f t="shared" si="8"/>
        <v>A</v>
      </c>
      <c r="HE15" s="61" t="str">
        <f t="shared" si="8"/>
        <v>A</v>
      </c>
      <c r="HF15" s="61" t="str">
        <f t="shared" si="8"/>
        <v>A</v>
      </c>
      <c r="HG15" s="61" t="str">
        <f t="shared" si="8"/>
        <v>A</v>
      </c>
      <c r="HH15" s="61" t="str">
        <f t="shared" si="8"/>
        <v>A</v>
      </c>
      <c r="HI15" s="61" t="str">
        <f t="shared" si="8"/>
        <v>A</v>
      </c>
      <c r="HJ15" s="61" t="str">
        <f t="shared" si="8"/>
        <v>A</v>
      </c>
      <c r="HK15" s="61" t="str">
        <f t="shared" si="8"/>
        <v>A</v>
      </c>
      <c r="HL15" s="61" t="str">
        <f t="shared" si="8"/>
        <v>A</v>
      </c>
      <c r="HM15" s="61" t="str">
        <f t="shared" si="8"/>
        <v>A</v>
      </c>
      <c r="HN15" s="61" t="str">
        <f t="shared" si="8"/>
        <v>A</v>
      </c>
      <c r="HO15" s="61" t="str">
        <f t="shared" si="8"/>
        <v>A</v>
      </c>
      <c r="HP15" s="61" t="str">
        <f t="shared" si="8"/>
        <v>A</v>
      </c>
      <c r="HQ15" s="61" t="str">
        <f t="shared" si="8"/>
        <v>A</v>
      </c>
      <c r="HR15" s="61" t="str">
        <f t="shared" si="8"/>
        <v>A</v>
      </c>
      <c r="HS15" s="61" t="str">
        <f t="shared" si="8"/>
        <v>A</v>
      </c>
      <c r="HT15" s="61" t="str">
        <f t="shared" si="8"/>
        <v>A</v>
      </c>
      <c r="HU15" s="61" t="str">
        <f t="shared" si="8"/>
        <v>A</v>
      </c>
      <c r="HV15" s="61" t="str">
        <f t="shared" si="8"/>
        <v>A</v>
      </c>
      <c r="HW15" s="61" t="str">
        <f t="shared" si="8"/>
        <v>A</v>
      </c>
      <c r="HX15" s="61" t="str">
        <f t="shared" si="8"/>
        <v>A</v>
      </c>
      <c r="HY15" s="61" t="str">
        <f t="shared" si="8"/>
        <v>A</v>
      </c>
      <c r="HZ15" s="61" t="str">
        <f t="shared" si="8"/>
        <v>A</v>
      </c>
      <c r="IA15" s="61" t="str">
        <f t="shared" si="8"/>
        <v>A</v>
      </c>
      <c r="IB15" s="61" t="str">
        <f t="shared" si="8"/>
        <v>A</v>
      </c>
      <c r="IC15" s="61" t="str">
        <f t="shared" si="8"/>
        <v>A</v>
      </c>
      <c r="ID15" s="61" t="str">
        <f t="shared" si="8"/>
        <v>A</v>
      </c>
      <c r="IE15" s="61" t="str">
        <f t="shared" si="8"/>
        <v>A</v>
      </c>
      <c r="IF15" s="61" t="str">
        <f t="shared" si="8"/>
        <v>A</v>
      </c>
      <c r="IG15" s="61" t="str">
        <f t="shared" si="8"/>
        <v>A</v>
      </c>
      <c r="IH15" s="61" t="str">
        <f t="shared" si="8"/>
        <v>A</v>
      </c>
      <c r="II15" s="61" t="str">
        <f t="shared" si="8"/>
        <v>A</v>
      </c>
      <c r="IJ15" s="61" t="str">
        <f t="shared" si="8"/>
        <v>A</v>
      </c>
      <c r="IK15" s="61" t="str">
        <f t="shared" si="8"/>
        <v>A</v>
      </c>
      <c r="IL15" s="61" t="str">
        <f t="shared" si="8"/>
        <v>A</v>
      </c>
      <c r="IM15" s="61" t="str">
        <f t="shared" si="8"/>
        <v>A</v>
      </c>
      <c r="IN15" s="61" t="str">
        <f t="shared" si="8"/>
        <v>A</v>
      </c>
      <c r="IO15" s="61" t="str">
        <f t="shared" si="8"/>
        <v>A</v>
      </c>
      <c r="IP15" s="61" t="str">
        <f t="shared" si="8"/>
        <v>A</v>
      </c>
      <c r="IQ15" s="61" t="str">
        <f t="shared" si="8"/>
        <v>A</v>
      </c>
      <c r="IR15" s="61" t="str">
        <f t="shared" si="8"/>
        <v>A</v>
      </c>
      <c r="IS15" s="61" t="str">
        <f t="shared" si="8"/>
        <v>A</v>
      </c>
      <c r="IT15" s="61" t="str">
        <f t="shared" si="8"/>
        <v>A</v>
      </c>
      <c r="IU15" s="61" t="str">
        <f t="shared" si="8"/>
        <v>A</v>
      </c>
      <c r="IV15" s="61" t="str">
        <f t="shared" si="8"/>
        <v>A</v>
      </c>
      <c r="IW15" s="61" t="str">
        <f t="shared" si="8"/>
        <v>A</v>
      </c>
      <c r="IX15" s="61" t="str">
        <f t="shared" si="8"/>
        <v>A</v>
      </c>
      <c r="IY15" s="61" t="str">
        <f t="shared" si="8"/>
        <v>A</v>
      </c>
      <c r="IZ15" s="61" t="str">
        <f t="shared" ref="IZ15:KQ15" si="9">VLOOKUP(IZ14,$KS$14:$KT$31,2,FALSE)</f>
        <v>A</v>
      </c>
      <c r="JA15" s="61" t="str">
        <f t="shared" si="9"/>
        <v>A</v>
      </c>
      <c r="JB15" s="61" t="str">
        <f t="shared" si="9"/>
        <v>A</v>
      </c>
      <c r="JC15" s="61" t="str">
        <f t="shared" si="9"/>
        <v>A</v>
      </c>
      <c r="JD15" s="61" t="str">
        <f t="shared" si="9"/>
        <v>A</v>
      </c>
      <c r="JE15" s="61" t="str">
        <f t="shared" si="9"/>
        <v>A</v>
      </c>
      <c r="JF15" s="61" t="str">
        <f t="shared" si="9"/>
        <v>A</v>
      </c>
      <c r="JG15" s="61" t="str">
        <f t="shared" si="9"/>
        <v>A</v>
      </c>
      <c r="JH15" s="61" t="str">
        <f t="shared" si="9"/>
        <v>A</v>
      </c>
      <c r="JI15" s="61" t="str">
        <f t="shared" si="9"/>
        <v>A</v>
      </c>
      <c r="JJ15" s="61" t="str">
        <f t="shared" si="9"/>
        <v>A</v>
      </c>
      <c r="JK15" s="61" t="str">
        <f t="shared" si="9"/>
        <v>A</v>
      </c>
      <c r="JL15" s="61" t="str">
        <f t="shared" si="9"/>
        <v>A</v>
      </c>
      <c r="JM15" s="61" t="str">
        <f t="shared" si="9"/>
        <v>A</v>
      </c>
      <c r="JN15" s="61" t="str">
        <f t="shared" si="9"/>
        <v>A</v>
      </c>
      <c r="JO15" s="61" t="str">
        <f t="shared" si="9"/>
        <v>A</v>
      </c>
      <c r="JP15" s="61" t="str">
        <f t="shared" si="9"/>
        <v>A</v>
      </c>
      <c r="JQ15" s="61" t="str">
        <f t="shared" si="9"/>
        <v>A</v>
      </c>
      <c r="JR15" s="61" t="str">
        <f t="shared" si="9"/>
        <v>A</v>
      </c>
      <c r="JS15" s="61" t="str">
        <f t="shared" si="9"/>
        <v>A</v>
      </c>
      <c r="JT15" s="61" t="str">
        <f t="shared" si="9"/>
        <v>A</v>
      </c>
      <c r="JU15" s="61" t="str">
        <f t="shared" si="9"/>
        <v>A</v>
      </c>
      <c r="JV15" s="61" t="str">
        <f t="shared" si="9"/>
        <v>A</v>
      </c>
      <c r="JW15" s="61" t="str">
        <f t="shared" si="9"/>
        <v>A</v>
      </c>
      <c r="JX15" s="61" t="str">
        <f t="shared" si="9"/>
        <v>A</v>
      </c>
      <c r="JY15" s="61" t="str">
        <f t="shared" si="9"/>
        <v>BBB</v>
      </c>
      <c r="JZ15" s="61" t="str">
        <f t="shared" si="9"/>
        <v>BBB</v>
      </c>
      <c r="KA15" s="61" t="str">
        <f t="shared" si="9"/>
        <v>BBB</v>
      </c>
      <c r="KB15" s="61" t="str">
        <f t="shared" si="9"/>
        <v>BBB</v>
      </c>
      <c r="KC15" s="61" t="str">
        <f t="shared" si="9"/>
        <v>BBB</v>
      </c>
      <c r="KD15" s="61" t="str">
        <f t="shared" si="9"/>
        <v>BBB</v>
      </c>
      <c r="KE15" s="61" t="str">
        <f t="shared" si="9"/>
        <v>BBB</v>
      </c>
      <c r="KF15" s="61" t="str">
        <f t="shared" si="9"/>
        <v>BBB</v>
      </c>
      <c r="KG15" s="61" t="str">
        <f t="shared" si="9"/>
        <v>BBB</v>
      </c>
      <c r="KH15" s="61" t="str">
        <f t="shared" si="9"/>
        <v>BBB</v>
      </c>
      <c r="KI15" s="61" t="str">
        <f t="shared" si="9"/>
        <v>BBB</v>
      </c>
      <c r="KJ15" s="61" t="str">
        <f t="shared" si="9"/>
        <v>BBB</v>
      </c>
      <c r="KK15" s="61" t="str">
        <f t="shared" si="9"/>
        <v>BBB</v>
      </c>
      <c r="KL15" s="61" t="str">
        <f t="shared" si="9"/>
        <v>BBB</v>
      </c>
      <c r="KM15" s="61" t="str">
        <f t="shared" si="9"/>
        <v>BBB</v>
      </c>
      <c r="KN15" s="61" t="str">
        <f t="shared" si="9"/>
        <v>BBB</v>
      </c>
      <c r="KO15" s="61" t="str">
        <f t="shared" si="9"/>
        <v>BBB</v>
      </c>
      <c r="KP15" s="61" t="str">
        <f t="shared" si="9"/>
        <v>BBB</v>
      </c>
      <c r="KQ15" s="61" t="str">
        <f t="shared" si="9"/>
        <v>BBB</v>
      </c>
      <c r="KS15" s="85" t="s">
        <v>117</v>
      </c>
      <c r="KT15" s="85" t="s">
        <v>100</v>
      </c>
    </row>
    <row r="16" spans="2:306" ht="15" x14ac:dyDescent="0.2">
      <c r="B16" s="60" t="s">
        <v>128</v>
      </c>
      <c r="C16" s="60" t="s">
        <v>130</v>
      </c>
      <c r="D16" s="146">
        <f t="array" ref="D16">INDEX('Alberta Yields'!$E$7:$K$29,MATCH('Enbridge Ratings and Yields'!D11&amp;'Enbridge Ratings and Yields'!D12,'Alberta Yields'!$C$7:$C$29&amp;'Alberta Yields'!$D$7:$D$29,0),MATCH('Enbridge Ratings and Yields'!D15,'Alberta Yields'!$E$5:$K$5,0))</f>
        <v>8.84</v>
      </c>
      <c r="E16" s="146">
        <f t="array" ref="E16">INDEX('Alberta Yields'!$E$7:$K$29,MATCH('Enbridge Ratings and Yields'!E11&amp;'Enbridge Ratings and Yields'!E12,'Alberta Yields'!$C$7:$C$29&amp;'Alberta Yields'!$D$7:$D$29,0),MATCH('Enbridge Ratings and Yields'!E15,'Alberta Yields'!$E$5:$K$5,0))</f>
        <v>8.93</v>
      </c>
      <c r="F16" s="146">
        <f t="array" ref="F16">INDEX('Alberta Yields'!$E$7:$K$29,MATCH('Enbridge Ratings and Yields'!F11&amp;'Enbridge Ratings and Yields'!F12,'Alberta Yields'!$C$7:$C$29&amp;'Alberta Yields'!$D$7:$D$29,0),MATCH('Enbridge Ratings and Yields'!F15,'Alberta Yields'!$E$5:$K$5,0))</f>
        <v>8.9700000000000006</v>
      </c>
      <c r="G16" s="146">
        <f t="array" ref="G16">INDEX('Alberta Yields'!$E$7:$K$29,MATCH('Enbridge Ratings and Yields'!G11&amp;'Enbridge Ratings and Yields'!G12,'Alberta Yields'!$C$7:$C$29&amp;'Alberta Yields'!$D$7:$D$29,0),MATCH('Enbridge Ratings and Yields'!G15,'Alberta Yields'!$E$5:$K$5,0))</f>
        <v>8.93</v>
      </c>
      <c r="H16" s="146">
        <f t="array" ref="H16">INDEX('Alberta Yields'!$E$7:$K$29,MATCH('Enbridge Ratings and Yields'!H11&amp;'Enbridge Ratings and Yields'!H12,'Alberta Yields'!$C$7:$C$29&amp;'Alberta Yields'!$D$7:$D$29,0),MATCH('Enbridge Ratings and Yields'!H15,'Alberta Yields'!$E$5:$K$5,0))</f>
        <v>8.8699999999999992</v>
      </c>
      <c r="I16" s="146">
        <f t="array" ref="I16">INDEX('Alberta Yields'!$E$7:$K$29,MATCH('Enbridge Ratings and Yields'!I11&amp;'Enbridge Ratings and Yields'!I12,'Alberta Yields'!$C$7:$C$29&amp;'Alberta Yields'!$D$7:$D$29,0),MATCH('Enbridge Ratings and Yields'!I15,'Alberta Yields'!$E$5:$K$5,0))</f>
        <v>8.7799999999999994</v>
      </c>
      <c r="J16" s="146">
        <f t="array" ref="J16">INDEX('Alberta Yields'!$E$7:$K$29,MATCH('Enbridge Ratings and Yields'!J11&amp;'Enbridge Ratings and Yields'!J12,'Alberta Yields'!$C$7:$C$29&amp;'Alberta Yields'!$D$7:$D$29,0),MATCH('Enbridge Ratings and Yields'!J15,'Alberta Yields'!$E$5:$K$5,0))</f>
        <v>8.57</v>
      </c>
      <c r="K16" s="146">
        <f t="array" ref="K16">INDEX('Alberta Yields'!$E$7:$K$29,MATCH('Enbridge Ratings and Yields'!K11&amp;'Enbridge Ratings and Yields'!K12,'Alberta Yields'!$C$7:$C$29&amp;'Alberta Yields'!$D$7:$D$29,0),MATCH('Enbridge Ratings and Yields'!K15,'Alberta Yields'!$E$5:$K$5,0))</f>
        <v>8.44</v>
      </c>
      <c r="L16" s="146">
        <f t="array" ref="L16">INDEX('Alberta Yields'!$E$7:$K$29,MATCH('Enbridge Ratings and Yields'!L11&amp;'Enbridge Ratings and Yields'!L12,'Alberta Yields'!$C$7:$C$29&amp;'Alberta Yields'!$D$7:$D$29,0),MATCH('Enbridge Ratings and Yields'!L15,'Alberta Yields'!$E$5:$K$5,0))</f>
        <v>8.4</v>
      </c>
      <c r="M16" s="146">
        <f t="array" ref="M16">INDEX('Alberta Yields'!$E$7:$K$29,MATCH('Enbridge Ratings and Yields'!M11&amp;'Enbridge Ratings and Yields'!M12,'Alberta Yields'!$C$7:$C$29&amp;'Alberta Yields'!$D$7:$D$29,0),MATCH('Enbridge Ratings and Yields'!M15,'Alberta Yields'!$E$5:$K$5,0))</f>
        <v>8.5399999999999991</v>
      </c>
      <c r="N16" s="146">
        <f t="array" ref="N16">INDEX('Alberta Yields'!$E$7:$K$29,MATCH('Enbridge Ratings and Yields'!N11&amp;'Enbridge Ratings and Yields'!N12,'Alberta Yields'!$C$7:$C$29&amp;'Alberta Yields'!$D$7:$D$29,0),MATCH('Enbridge Ratings and Yields'!N15,'Alberta Yields'!$E$5:$K$5,0))</f>
        <v>8.6300000000000008</v>
      </c>
      <c r="O16" s="146">
        <f t="array" ref="O16">IFERROR(INDEX('Monthly Average Bond Yields'!$D$6:$J$311,MATCH('Enbridge Ratings and Yields'!O13,'Monthly Average Bond Yields'!$C$6:$C$311,0),MATCH('Enbridge Ratings and Yields'!O15,'Monthly Average Bond Yields'!$D$5:$J$5,0)),"N/A")</f>
        <v>8.3620000000000001</v>
      </c>
      <c r="P16" s="146">
        <f t="array" ref="P16">IFERROR(INDEX('Monthly Average Bond Yields'!$D$6:$J$311,MATCH('Enbridge Ratings and Yields'!P13,'Monthly Average Bond Yields'!$C$6:$C$311,0),MATCH('Enbridge Ratings and Yields'!P15,'Monthly Average Bond Yields'!$D$5:$J$5,0)),"N/A")</f>
        <v>8.2705263157894766</v>
      </c>
      <c r="Q16" s="146">
        <f t="array" ref="Q16">IFERROR(INDEX('Monthly Average Bond Yields'!$D$6:$J$311,MATCH('Enbridge Ratings and Yields'!Q13,'Monthly Average Bond Yields'!$C$6:$C$311,0),MATCH('Enbridge Ratings and Yields'!Q15,'Monthly Average Bond Yields'!$D$5:$J$5,0)),"N/A")</f>
        <v>8.0357894736842095</v>
      </c>
      <c r="R16" s="146">
        <f t="array" ref="R16">IFERROR(INDEX('Monthly Average Bond Yields'!$D$6:$J$311,MATCH('Enbridge Ratings and Yields'!R13,'Monthly Average Bond Yields'!$C$6:$C$311,0),MATCH('Enbridge Ratings and Yields'!R15,'Monthly Average Bond Yields'!$D$5:$J$5,0)),"N/A")</f>
        <v>7.9034782608695648</v>
      </c>
      <c r="S16" s="146">
        <f t="array" ref="S16">IFERROR(INDEX('Monthly Average Bond Yields'!$D$6:$J$311,MATCH('Enbridge Ratings and Yields'!S13,'Monthly Average Bond Yields'!$C$6:$C$311,0),MATCH('Enbridge Ratings and Yields'!S15,'Monthly Average Bond Yields'!$D$5:$J$5,0)),"N/A")</f>
        <v>7.8138095238095238</v>
      </c>
      <c r="T16" s="146">
        <f t="array" ref="T16">IFERROR(INDEX('Monthly Average Bond Yields'!$D$6:$J$311,MATCH('Enbridge Ratings and Yields'!T13,'Monthly Average Bond Yields'!$C$6:$C$311,0),MATCH('Enbridge Ratings and Yields'!T15,'Monthly Average Bond Yields'!$D$5:$J$5,0)),"N/A")</f>
        <v>7.8519999999999994</v>
      </c>
      <c r="U16" s="146">
        <f t="array" ref="U16">IFERROR(INDEX('Monthly Average Bond Yields'!$D$6:$J$311,MATCH('Enbridge Ratings and Yields'!U13,'Monthly Average Bond Yields'!$C$6:$C$311,0),MATCH('Enbridge Ratings and Yields'!U15,'Monthly Average Bond Yields'!$D$5:$J$5,0)),"N/A")</f>
        <v>7.748636363636364</v>
      </c>
      <c r="V16" s="146">
        <f t="array" ref="V16">IFERROR(INDEX('Monthly Average Bond Yields'!$D$6:$J$311,MATCH('Enbridge Ratings and Yields'!V13,'Monthly Average Bond Yields'!$C$6:$C$311,0),MATCH('Enbridge Ratings and Yields'!V15,'Monthly Average Bond Yields'!$D$5:$J$5,0)),"N/A")</f>
        <v>7.5344999999999995</v>
      </c>
      <c r="W16" s="146">
        <f t="array" ref="W16">IFERROR(INDEX('Monthly Average Bond Yields'!$D$6:$J$311,MATCH('Enbridge Ratings and Yields'!W13,'Monthly Average Bond Yields'!$C$6:$C$311,0),MATCH('Enbridge Ratings and Yields'!W15,'Monthly Average Bond Yields'!$D$5:$J$5,0)),"N/A")</f>
        <v>7.250909090909091</v>
      </c>
      <c r="X16" s="146">
        <f t="array" ref="X16">IFERROR(INDEX('Monthly Average Bond Yields'!$D$6:$J$311,MATCH('Enbridge Ratings and Yields'!X13,'Monthly Average Bond Yields'!$C$6:$C$311,0),MATCH('Enbridge Ratings and Yields'!X15,'Monthly Average Bond Yields'!$D$5:$J$5,0)),"N/A")</f>
        <v>7.0376190476190477</v>
      </c>
      <c r="Y16" s="146">
        <f t="array" ref="Y16">IFERROR(INDEX('Monthly Average Bond Yields'!$D$6:$J$311,MATCH('Enbridge Ratings and Yields'!Y13,'Monthly Average Bond Yields'!$C$6:$C$311,0),MATCH('Enbridge Ratings and Yields'!Y15,'Monthly Average Bond Yields'!$D$5:$J$5,0)),"N/A")</f>
        <v>7.0280952380952382</v>
      </c>
      <c r="Z16" s="146">
        <f t="array" ref="Z16">IFERROR(INDEX('Monthly Average Bond Yields'!$D$6:$J$311,MATCH('Enbridge Ratings and Yields'!Z13,'Monthly Average Bond Yields'!$C$6:$C$311,0),MATCH('Enbridge Ratings and Yields'!Z15,'Monthly Average Bond Yields'!$D$5:$J$5,0)),"N/A")</f>
        <v>7.3009999999999993</v>
      </c>
      <c r="AA16" s="146">
        <f t="array" ref="AA16">IFERROR(INDEX('Monthly Average Bond Yields'!$D$6:$J$311,MATCH('Enbridge Ratings and Yields'!AA13,'Monthly Average Bond Yields'!$C$6:$C$311,0),MATCH('Enbridge Ratings and Yields'!AA15,'Monthly Average Bond Yields'!$D$5:$J$5,0)),"N/A")</f>
        <v>7.3395454545454548</v>
      </c>
      <c r="AB16" s="146">
        <f t="array" ref="AB16">IFERROR(INDEX('Monthly Average Bond Yields'!$D$6:$J$311,MATCH('Enbridge Ratings and Yields'!AB13,'Monthly Average Bond Yields'!$C$6:$C$311,0),MATCH('Enbridge Ratings and Yields'!AB15,'Monthly Average Bond Yields'!$D$5:$J$5,0)),"N/A")</f>
        <v>7.3252380952380962</v>
      </c>
      <c r="AC16" s="146">
        <f t="array" ref="AC16">IFERROR(INDEX('Monthly Average Bond Yields'!$D$6:$J$311,MATCH('Enbridge Ratings and Yields'!AC13,'Monthly Average Bond Yields'!$C$6:$C$311,0),MATCH('Enbridge Ratings and Yields'!AC15,'Monthly Average Bond Yields'!$D$5:$J$5,0)),"N/A")</f>
        <v>7.4594736842105274</v>
      </c>
      <c r="AD16" s="146">
        <f t="array" ref="AD16">IFERROR(INDEX('Monthly Average Bond Yields'!$D$6:$J$311,MATCH('Enbridge Ratings and Yields'!AD13,'Monthly Average Bond Yields'!$C$6:$C$311,0),MATCH('Enbridge Ratings and Yields'!AD15,'Monthly Average Bond Yields'!$D$5:$J$5,0)),"N/A")</f>
        <v>7.8473913043478252</v>
      </c>
      <c r="AE16" s="146">
        <f t="array" ref="AE16">IFERROR(INDEX('Monthly Average Bond Yields'!$D$6:$J$311,MATCH('Enbridge Ratings and Yields'!AE13,'Monthly Average Bond Yields'!$C$6:$C$311,0),MATCH('Enbridge Ratings and Yields'!AE15,'Monthly Average Bond Yields'!$D$5:$J$5,0)),"N/A")</f>
        <v>8.2221052631578946</v>
      </c>
      <c r="AF16" s="146">
        <f t="array" ref="AF16">IFERROR(INDEX('Monthly Average Bond Yields'!$D$6:$J$311,MATCH('Enbridge Ratings and Yields'!AF13,'Monthly Average Bond Yields'!$C$6:$C$311,0),MATCH('Enbridge Ratings and Yields'!AF15,'Monthly Average Bond Yields'!$D$5:$J$5,0)),"N/A")</f>
        <v>8.3328571428571436</v>
      </c>
      <c r="AG16" s="146">
        <f t="array" ref="AG16">IFERROR(INDEX('Monthly Average Bond Yields'!$D$6:$J$311,MATCH('Enbridge Ratings and Yields'!AG13,'Monthly Average Bond Yields'!$C$6:$C$311,0),MATCH('Enbridge Ratings and Yields'!AG15,'Monthly Average Bond Yields'!$D$5:$J$5,0)),"N/A")</f>
        <v>8.3140909090909076</v>
      </c>
      <c r="AH16" s="146">
        <f t="array" ref="AH16">IFERROR(INDEX('Monthly Average Bond Yields'!$D$6:$J$311,MATCH('Enbridge Ratings and Yields'!AH13,'Monthly Average Bond Yields'!$C$6:$C$311,0),MATCH('Enbridge Ratings and Yields'!AH15,'Monthly Average Bond Yields'!$D$5:$J$5,0)),"N/A")</f>
        <v>8.4649999999999981</v>
      </c>
      <c r="AI16" s="146">
        <f t="array" ref="AI16">IFERROR(INDEX('Monthly Average Bond Yields'!$D$6:$J$311,MATCH('Enbridge Ratings and Yields'!AI13,'Monthly Average Bond Yields'!$C$6:$C$311,0),MATCH('Enbridge Ratings and Yields'!AI15,'Monthly Average Bond Yields'!$D$5:$J$5,0)),"N/A")</f>
        <v>8.4117391304347819</v>
      </c>
      <c r="AJ16" s="146">
        <f t="array" ref="AJ16">IFERROR(INDEX('Monthly Average Bond Yields'!$D$6:$J$311,MATCH('Enbridge Ratings and Yields'!AJ13,'Monthly Average Bond Yields'!$C$6:$C$311,0),MATCH('Enbridge Ratings and Yields'!AJ15,'Monthly Average Bond Yields'!$D$5:$J$5,0)),"N/A")</f>
        <v>8.6331578947368453</v>
      </c>
      <c r="AK16" s="146">
        <f t="array" ref="AK16">IFERROR(INDEX('Monthly Average Bond Yields'!$D$6:$J$311,MATCH('Enbridge Ratings and Yields'!AK13,'Monthly Average Bond Yields'!$C$6:$C$311,0),MATCH('Enbridge Ratings and Yields'!AK15,'Monthly Average Bond Yields'!$D$5:$J$5,0)),"N/A")</f>
        <v>8.8595238095238109</v>
      </c>
      <c r="AL16" s="146">
        <f t="array" ref="AL16">IFERROR(INDEX('Monthly Average Bond Yields'!$D$6:$J$311,MATCH('Enbridge Ratings and Yields'!AL13,'Monthly Average Bond Yields'!$C$6:$C$311,0),MATCH('Enbridge Ratings and Yields'!AL15,'Monthly Average Bond Yields'!$D$5:$J$5,0)),"N/A")</f>
        <v>8.9740000000000002</v>
      </c>
      <c r="AM16" s="146">
        <f t="array" ref="AM16">IFERROR(INDEX('Monthly Average Bond Yields'!$D$6:$J$311,MATCH('Enbridge Ratings and Yields'!AM13,'Monthly Average Bond Yields'!$C$6:$C$311,0),MATCH('Enbridge Ratings and Yields'!AM15,'Monthly Average Bond Yields'!$D$5:$J$5,0)),"N/A")</f>
        <v>8.7638095238095239</v>
      </c>
      <c r="AN16" s="146">
        <f t="array" ref="AN16">IFERROR(INDEX('Monthly Average Bond Yields'!$D$6:$J$311,MATCH('Enbridge Ratings and Yields'!AN13,'Monthly Average Bond Yields'!$C$6:$C$311,0),MATCH('Enbridge Ratings and Yields'!AN15,'Monthly Average Bond Yields'!$D$5:$J$5,0)),"N/A")</f>
        <v>8.7338095238095228</v>
      </c>
      <c r="AO16" s="146">
        <f t="array" ref="AO16">IFERROR(INDEX('Monthly Average Bond Yields'!$D$6:$J$311,MATCH('Enbridge Ratings and Yields'!AO13,'Monthly Average Bond Yields'!$C$6:$C$311,0),MATCH('Enbridge Ratings and Yields'!AO15,'Monthly Average Bond Yields'!$D$5:$J$5,0)),"N/A")</f>
        <v>8.5205263157894748</v>
      </c>
      <c r="AP16" s="146">
        <f t="array" ref="AP16">IFERROR(INDEX('Monthly Average Bond Yields'!$D$6:$J$311,MATCH('Enbridge Ratings and Yields'!AP13,'Monthly Average Bond Yields'!$C$6:$C$311,0),MATCH('Enbridge Ratings and Yields'!AP15,'Monthly Average Bond Yields'!$D$5:$J$5,0)),"N/A")</f>
        <v>8.371739130434781</v>
      </c>
      <c r="AQ16" s="146">
        <f t="array" ref="AQ16">IFERROR(INDEX('Monthly Average Bond Yields'!$D$6:$J$311,MATCH('Enbridge Ratings and Yields'!AQ13,'Monthly Average Bond Yields'!$C$6:$C$311,0),MATCH('Enbridge Ratings and Yields'!AQ15,'Monthly Average Bond Yields'!$D$5:$J$5,0)),"N/A")</f>
        <v>8.2726315789473688</v>
      </c>
      <c r="AR16" s="146">
        <f t="array" ref="AR16">IFERROR(INDEX('Monthly Average Bond Yields'!$D$6:$J$311,MATCH('Enbridge Ratings and Yields'!AR13,'Monthly Average Bond Yields'!$C$6:$C$311,0),MATCH('Enbridge Ratings and Yields'!AR15,'Monthly Average Bond Yields'!$D$5:$J$5,0)),"N/A")</f>
        <v>7.9050000000000011</v>
      </c>
      <c r="AS16" s="146">
        <f t="array" ref="AS16">IFERROR(INDEX('Monthly Average Bond Yields'!$D$6:$J$311,MATCH('Enbridge Ratings and Yields'!AS13,'Monthly Average Bond Yields'!$C$6:$C$311,0),MATCH('Enbridge Ratings and Yields'!AS15,'Monthly Average Bond Yields'!$D$5:$J$5,0)),"N/A")</f>
        <v>7.6022727272727275</v>
      </c>
      <c r="AT16" s="146">
        <f t="array" ref="AT16">IFERROR(INDEX('Monthly Average Bond Yields'!$D$6:$J$311,MATCH('Enbridge Ratings and Yields'!AT13,'Monthly Average Bond Yields'!$C$6:$C$311,0),MATCH('Enbridge Ratings and Yields'!AT15,'Monthly Average Bond Yields'!$D$5:$J$5,0)),"N/A")</f>
        <v>7.6959999999999997</v>
      </c>
      <c r="AU16" s="146">
        <f t="array" ref="AU16">IFERROR(INDEX('Monthly Average Bond Yields'!$D$6:$J$311,MATCH('Enbridge Ratings and Yields'!AU13,'Monthly Average Bond Yields'!$C$6:$C$311,0),MATCH('Enbridge Ratings and Yields'!AU15,'Monthly Average Bond Yields'!$D$5:$J$5,0)),"N/A")</f>
        <v>7.83</v>
      </c>
      <c r="AV16" s="146">
        <f t="array" ref="AV16">IFERROR(INDEX('Monthly Average Bond Yields'!$D$6:$J$311,MATCH('Enbridge Ratings and Yields'!AV13,'Monthly Average Bond Yields'!$C$6:$C$311,0),MATCH('Enbridge Ratings and Yields'!AV15,'Monthly Average Bond Yields'!$D$5:$J$5,0)),"N/A")</f>
        <v>7.6174999999999997</v>
      </c>
      <c r="AW16" s="146">
        <f t="array" ref="AW16">IFERROR(INDEX('Monthly Average Bond Yields'!$D$6:$J$311,MATCH('Enbridge Ratings and Yields'!AW13,'Monthly Average Bond Yields'!$C$6:$C$311,0),MATCH('Enbridge Ratings and Yields'!AW15,'Monthly Average Bond Yields'!$D$5:$J$5,0)),"N/A")</f>
        <v>7.464090909090908</v>
      </c>
      <c r="AX16" s="146">
        <f t="array" ref="AX16">IFERROR(INDEX('Monthly Average Bond Yields'!$D$6:$J$311,MATCH('Enbridge Ratings and Yields'!AX13,'Monthly Average Bond Yields'!$C$6:$C$311,0),MATCH('Enbridge Ratings and Yields'!AX15,'Monthly Average Bond Yields'!$D$5:$J$5,0)),"N/A")</f>
        <v>7.4329999999999998</v>
      </c>
      <c r="AY16" s="146">
        <f t="array" ref="AY16">IFERROR(INDEX('Monthly Average Bond Yields'!$D$6:$J$311,MATCH('Enbridge Ratings and Yields'!AY13,'Monthly Average Bond Yields'!$C$6:$C$311,0),MATCH('Enbridge Ratings and Yields'!AY15,'Monthly Average Bond Yields'!$D$5:$J$5,0)),"N/A")</f>
        <v>7.243999999999998</v>
      </c>
      <c r="AZ16" s="146">
        <f t="array" ref="AZ16">IFERROR(INDEX('Monthly Average Bond Yields'!$D$6:$J$311,MATCH('Enbridge Ratings and Yields'!AZ13,'Monthly Average Bond Yields'!$C$6:$C$311,0),MATCH('Enbridge Ratings and Yields'!AZ15,'Monthly Average Bond Yields'!$D$5:$J$5,0)),"N/A")</f>
        <v>7.2129999999999992</v>
      </c>
      <c r="BA16" s="146">
        <f t="array" ref="BA16">IFERROR(INDEX('Monthly Average Bond Yields'!$D$6:$J$311,MATCH('Enbridge Ratings and Yields'!BA13,'Monthly Average Bond Yields'!$C$6:$C$311,0),MATCH('Enbridge Ratings and Yields'!BA15,'Monthly Average Bond Yields'!$D$5:$J$5,0)),"N/A")</f>
        <v>7.3719999999999999</v>
      </c>
      <c r="BB16" s="146">
        <f t="array" ref="BB16">IFERROR(INDEX('Monthly Average Bond Yields'!$D$6:$J$311,MATCH('Enbridge Ratings and Yields'!BB13,'Monthly Average Bond Yields'!$C$6:$C$311,0),MATCH('Enbridge Ratings and Yields'!BB15,'Monthly Average Bond Yields'!$D$5:$J$5,0)),"N/A")</f>
        <v>7.7309523809523837</v>
      </c>
      <c r="BC16" s="146">
        <f t="array" ref="BC16">IFERROR(INDEX('Monthly Average Bond Yields'!$D$6:$J$311,MATCH('Enbridge Ratings and Yields'!BC13,'Monthly Average Bond Yields'!$C$6:$C$311,0),MATCH('Enbridge Ratings and Yields'!BC15,'Monthly Average Bond Yields'!$D$5:$J$5,0)),"N/A")</f>
        <v>7.8880952380952367</v>
      </c>
      <c r="BD16" s="146">
        <f t="array" ref="BD16">IFERROR(INDEX('Monthly Average Bond Yields'!$D$6:$J$311,MATCH('Enbridge Ratings and Yields'!BD13,'Monthly Average Bond Yields'!$C$6:$C$311,0),MATCH('Enbridge Ratings and Yields'!BD15,'Monthly Average Bond Yields'!$D$5:$J$5,0)),"N/A")</f>
        <v>7.9827272727272716</v>
      </c>
      <c r="BE16" s="146">
        <f t="array" ref="BE16">IFERROR(INDEX('Monthly Average Bond Yields'!$D$6:$J$311,MATCH('Enbridge Ratings and Yields'!BE13,'Monthly Average Bond Yields'!$C$6:$C$311,0),MATCH('Enbridge Ratings and Yields'!BE15,'Monthly Average Bond Yields'!$D$5:$J$5,0)),"N/A")</f>
        <v>8.0569999999999986</v>
      </c>
      <c r="BF16" s="146">
        <f t="array" ref="BF16">IFERROR(INDEX('Monthly Average Bond Yields'!$D$6:$J$311,MATCH('Enbridge Ratings and Yields'!BF13,'Monthly Average Bond Yields'!$C$6:$C$311,0),MATCH('Enbridge Ratings and Yields'!BF15,'Monthly Average Bond Yields'!$D$5:$J$5,0)),"N/A")</f>
        <v>8.0240909090909085</v>
      </c>
      <c r="BG16" s="146">
        <f t="array" ref="BG16">IFERROR(INDEX('Monthly Average Bond Yields'!$D$6:$J$311,MATCH('Enbridge Ratings and Yields'!BG13,'Monthly Average Bond Yields'!$C$6:$C$311,0),MATCH('Enbridge Ratings and Yields'!BG15,'Monthly Average Bond Yields'!$D$5:$J$5,0)),"N/A")</f>
        <v>7.8440909090909088</v>
      </c>
      <c r="BH16" s="146">
        <f t="array" ref="BH16">IFERROR(INDEX('Monthly Average Bond Yields'!$D$6:$J$311,MATCH('Enbridge Ratings and Yields'!BH13,'Monthly Average Bond Yields'!$C$6:$C$311,0),MATCH('Enbridge Ratings and Yields'!BH15,'Monthly Average Bond Yields'!$D$5:$J$5,0)),"N/A")</f>
        <v>8.0064999999999991</v>
      </c>
      <c r="BI16" s="146">
        <f t="array" ref="BI16">IFERROR(INDEX('Monthly Average Bond Yields'!$D$6:$J$311,MATCH('Enbridge Ratings and Yields'!BI13,'Monthly Average Bond Yields'!$C$6:$C$311,0),MATCH('Enbridge Ratings and Yields'!BI15,'Monthly Average Bond Yields'!$D$5:$J$5,0)),"N/A")</f>
        <v>7.7590909090909097</v>
      </c>
      <c r="BJ16" s="146">
        <f t="array" ref="BJ16">IFERROR(INDEX('Monthly Average Bond Yields'!$D$6:$J$311,MATCH('Enbridge Ratings and Yields'!BJ13,'Monthly Average Bond Yields'!$C$6:$C$311,0),MATCH('Enbridge Ratings and Yields'!BJ15,'Monthly Average Bond Yields'!$D$5:$J$5,0)),"N/A")</f>
        <v>7.4944444444444436</v>
      </c>
      <c r="BK16" s="146">
        <f t="array" ref="BK16">IFERROR(INDEX('Monthly Average Bond Yields'!$D$6:$J$311,MATCH('Enbridge Ratings and Yields'!BK13,'Monthly Average Bond Yields'!$C$6:$C$311,0),MATCH('Enbridge Ratings and Yields'!BK15,'Monthly Average Bond Yields'!$D$5:$J$5,0)),"N/A")</f>
        <v>7.5852380952380951</v>
      </c>
      <c r="BL16" s="146">
        <f t="array" ref="BL16">IFERROR(INDEX('Monthly Average Bond Yields'!$D$6:$J$311,MATCH('Enbridge Ratings and Yields'!BL13,'Monthly Average Bond Yields'!$C$6:$C$311,0),MATCH('Enbridge Ratings and Yields'!BL15,'Monthly Average Bond Yields'!$D$5:$J$5,0)),"N/A")</f>
        <v>7.7685714285714296</v>
      </c>
      <c r="BM16" s="146">
        <f t="array" ref="BM16">IFERROR(INDEX('Monthly Average Bond Yields'!$D$6:$J$311,MATCH('Enbridge Ratings and Yields'!BM13,'Monthly Average Bond Yields'!$C$6:$C$311,0),MATCH('Enbridge Ratings and Yields'!BM15,'Monthly Average Bond Yields'!$D$5:$J$5,0)),"N/A")</f>
        <v>7.6447368421052646</v>
      </c>
      <c r="BN16" s="146">
        <f t="array" ref="BN16">IFERROR(INDEX('Monthly Average Bond Yields'!$D$6:$J$311,MATCH('Enbridge Ratings and Yields'!BN13,'Monthly Average Bond Yields'!$C$6:$C$311,0),MATCH('Enbridge Ratings and Yields'!BN15,'Monthly Average Bond Yields'!$D$5:$J$5,0)),"N/A")</f>
        <v>7.8790000000000004</v>
      </c>
      <c r="BO16" s="146">
        <f t="array" ref="BO16">IFERROR(INDEX('Monthly Average Bond Yields'!$D$6:$J$311,MATCH('Enbridge Ratings and Yields'!BO13,'Monthly Average Bond Yields'!$C$6:$C$311,0),MATCH('Enbridge Ratings and Yields'!BO15,'Monthly Average Bond Yields'!$D$5:$J$5,0)),"N/A")</f>
        <v>8.0318181818181813</v>
      </c>
      <c r="BP16" s="146">
        <f t="array" ref="BP16">IFERROR(INDEX('Monthly Average Bond Yields'!$D$6:$J$311,MATCH('Enbridge Ratings and Yields'!BP13,'Monthly Average Bond Yields'!$C$6:$C$311,0),MATCH('Enbridge Ratings and Yields'!BP15,'Monthly Average Bond Yields'!$D$5:$J$5,0)),"N/A")</f>
        <v>7.8880952380952394</v>
      </c>
      <c r="BQ16" s="146">
        <f t="array" ref="BQ16">IFERROR(INDEX('Monthly Average Bond Yields'!$D$6:$J$311,MATCH('Enbridge Ratings and Yields'!BQ13,'Monthly Average Bond Yields'!$C$6:$C$311,0),MATCH('Enbridge Ratings and Yields'!BQ15,'Monthly Average Bond Yields'!$D$5:$J$5,0)),"N/A")</f>
        <v>7.7180952380952377</v>
      </c>
      <c r="BR16" s="146">
        <f t="array" ref="BR16">IFERROR(INDEX('Monthly Average Bond Yields'!$D$6:$J$311,MATCH('Enbridge Ratings and Yields'!BR13,'Monthly Average Bond Yields'!$C$6:$C$311,0),MATCH('Enbridge Ratings and Yields'!BR15,'Monthly Average Bond Yields'!$D$5:$J$5,0)),"N/A")</f>
        <v>7.4750000000000005</v>
      </c>
      <c r="BS16" s="146">
        <f t="array" ref="BS16">IFERROR(INDEX('Monthly Average Bond Yields'!$D$6:$J$311,MATCH('Enbridge Ratings and Yields'!BS13,'Monthly Average Bond Yields'!$C$6:$C$311,0),MATCH('Enbridge Ratings and Yields'!BS15,'Monthly Average Bond Yields'!$D$5:$J$5,0)),"N/A")</f>
        <v>7.5104761904761901</v>
      </c>
      <c r="BT16" s="146">
        <f t="array" ref="BT16">IFERROR(INDEX('Monthly Average Bond Yields'!$D$6:$J$311,MATCH('Enbridge Ratings and Yields'!BT13,'Monthly Average Bond Yields'!$C$6:$C$311,0),MATCH('Enbridge Ratings and Yields'!BT15,'Monthly Average Bond Yields'!$D$5:$J$5,0)),"N/A")</f>
        <v>7.4680952380952386</v>
      </c>
      <c r="BU16" s="146">
        <f t="array" ref="BU16">IFERROR(INDEX('Monthly Average Bond Yields'!$D$6:$J$311,MATCH('Enbridge Ratings and Yields'!BU13,'Monthly Average Bond Yields'!$C$6:$C$311,0),MATCH('Enbridge Ratings and Yields'!BU15,'Monthly Average Bond Yields'!$D$5:$J$5,0)),"N/A")</f>
        <v>7.3427272727272728</v>
      </c>
      <c r="BV16" s="146">
        <f t="array" ref="BV16">IFERROR(INDEX('Monthly Average Bond Yields'!$D$6:$J$311,MATCH('Enbridge Ratings and Yields'!BV13,'Monthly Average Bond Yields'!$C$6:$C$311,0),MATCH('Enbridge Ratings and Yields'!BV15,'Monthly Average Bond Yields'!$D$5:$J$5,0)),"N/A")</f>
        <v>7.2427777777777784</v>
      </c>
      <c r="BW16" s="146">
        <f t="array" ref="BW16">IFERROR(INDEX('Monthly Average Bond Yields'!$D$6:$J$311,MATCH('Enbridge Ratings and Yields'!BW13,'Monthly Average Bond Yields'!$C$6:$C$311,0),MATCH('Enbridge Ratings and Yields'!BW15,'Monthly Average Bond Yields'!$D$5:$J$5,0)),"N/A")</f>
        <v>7.1660000000000013</v>
      </c>
      <c r="BX16" s="146">
        <f t="array" ref="BX16">IFERROR(INDEX('Monthly Average Bond Yields'!$D$6:$J$311,MATCH('Enbridge Ratings and Yields'!BX13,'Monthly Average Bond Yields'!$C$6:$C$311,0),MATCH('Enbridge Ratings and Yields'!BX15,'Monthly Average Bond Yields'!$D$5:$J$5,0)),"N/A")</f>
        <v>7.0495000000000001</v>
      </c>
      <c r="BY16" s="146">
        <f t="array" ref="BY16">IFERROR(INDEX('Monthly Average Bond Yields'!$D$6:$J$311,MATCH('Enbridge Ratings and Yields'!BY13,'Monthly Average Bond Yields'!$C$6:$C$311,0),MATCH('Enbridge Ratings and Yields'!BY15,'Monthly Average Bond Yields'!$D$5:$J$5,0)),"N/A")</f>
        <v>7.1226315789473693</v>
      </c>
      <c r="BZ16" s="146">
        <f t="array" ref="BZ16">IFERROR(INDEX('Monthly Average Bond Yields'!$D$6:$J$311,MATCH('Enbridge Ratings and Yields'!BZ13,'Monthly Average Bond Yields'!$C$6:$C$311,0),MATCH('Enbridge Ratings and Yields'!BZ15,'Monthly Average Bond Yields'!$D$5:$J$5,0)),"N/A")</f>
        <v>7.1622727272727271</v>
      </c>
      <c r="CA16" s="146">
        <f t="array" ref="CA16">IFERROR(INDEX('Monthly Average Bond Yields'!$D$6:$J$311,MATCH('Enbridge Ratings and Yields'!CA13,'Monthly Average Bond Yields'!$C$6:$C$311,0),MATCH('Enbridge Ratings and Yields'!CA15,'Monthly Average Bond Yields'!$D$5:$J$5,0)),"N/A")</f>
        <v>7.1571428571428592</v>
      </c>
      <c r="CB16" s="146">
        <f t="array" ref="CB16">IFERROR(INDEX('Monthly Average Bond Yields'!$D$6:$J$311,MATCH('Enbridge Ratings and Yields'!CB13,'Monthly Average Bond Yields'!$C$6:$C$311,0),MATCH('Enbridge Ratings and Yields'!CB15,'Monthly Average Bond Yields'!$D$5:$J$5,0)),"N/A")</f>
        <v>7.1574999999999989</v>
      </c>
      <c r="CC16" s="146">
        <f t="array" ref="CC16">IFERROR(INDEX('Monthly Average Bond Yields'!$D$6:$J$311,MATCH('Enbridge Ratings and Yields'!CC13,'Monthly Average Bond Yields'!$C$6:$C$311,0),MATCH('Enbridge Ratings and Yields'!CC15,'Monthly Average Bond Yields'!$D$5:$J$5,0)),"N/A")</f>
        <v>7.0336363636363641</v>
      </c>
      <c r="CD16" s="146">
        <f t="array" ref="CD16">IFERROR(INDEX('Monthly Average Bond Yields'!$D$6:$J$311,MATCH('Enbridge Ratings and Yields'!CD13,'Monthly Average Bond Yields'!$C$6:$C$311,0),MATCH('Enbridge Ratings and Yields'!CD15,'Monthly Average Bond Yields'!$D$5:$J$5,0)),"N/A")</f>
        <v>7.0263636363636373</v>
      </c>
      <c r="CE16" s="146">
        <f t="array" ref="CE16">IFERROR(INDEX('Monthly Average Bond Yields'!$D$6:$J$311,MATCH('Enbridge Ratings and Yields'!CE13,'Monthly Average Bond Yields'!$C$6:$C$311,0),MATCH('Enbridge Ratings and Yields'!CE15,'Monthly Average Bond Yields'!$D$5:$J$5,0)),"N/A")</f>
        <v>6.9980952380952388</v>
      </c>
      <c r="CF16" s="146">
        <f t="array" ref="CF16">IFERROR(INDEX('Monthly Average Bond Yields'!$D$6:$J$311,MATCH('Enbridge Ratings and Yields'!CF13,'Monthly Average Bond Yields'!$C$6:$C$311,0),MATCH('Enbridge Ratings and Yields'!CF15,'Monthly Average Bond Yields'!$D$5:$J$5,0)),"N/A")</f>
        <v>6.9319047619047618</v>
      </c>
      <c r="CG16" s="146">
        <f t="array" ref="CG16">IFERROR(INDEX('Monthly Average Bond Yields'!$D$6:$J$311,MATCH('Enbridge Ratings and Yields'!CG13,'Monthly Average Bond Yields'!$C$6:$C$311,0),MATCH('Enbridge Ratings and Yields'!CG15,'Monthly Average Bond Yields'!$D$5:$J$5,0)),"N/A")</f>
        <v>6.9609523809523814</v>
      </c>
      <c r="CH16" s="146">
        <f t="array" ref="CH16">IFERROR(INDEX('Monthly Average Bond Yields'!$D$6:$J$311,MATCH('Enbridge Ratings and Yields'!CH13,'Monthly Average Bond Yields'!$C$6:$C$311,0),MATCH('Enbridge Ratings and Yields'!CH15,'Monthly Average Bond Yields'!$D$5:$J$5,0)),"N/A")</f>
        <v>7.029473684210525</v>
      </c>
      <c r="CI16" s="146">
        <f t="array" ref="CI16">IFERROR(INDEX('Monthly Average Bond Yields'!$D$6:$J$311,MATCH('Enbridge Ratings and Yields'!CI13,'Monthly Average Bond Yields'!$C$6:$C$311,0),MATCH('Enbridge Ratings and Yields'!CI15,'Monthly Average Bond Yields'!$D$5:$J$5,0)),"N/A")</f>
        <v>6.9131818181818172</v>
      </c>
      <c r="CJ16" s="146">
        <f t="array" ref="CJ16">IFERROR(INDEX('Monthly Average Bond Yields'!$D$6:$J$311,MATCH('Enbridge Ratings and Yields'!CJ13,'Monthly Average Bond Yields'!$C$6:$C$311,0),MATCH('Enbridge Ratings and Yields'!CJ15,'Monthly Average Bond Yields'!$D$5:$J$5,0)),"N/A")</f>
        <v>6.9694736842105254</v>
      </c>
      <c r="CK16" s="146">
        <f t="array" ref="CK16">IFERROR(INDEX('Monthly Average Bond Yields'!$D$6:$J$311,MATCH('Enbridge Ratings and Yields'!CK13,'Monthly Average Bond Yields'!$C$6:$C$311,0),MATCH('Enbridge Ratings and Yields'!CK15,'Monthly Average Bond Yields'!$D$5:$J$5,0)),"N/A")</f>
        <v>7.0926315789473682</v>
      </c>
      <c r="CL16" s="146">
        <f t="array" ref="CL16">IFERROR(INDEX('Monthly Average Bond Yields'!$D$6:$J$311,MATCH('Enbridge Ratings and Yields'!CL13,'Monthly Average Bond Yields'!$C$6:$C$311,0),MATCH('Enbridge Ratings and Yields'!CL15,'Monthly Average Bond Yields'!$D$5:$J$5,0)),"N/A")</f>
        <v>7.2565217391304362</v>
      </c>
      <c r="CM16" s="146">
        <f t="array" ref="CM16">IFERROR(INDEX('Monthly Average Bond Yields'!$D$6:$J$311,MATCH('Enbridge Ratings and Yields'!CM13,'Monthly Average Bond Yields'!$C$6:$C$311,0),MATCH('Enbridge Ratings and Yields'!CM15,'Monthly Average Bond Yields'!$D$5:$J$5,0)),"N/A")</f>
        <v>7.2209090909090889</v>
      </c>
      <c r="CN16" s="146">
        <f t="array" ref="CN16">IFERROR(INDEX('Monthly Average Bond Yields'!$D$6:$J$311,MATCH('Enbridge Ratings and Yields'!CN13,'Monthly Average Bond Yields'!$C$6:$C$311,0),MATCH('Enbridge Ratings and Yields'!CN15,'Monthly Average Bond Yields'!$D$5:$J$5,0)),"N/A")</f>
        <v>7.4695000000000009</v>
      </c>
      <c r="CO16" s="146">
        <f t="array" ref="CO16">IFERROR(INDEX('Monthly Average Bond Yields'!$D$6:$J$311,MATCH('Enbridge Ratings and Yields'!CO13,'Monthly Average Bond Yields'!$C$6:$C$311,0),MATCH('Enbridge Ratings and Yields'!CO15,'Monthly Average Bond Yields'!$D$5:$J$5,0)),"N/A")</f>
        <v>7.741363636363638</v>
      </c>
      <c r="CP16" s="146">
        <f t="array" ref="CP16">IFERROR(INDEX('Monthly Average Bond Yields'!$D$6:$J$311,MATCH('Enbridge Ratings and Yields'!CP13,'Monthly Average Bond Yields'!$C$6:$C$311,0),MATCH('Enbridge Ratings and Yields'!CP15,'Monthly Average Bond Yields'!$D$5:$J$5,0)),"N/A")</f>
        <v>7.7080952380952379</v>
      </c>
      <c r="CQ16" s="146">
        <f t="array" ref="CQ16">IFERROR(INDEX('Monthly Average Bond Yields'!$D$6:$J$311,MATCH('Enbridge Ratings and Yields'!CQ13,'Monthly Average Bond Yields'!$C$6:$C$311,0),MATCH('Enbridge Ratings and Yields'!CQ15,'Monthly Average Bond Yields'!$D$5:$J$5,0)),"N/A")</f>
        <v>7.9136363636363631</v>
      </c>
      <c r="CR16" s="146">
        <f t="array" ref="CR16">IFERROR(INDEX('Monthly Average Bond Yields'!$D$6:$J$311,MATCH('Enbridge Ratings and Yields'!CR13,'Monthly Average Bond Yields'!$C$6:$C$311,0),MATCH('Enbridge Ratings and Yields'!CR15,'Monthly Average Bond Yields'!$D$5:$J$5,0)),"N/A")</f>
        <v>7.930952380952383</v>
      </c>
      <c r="CS16" s="146">
        <f t="array" ref="CS16">IFERROR(INDEX('Monthly Average Bond Yields'!$D$6:$J$311,MATCH('Enbridge Ratings and Yields'!CS13,'Monthly Average Bond Yields'!$C$6:$C$311,0),MATCH('Enbridge Ratings and Yields'!CS15,'Monthly Average Bond Yields'!$D$5:$J$5,0)),"N/A")</f>
        <v>8.0634999999999994</v>
      </c>
      <c r="CT16" s="146">
        <f t="array" ref="CT16">IFERROR(INDEX('Monthly Average Bond Yields'!$D$6:$J$311,MATCH('Enbridge Ratings and Yields'!CT13,'Monthly Average Bond Yields'!$C$6:$C$311,0),MATCH('Enbridge Ratings and Yields'!CT15,'Monthly Average Bond Yields'!$D$5:$J$5,0)),"N/A")</f>
        <v>7.9414285714285704</v>
      </c>
      <c r="CU16" s="146">
        <f t="array" ref="CU16">IFERROR(INDEX('Monthly Average Bond Yields'!$D$6:$J$311,MATCH('Enbridge Ratings and Yields'!CU13,'Monthly Average Bond Yields'!$C$6:$C$311,0),MATCH('Enbridge Ratings and Yields'!CU15,'Monthly Average Bond Yields'!$D$5:$J$5,0)),"N/A")</f>
        <v>8.1399999999999988</v>
      </c>
      <c r="CV16" s="146">
        <f t="array" ref="CV16">IFERROR(INDEX('Monthly Average Bond Yields'!$D$6:$J$311,MATCH('Enbridge Ratings and Yields'!CV13,'Monthly Average Bond Yields'!$C$6:$C$311,0),MATCH('Enbridge Ratings and Yields'!CV15,'Monthly Average Bond Yields'!$D$5:$J$5,0)),"N/A")</f>
        <v>8.3520000000000003</v>
      </c>
      <c r="CW16" s="146">
        <f t="array" ref="CW16">IFERROR(INDEX('Monthly Average Bond Yields'!$D$6:$J$311,MATCH('Enbridge Ratings and Yields'!CW13,'Monthly Average Bond Yields'!$C$6:$C$311,0),MATCH('Enbridge Ratings and Yields'!CW15,'Monthly Average Bond Yields'!$D$5:$J$5,0)),"N/A")</f>
        <v>8.245000000000001</v>
      </c>
      <c r="CX16" s="146">
        <f t="array" ref="CX16">IFERROR(INDEX('Monthly Average Bond Yields'!$D$6:$J$311,MATCH('Enbridge Ratings and Yields'!CX13,'Monthly Average Bond Yields'!$C$6:$C$311,0),MATCH('Enbridge Ratings and Yields'!CX15,'Monthly Average Bond Yields'!$D$5:$J$5,0)),"N/A")</f>
        <v>8.2843478260869574</v>
      </c>
      <c r="CY16" s="146">
        <f t="array" ref="CY16">IFERROR(INDEX('Monthly Average Bond Yields'!$D$6:$J$311,MATCH('Enbridge Ratings and Yields'!CY13,'Monthly Average Bond Yields'!$C$6:$C$311,0),MATCH('Enbridge Ratings and Yields'!CY15,'Monthly Average Bond Yields'!$D$5:$J$5,0)),"N/A")</f>
        <v>8.2884210526315805</v>
      </c>
      <c r="CZ16" s="146">
        <f t="array" ref="CZ16">IFERROR(INDEX('Monthly Average Bond Yields'!$D$6:$J$311,MATCH('Enbridge Ratings and Yields'!CZ13,'Monthly Average Bond Yields'!$C$6:$C$311,0),MATCH('Enbridge Ratings and Yields'!CZ15,'Monthly Average Bond Yields'!$D$5:$J$5,0)),"N/A")</f>
        <v>8.6986363636363624</v>
      </c>
      <c r="DA16" s="146">
        <f t="array" ref="DA16">IFERROR(INDEX('Monthly Average Bond Yields'!$D$6:$J$311,MATCH('Enbridge Ratings and Yields'!DA13,'Monthly Average Bond Yields'!$C$6:$C$311,0),MATCH('Enbridge Ratings and Yields'!DA15,'Monthly Average Bond Yields'!$D$5:$J$5,0)),"N/A")</f>
        <v>8.3622727272727282</v>
      </c>
      <c r="DB16" s="146">
        <f t="array" ref="DB16">IFERROR(INDEX('Monthly Average Bond Yields'!$D$6:$J$311,MATCH('Enbridge Ratings and Yields'!DB13,'Monthly Average Bond Yields'!$C$6:$C$311,0),MATCH('Enbridge Ratings and Yields'!DB15,'Monthly Average Bond Yields'!$D$5:$J$5,0)),"N/A")</f>
        <v>8.2529999999999983</v>
      </c>
      <c r="DC16" s="146">
        <f t="array" ref="DC16">IFERROR(INDEX('Monthly Average Bond Yields'!$D$6:$J$311,MATCH('Enbridge Ratings and Yields'!DC13,'Monthly Average Bond Yields'!$C$6:$C$311,0),MATCH('Enbridge Ratings and Yields'!DC15,'Monthly Average Bond Yields'!$D$5:$J$5,0)),"N/A")</f>
        <v>8.12695652173913</v>
      </c>
      <c r="DD16" s="146">
        <f t="array" ref="DD16">IFERROR(INDEX('Monthly Average Bond Yields'!$D$6:$J$311,MATCH('Enbridge Ratings and Yields'!DD13,'Monthly Average Bond Yields'!$C$6:$C$311,0),MATCH('Enbridge Ratings and Yields'!DD15,'Monthly Average Bond Yields'!$D$5:$J$5,0)),"N/A")</f>
        <v>8.2335000000000012</v>
      </c>
      <c r="DE16" s="146">
        <f t="array" ref="DE16">IFERROR(INDEX('Monthly Average Bond Yields'!$D$6:$J$311,MATCH('Enbridge Ratings and Yields'!DE13,'Monthly Average Bond Yields'!$C$6:$C$311,0),MATCH('Enbridge Ratings and Yields'!DE15,'Monthly Average Bond Yields'!$D$5:$J$5,0)),"N/A")</f>
        <v>8.1385714285714279</v>
      </c>
      <c r="DF16" s="146">
        <f t="array" ref="DF16">IFERROR(INDEX('Monthly Average Bond Yields'!$D$6:$J$311,MATCH('Enbridge Ratings and Yields'!DF13,'Monthly Average Bond Yields'!$C$6:$C$311,0),MATCH('Enbridge Ratings and Yields'!DF15,'Monthly Average Bond Yields'!$D$5:$J$5,0)),"N/A")</f>
        <v>8.1142105263157891</v>
      </c>
      <c r="DG16" s="146">
        <f t="array" ref="DG16">IFERROR(INDEX('Monthly Average Bond Yields'!$D$6:$J$311,MATCH('Enbridge Ratings and Yields'!DG13,'Monthly Average Bond Yields'!$C$6:$C$311,0),MATCH('Enbridge Ratings and Yields'!DG15,'Monthly Average Bond Yields'!$D$5:$J$5,0)),"N/A")</f>
        <v>7.8452631578947374</v>
      </c>
      <c r="DH16" s="146">
        <f t="array" ref="DH16">IFERROR(INDEX('Monthly Average Bond Yields'!$D$6:$J$311,MATCH('Enbridge Ratings and Yields'!DH13,'Monthly Average Bond Yields'!$C$6:$C$311,0),MATCH('Enbridge Ratings and Yields'!DH15,'Monthly Average Bond Yields'!$D$5:$J$5,0)),"N/A")</f>
        <v>7.7990000000000013</v>
      </c>
      <c r="DI16" s="146">
        <f t="array" ref="DI16">IFERROR(INDEX('Monthly Average Bond Yields'!$D$6:$J$311,MATCH('Enbridge Ratings and Yields'!DI13,'Monthly Average Bond Yields'!$C$6:$C$311,0),MATCH('Enbridge Ratings and Yields'!DI15,'Monthly Average Bond Yields'!$D$5:$J$5,0)),"N/A")</f>
        <v>7.7327777777777778</v>
      </c>
      <c r="DJ16" s="146">
        <f t="array" ref="DJ16">IFERROR(INDEX('Monthly Average Bond Yields'!$D$6:$J$311,MATCH('Enbridge Ratings and Yields'!DJ13,'Monthly Average Bond Yields'!$C$6:$C$311,0),MATCH('Enbridge Ratings and Yields'!DJ15,'Monthly Average Bond Yields'!$D$5:$J$5,0)),"N/A")</f>
        <v>7.6772727272727259</v>
      </c>
      <c r="DK16" s="146">
        <f t="array" ref="DK16">IFERROR(INDEX('Monthly Average Bond Yields'!$D$6:$J$311,MATCH('Enbridge Ratings and Yields'!DK13,'Monthly Average Bond Yields'!$C$6:$C$311,0),MATCH('Enbridge Ratings and Yields'!DK15,'Monthly Average Bond Yields'!$D$5:$J$5,0)),"N/A")</f>
        <v>7.9349999999999978</v>
      </c>
      <c r="DL16" s="146">
        <f t="array" ref="DL16">IFERROR(INDEX('Monthly Average Bond Yields'!$D$6:$J$311,MATCH('Enbridge Ratings and Yields'!DL13,'Monthly Average Bond Yields'!$C$6:$C$311,0),MATCH('Enbridge Ratings and Yields'!DL15,'Monthly Average Bond Yields'!$D$5:$J$5,0)),"N/A")</f>
        <v>7.9940909090909082</v>
      </c>
      <c r="DM16" s="146">
        <f t="array" ref="DM16">IFERROR(INDEX('Monthly Average Bond Yields'!$D$6:$J$311,MATCH('Enbridge Ratings and Yields'!DM13,'Monthly Average Bond Yields'!$C$6:$C$311,0),MATCH('Enbridge Ratings and Yields'!DM15,'Monthly Average Bond Yields'!$D$5:$J$5,0)),"N/A")</f>
        <v>7.8519047619047608</v>
      </c>
      <c r="DN16" s="146">
        <f t="array" ref="DN16">IFERROR(INDEX('Monthly Average Bond Yields'!$D$6:$J$311,MATCH('Enbridge Ratings and Yields'!DN13,'Monthly Average Bond Yields'!$C$6:$C$311,0),MATCH('Enbridge Ratings and Yields'!DN15,'Monthly Average Bond Yields'!$D$5:$J$5,0)),"N/A")</f>
        <v>7.7809523809523808</v>
      </c>
      <c r="DO16" s="146">
        <f t="array" ref="DO16">IFERROR(INDEX('Monthly Average Bond Yields'!$D$6:$J$311,MATCH('Enbridge Ratings and Yields'!DO13,'Monthly Average Bond Yields'!$C$6:$C$311,0),MATCH('Enbridge Ratings and Yields'!DO15,'Monthly Average Bond Yields'!$D$5:$J$5,0)),"N/A")</f>
        <v>7.586086956521739</v>
      </c>
      <c r="DP16" s="146">
        <f t="array" ref="DP16">IFERROR(INDEX('Monthly Average Bond Yields'!$D$6:$J$311,MATCH('Enbridge Ratings and Yields'!DP13,'Monthly Average Bond Yields'!$C$6:$C$311,0),MATCH('Enbridge Ratings and Yields'!DP15,'Monthly Average Bond Yields'!$D$5:$J$5,0)),"N/A")</f>
        <v>7.7452941176470596</v>
      </c>
      <c r="DQ16" s="146">
        <f t="array" ref="DQ16">IFERROR(INDEX('Monthly Average Bond Yields'!$D$6:$J$311,MATCH('Enbridge Ratings and Yields'!DQ13,'Monthly Average Bond Yields'!$C$6:$C$311,0),MATCH('Enbridge Ratings and Yields'!DQ15,'Monthly Average Bond Yields'!$D$5:$J$5,0)),"N/A")</f>
        <v>7.6223809523809525</v>
      </c>
      <c r="DR16" s="146">
        <f t="array" ref="DR16">IFERROR(INDEX('Monthly Average Bond Yields'!$D$6:$J$311,MATCH('Enbridge Ratings and Yields'!DR13,'Monthly Average Bond Yields'!$C$6:$C$311,0),MATCH('Enbridge Ratings and Yields'!DR15,'Monthly Average Bond Yields'!$D$5:$J$5,0)),"N/A")</f>
        <v>7.5631578947368432</v>
      </c>
      <c r="DS16" s="146">
        <f t="array" ref="DS16">IFERROR(INDEX('Monthly Average Bond Yields'!$D$6:$J$311,MATCH('Enbridge Ratings and Yields'!DS13,'Monthly Average Bond Yields'!$C$6:$C$311,0),MATCH('Enbridge Ratings and Yields'!DS15,'Monthly Average Bond Yields'!$D$5:$J$5,0)),"N/A")</f>
        <v>7.8352631578947367</v>
      </c>
      <c r="DT16" s="146">
        <f t="array" ref="DT16">IFERROR(INDEX('Monthly Average Bond Yields'!$D$6:$J$311,MATCH('Enbridge Ratings and Yields'!DT13,'Monthly Average Bond Yields'!$C$6:$C$311,0),MATCH('Enbridge Ratings and Yields'!DT15,'Monthly Average Bond Yields'!$D$5:$J$5,0)),"N/A")</f>
        <v>7.6571428571428575</v>
      </c>
      <c r="DU16" s="146">
        <f t="array" ref="DU16">IFERROR(INDEX('Monthly Average Bond Yields'!$D$6:$J$311,MATCH('Enbridge Ratings and Yields'!DU13,'Monthly Average Bond Yields'!$C$6:$C$311,0),MATCH('Enbridge Ratings and Yields'!DU15,'Monthly Average Bond Yields'!$D$5:$J$5,0)),"N/A")</f>
        <v>7.535263157894736</v>
      </c>
      <c r="DV16" s="146">
        <f t="array" ref="DV16">IFERROR(INDEX('Monthly Average Bond Yields'!$D$6:$J$311,MATCH('Enbridge Ratings and Yields'!DV13,'Monthly Average Bond Yields'!$C$6:$C$311,0),MATCH('Enbridge Ratings and Yields'!DV15,'Monthly Average Bond Yields'!$D$5:$J$5,0)),"N/A")</f>
        <v>7.7575000000000021</v>
      </c>
      <c r="DW16" s="146">
        <f t="array" ref="DW16">IFERROR(INDEX('Monthly Average Bond Yields'!$D$6:$J$311,MATCH('Enbridge Ratings and Yields'!DW13,'Monthly Average Bond Yields'!$C$6:$C$311,0),MATCH('Enbridge Ratings and Yields'!DW15,'Monthly Average Bond Yields'!$D$5:$J$5,0)),"N/A")</f>
        <v>7.5677272727272742</v>
      </c>
      <c r="DX16" s="146">
        <f t="array" ref="DX16">IFERROR(INDEX('Monthly Average Bond Yields'!$D$6:$J$311,MATCH('Enbridge Ratings and Yields'!DX13,'Monthly Average Bond Yields'!$C$6:$C$311,0),MATCH('Enbridge Ratings and Yields'!DX15,'Monthly Average Bond Yields'!$D$5:$J$5,0)),"N/A")</f>
        <v>7.5245454545454544</v>
      </c>
      <c r="DY16" s="146">
        <f t="array" ref="DY16">IFERROR(INDEX('Monthly Average Bond Yields'!$D$6:$J$311,MATCH('Enbridge Ratings and Yields'!DY13,'Monthly Average Bond Yields'!$C$6:$C$311,0),MATCH('Enbridge Ratings and Yields'!DY15,'Monthly Average Bond Yields'!$D$5:$J$5,0)),"N/A")</f>
        <v>7.4129999999999985</v>
      </c>
      <c r="DZ16" s="146">
        <f t="array" ref="DZ16">IFERROR(INDEX('Monthly Average Bond Yields'!$D$6:$J$311,MATCH('Enbridge Ratings and Yields'!DZ13,'Monthly Average Bond Yields'!$C$6:$C$311,0),MATCH('Enbridge Ratings and Yields'!DZ15,'Monthly Average Bond Yields'!$D$5:$J$5,0)),"N/A")</f>
        <v>7.3136363636363626</v>
      </c>
      <c r="EA16" s="146">
        <f t="array" ref="EA16">IFERROR(INDEX('Monthly Average Bond Yields'!$D$6:$J$311,MATCH('Enbridge Ratings and Yields'!EA13,'Monthly Average Bond Yields'!$C$6:$C$311,0),MATCH('Enbridge Ratings and Yields'!EA15,'Monthly Average Bond Yields'!$D$5:$J$5,0)),"N/A")</f>
        <v>7.173181818181817</v>
      </c>
      <c r="EB16" s="146">
        <f t="array" ref="EB16">IFERROR(INDEX('Monthly Average Bond Yields'!$D$6:$J$311,MATCH('Enbridge Ratings and Yields'!EB13,'Monthly Average Bond Yields'!$C$6:$C$311,0),MATCH('Enbridge Ratings and Yields'!EB15,'Monthly Average Bond Yields'!$D$5:$J$5,0)),"N/A")</f>
        <v>7.0770000000000008</v>
      </c>
      <c r="EC16" s="146">
        <f t="array" ref="EC16">IFERROR(INDEX('Monthly Average Bond Yields'!$D$6:$J$311,MATCH('Enbridge Ratings and Yields'!EC13,'Monthly Average Bond Yields'!$C$6:$C$311,0),MATCH('Enbridge Ratings and Yields'!EC15,'Monthly Average Bond Yields'!$D$5:$J$5,0)),"N/A")</f>
        <v>7.2259090909090897</v>
      </c>
      <c r="ED16" s="146">
        <f t="array" ref="ED16">IFERROR(INDEX('Monthly Average Bond Yields'!$D$6:$J$311,MATCH('Enbridge Ratings and Yields'!ED13,'Monthly Average Bond Yields'!$C$6:$C$311,0),MATCH('Enbridge Ratings and Yields'!ED15,'Monthly Average Bond Yields'!$D$5:$J$5,0)),"N/A")</f>
        <v>7.143684210526315</v>
      </c>
      <c r="EE16" s="146">
        <f t="array" ref="EE16">IFERROR(INDEX('Monthly Average Bond Yields'!$D$6:$J$311,MATCH('Enbridge Ratings and Yields'!EE13,'Monthly Average Bond Yields'!$C$6:$C$311,0),MATCH('Enbridge Ratings and Yields'!EE15,'Monthly Average Bond Yields'!$D$5:$J$5,0)),"N/A")</f>
        <v>7.0671428571428585</v>
      </c>
      <c r="EF16" s="146">
        <f t="array" ref="EF16">IFERROR(INDEX('Monthly Average Bond Yields'!$D$6:$J$311,MATCH('Enbridge Ratings and Yields'!EF13,'Monthly Average Bond Yields'!$C$6:$C$311,0),MATCH('Enbridge Ratings and Yields'!EF15,'Monthly Average Bond Yields'!$D$5:$J$5,0)),"N/A")</f>
        <v>7.0647619047619044</v>
      </c>
      <c r="EG16" s="146">
        <f t="array" ref="EG16">IFERROR(INDEX('Monthly Average Bond Yields'!$D$6:$J$311,MATCH('Enbridge Ratings and Yields'!EG13,'Monthly Average Bond Yields'!$C$6:$C$311,0),MATCH('Enbridge Ratings and Yields'!EG15,'Monthly Average Bond Yields'!$D$5:$J$5,0)),"N/A")</f>
        <v>6.9284210526315801</v>
      </c>
      <c r="EH16" s="146">
        <f t="array" ref="EH16">IFERROR(INDEX('Monthly Average Bond Yields'!$D$6:$J$311,MATCH('Enbridge Ratings and Yields'!EH13,'Monthly Average Bond Yields'!$C$6:$C$311,0),MATCH('Enbridge Ratings and Yields'!EH15,'Monthly Average Bond Yields'!$D$5:$J$5,0)),"N/A")</f>
        <v>6.78857142857143</v>
      </c>
      <c r="EI16" s="146">
        <f t="array" ref="EI16">IFERROR(INDEX('Monthly Average Bond Yields'!$D$6:$J$311,MATCH('Enbridge Ratings and Yields'!EI13,'Monthly Average Bond Yields'!$C$6:$C$311,0),MATCH('Enbridge Ratings and Yields'!EI15,'Monthly Average Bond Yields'!$D$5:$J$5,0)),"N/A")</f>
        <v>6.6223809523809507</v>
      </c>
      <c r="EJ16" s="146">
        <f t="array" ref="EJ16">IFERROR(INDEX('Monthly Average Bond Yields'!$D$6:$J$311,MATCH('Enbridge Ratings and Yields'!EJ13,'Monthly Average Bond Yields'!$C$6:$C$311,0),MATCH('Enbridge Ratings and Yields'!EJ15,'Monthly Average Bond Yields'!$D$5:$J$5,0)),"N/A")</f>
        <v>6.3457142857142852</v>
      </c>
      <c r="EK16" s="146">
        <f t="array" ref="EK16">IFERROR(INDEX('Monthly Average Bond Yields'!$D$6:$J$311,MATCH('Enbridge Ratings and Yields'!EK13,'Monthly Average Bond Yields'!$C$6:$C$311,0),MATCH('Enbridge Ratings and Yields'!EK15,'Monthly Average Bond Yields'!$D$5:$J$5,0)),"N/A")</f>
        <v>6.2104761904761903</v>
      </c>
      <c r="EL16" s="146">
        <f t="array" ref="EL16">IFERROR(INDEX('Monthly Average Bond Yields'!$D$6:$J$311,MATCH('Enbridge Ratings and Yields'!EL13,'Monthly Average Bond Yields'!$C$6:$C$311,0),MATCH('Enbridge Ratings and Yields'!EL15,'Monthly Average Bond Yields'!$D$5:$J$5,0)),"N/A")</f>
        <v>6.56</v>
      </c>
      <c r="EM16" s="146">
        <f t="array" ref="EM16">IFERROR(INDEX('Monthly Average Bond Yields'!$D$6:$J$311,MATCH('Enbridge Ratings and Yields'!EM13,'Monthly Average Bond Yields'!$C$6:$C$311,0),MATCH('Enbridge Ratings and Yields'!EM15,'Monthly Average Bond Yields'!$D$5:$J$5,0)),"N/A")</f>
        <v>6.7876190476190477</v>
      </c>
      <c r="EN16" s="146">
        <f t="array" ref="EN16">IFERROR(INDEX('Monthly Average Bond Yields'!$D$6:$J$311,MATCH('Enbridge Ratings and Yields'!EN13,'Monthly Average Bond Yields'!$C$6:$C$311,0),MATCH('Enbridge Ratings and Yields'!EN15,'Monthly Average Bond Yields'!$D$5:$J$5,0)),"N/A")</f>
        <v>6.5614285714285714</v>
      </c>
      <c r="EO16" s="146">
        <f t="array" ref="EO16">IFERROR(INDEX('Monthly Average Bond Yields'!$D$6:$J$311,MATCH('Enbridge Ratings and Yields'!EO13,'Monthly Average Bond Yields'!$C$6:$C$311,0),MATCH('Enbridge Ratings and Yields'!EO15,'Monthly Average Bond Yields'!$D$5:$J$5,0)),"N/A")</f>
        <v>6.4277272727272727</v>
      </c>
      <c r="EP16" s="146">
        <f t="array" ref="EP16">IFERROR(INDEX('Monthly Average Bond Yields'!$D$6:$J$311,MATCH('Enbridge Ratings and Yields'!EP13,'Monthly Average Bond Yields'!$C$6:$C$311,0),MATCH('Enbridge Ratings and Yields'!EP15,'Monthly Average Bond Yields'!$D$5:$J$5,0)),"N/A")</f>
        <v>6.3682352941176461</v>
      </c>
      <c r="EQ16" s="146">
        <f t="array" ref="EQ16">IFERROR(INDEX('Monthly Average Bond Yields'!$D$6:$J$311,MATCH('Enbridge Ratings and Yields'!EQ13,'Monthly Average Bond Yields'!$C$6:$C$311,0),MATCH('Enbridge Ratings and Yields'!EQ15,'Monthly Average Bond Yields'!$D$5:$J$5,0)),"N/A")</f>
        <v>6.2718181818181815</v>
      </c>
      <c r="ER16" s="146">
        <f t="array" ref="ER16">IFERROR(INDEX('Monthly Average Bond Yields'!$D$6:$J$311,MATCH('Enbridge Ratings and Yields'!ER13,'Monthly Average Bond Yields'!$C$6:$C$311,0),MATCH('Enbridge Ratings and Yields'!ER15,'Monthly Average Bond Yields'!$D$5:$J$5,0)),"N/A")</f>
        <v>6.1515000000000004</v>
      </c>
      <c r="ES16" s="146">
        <f t="array" ref="ES16">IFERROR(INDEX('Monthly Average Bond Yields'!$D$6:$J$311,MATCH('Enbridge Ratings and Yields'!ES13,'Monthly Average Bond Yields'!$C$6:$C$311,0),MATCH('Enbridge Ratings and Yields'!ES15,'Monthly Average Bond Yields'!$D$5:$J$5,0)),"N/A")</f>
        <v>6.148421052631579</v>
      </c>
      <c r="ET16" s="146">
        <f t="array" ref="ET16">IFERROR(INDEX('Monthly Average Bond Yields'!$D$6:$J$311,MATCH('Enbridge Ratings and Yields'!ET13,'Monthly Average Bond Yields'!$C$6:$C$311,0),MATCH('Enbridge Ratings and Yields'!ET15,'Monthly Average Bond Yields'!$D$5:$J$5,0)),"N/A")</f>
        <v>5.9673913043478262</v>
      </c>
      <c r="EU16" s="146">
        <f t="array" ref="EU16">IFERROR(INDEX('Monthly Average Bond Yields'!$D$6:$J$311,MATCH('Enbridge Ratings and Yields'!EU13,'Monthly Average Bond Yields'!$C$6:$C$311,0),MATCH('Enbridge Ratings and Yields'!EU15,'Monthly Average Bond Yields'!$D$5:$J$5,0)),"N/A")</f>
        <v>6.3466666666666667</v>
      </c>
      <c r="EV16" s="146">
        <f t="array" ref="EV16">IFERROR(INDEX('Monthly Average Bond Yields'!$D$6:$J$311,MATCH('Enbridge Ratings and Yields'!EV13,'Monthly Average Bond Yields'!$C$6:$C$311,0),MATCH('Enbridge Ratings and Yields'!EV15,'Monthly Average Bond Yields'!$D$5:$J$5,0)),"N/A")</f>
        <v>6.6240000000000006</v>
      </c>
      <c r="EW16" s="146">
        <f t="array" ref="EW16">IFERROR(INDEX('Monthly Average Bond Yields'!$D$6:$J$311,MATCH('Enbridge Ratings and Yields'!EW13,'Monthly Average Bond Yields'!$C$6:$C$311,0),MATCH('Enbridge Ratings and Yields'!EW15,'Monthly Average Bond Yields'!$D$5:$J$5,0)),"N/A")</f>
        <v>6.45714285714286</v>
      </c>
      <c r="EX16" s="146">
        <f t="array" ref="EX16">IFERROR(INDEX('Monthly Average Bond Yields'!$D$6:$J$311,MATCH('Enbridge Ratings and Yields'!EX13,'Monthly Average Bond Yields'!$C$6:$C$311,0),MATCH('Enbridge Ratings and Yields'!EX15,'Monthly Average Bond Yields'!$D$5:$J$5,0)),"N/A")</f>
        <v>6.2680952380952393</v>
      </c>
      <c r="EY16" s="146">
        <f t="array" ref="EY16">IFERROR(INDEX('Monthly Average Bond Yields'!$D$6:$J$311,MATCH('Enbridge Ratings and Yields'!EY13,'Monthly Average Bond Yields'!$C$6:$C$311,0),MATCH('Enbridge Ratings and Yields'!EY15,'Monthly Average Bond Yields'!$D$5:$J$5,0)),"N/A")</f>
        <v>6.1368181818181826</v>
      </c>
      <c r="EZ16" s="146">
        <f t="array" ref="EZ16">IFERROR(INDEX('Monthly Average Bond Yields'!$D$6:$J$311,MATCH('Enbridge Ratings and Yields'!EZ13,'Monthly Average Bond Yields'!$C$6:$C$311,0),MATCH('Enbridge Ratings and Yields'!EZ15,'Monthly Average Bond Yields'!$D$5:$J$5,0)),"N/A")</f>
        <v>5.9795238095238084</v>
      </c>
      <c r="FA16" s="146">
        <f t="array" ref="FA16">IFERROR(INDEX('Monthly Average Bond Yields'!$D$6:$J$311,MATCH('Enbridge Ratings and Yields'!FA13,'Monthly Average Bond Yields'!$C$6:$C$311,0),MATCH('Enbridge Ratings and Yields'!FA15,'Monthly Average Bond Yields'!$D$5:$J$5,0)),"N/A")</f>
        <v>5.9870000000000001</v>
      </c>
      <c r="FB16" s="146">
        <f t="array" ref="FB16">IFERROR(INDEX('Monthly Average Bond Yields'!$D$6:$J$311,MATCH('Enbridge Ratings and Yields'!FB13,'Monthly Average Bond Yields'!$C$6:$C$311,0),MATCH('Enbridge Ratings and Yields'!FB15,'Monthly Average Bond Yields'!$D$5:$J$5,0)),"N/A")</f>
        <v>5.9620000000000006</v>
      </c>
      <c r="FC16" s="146">
        <f t="array" ref="FC16">IFERROR(INDEX('Monthly Average Bond Yields'!$D$6:$J$311,MATCH('Enbridge Ratings and Yields'!FC13,'Monthly Average Bond Yields'!$C$6:$C$311,0),MATCH('Enbridge Ratings and Yields'!FC15,'Monthly Average Bond Yields'!$D$5:$J$5,0)),"N/A")</f>
        <v>5.918181818181818</v>
      </c>
      <c r="FD16" s="146">
        <f t="array" ref="FD16">IFERROR(INDEX('Monthly Average Bond Yields'!$D$6:$J$311,MATCH('Enbridge Ratings and Yields'!FD13,'Monthly Average Bond Yields'!$C$6:$C$311,0),MATCH('Enbridge Ratings and Yields'!FD15,'Monthly Average Bond Yields'!$D$5:$J$5,0)),"N/A")</f>
        <v>5.7820000000000009</v>
      </c>
      <c r="FE16" s="146">
        <f t="array" ref="FE16">IFERROR(INDEX('Monthly Average Bond Yields'!$D$6:$J$311,MATCH('Enbridge Ratings and Yields'!FE13,'Monthly Average Bond Yields'!$C$6:$C$311,0),MATCH('Enbridge Ratings and Yields'!FE15,'Monthly Average Bond Yields'!$D$5:$J$5,0)),"N/A")</f>
        <v>5.6147368421052626</v>
      </c>
      <c r="FF16" s="146">
        <f t="array" ref="FF16">IFERROR(INDEX('Monthly Average Bond Yields'!$D$6:$J$311,MATCH('Enbridge Ratings and Yields'!FF13,'Monthly Average Bond Yields'!$C$6:$C$311,0),MATCH('Enbridge Ratings and Yields'!FF15,'Monthly Average Bond Yields'!$D$5:$J$5,0)),"N/A")</f>
        <v>5.825909090909092</v>
      </c>
      <c r="FG16" s="146">
        <f t="array" ref="FG16">IFERROR(INDEX('Monthly Average Bond Yields'!$D$6:$J$311,MATCH('Enbridge Ratings and Yields'!FG13,'Monthly Average Bond Yields'!$C$6:$C$311,0),MATCH('Enbridge Ratings and Yields'!FG15,'Monthly Average Bond Yields'!$D$5:$J$5,0)),"N/A")</f>
        <v>5.6395238095238103</v>
      </c>
      <c r="FH16" s="146">
        <f t="array" ref="FH16">IFERROR(INDEX('Monthly Average Bond Yields'!$D$6:$J$311,MATCH('Enbridge Ratings and Yields'!FH13,'Monthly Average Bond Yields'!$C$6:$C$311,0),MATCH('Enbridge Ratings and Yields'!FH15,'Monthly Average Bond Yields'!$D$5:$J$5,0)),"N/A")</f>
        <v>5.5333333333333332</v>
      </c>
      <c r="FI16" s="146">
        <f t="array" ref="FI16">IFERROR(INDEX('Monthly Average Bond Yields'!$D$6:$J$311,MATCH('Enbridge Ratings and Yields'!FI13,'Monthly Average Bond Yields'!$C$6:$C$311,0),MATCH('Enbridge Ratings and Yields'!FI15,'Monthly Average Bond Yields'!$D$5:$J$5,0)),"N/A")</f>
        <v>5.3995454545454544</v>
      </c>
      <c r="FJ16" s="146">
        <f t="array" ref="FJ16">IFERROR(INDEX('Monthly Average Bond Yields'!$D$6:$J$311,MATCH('Enbridge Ratings and Yields'!FJ13,'Monthly Average Bond Yields'!$C$6:$C$311,0),MATCH('Enbridge Ratings and Yields'!FJ15,'Monthly Average Bond Yields'!$D$5:$J$5,0)),"N/A")</f>
        <v>5.5084999999999997</v>
      </c>
      <c r="FK16" s="146">
        <f t="array" ref="FK16">IFERROR(INDEX('Monthly Average Bond Yields'!$D$6:$J$311,MATCH('Enbridge Ratings and Yields'!FK13,'Monthly Average Bond Yields'!$C$6:$C$311,0),MATCH('Enbridge Ratings and Yields'!FK15,'Monthly Average Bond Yields'!$D$5:$J$5,0)),"N/A")</f>
        <v>5.4991304347826082</v>
      </c>
      <c r="FL16" s="146">
        <f t="array" ref="FL16">IFERROR(INDEX('Monthly Average Bond Yields'!$D$6:$J$311,MATCH('Enbridge Ratings and Yields'!FL13,'Monthly Average Bond Yields'!$C$6:$C$311,0),MATCH('Enbridge Ratings and Yields'!FL15,'Monthly Average Bond Yields'!$D$5:$J$5,0)),"N/A")</f>
        <v>5.5190476190476199</v>
      </c>
      <c r="FM16" s="146">
        <f t="array" ref="FM16">IFERROR(INDEX('Monthly Average Bond Yields'!$D$6:$J$311,MATCH('Enbridge Ratings and Yields'!FM13,'Monthly Average Bond Yields'!$C$6:$C$311,0),MATCH('Enbridge Ratings and Yields'!FM15,'Monthly Average Bond Yields'!$D$5:$J$5,0)),"N/A")</f>
        <v>5.7866666666666653</v>
      </c>
      <c r="FN16" s="146">
        <f t="array" ref="FN16">IFERROR(INDEX('Monthly Average Bond Yields'!$D$6:$J$311,MATCH('Enbridge Ratings and Yields'!FN13,'Monthly Average Bond Yields'!$C$6:$C$311,0),MATCH('Enbridge Ratings and Yields'!FN15,'Monthly Average Bond Yields'!$D$5:$J$5,0)),"N/A")</f>
        <v>5.8790476190476184</v>
      </c>
      <c r="FO16" s="146">
        <f t="array" ref="FO16">IFERROR(INDEX('Monthly Average Bond Yields'!$D$6:$J$311,MATCH('Enbridge Ratings and Yields'!FO13,'Monthly Average Bond Yields'!$C$6:$C$311,0),MATCH('Enbridge Ratings and Yields'!FO15,'Monthly Average Bond Yields'!$D$5:$J$5,0)),"N/A")</f>
        <v>5.7942857142857163</v>
      </c>
      <c r="FP16" s="146">
        <f t="array" ref="FP16">IFERROR(INDEX('Monthly Average Bond Yields'!$D$6:$J$311,MATCH('Enbridge Ratings and Yields'!FP13,'Monthly Average Bond Yields'!$C$6:$C$311,0),MATCH('Enbridge Ratings and Yields'!FP15,'Monthly Average Bond Yields'!$D$5:$J$5,0)),"N/A")</f>
        <v>5.7449999999999992</v>
      </c>
      <c r="FQ16" s="146">
        <f t="array" ref="FQ16">IFERROR(INDEX('Monthly Average Bond Yields'!$D$6:$J$311,MATCH('Enbridge Ratings and Yields'!FQ13,'Monthly Average Bond Yields'!$C$6:$C$311,0),MATCH('Enbridge Ratings and Yields'!FQ15,'Monthly Average Bond Yields'!$D$5:$J$5,0)),"N/A")</f>
        <v>5.8168421052631576</v>
      </c>
      <c r="FR16" s="146">
        <f t="array" ref="FR16">IFERROR(INDEX('Monthly Average Bond Yields'!$D$6:$J$311,MATCH('Enbridge Ratings and Yields'!FR13,'Monthly Average Bond Yields'!$C$6:$C$311,0),MATCH('Enbridge Ratings and Yields'!FR15,'Monthly Average Bond Yields'!$D$5:$J$5,0)),"N/A")</f>
        <v>5.9847826086956513</v>
      </c>
      <c r="FS16" s="146">
        <f t="array" ref="FS16">IFERROR(INDEX('Monthly Average Bond Yields'!$D$6:$J$311,MATCH('Enbridge Ratings and Yields'!FS13,'Monthly Average Bond Yields'!$C$6:$C$311,0),MATCH('Enbridge Ratings and Yields'!FS15,'Monthly Average Bond Yields'!$D$5:$J$5,0)),"N/A")</f>
        <v>6.2878947368421052</v>
      </c>
      <c r="FT16" s="146">
        <f t="array" ref="FT16">IFERROR(INDEX('Monthly Average Bond Yields'!$D$6:$J$311,MATCH('Enbridge Ratings and Yields'!FT13,'Monthly Average Bond Yields'!$C$6:$C$311,0),MATCH('Enbridge Ratings and Yields'!FT15,'Monthly Average Bond Yields'!$D$5:$J$5,0)),"N/A")</f>
        <v>6.415</v>
      </c>
      <c r="FU16" s="146">
        <f t="array" ref="FU16">IFERROR(INDEX('Monthly Average Bond Yields'!$D$6:$J$311,MATCH('Enbridge Ratings and Yields'!FU13,'Monthly Average Bond Yields'!$C$6:$C$311,0),MATCH('Enbridge Ratings and Yields'!FU15,'Monthly Average Bond Yields'!$D$5:$J$5,0)),"N/A")</f>
        <v>6.4013636363636373</v>
      </c>
      <c r="FV16" s="146">
        <f t="array" ref="FV16">IFERROR(INDEX('Monthly Average Bond Yields'!$D$6:$J$311,MATCH('Enbridge Ratings and Yields'!FV13,'Monthly Average Bond Yields'!$C$6:$C$311,0),MATCH('Enbridge Ratings and Yields'!FV15,'Monthly Average Bond Yields'!$D$5:$J$5,0)),"N/A")</f>
        <v>6.3669999999999991</v>
      </c>
      <c r="FW16" s="146">
        <f t="array" ref="FW16">IFERROR(INDEX('Monthly Average Bond Yields'!$D$6:$J$311,MATCH('Enbridge Ratings and Yields'!FW13,'Monthly Average Bond Yields'!$C$6:$C$311,0),MATCH('Enbridge Ratings and Yields'!FW15,'Monthly Average Bond Yields'!$D$5:$J$5,0)),"N/A")</f>
        <v>6.1960869565217385</v>
      </c>
      <c r="FX16" s="146">
        <f t="array" ref="FX16">IFERROR(INDEX('Monthly Average Bond Yields'!$D$6:$J$311,MATCH('Enbridge Ratings and Yields'!FX13,'Monthly Average Bond Yields'!$C$6:$C$311,0),MATCH('Enbridge Ratings and Yields'!FX15,'Monthly Average Bond Yields'!$D$5:$J$5,0)),"N/A")</f>
        <v>5.9960000000000004</v>
      </c>
      <c r="FY16" s="146">
        <f t="array" ref="FY16">IFERROR(INDEX('Monthly Average Bond Yields'!$D$6:$J$311,MATCH('Enbridge Ratings and Yields'!FY13,'Monthly Average Bond Yields'!$C$6:$C$311,0),MATCH('Enbridge Ratings and Yields'!FY15,'Monthly Average Bond Yields'!$D$5:$J$5,0)),"N/A")</f>
        <v>5.9809523809523801</v>
      </c>
      <c r="FZ16" s="146">
        <f t="array" ref="FZ16">IFERROR(INDEX('Monthly Average Bond Yields'!$D$6:$J$311,MATCH('Enbridge Ratings and Yields'!FZ13,'Monthly Average Bond Yields'!$C$6:$C$311,0),MATCH('Enbridge Ratings and Yields'!FZ15,'Monthly Average Bond Yields'!$D$5:$J$5,0)),"N/A")</f>
        <v>5.8019047619047619</v>
      </c>
      <c r="GA16" s="146">
        <f t="array" ref="GA16">IFERROR(INDEX('Monthly Average Bond Yields'!$D$6:$J$311,MATCH('Enbridge Ratings and Yields'!GA13,'Monthly Average Bond Yields'!$C$6:$C$311,0),MATCH('Enbridge Ratings and Yields'!GA15,'Monthly Average Bond Yields'!$D$5:$J$5,0)),"N/A")</f>
        <v>5.8125000000000009</v>
      </c>
      <c r="GB16" s="146">
        <f t="array" ref="GB16">IFERROR(INDEX('Monthly Average Bond Yields'!$D$6:$J$311,MATCH('Enbridge Ratings and Yields'!GB13,'Monthly Average Bond Yields'!$C$6:$C$311,0),MATCH('Enbridge Ratings and Yields'!GB15,'Monthly Average Bond Yields'!$D$5:$J$5,0)),"N/A")</f>
        <v>5.955238095238097</v>
      </c>
      <c r="GC16" s="146">
        <f t="array" ref="GC16">IFERROR(INDEX('Monthly Average Bond Yields'!$D$6:$J$311,MATCH('Enbridge Ratings and Yields'!GC13,'Monthly Average Bond Yields'!$C$6:$C$311,0),MATCH('Enbridge Ratings and Yields'!GC15,'Monthly Average Bond Yields'!$D$5:$J$5,0)),"N/A")</f>
        <v>5.9015789473684217</v>
      </c>
      <c r="GD16" s="146">
        <f t="array" ref="GD16">IFERROR(INDEX('Monthly Average Bond Yields'!$D$6:$J$311,MATCH('Enbridge Ratings and Yields'!GD13,'Monthly Average Bond Yields'!$C$6:$C$311,0),MATCH('Enbridge Ratings and Yields'!GD15,'Monthly Average Bond Yields'!$D$5:$J$5,0)),"N/A")</f>
        <v>5.8490909090909078</v>
      </c>
      <c r="GE16" s="146">
        <f t="array" ref="GE16">IFERROR(INDEX('Monthly Average Bond Yields'!$D$6:$J$311,MATCH('Enbridge Ratings and Yields'!GE13,'Monthly Average Bond Yields'!$C$6:$C$311,0),MATCH('Enbridge Ratings and Yields'!GE15,'Monthly Average Bond Yields'!$D$5:$J$5,0)),"N/A")</f>
        <v>5.9690476190476192</v>
      </c>
      <c r="GF16" s="146">
        <f t="array" ref="GF16">IFERROR(INDEX('Monthly Average Bond Yields'!$D$6:$J$311,MATCH('Enbridge Ratings and Yields'!GF13,'Monthly Average Bond Yields'!$C$6:$C$311,0),MATCH('Enbridge Ratings and Yields'!GF15,'Monthly Average Bond Yields'!$D$5:$J$5,0)),"N/A")</f>
        <v>5.9859090909090904</v>
      </c>
      <c r="GG16" s="146">
        <f t="array" ref="GG16">IFERROR(INDEX('Monthly Average Bond Yields'!$D$6:$J$311,MATCH('Enbridge Ratings and Yields'!GG13,'Monthly Average Bond Yields'!$C$6:$C$311,0),MATCH('Enbridge Ratings and Yields'!GG15,'Monthly Average Bond Yields'!$D$5:$J$5,0)),"N/A")</f>
        <v>6.3028571428571434</v>
      </c>
      <c r="GH16" s="146">
        <f t="array" ref="GH16">IFERROR(INDEX('Monthly Average Bond Yields'!$D$6:$J$311,MATCH('Enbridge Ratings and Yields'!GH13,'Monthly Average Bond Yields'!$C$6:$C$311,0),MATCH('Enbridge Ratings and Yields'!GH15,'Monthly Average Bond Yields'!$D$5:$J$5,0)),"N/A")</f>
        <v>6.2461904761904767</v>
      </c>
      <c r="GI16" s="146">
        <f t="array" ref="GI16">IFERROR(INDEX('Monthly Average Bond Yields'!$D$6:$J$311,MATCH('Enbridge Ratings and Yields'!GI13,'Monthly Average Bond Yields'!$C$6:$C$311,0),MATCH('Enbridge Ratings and Yields'!GI15,'Monthly Average Bond Yields'!$D$5:$J$5,0)),"N/A")</f>
        <v>6.2365217391304348</v>
      </c>
      <c r="GJ16" s="146">
        <f t="array" ref="GJ16">IFERROR(INDEX('Monthly Average Bond Yields'!$D$6:$J$311,MATCH('Enbridge Ratings and Yields'!GJ13,'Monthly Average Bond Yields'!$C$6:$C$311,0),MATCH('Enbridge Ratings and Yields'!GJ15,'Monthly Average Bond Yields'!$D$5:$J$5,0)),"N/A")</f>
        <v>6.1805263157894732</v>
      </c>
      <c r="GK16" s="146">
        <f t="array" ref="GK16">IFERROR(INDEX('Monthly Average Bond Yields'!$D$6:$J$311,MATCH('Enbridge Ratings and Yields'!GK13,'Monthly Average Bond Yields'!$C$6:$C$311,0),MATCH('Enbridge Ratings and Yields'!GK15,'Monthly Average Bond Yields'!$D$5:$J$5,0)),"N/A")</f>
        <v>6.1122727272727273</v>
      </c>
      <c r="GL16" s="146">
        <f t="array" ref="GL16">IFERROR(INDEX('Monthly Average Bond Yields'!$D$6:$J$311,MATCH('Enbridge Ratings and Yields'!GL13,'Monthly Average Bond Yields'!$C$6:$C$311,0),MATCH('Enbridge Ratings and Yields'!GL15,'Monthly Average Bond Yields'!$D$5:$J$5,0)),"N/A")</f>
        <v>5.9659999999999993</v>
      </c>
      <c r="GM16" s="146">
        <f t="array" ref="GM16">IFERROR(INDEX('Monthly Average Bond Yields'!$D$6:$J$311,MATCH('Enbridge Ratings and Yields'!GM13,'Monthly Average Bond Yields'!$C$6:$C$311,0),MATCH('Enbridge Ratings and Yields'!GM15,'Monthly Average Bond Yields'!$D$5:$J$5,0)),"N/A")</f>
        <v>6.1575000000000006</v>
      </c>
      <c r="GN16" s="146">
        <f t="array" ref="GN16">IFERROR(INDEX('Monthly Average Bond Yields'!$D$6:$J$311,MATCH('Enbridge Ratings and Yields'!GN13,'Monthly Average Bond Yields'!$C$6:$C$311,0),MATCH('Enbridge Ratings and Yields'!GN15,'Monthly Average Bond Yields'!$D$5:$J$5,0)),"N/A")</f>
        <v>6.0152380952380948</v>
      </c>
      <c r="GO16" s="146">
        <f t="array" ref="GO16">IFERROR(INDEX('Monthly Average Bond Yields'!$D$6:$J$311,MATCH('Enbridge Ratings and Yields'!GO13,'Monthly Average Bond Yields'!$C$6:$C$311,0),MATCH('Enbridge Ratings and Yields'!GO15,'Monthly Average Bond Yields'!$D$5:$J$5,0)),"N/A")</f>
        <v>6.2140000000000004</v>
      </c>
      <c r="GP16" s="146">
        <f t="array" ref="GP16">IFERROR(INDEX('Monthly Average Bond Yields'!$D$6:$J$311,MATCH('Enbridge Ratings and Yields'!GP13,'Monthly Average Bond Yields'!$C$6:$C$311,0),MATCH('Enbridge Ratings and Yields'!GP15,'Monthly Average Bond Yields'!$D$5:$J$5,0)),"N/A")</f>
        <v>6.2090000000000005</v>
      </c>
      <c r="GQ16" s="146">
        <f t="array" ref="GQ16">IFERROR(INDEX('Monthly Average Bond Yields'!$D$6:$J$311,MATCH('Enbridge Ratings and Yields'!GQ13,'Monthly Average Bond Yields'!$C$6:$C$311,0),MATCH('Enbridge Ratings and Yields'!GQ15,'Monthly Average Bond Yields'!$D$5:$J$5,0)),"N/A")</f>
        <v>6.290454545454546</v>
      </c>
      <c r="GR16" s="146">
        <f t="array" ref="GR16">IFERROR(INDEX('Monthly Average Bond Yields'!$D$6:$J$311,MATCH('Enbridge Ratings and Yields'!GR13,'Monthly Average Bond Yields'!$C$6:$C$311,0),MATCH('Enbridge Ratings and Yields'!GR15,'Monthly Average Bond Yields'!$D$5:$J$5,0)),"N/A")</f>
        <v>6.2757142857142849</v>
      </c>
      <c r="GS16" s="146">
        <f t="array" ref="GS16">IFERROR(INDEX('Monthly Average Bond Yields'!$D$6:$J$311,MATCH('Enbridge Ratings and Yields'!GS13,'Monthly Average Bond Yields'!$C$6:$C$311,0),MATCH('Enbridge Ratings and Yields'!GS15,'Monthly Average Bond Yields'!$D$5:$J$5,0)),"N/A")</f>
        <v>6.3771428571428563</v>
      </c>
      <c r="GT16" s="146">
        <f t="array" ref="GT16">IFERROR(INDEX('Monthly Average Bond Yields'!$D$6:$J$311,MATCH('Enbridge Ratings and Yields'!GT13,'Monthly Average Bond Yields'!$C$6:$C$311,0),MATCH('Enbridge Ratings and Yields'!GT15,'Monthly Average Bond Yields'!$D$5:$J$5,0)),"N/A")</f>
        <v>6.3968181818181815</v>
      </c>
      <c r="GU16" s="146">
        <f t="array" ref="GU16">IFERROR(INDEX('Monthly Average Bond Yields'!$D$6:$J$311,MATCH('Enbridge Ratings and Yields'!GU13,'Monthly Average Bond Yields'!$C$6:$C$311,0),MATCH('Enbridge Ratings and Yields'!GU15,'Monthly Average Bond Yields'!$D$5:$J$5,0)),"N/A")</f>
        <v>6.3709523809523807</v>
      </c>
      <c r="GV16" s="146">
        <f t="array" ref="GV16">IFERROR(INDEX('Monthly Average Bond Yields'!$D$6:$J$311,MATCH('Enbridge Ratings and Yields'!GV13,'Monthly Average Bond Yields'!$C$6:$C$311,0),MATCH('Enbridge Ratings and Yields'!GV15,'Monthly Average Bond Yields'!$D$5:$J$5,0)),"N/A")</f>
        <v>6.4933333333333341</v>
      </c>
      <c r="GW16" s="146">
        <f t="array" ref="GW16">IFERROR(INDEX('Monthly Average Bond Yields'!$D$6:$J$311,MATCH('Enbridge Ratings and Yields'!GW13,'Monthly Average Bond Yields'!$C$6:$C$311,0),MATCH('Enbridge Ratings and Yields'!GW15,'Monthly Average Bond Yields'!$D$5:$J$5,0)),"N/A")</f>
        <v>7.5636363636363626</v>
      </c>
      <c r="GX16" s="146">
        <f t="array" ref="GX16">IFERROR(INDEX('Monthly Average Bond Yields'!$D$6:$J$311,MATCH('Enbridge Ratings and Yields'!GX13,'Monthly Average Bond Yields'!$C$6:$C$311,0),MATCH('Enbridge Ratings and Yields'!GX15,'Monthly Average Bond Yields'!$D$5:$J$5,0)),"N/A")</f>
        <v>7.6011111111111109</v>
      </c>
      <c r="GY16" s="146">
        <f t="array" ref="GY16">IFERROR(INDEX('Monthly Average Bond Yields'!$D$6:$J$311,MATCH('Enbridge Ratings and Yields'!GY13,'Monthly Average Bond Yields'!$C$6:$C$311,0),MATCH('Enbridge Ratings and Yields'!GY15,'Monthly Average Bond Yields'!$D$5:$J$5,0)),"N/A")</f>
        <v>6.5240909090909094</v>
      </c>
      <c r="GZ16" s="146">
        <f t="array" ref="GZ16">IFERROR(INDEX('Monthly Average Bond Yields'!$D$6:$J$311,MATCH('Enbridge Ratings and Yields'!GZ13,'Monthly Average Bond Yields'!$C$6:$C$311,0),MATCH('Enbridge Ratings and Yields'!GZ15,'Monthly Average Bond Yields'!$D$5:$J$5,0)),"N/A")</f>
        <v>6.3864999999999998</v>
      </c>
      <c r="HA16" s="146">
        <f t="array" ref="HA16">IFERROR(INDEX('Monthly Average Bond Yields'!$D$6:$J$311,MATCH('Enbridge Ratings and Yields'!HA13,'Monthly Average Bond Yields'!$C$6:$C$311,0),MATCH('Enbridge Ratings and Yields'!HA15,'Monthly Average Bond Yields'!$D$5:$J$5,0)),"N/A")</f>
        <v>6.3042105263157886</v>
      </c>
      <c r="HB16" s="146">
        <f t="array" ref="HB16">IFERROR(INDEX('Monthly Average Bond Yields'!$D$6:$J$311,MATCH('Enbridge Ratings and Yields'!HB13,'Monthly Average Bond Yields'!$C$6:$C$311,0),MATCH('Enbridge Ratings and Yields'!HB15,'Monthly Average Bond Yields'!$D$5:$J$5,0)),"N/A")</f>
        <v>6.4231818181818179</v>
      </c>
      <c r="HC16" s="146">
        <f t="array" ref="HC16">IFERROR(INDEX('Monthly Average Bond Yields'!$D$6:$J$311,MATCH('Enbridge Ratings and Yields'!HC13,'Monthly Average Bond Yields'!$C$6:$C$311,0),MATCH('Enbridge Ratings and Yields'!HC15,'Monthly Average Bond Yields'!$D$5:$J$5,0)),"N/A")</f>
        <v>6.4847619047619034</v>
      </c>
      <c r="HD16" s="146">
        <f t="array" ref="HD16">IFERROR(INDEX('Monthly Average Bond Yields'!$D$6:$J$311,MATCH('Enbridge Ratings and Yields'!HD13,'Monthly Average Bond Yields'!$C$6:$C$311,0),MATCH('Enbridge Ratings and Yields'!HD15,'Monthly Average Bond Yields'!$D$5:$J$5,0)),"N/A")</f>
        <v>6.4904999999999999</v>
      </c>
      <c r="HE16" s="146">
        <f t="array" ref="HE16">IFERROR(INDEX('Monthly Average Bond Yields'!$D$6:$J$311,MATCH('Enbridge Ratings and Yields'!HE13,'Monthly Average Bond Yields'!$C$6:$C$311,0),MATCH('Enbridge Ratings and Yields'!HE15,'Monthly Average Bond Yields'!$D$5:$J$5,0)),"N/A")</f>
        <v>6.1949999999999985</v>
      </c>
      <c r="HF16" s="146">
        <f t="array" ref="HF16">IFERROR(INDEX('Monthly Average Bond Yields'!$D$6:$J$311,MATCH('Enbridge Ratings and Yields'!HF13,'Monthly Average Bond Yields'!$C$6:$C$311,0),MATCH('Enbridge Ratings and Yields'!HF15,'Monthly Average Bond Yields'!$D$5:$J$5,0)),"N/A")</f>
        <v>5.9659090909090908</v>
      </c>
      <c r="HG16" s="146">
        <f t="array" ref="HG16">IFERROR(INDEX('Monthly Average Bond Yields'!$D$6:$J$311,MATCH('Enbridge Ratings and Yields'!HG13,'Monthly Average Bond Yields'!$C$6:$C$311,0),MATCH('Enbridge Ratings and Yields'!HG15,'Monthly Average Bond Yields'!$D$5:$J$5,0)),"N/A")</f>
        <v>5.7085714285714291</v>
      </c>
      <c r="HH16" s="146">
        <f t="array" ref="HH16">IFERROR(INDEX('Monthly Average Bond Yields'!$D$6:$J$311,MATCH('Enbridge Ratings and Yields'!HH13,'Monthly Average Bond Yields'!$C$6:$C$311,0),MATCH('Enbridge Ratings and Yields'!HH15,'Monthly Average Bond Yields'!$D$5:$J$5,0)),"N/A")</f>
        <v>5.5304761904761905</v>
      </c>
      <c r="HI16" s="146">
        <f t="array" ref="HI16">IFERROR(INDEX('Monthly Average Bond Yields'!$D$6:$J$311,MATCH('Enbridge Ratings and Yields'!HI13,'Monthly Average Bond Yields'!$C$6:$C$311,0),MATCH('Enbridge Ratings and Yields'!HI15,'Monthly Average Bond Yields'!$D$5:$J$5,0)),"N/A")</f>
        <v>5.5452380952380951</v>
      </c>
      <c r="HJ16" s="146">
        <f t="array" ref="HJ16">IFERROR(INDEX('Monthly Average Bond Yields'!$D$6:$J$311,MATCH('Enbridge Ratings and Yields'!HJ13,'Monthly Average Bond Yields'!$C$6:$C$311,0),MATCH('Enbridge Ratings and Yields'!HJ15,'Monthly Average Bond Yields'!$D$5:$J$5,0)),"N/A")</f>
        <v>5.6321052631578938</v>
      </c>
      <c r="HK16" s="146">
        <f t="array" ref="HK16">IFERROR(INDEX('Monthly Average Bond Yields'!$D$6:$J$311,MATCH('Enbridge Ratings and Yields'!HK13,'Monthly Average Bond Yields'!$C$6:$C$311,0),MATCH('Enbridge Ratings and Yields'!HK15,'Monthly Average Bond Yields'!$D$5:$J$5,0)),"N/A")</f>
        <v>5.7881818181818181</v>
      </c>
      <c r="HL16" s="146">
        <f t="array" ref="HL16">IFERROR(INDEX('Monthly Average Bond Yields'!$D$6:$J$311,MATCH('Enbridge Ratings and Yields'!HL13,'Monthly Average Bond Yields'!$C$6:$C$311,0),MATCH('Enbridge Ratings and Yields'!HL15,'Monthly Average Bond Yields'!$D$5:$J$5,0)),"N/A")</f>
        <v>5.7726315789473688</v>
      </c>
      <c r="HM16" s="146">
        <f t="array" ref="HM16">IFERROR(INDEX('Monthly Average Bond Yields'!$D$6:$J$311,MATCH('Enbridge Ratings and Yields'!HM13,'Monthly Average Bond Yields'!$C$6:$C$311,0),MATCH('Enbridge Ratings and Yields'!HM15,'Monthly Average Bond Yields'!$D$5:$J$5,0)),"N/A")</f>
        <v>5.8705263157894736</v>
      </c>
      <c r="HN16" s="146">
        <f t="array" ref="HN16">IFERROR(INDEX('Monthly Average Bond Yields'!$D$6:$J$311,MATCH('Enbridge Ratings and Yields'!HN13,'Monthly Average Bond Yields'!$C$6:$C$311,0),MATCH('Enbridge Ratings and Yields'!HN15,'Monthly Average Bond Yields'!$D$5:$J$5,0)),"N/A")</f>
        <v>5.8439130434782607</v>
      </c>
      <c r="HO16" s="146">
        <f t="array" ref="HO16">IFERROR(INDEX('Monthly Average Bond Yields'!$D$6:$J$311,MATCH('Enbridge Ratings and Yields'!HO13,'Monthly Average Bond Yields'!$C$6:$C$311,0),MATCH('Enbridge Ratings and Yields'!HO15,'Monthly Average Bond Yields'!$D$5:$J$5,0)),"N/A")</f>
        <v>5.8136363636363635</v>
      </c>
      <c r="HP16" s="146">
        <f t="array" ref="HP16">IFERROR(INDEX('Monthly Average Bond Yields'!$D$6:$J$311,MATCH('Enbridge Ratings and Yields'!HP13,'Monthly Average Bond Yields'!$C$6:$C$311,0),MATCH('Enbridge Ratings and Yields'!HP15,'Monthly Average Bond Yields'!$D$5:$J$5,0)),"N/A")</f>
        <v>5.4969999999999981</v>
      </c>
      <c r="HQ16" s="146">
        <f t="array" ref="HQ16">IFERROR(INDEX('Monthly Average Bond Yields'!$D$6:$J$311,MATCH('Enbridge Ratings and Yields'!HQ13,'Monthly Average Bond Yields'!$C$6:$C$311,0),MATCH('Enbridge Ratings and Yields'!HQ15,'Monthly Average Bond Yields'!$D$5:$J$5,0)),"N/A")</f>
        <v>5.462727272727272</v>
      </c>
      <c r="HR16" s="146">
        <f t="array" ref="HR16">IFERROR(INDEX('Monthly Average Bond Yields'!$D$6:$J$311,MATCH('Enbridge Ratings and Yields'!HR13,'Monthly Average Bond Yields'!$C$6:$C$311,0),MATCH('Enbridge Ratings and Yields'!HR15,'Monthly Average Bond Yields'!$D$5:$J$5,0)),"N/A")</f>
        <v>5.2580952380952386</v>
      </c>
      <c r="HS16" s="146">
        <f t="array" ref="HS16">IFERROR(INDEX('Monthly Average Bond Yields'!$D$6:$J$311,MATCH('Enbridge Ratings and Yields'!HS13,'Monthly Average Bond Yields'!$C$6:$C$311,0),MATCH('Enbridge Ratings and Yields'!HS15,'Monthly Average Bond Yields'!$D$5:$J$5,0)),"N/A")</f>
        <v>5.0077272727272719</v>
      </c>
      <c r="HT16" s="146">
        <f t="array" ref="HT16">IFERROR(INDEX('Monthly Average Bond Yields'!$D$6:$J$311,MATCH('Enbridge Ratings and Yields'!HT13,'Monthly Average Bond Yields'!$C$6:$C$311,0),MATCH('Enbridge Ratings and Yields'!HT15,'Monthly Average Bond Yields'!$D$5:$J$5,0)),"N/A")</f>
        <v>5.0095238095238086</v>
      </c>
      <c r="HU16" s="146">
        <f t="array" ref="HU16">IFERROR(INDEX('Monthly Average Bond Yields'!$D$6:$J$311,MATCH('Enbridge Ratings and Yields'!HU13,'Monthly Average Bond Yields'!$C$6:$C$311,0),MATCH('Enbridge Ratings and Yields'!HU15,'Monthly Average Bond Yields'!$D$5:$J$5,0)),"N/A")</f>
        <v>5.1029999999999998</v>
      </c>
      <c r="HV16" s="146">
        <f t="array" ref="HV16">IFERROR(INDEX('Monthly Average Bond Yields'!$D$6:$J$311,MATCH('Enbridge Ratings and Yields'!HV13,'Monthly Average Bond Yields'!$C$6:$C$311,0),MATCH('Enbridge Ratings and Yields'!HV15,'Monthly Average Bond Yields'!$D$5:$J$5,0)),"N/A")</f>
        <v>5.3671428571428557</v>
      </c>
      <c r="HW16" s="146">
        <f t="array" ref="HW16">IFERROR(INDEX('Monthly Average Bond Yields'!$D$6:$J$311,MATCH('Enbridge Ratings and Yields'!HW13,'Monthly Average Bond Yields'!$C$6:$C$311,0),MATCH('Enbridge Ratings and Yields'!HW15,'Monthly Average Bond Yields'!$D$5:$J$5,0)),"N/A")</f>
        <v>5.5590909090909104</v>
      </c>
      <c r="HX16" s="146">
        <f t="array" ref="HX16">IFERROR(INDEX('Monthly Average Bond Yields'!$D$6:$J$311,MATCH('Enbridge Ratings and Yields'!HX13,'Monthly Average Bond Yields'!$C$6:$C$311,0),MATCH('Enbridge Ratings and Yields'!HX15,'Monthly Average Bond Yields'!$D$5:$J$5,0)),"N/A")</f>
        <v>5.5695000000000006</v>
      </c>
      <c r="HY16" s="146">
        <f t="array" ref="HY16">IFERROR(INDEX('Monthly Average Bond Yields'!$D$6:$J$311,MATCH('Enbridge Ratings and Yields'!HY13,'Monthly Average Bond Yields'!$C$6:$C$311,0),MATCH('Enbridge Ratings and Yields'!HY15,'Monthly Average Bond Yields'!$D$5:$J$5,0)),"N/A")</f>
        <v>5.6789473684210527</v>
      </c>
      <c r="HZ16" s="146">
        <f t="array" ref="HZ16">IFERROR(INDEX('Monthly Average Bond Yields'!$D$6:$J$311,MATCH('Enbridge Ratings and Yields'!HZ13,'Monthly Average Bond Yields'!$C$6:$C$311,0),MATCH('Enbridge Ratings and Yields'!HZ15,'Monthly Average Bond Yields'!$D$5:$J$5,0)),"N/A")</f>
        <v>5.5639130434782604</v>
      </c>
      <c r="IA16" s="146">
        <f t="array" ref="IA16">IFERROR(INDEX('Monthly Average Bond Yields'!$D$6:$J$311,MATCH('Enbridge Ratings and Yields'!IA13,'Monthly Average Bond Yields'!$C$6:$C$311,0),MATCH('Enbridge Ratings and Yields'!IA15,'Monthly Average Bond Yields'!$D$5:$J$5,0)),"N/A")</f>
        <v>5.5540000000000003</v>
      </c>
      <c r="IB16" s="146">
        <f t="array" ref="IB16">IFERROR(INDEX('Monthly Average Bond Yields'!$D$6:$J$311,MATCH('Enbridge Ratings and Yields'!IB13,'Monthly Average Bond Yields'!$C$6:$C$311,0),MATCH('Enbridge Ratings and Yields'!IB15,'Monthly Average Bond Yields'!$D$5:$J$5,0)),"N/A")</f>
        <v>5.3204761904761897</v>
      </c>
      <c r="IC16" s="146">
        <f t="array" ref="IC16">IFERROR(INDEX('Monthly Average Bond Yields'!$D$6:$J$311,MATCH('Enbridge Ratings and Yields'!IC13,'Monthly Average Bond Yields'!$C$6:$C$311,0),MATCH('Enbridge Ratings and Yields'!IC15,'Monthly Average Bond Yields'!$D$5:$J$5,0)),"N/A")</f>
        <v>5.2631818181818186</v>
      </c>
      <c r="ID16" s="146">
        <f t="array" ref="ID16">IFERROR(INDEX('Monthly Average Bond Yields'!$D$6:$J$311,MATCH('Enbridge Ratings and Yields'!ID13,'Monthly Average Bond Yields'!$C$6:$C$311,0),MATCH('Enbridge Ratings and Yields'!ID15,'Monthly Average Bond Yields'!$D$5:$J$5,0)),"N/A")</f>
        <v>5.2649999999999988</v>
      </c>
      <c r="IE16" s="146">
        <f t="array" ref="IE16">IFERROR(INDEX('Monthly Average Bond Yields'!$D$6:$J$311,MATCH('Enbridge Ratings and Yields'!IE13,'Monthly Average Bond Yields'!$C$6:$C$311,0),MATCH('Enbridge Ratings and Yields'!IE15,'Monthly Average Bond Yields'!$D$5:$J$5,0)),"N/A")</f>
        <v>4.6891304347826077</v>
      </c>
      <c r="IF16" s="146">
        <f t="array" ref="IF16">IFERROR(INDEX('Monthly Average Bond Yields'!$D$6:$J$311,MATCH('Enbridge Ratings and Yields'!IF13,'Monthly Average Bond Yields'!$C$6:$C$311,0),MATCH('Enbridge Ratings and Yields'!IF15,'Monthly Average Bond Yields'!$D$5:$J$5,0)),"N/A")</f>
        <v>4.484285714285714</v>
      </c>
      <c r="IG16" s="146">
        <f t="array" ref="IG16">IFERROR(INDEX('Monthly Average Bond Yields'!$D$6:$J$311,MATCH('Enbridge Ratings and Yields'!IG13,'Monthly Average Bond Yields'!$C$6:$C$311,0),MATCH('Enbridge Ratings and Yields'!IG15,'Monthly Average Bond Yields'!$D$5:$J$5,0)),"N/A")</f>
        <v>4.5179999999999998</v>
      </c>
      <c r="IH16" s="146">
        <f t="array" ref="IH16">IFERROR(INDEX('Monthly Average Bond Yields'!$D$6:$J$311,MATCH('Enbridge Ratings and Yields'!IH13,'Monthly Average Bond Yields'!$C$6:$C$311,0),MATCH('Enbridge Ratings and Yields'!IH15,'Monthly Average Bond Yields'!$D$5:$J$5,0)),"N/A")</f>
        <v>4.2494999999999994</v>
      </c>
      <c r="II16" s="146">
        <f t="array" ref="II16">IFERROR(INDEX('Monthly Average Bond Yields'!$D$6:$J$311,MATCH('Enbridge Ratings and Yields'!II13,'Monthly Average Bond Yields'!$C$6:$C$311,0),MATCH('Enbridge Ratings and Yields'!II15,'Monthly Average Bond Yields'!$D$5:$J$5,0)),"N/A")</f>
        <v>4.3323809523809524</v>
      </c>
      <c r="IJ16" s="146">
        <f t="array" ref="IJ16">IFERROR(INDEX('Monthly Average Bond Yields'!$D$6:$J$311,MATCH('Enbridge Ratings and Yields'!IJ13,'Monthly Average Bond Yields'!$C$6:$C$311,0),MATCH('Enbridge Ratings and Yields'!IJ15,'Monthly Average Bond Yields'!$D$5:$J$5,0)),"N/A")</f>
        <v>4.3374999999999995</v>
      </c>
      <c r="IK16" s="146">
        <f t="array" ref="IK16">IFERROR(INDEX('Monthly Average Bond Yields'!$D$6:$J$311,MATCH('Enbridge Ratings and Yields'!IK13,'Monthly Average Bond Yields'!$C$6:$C$311,0),MATCH('Enbridge Ratings and Yields'!IK15,'Monthly Average Bond Yields'!$D$5:$J$5,0)),"N/A")</f>
        <v>4.3594999999999988</v>
      </c>
      <c r="IL16" s="146">
        <f t="array" ref="IL16">IFERROR(INDEX('Monthly Average Bond Yields'!$D$6:$J$311,MATCH('Enbridge Ratings and Yields'!IL13,'Monthly Average Bond Yields'!$C$6:$C$311,0),MATCH('Enbridge Ratings and Yields'!IL15,'Monthly Average Bond Yields'!$D$5:$J$5,0)),"N/A")</f>
        <v>4.4763636363636365</v>
      </c>
      <c r="IM16" s="146">
        <f t="array" ref="IM16">IFERROR(INDEX('Monthly Average Bond Yields'!$D$6:$J$311,MATCH('Enbridge Ratings and Yields'!IM13,'Monthly Average Bond Yields'!$C$6:$C$311,0),MATCH('Enbridge Ratings and Yields'!IM15,'Monthly Average Bond Yields'!$D$5:$J$5,0)),"N/A")</f>
        <v>4.3980952380952365</v>
      </c>
      <c r="IN16" s="146">
        <f t="array" ref="IN16">IFERROR(INDEX('Monthly Average Bond Yields'!$D$6:$J$311,MATCH('Enbridge Ratings and Yields'!IN13,'Monthly Average Bond Yields'!$C$6:$C$311,0),MATCH('Enbridge Ratings and Yields'!IN15,'Monthly Average Bond Yields'!$D$5:$J$5,0)),"N/A")</f>
        <v>4.2018181818181821</v>
      </c>
      <c r="IO16" s="146">
        <f t="array" ref="IO16">IFERROR(INDEX('Monthly Average Bond Yields'!$D$6:$J$311,MATCH('Enbridge Ratings and Yields'!IO13,'Monthly Average Bond Yields'!$C$6:$C$311,0),MATCH('Enbridge Ratings and Yields'!IO15,'Monthly Average Bond Yields'!$D$5:$J$5,0)),"N/A")</f>
        <v>4.0823809523809516</v>
      </c>
      <c r="IP16" s="146">
        <f t="array" ref="IP16">IFERROR(INDEX('Monthly Average Bond Yields'!$D$6:$J$311,MATCH('Enbridge Ratings and Yields'!IP13,'Monthly Average Bond Yields'!$C$6:$C$311,0),MATCH('Enbridge Ratings and Yields'!IP15,'Monthly Average Bond Yields'!$D$5:$J$5,0)),"N/A")</f>
        <v>3.9280952380952372</v>
      </c>
      <c r="IQ16" s="146">
        <f t="array" ref="IQ16">IFERROR(INDEX('Monthly Average Bond Yields'!$D$6:$J$311,MATCH('Enbridge Ratings and Yields'!IQ13,'Monthly Average Bond Yields'!$C$6:$C$311,0),MATCH('Enbridge Ratings and Yields'!IQ15,'Monthly Average Bond Yields'!$D$5:$J$5,0)),"N/A")</f>
        <v>3.9965217391304351</v>
      </c>
      <c r="IR16" s="146">
        <f t="array" ref="IR16">IFERROR(INDEX('Monthly Average Bond Yields'!$D$6:$J$311,MATCH('Enbridge Ratings and Yields'!IR13,'Monthly Average Bond Yields'!$C$6:$C$311,0),MATCH('Enbridge Ratings and Yields'!IR15,'Monthly Average Bond Yields'!$D$5:$J$5,0)),"N/A")</f>
        <v>4.0231578947368423</v>
      </c>
      <c r="IS16" s="146">
        <f t="array" ref="IS16">IFERROR(INDEX('Monthly Average Bond Yields'!$D$6:$J$311,MATCH('Enbridge Ratings and Yields'!IS13,'Monthly Average Bond Yields'!$C$6:$C$311,0),MATCH('Enbridge Ratings and Yields'!IS15,'Monthly Average Bond Yields'!$D$5:$J$5,0)),"N/A")</f>
        <v>3.9133333333333331</v>
      </c>
      <c r="IT16" s="146">
        <f t="array" ref="IT16">IFERROR(INDEX('Monthly Average Bond Yields'!$D$6:$J$311,MATCH('Enbridge Ratings and Yields'!IT13,'Monthly Average Bond Yields'!$C$6:$C$311,0),MATCH('Enbridge Ratings and Yields'!IT15,'Monthly Average Bond Yields'!$D$5:$J$5,0)),"N/A")</f>
        <v>3.8364999999999996</v>
      </c>
      <c r="IU16" s="146">
        <f t="array" ref="IU16">IFERROR(INDEX('Monthly Average Bond Yields'!$D$6:$J$311,MATCH('Enbridge Ratings and Yields'!IU13,'Monthly Average Bond Yields'!$C$6:$C$311,0),MATCH('Enbridge Ratings and Yields'!IU15,'Monthly Average Bond Yields'!$D$5:$J$5,0)),"N/A")</f>
        <v>4.0004999999999997</v>
      </c>
      <c r="IV16" s="146">
        <f t="array" ref="IV16">IFERROR(INDEX('Monthly Average Bond Yields'!$D$6:$J$311,MATCH('Enbridge Ratings and Yields'!IV13,'Monthly Average Bond Yields'!$C$6:$C$311,0),MATCH('Enbridge Ratings and Yields'!IV15,'Monthly Average Bond Yields'!$D$5:$J$5,0)),"N/A")</f>
        <v>4.1476190476190471</v>
      </c>
      <c r="IW16" s="146">
        <f t="array" ref="IW16">IFERROR(INDEX('Monthly Average Bond Yields'!$D$6:$J$311,MATCH('Enbridge Ratings and Yields'!IW13,'Monthly Average Bond Yields'!$C$6:$C$311,0),MATCH('Enbridge Ratings and Yields'!IW15,'Monthly Average Bond Yields'!$D$5:$J$5,0)),"N/A")</f>
        <v>4.1847368421052638</v>
      </c>
      <c r="IX16" s="146">
        <f t="array" ref="IX16">IFERROR(INDEX('Monthly Average Bond Yields'!$D$6:$J$311,MATCH('Enbridge Ratings and Yields'!IX13,'Monthly Average Bond Yields'!$C$6:$C$311,0),MATCH('Enbridge Ratings and Yields'!IX15,'Monthly Average Bond Yields'!$D$5:$J$5,0)),"N/A")</f>
        <v>4.2</v>
      </c>
      <c r="IY16" s="146">
        <f t="array" ref="IY16">IFERROR(INDEX('Monthly Average Bond Yields'!$D$6:$J$311,MATCH('Enbridge Ratings and Yields'!IY13,'Monthly Average Bond Yields'!$C$6:$C$311,0),MATCH('Enbridge Ratings and Yields'!IY15,'Monthly Average Bond Yields'!$D$5:$J$5,0)),"N/A")</f>
        <v>4.0022727272727261</v>
      </c>
      <c r="IZ16" s="146">
        <f t="array" ref="IZ16">IFERROR(INDEX('Monthly Average Bond Yields'!$D$6:$J$311,MATCH('Enbridge Ratings and Yields'!IZ13,'Monthly Average Bond Yields'!$C$6:$C$311,0),MATCH('Enbridge Ratings and Yields'!IZ15,'Monthly Average Bond Yields'!$D$5:$J$5,0)),"N/A")</f>
        <v>4.167272727272727</v>
      </c>
      <c r="JA16" s="146">
        <f t="array" ref="JA16">IFERROR(INDEX('Monthly Average Bond Yields'!$D$6:$J$311,MATCH('Enbridge Ratings and Yields'!JA13,'Monthly Average Bond Yields'!$C$6:$C$311,0),MATCH('Enbridge Ratings and Yields'!JA15,'Monthly Average Bond Yields'!$D$5:$J$5,0)),"N/A")</f>
        <v>4.5290000000000008</v>
      </c>
      <c r="JB16" s="146">
        <f t="array" ref="JB16">IFERROR(INDEX('Monthly Average Bond Yields'!$D$6:$J$311,MATCH('Enbridge Ratings and Yields'!JB13,'Monthly Average Bond Yields'!$C$6:$C$311,0),MATCH('Enbridge Ratings and Yields'!JB15,'Monthly Average Bond Yields'!$D$5:$J$5,0)),"N/A")</f>
        <v>4.6827272727272726</v>
      </c>
      <c r="JC16" s="146">
        <f t="array" ref="JC16">IFERROR(INDEX('Monthly Average Bond Yields'!$D$6:$J$311,MATCH('Enbridge Ratings and Yields'!JC13,'Monthly Average Bond Yields'!$C$6:$C$311,0),MATCH('Enbridge Ratings and Yields'!JC15,'Monthly Average Bond Yields'!$D$5:$J$5,0)),"N/A")</f>
        <v>4.7300000000000004</v>
      </c>
      <c r="JD16" s="146">
        <f t="array" ref="JD16">IFERROR(INDEX('Monthly Average Bond Yields'!$D$6:$J$311,MATCH('Enbridge Ratings and Yields'!JD13,'Monthly Average Bond Yields'!$C$6:$C$311,0),MATCH('Enbridge Ratings and Yields'!JD15,'Monthly Average Bond Yields'!$D$5:$J$5,0)),"N/A")</f>
        <v>4.8030000000000008</v>
      </c>
      <c r="JE16" s="146">
        <f t="array" ref="JE16">IFERROR(INDEX('Monthly Average Bond Yields'!$D$6:$J$311,MATCH('Enbridge Ratings and Yields'!JE13,'Monthly Average Bond Yields'!$C$6:$C$311,0),MATCH('Enbridge Ratings and Yields'!JE15,'Monthly Average Bond Yields'!$D$5:$J$5,0)),"N/A")</f>
        <v>4.6959090909090913</v>
      </c>
      <c r="JF16" s="146">
        <f t="array" ref="JF16">IFERROR(INDEX('Monthly Average Bond Yields'!$D$6:$J$311,MATCH('Enbridge Ratings and Yields'!JF13,'Monthly Average Bond Yields'!$C$6:$C$311,0),MATCH('Enbridge Ratings and Yields'!JF15,'Monthly Average Bond Yields'!$D$5:$J$5,0)),"N/A")</f>
        <v>4.774210526315791</v>
      </c>
      <c r="JG16" s="146">
        <f t="array" ref="JG16">IFERROR(INDEX('Monthly Average Bond Yields'!$D$6:$J$311,MATCH('Enbridge Ratings and Yields'!JG13,'Monthly Average Bond Yields'!$C$6:$C$311,0),MATCH('Enbridge Ratings and Yields'!JG15,'Monthly Average Bond Yields'!$D$5:$J$5,0)),"N/A")</f>
        <v>4.8090476190476199</v>
      </c>
      <c r="JH16" s="146">
        <f t="array" ref="JH16">IFERROR(INDEX('Monthly Average Bond Yields'!$D$6:$J$311,MATCH('Enbridge Ratings and Yields'!JH13,'Monthly Average Bond Yields'!$C$6:$C$311,0),MATCH('Enbridge Ratings and Yields'!JH15,'Monthly Average Bond Yields'!$D$5:$J$5,0)),"N/A")</f>
        <v>4.6309523809523814</v>
      </c>
      <c r="JI16" s="146">
        <f t="array" ref="JI16">IFERROR(INDEX('Monthly Average Bond Yields'!$D$6:$J$311,MATCH('Enbridge Ratings and Yields'!JI13,'Monthly Average Bond Yields'!$C$6:$C$311,0),MATCH('Enbridge Ratings and Yields'!JI15,'Monthly Average Bond Yields'!$D$5:$J$5,0)),"N/A")</f>
        <v>4.5347368421052634</v>
      </c>
      <c r="JJ16" s="146">
        <f t="array" ref="JJ16">IFERROR(INDEX('Monthly Average Bond Yields'!$D$6:$J$311,MATCH('Enbridge Ratings and Yields'!JJ13,'Monthly Average Bond Yields'!$C$6:$C$311,0),MATCH('Enbridge Ratings and Yields'!JJ15,'Monthly Average Bond Yields'!$D$5:$J$5,0)),"N/A")</f>
        <v>4.5090476190476183</v>
      </c>
      <c r="JK16" s="146">
        <f t="array" ref="JK16">IFERROR(INDEX('Monthly Average Bond Yields'!$D$6:$J$311,MATCH('Enbridge Ratings and Yields'!JK13,'Monthly Average Bond Yields'!$C$6:$C$311,0),MATCH('Enbridge Ratings and Yields'!JK15,'Monthly Average Bond Yields'!$D$5:$J$5,0)),"N/A")</f>
        <v>4.408095238095239</v>
      </c>
      <c r="JL16" s="146">
        <f t="array" ref="JL16">IFERROR(INDEX('Monthly Average Bond Yields'!$D$6:$J$311,MATCH('Enbridge Ratings and Yields'!JL13,'Monthly Average Bond Yields'!$C$6:$C$311,0),MATCH('Enbridge Ratings and Yields'!JL15,'Monthly Average Bond Yields'!$D$5:$J$5,0)),"N/A")</f>
        <v>4.2557142857142871</v>
      </c>
      <c r="JM16" s="146">
        <f t="array" ref="JM16">IFERROR(INDEX('Monthly Average Bond Yields'!$D$6:$J$311,MATCH('Enbridge Ratings and Yields'!JM13,'Monthly Average Bond Yields'!$C$6:$C$311,0),MATCH('Enbridge Ratings and Yields'!JM15,'Monthly Average Bond Yields'!$D$5:$J$5,0)),"N/A")</f>
        <v>4.2938095238095233</v>
      </c>
      <c r="JN16" s="146">
        <f t="array" ref="JN16">IFERROR(INDEX('Monthly Average Bond Yields'!$D$6:$J$311,MATCH('Enbridge Ratings and Yields'!JN13,'Monthly Average Bond Yields'!$C$6:$C$311,0),MATCH('Enbridge Ratings and Yields'!JN15,'Monthly Average Bond Yields'!$D$5:$J$5,0)),"N/A")</f>
        <v>4.2263636363636357</v>
      </c>
      <c r="JO16" s="146">
        <f t="array" ref="JO16">IFERROR(INDEX('Monthly Average Bond Yields'!$D$6:$J$311,MATCH('Enbridge Ratings and Yields'!JO13,'Monthly Average Bond Yields'!$C$6:$C$311,0),MATCH('Enbridge Ratings and Yields'!JO15,'Monthly Average Bond Yields'!$D$5:$J$5,0)),"N/A")</f>
        <v>4.1309523809523805</v>
      </c>
      <c r="JP16" s="146">
        <f t="array" ref="JP16">IFERROR(INDEX('Monthly Average Bond Yields'!$D$6:$J$311,MATCH('Enbridge Ratings and Yields'!JP13,'Monthly Average Bond Yields'!$C$6:$C$311,0),MATCH('Enbridge Ratings and Yields'!JP15,'Monthly Average Bond Yields'!$D$5:$J$5,0)),"N/A")</f>
        <v>4.2376190476190487</v>
      </c>
      <c r="JQ16" s="146">
        <f t="array" ref="JQ16">IFERROR(INDEX('Monthly Average Bond Yields'!$D$6:$J$311,MATCH('Enbridge Ratings and Yields'!JQ13,'Monthly Average Bond Yields'!$C$6:$C$311,0),MATCH('Enbridge Ratings and Yields'!JQ15,'Monthly Average Bond Yields'!$D$5:$J$5,0)),"N/A")</f>
        <v>4.0595454545454537</v>
      </c>
      <c r="JR16" s="146">
        <f t="array" ref="JR16">IFERROR(INDEX('Monthly Average Bond Yields'!$D$6:$J$311,MATCH('Enbridge Ratings and Yields'!JR13,'Monthly Average Bond Yields'!$C$6:$C$311,0),MATCH('Enbridge Ratings and Yields'!JR15,'Monthly Average Bond Yields'!$D$5:$J$5,0)),"N/A")</f>
        <v>4.09</v>
      </c>
      <c r="JS16" s="146">
        <f t="array" ref="JS16">IFERROR(INDEX('Monthly Average Bond Yields'!$D$6:$J$311,MATCH('Enbridge Ratings and Yields'!JS13,'Monthly Average Bond Yields'!$C$6:$C$311,0),MATCH('Enbridge Ratings and Yields'!JS15,'Monthly Average Bond Yields'!$D$5:$J$5,0)),"N/A")</f>
        <v>3.9459090909090908</v>
      </c>
      <c r="JT16" s="146">
        <f t="array" ref="JT16">IFERROR(INDEX('Monthly Average Bond Yields'!$D$6:$J$311,MATCH('Enbridge Ratings and Yields'!JT13,'Monthly Average Bond Yields'!$C$6:$C$311,0),MATCH('Enbridge Ratings and Yields'!JT15,'Monthly Average Bond Yields'!$D$5:$J$5,0)),"N/A")</f>
        <v>3.5800000000000005</v>
      </c>
      <c r="JU16" s="146">
        <f t="array" ref="JU16">IFERROR(INDEX('Monthly Average Bond Yields'!$D$6:$J$311,MATCH('Enbridge Ratings and Yields'!JU13,'Monthly Average Bond Yields'!$C$6:$C$311,0),MATCH('Enbridge Ratings and Yields'!JU15,'Monthly Average Bond Yields'!$D$5:$J$5,0)),"N/A")</f>
        <v>3.6721052631578943</v>
      </c>
      <c r="JV16" s="146">
        <f t="array" ref="JV16">IFERROR(INDEX('Monthly Average Bond Yields'!$D$6:$J$311,MATCH('Enbridge Ratings and Yields'!JV13,'Monthly Average Bond Yields'!$C$6:$C$311,0),MATCH('Enbridge Ratings and Yields'!JV15,'Monthly Average Bond Yields'!$D$5:$J$5,0)),"N/A")</f>
        <v>3.7445454545454542</v>
      </c>
      <c r="JW16" s="146">
        <f t="array" ref="JW16">IFERROR(INDEX('Monthly Average Bond Yields'!$D$6:$J$311,MATCH('Enbridge Ratings and Yields'!JW13,'Monthly Average Bond Yields'!$C$6:$C$311,0),MATCH('Enbridge Ratings and Yields'!JW15,'Monthly Average Bond Yields'!$D$5:$J$5,0)),"N/A")</f>
        <v>3.7504545454545455</v>
      </c>
      <c r="JX16" s="146">
        <f t="array" ref="JX16">IFERROR(INDEX('Monthly Average Bond Yields'!$D$6:$J$311,MATCH('Enbridge Ratings and Yields'!JX13,'Monthly Average Bond Yields'!$C$6:$C$311,0),MATCH('Enbridge Ratings and Yields'!JX15,'Monthly Average Bond Yields'!$D$5:$J$5,0)),"N/A")</f>
        <v>4.1715</v>
      </c>
      <c r="JY16" s="146">
        <f t="array" ref="JY16">IFERROR(INDEX('Monthly Average Bond Yields'!$D$6:$J$311,MATCH('Enbridge Ratings and Yields'!JY13,'Monthly Average Bond Yields'!$C$6:$C$311,0),MATCH('Enbridge Ratings and Yields'!JY15,'Monthly Average Bond Yields'!$D$5:$J$5,0)),"N/A")</f>
        <v>5.125454545454545</v>
      </c>
      <c r="JZ16" s="146">
        <f t="array" ref="JZ16">IFERROR(INDEX('Monthly Average Bond Yields'!$D$6:$J$311,MATCH('Enbridge Ratings and Yields'!JZ13,'Monthly Average Bond Yields'!$C$6:$C$311,0),MATCH('Enbridge Ratings and Yields'!JZ15,'Monthly Average Bond Yields'!$D$5:$J$5,0)),"N/A")</f>
        <v>5.2218181818181826</v>
      </c>
      <c r="KA16" s="146">
        <f t="array" ref="KA16">IFERROR(INDEX('Monthly Average Bond Yields'!$D$6:$J$311,MATCH('Enbridge Ratings and Yields'!KA13,'Monthly Average Bond Yields'!$C$6:$C$311,0),MATCH('Enbridge Ratings and Yields'!KA15,'Monthly Average Bond Yields'!$D$5:$J$5,0)),"N/A")</f>
        <v>5.225714285714286</v>
      </c>
      <c r="KB16" s="146">
        <f t="array" ref="KB16">IFERROR(INDEX('Monthly Average Bond Yields'!$D$6:$J$311,MATCH('Enbridge Ratings and Yields'!KB13,'Monthly Average Bond Yields'!$C$6:$C$311,0),MATCH('Enbridge Ratings and Yields'!KB15,'Monthly Average Bond Yields'!$D$5:$J$5,0)),"N/A")</f>
        <v>5.4214285714285708</v>
      </c>
      <c r="KC16" s="146">
        <f t="array" ref="KC16">IFERROR(INDEX('Monthly Average Bond Yields'!$D$6:$J$311,MATCH('Enbridge Ratings and Yields'!KC13,'Monthly Average Bond Yields'!$C$6:$C$311,0),MATCH('Enbridge Ratings and Yields'!KC15,'Monthly Average Bond Yields'!$D$5:$J$5,0)),"N/A")</f>
        <v>5.4661904761904756</v>
      </c>
      <c r="KD16" s="146">
        <f t="array" ref="KD16">IFERROR(INDEX('Monthly Average Bond Yields'!$D$6:$J$311,MATCH('Enbridge Ratings and Yields'!KD13,'Monthly Average Bond Yields'!$C$6:$C$311,0),MATCH('Enbridge Ratings and Yields'!KD15,'Monthly Average Bond Yields'!$D$5:$J$5,0)),"N/A")</f>
        <v>5.569473684210525</v>
      </c>
      <c r="KE16" s="146">
        <f t="array" ref="KE16">IFERROR(INDEX('Monthly Average Bond Yields'!$D$6:$J$311,MATCH('Enbridge Ratings and Yields'!KE13,'Monthly Average Bond Yields'!$C$6:$C$311,0),MATCH('Enbridge Ratings and Yields'!KE15,'Monthly Average Bond Yields'!$D$5:$J$5,0)),"N/A")</f>
        <v>5.5500000000000007</v>
      </c>
      <c r="KF16" s="146">
        <f t="array" ref="KF16">IFERROR(INDEX('Monthly Average Bond Yields'!$D$6:$J$311,MATCH('Enbridge Ratings and Yields'!KF13,'Monthly Average Bond Yields'!$C$6:$C$311,0),MATCH('Enbridge Ratings and Yields'!KF15,'Monthly Average Bond Yields'!$D$5:$J$5,0)),"N/A")</f>
        <v>5.4889473684210541</v>
      </c>
      <c r="KG16" s="146">
        <f t="array" ref="KG16">IFERROR(INDEX('Monthly Average Bond Yields'!$D$6:$J$311,MATCH('Enbridge Ratings and Yields'!KG13,'Monthly Average Bond Yields'!$C$6:$C$311,0),MATCH('Enbridge Ratings and Yields'!KG15,'Monthly Average Bond Yields'!$D$5:$J$5,0)),"N/A")</f>
        <v>5.2785000000000002</v>
      </c>
      <c r="KH16" s="146">
        <f t="array" ref="KH16">IFERROR(INDEX('Monthly Average Bond Yields'!$D$6:$J$311,MATCH('Enbridge Ratings and Yields'!KH13,'Monthly Average Bond Yields'!$C$6:$C$311,0),MATCH('Enbridge Ratings and Yields'!KH15,'Monthly Average Bond Yields'!$D$5:$J$5,0)),"N/A")</f>
        <v>5.1231818181818181</v>
      </c>
      <c r="KI16" s="146">
        <f t="array" ref="KI16">IFERROR(INDEX('Monthly Average Bond Yields'!$D$6:$J$311,MATCH('Enbridge Ratings and Yields'!KI13,'Monthly Average Bond Yields'!$C$6:$C$311,0),MATCH('Enbridge Ratings and Yields'!KI15,'Monthly Average Bond Yields'!$D$5:$J$5,0)),"N/A")</f>
        <v>4.7452380952380953</v>
      </c>
      <c r="KJ16" s="146">
        <f t="array" ref="KJ16">IFERROR(INDEX('Monthly Average Bond Yields'!$D$6:$J$311,MATCH('Enbridge Ratings and Yields'!KJ13,'Monthly Average Bond Yields'!$C$6:$C$311,0),MATCH('Enbridge Ratings and Yields'!KJ15,'Monthly Average Bond Yields'!$D$5:$J$5,0)),"N/A")</f>
        <v>4.5966666666666658</v>
      </c>
      <c r="KK16" s="146">
        <f t="array" ref="KK16">IFERROR(INDEX('Monthly Average Bond Yields'!$D$6:$J$311,MATCH('Enbridge Ratings and Yields'!KK13,'Monthly Average Bond Yields'!$C$6:$C$311,0),MATCH('Enbridge Ratings and Yields'!KK15,'Monthly Average Bond Yields'!$D$5:$J$5,0)),"N/A")</f>
        <v>4.4654545454545458</v>
      </c>
      <c r="KL16" s="146">
        <f t="array" ref="KL16">IFERROR(INDEX('Monthly Average Bond Yields'!$D$6:$J$311,MATCH('Enbridge Ratings and Yields'!KL13,'Monthly Average Bond Yields'!$C$6:$C$311,0),MATCH('Enbridge Ratings and Yields'!KL15,'Monthly Average Bond Yields'!$D$5:$J$5,0)),"N/A")</f>
        <v>4.1589999999999998</v>
      </c>
      <c r="KM16" s="146">
        <f t="array" ref="KM16">IFERROR(INDEX('Monthly Average Bond Yields'!$D$6:$J$311,MATCH('Enbridge Ratings and Yields'!KM13,'Monthly Average Bond Yields'!$C$6:$C$311,0),MATCH('Enbridge Ratings and Yields'!KM15,'Monthly Average Bond Yields'!$D$5:$J$5,0)),"N/A")</f>
        <v>4.2030434782608692</v>
      </c>
      <c r="KN16" s="146">
        <f t="array" ref="KN16">IFERROR(INDEX('Monthly Average Bond Yields'!$D$6:$J$311,MATCH('Enbridge Ratings and Yields'!KN13,'Monthly Average Bond Yields'!$C$6:$C$311,0),MATCH('Enbridge Ratings and Yields'!KN15,'Monthly Average Bond Yields'!$D$5:$J$5,0)),"N/A")</f>
        <v>4.2695238095238102</v>
      </c>
      <c r="KO16" s="146">
        <f t="array" ref="KO16">IFERROR(INDEX('Monthly Average Bond Yields'!$D$6:$J$311,MATCH('Enbridge Ratings and Yields'!KO13,'Monthly Average Bond Yields'!$C$6:$C$311,0),MATCH('Enbridge Ratings and Yields'!KO15,'Monthly Average Bond Yields'!$D$5:$J$5,0)),"N/A")</f>
        <v>4.3435000000000006</v>
      </c>
      <c r="KP16" s="146">
        <f t="array" ref="KP16">IFERROR(INDEX('Monthly Average Bond Yields'!$D$6:$J$311,MATCH('Enbridge Ratings and Yields'!KP13,'Monthly Average Bond Yields'!$C$6:$C$311,0),MATCH('Enbridge Ratings and Yields'!KP15,'Monthly Average Bond Yields'!$D$5:$J$5,0)),"N/A")</f>
        <v>4.6368421052631579</v>
      </c>
      <c r="KQ16" s="146">
        <f t="array" ref="KQ16">IFERROR(INDEX('Monthly Average Bond Yields'!$D$6:$J$311,MATCH('Enbridge Ratings and Yields'!KQ13,'Monthly Average Bond Yields'!$C$6:$C$311,0),MATCH('Enbridge Ratings and Yields'!KQ15,'Monthly Average Bond Yields'!$D$5:$J$5,0)),"N/A")</f>
        <v>4.7938095238095242</v>
      </c>
      <c r="KS16" s="85" t="s">
        <v>100</v>
      </c>
      <c r="KT16" s="85" t="s">
        <v>100</v>
      </c>
    </row>
    <row r="17" spans="2:314" x14ac:dyDescent="0.2">
      <c r="KS17" s="85" t="s">
        <v>212</v>
      </c>
      <c r="KT17" s="85" t="s">
        <v>100</v>
      </c>
    </row>
    <row r="18" spans="2:314" ht="15.75" x14ac:dyDescent="0.25">
      <c r="B18" s="65" t="s">
        <v>133</v>
      </c>
      <c r="C18" s="66"/>
      <c r="D18" s="66"/>
      <c r="E18" s="66"/>
      <c r="KS18" s="85" t="s">
        <v>213</v>
      </c>
      <c r="KT18" s="85" t="s">
        <v>101</v>
      </c>
    </row>
    <row r="19" spans="2:314" ht="15" x14ac:dyDescent="0.25">
      <c r="B19" s="67"/>
      <c r="C19" s="68"/>
      <c r="KS19" s="85" t="s">
        <v>101</v>
      </c>
      <c r="KT19" s="85" t="s">
        <v>101</v>
      </c>
    </row>
    <row r="20" spans="2:314" ht="15" x14ac:dyDescent="0.25">
      <c r="B20" s="69" t="s">
        <v>71</v>
      </c>
      <c r="C20" s="70"/>
      <c r="D20" s="70" t="s">
        <v>210</v>
      </c>
      <c r="E20" s="70"/>
      <c r="KS20" s="85" t="s">
        <v>114</v>
      </c>
      <c r="KT20" s="85" t="s">
        <v>101</v>
      </c>
    </row>
    <row r="21" spans="2:314" x14ac:dyDescent="0.2">
      <c r="KS21" s="85" t="s">
        <v>113</v>
      </c>
      <c r="KT21" s="147" t="s">
        <v>102</v>
      </c>
    </row>
    <row r="22" spans="2:314" ht="15" x14ac:dyDescent="0.2">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KS22" s="85" t="s">
        <v>102</v>
      </c>
      <c r="KT22" s="147" t="s">
        <v>102</v>
      </c>
    </row>
    <row r="23" spans="2:314" ht="15" x14ac:dyDescent="0.25">
      <c r="B23" s="58"/>
      <c r="C23" s="58" t="s">
        <v>1</v>
      </c>
      <c r="D23" s="58">
        <v>1992</v>
      </c>
      <c r="E23" s="58">
        <v>1993</v>
      </c>
      <c r="F23" s="58">
        <v>1994</v>
      </c>
      <c r="G23" s="58">
        <v>1995</v>
      </c>
      <c r="H23" s="58">
        <v>1996</v>
      </c>
      <c r="I23" s="58">
        <v>1997</v>
      </c>
      <c r="J23" s="58">
        <v>1998</v>
      </c>
      <c r="K23" s="58">
        <v>1999</v>
      </c>
      <c r="L23" s="58">
        <v>2000</v>
      </c>
      <c r="M23" s="58">
        <v>2001</v>
      </c>
      <c r="N23" s="58">
        <v>2002</v>
      </c>
      <c r="O23" s="58">
        <v>2003</v>
      </c>
      <c r="P23" s="58">
        <v>2004</v>
      </c>
      <c r="Q23" s="58">
        <v>2005</v>
      </c>
      <c r="R23" s="58">
        <v>2006</v>
      </c>
      <c r="S23" s="58">
        <v>2007</v>
      </c>
      <c r="T23" s="58">
        <v>2008</v>
      </c>
      <c r="U23" s="58">
        <v>2009</v>
      </c>
      <c r="V23" s="58">
        <v>2010</v>
      </c>
      <c r="W23" s="58">
        <v>2011</v>
      </c>
      <c r="X23" s="58">
        <v>2012</v>
      </c>
      <c r="Y23" s="58">
        <v>2013</v>
      </c>
      <c r="Z23" s="58">
        <v>2014</v>
      </c>
      <c r="AA23" s="58">
        <v>2015</v>
      </c>
      <c r="AB23" s="58">
        <v>2016</v>
      </c>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S23" s="85" t="s">
        <v>118</v>
      </c>
      <c r="KT23" s="147" t="s">
        <v>102</v>
      </c>
      <c r="KU23"/>
      <c r="KV23"/>
      <c r="KW23"/>
      <c r="KX23"/>
      <c r="KY23"/>
      <c r="KZ23"/>
      <c r="LA23"/>
      <c r="LB23"/>
    </row>
    <row r="24" spans="2:314" ht="15" x14ac:dyDescent="0.2">
      <c r="B24" s="60" t="s">
        <v>124</v>
      </c>
      <c r="C24" s="60" t="s">
        <v>2</v>
      </c>
      <c r="D24" s="90">
        <f t="shared" ref="D24:AB24" si="10">IFERROR(AVERAGEIFS($D$16:$KQ$16,$D$11:$KQ$11,D$23),"N/A")</f>
        <v>8.6884999999999994</v>
      </c>
      <c r="E24" s="90">
        <f t="shared" si="10"/>
        <v>7.5929923974131635</v>
      </c>
      <c r="F24" s="90">
        <f t="shared" si="10"/>
        <v>8.3006988964506121</v>
      </c>
      <c r="G24" s="90">
        <f t="shared" si="10"/>
        <v>7.890880848778731</v>
      </c>
      <c r="H24" s="90">
        <f t="shared" si="10"/>
        <v>7.7464358465608463</v>
      </c>
      <c r="I24" s="90">
        <f t="shared" si="10"/>
        <v>7.5946161173134854</v>
      </c>
      <c r="J24" s="90">
        <f t="shared" si="10"/>
        <v>7.0452212538923069</v>
      </c>
      <c r="K24" s="90">
        <f t="shared" si="10"/>
        <v>7.620667690306135</v>
      </c>
      <c r="L24" s="90">
        <f t="shared" si="10"/>
        <v>8.24518163367906</v>
      </c>
      <c r="M24" s="90">
        <f t="shared" si="10"/>
        <v>7.7602651363483233</v>
      </c>
      <c r="N24" s="90">
        <f t="shared" si="10"/>
        <v>7.3713110902255634</v>
      </c>
      <c r="O24" s="90">
        <f t="shared" si="10"/>
        <v>6.5780961818539216</v>
      </c>
      <c r="P24" s="90">
        <f t="shared" si="10"/>
        <v>6.1622284107006662</v>
      </c>
      <c r="Q24" s="90">
        <f t="shared" si="10"/>
        <v>5.6484772153539309</v>
      </c>
      <c r="R24" s="90">
        <f t="shared" si="10"/>
        <v>6.0671105988786183</v>
      </c>
      <c r="S24" s="90">
        <f t="shared" si="10"/>
        <v>6.0718944219078663</v>
      </c>
      <c r="T24" s="90">
        <f t="shared" si="10"/>
        <v>6.5276243386243387</v>
      </c>
      <c r="U24" s="90">
        <f t="shared" si="10"/>
        <v>6.037886344649503</v>
      </c>
      <c r="V24" s="90">
        <f t="shared" si="10"/>
        <v>5.4637512217632347</v>
      </c>
      <c r="W24" s="90">
        <f t="shared" si="10"/>
        <v>5.0406929601672159</v>
      </c>
      <c r="X24" s="90">
        <f t="shared" si="10"/>
        <v>4.1294805178294878</v>
      </c>
      <c r="Y24" s="90">
        <f t="shared" si="10"/>
        <v>4.4771496544391276</v>
      </c>
      <c r="Z24" s="90">
        <f t="shared" si="10"/>
        <v>4.2768954583428265</v>
      </c>
      <c r="AA24" s="90">
        <f t="shared" si="10"/>
        <v>4.7082237506645397</v>
      </c>
      <c r="AB24" s="90">
        <f t="shared" si="10"/>
        <v>4.6753089509016279</v>
      </c>
      <c r="KS24" s="85" t="s">
        <v>103</v>
      </c>
      <c r="KT24" s="85" t="s">
        <v>103</v>
      </c>
    </row>
    <row r="25" spans="2:314" x14ac:dyDescent="0.2">
      <c r="KS25" s="85" t="s">
        <v>119</v>
      </c>
      <c r="KT25" s="85" t="s">
        <v>103</v>
      </c>
    </row>
    <row r="26" spans="2:314" x14ac:dyDescent="0.2">
      <c r="KS26" s="85" t="s">
        <v>120</v>
      </c>
      <c r="KT26" s="85" t="s">
        <v>104</v>
      </c>
    </row>
    <row r="27" spans="2:314" ht="15" x14ac:dyDescent="0.2">
      <c r="D27" s="89"/>
      <c r="KS27" s="85" t="s">
        <v>104</v>
      </c>
      <c r="KT27" s="85" t="s">
        <v>104</v>
      </c>
    </row>
    <row r="28" spans="2:314" ht="15" x14ac:dyDescent="0.2">
      <c r="D28" s="89"/>
      <c r="KS28" s="85" t="s">
        <v>121</v>
      </c>
      <c r="KT28" s="85" t="s">
        <v>104</v>
      </c>
    </row>
    <row r="29" spans="2:314" ht="15" x14ac:dyDescent="0.2">
      <c r="D29" s="89"/>
      <c r="KS29" s="85" t="s">
        <v>105</v>
      </c>
      <c r="KT29" s="85" t="s">
        <v>105</v>
      </c>
    </row>
    <row r="30" spans="2:314" ht="15" x14ac:dyDescent="0.2">
      <c r="D30" s="89"/>
      <c r="KS30" s="86" t="s">
        <v>122</v>
      </c>
      <c r="KT30" s="86" t="s">
        <v>122</v>
      </c>
    </row>
    <row r="31" spans="2:314" ht="15.75" x14ac:dyDescent="0.25">
      <c r="D31" s="89"/>
      <c r="KS31" s="86">
        <v>0</v>
      </c>
      <c r="KT31" s="87" t="s">
        <v>123</v>
      </c>
    </row>
    <row r="32" spans="2:314" ht="15" x14ac:dyDescent="0.2">
      <c r="D32" s="89"/>
    </row>
    <row r="33" spans="4:4" ht="15" x14ac:dyDescent="0.2">
      <c r="D33" s="89"/>
    </row>
    <row r="34" spans="4:4" ht="15" x14ac:dyDescent="0.2">
      <c r="D34" s="89"/>
    </row>
    <row r="35" spans="4:4" ht="15" x14ac:dyDescent="0.2">
      <c r="D35" s="89"/>
    </row>
    <row r="36" spans="4:4" ht="15" x14ac:dyDescent="0.2">
      <c r="D36" s="89"/>
    </row>
    <row r="37" spans="4:4" ht="15" x14ac:dyDescent="0.2">
      <c r="D37" s="89"/>
    </row>
    <row r="38" spans="4:4" ht="15" x14ac:dyDescent="0.2">
      <c r="D38" s="89"/>
    </row>
    <row r="39" spans="4:4" ht="15" x14ac:dyDescent="0.2">
      <c r="D39" s="89"/>
    </row>
    <row r="40" spans="4:4" ht="15" x14ac:dyDescent="0.2">
      <c r="D40" s="89"/>
    </row>
    <row r="41" spans="4:4" ht="15" x14ac:dyDescent="0.2">
      <c r="D41" s="89"/>
    </row>
    <row r="42" spans="4:4" ht="15" x14ac:dyDescent="0.2">
      <c r="D42" s="89"/>
    </row>
    <row r="43" spans="4:4" ht="15" x14ac:dyDescent="0.2">
      <c r="D43" s="89"/>
    </row>
    <row r="44" spans="4:4" ht="15" x14ac:dyDescent="0.2">
      <c r="D44" s="89"/>
    </row>
    <row r="45" spans="4:4" ht="15" x14ac:dyDescent="0.2">
      <c r="D45" s="89"/>
    </row>
    <row r="46" spans="4:4" ht="15" x14ac:dyDescent="0.2">
      <c r="D46" s="89"/>
    </row>
    <row r="47" spans="4:4" ht="15" x14ac:dyDescent="0.2">
      <c r="D47" s="89"/>
    </row>
    <row r="48" spans="4:4" ht="15" x14ac:dyDescent="0.2">
      <c r="D48" s="89"/>
    </row>
    <row r="49" spans="4:4" ht="15" x14ac:dyDescent="0.2">
      <c r="D49" s="89"/>
    </row>
    <row r="50" spans="4:4" ht="15" x14ac:dyDescent="0.2">
      <c r="D50" s="89"/>
    </row>
    <row r="51" spans="4:4" ht="15" x14ac:dyDescent="0.2">
      <c r="D51" s="89"/>
    </row>
    <row r="52" spans="4:4" ht="15" x14ac:dyDescent="0.2">
      <c r="D52" s="89"/>
    </row>
    <row r="53" spans="4:4" ht="15" x14ac:dyDescent="0.2">
      <c r="D53" s="89"/>
    </row>
    <row r="54" spans="4:4" ht="15" x14ac:dyDescent="0.25">
      <c r="D54"/>
    </row>
    <row r="55" spans="4:4" ht="15" x14ac:dyDescent="0.25">
      <c r="D55"/>
    </row>
    <row r="56" spans="4:4" ht="15" x14ac:dyDescent="0.25">
      <c r="D56"/>
    </row>
    <row r="57" spans="4:4" ht="15" x14ac:dyDescent="0.25">
      <c r="D57"/>
    </row>
    <row r="58" spans="4:4" ht="15" x14ac:dyDescent="0.25">
      <c r="D58"/>
    </row>
    <row r="59" spans="4:4" ht="15" x14ac:dyDescent="0.25">
      <c r="D59"/>
    </row>
    <row r="60" spans="4:4" ht="15" x14ac:dyDescent="0.25">
      <c r="D60"/>
    </row>
    <row r="61" spans="4:4" ht="15" x14ac:dyDescent="0.25">
      <c r="D61"/>
    </row>
    <row r="62" spans="4:4" ht="15" x14ac:dyDescent="0.25">
      <c r="D62"/>
    </row>
    <row r="63" spans="4:4" ht="15" x14ac:dyDescent="0.25">
      <c r="D63"/>
    </row>
    <row r="64" spans="4:4" ht="15" x14ac:dyDescent="0.25">
      <c r="D64"/>
    </row>
    <row r="65" spans="4:4" ht="15" x14ac:dyDescent="0.25">
      <c r="D65"/>
    </row>
    <row r="66" spans="4:4" ht="15" x14ac:dyDescent="0.25">
      <c r="D66"/>
    </row>
    <row r="67" spans="4:4" ht="15" x14ac:dyDescent="0.25">
      <c r="D67"/>
    </row>
    <row r="68" spans="4:4" ht="15" x14ac:dyDescent="0.25">
      <c r="D68"/>
    </row>
    <row r="69" spans="4:4" ht="15" x14ac:dyDescent="0.25">
      <c r="D69"/>
    </row>
    <row r="70" spans="4:4" ht="15" x14ac:dyDescent="0.25">
      <c r="D70"/>
    </row>
    <row r="71" spans="4:4" ht="15" x14ac:dyDescent="0.25">
      <c r="D71"/>
    </row>
    <row r="72" spans="4:4" ht="15" x14ac:dyDescent="0.25">
      <c r="D72"/>
    </row>
    <row r="73" spans="4:4" ht="15" x14ac:dyDescent="0.25">
      <c r="D73"/>
    </row>
    <row r="74" spans="4:4" ht="15" x14ac:dyDescent="0.25">
      <c r="D74"/>
    </row>
    <row r="75" spans="4:4" ht="15" x14ac:dyDescent="0.25">
      <c r="D75"/>
    </row>
    <row r="76" spans="4:4" ht="15" x14ac:dyDescent="0.25">
      <c r="D76"/>
    </row>
    <row r="77" spans="4:4" ht="15" x14ac:dyDescent="0.25">
      <c r="D77"/>
    </row>
    <row r="78" spans="4:4" ht="15" x14ac:dyDescent="0.25">
      <c r="D78"/>
    </row>
    <row r="79" spans="4:4" ht="15" x14ac:dyDescent="0.25">
      <c r="D79"/>
    </row>
    <row r="80" spans="4:4" ht="15" x14ac:dyDescent="0.25">
      <c r="D80"/>
    </row>
    <row r="81" spans="4:4" ht="15" x14ac:dyDescent="0.25">
      <c r="D81"/>
    </row>
    <row r="82" spans="4:4" ht="15" x14ac:dyDescent="0.25">
      <c r="D82"/>
    </row>
    <row r="83" spans="4:4" ht="15" x14ac:dyDescent="0.25">
      <c r="D83"/>
    </row>
    <row r="84" spans="4:4" ht="15" x14ac:dyDescent="0.25">
      <c r="D84"/>
    </row>
    <row r="85" spans="4:4" ht="15" x14ac:dyDescent="0.25">
      <c r="D85"/>
    </row>
    <row r="86" spans="4:4" ht="15" x14ac:dyDescent="0.25">
      <c r="D86"/>
    </row>
    <row r="87" spans="4:4" ht="15" x14ac:dyDescent="0.25">
      <c r="D87"/>
    </row>
    <row r="88" spans="4:4" ht="15" x14ac:dyDescent="0.25">
      <c r="D88"/>
    </row>
    <row r="89" spans="4:4" ht="15" x14ac:dyDescent="0.25">
      <c r="D89"/>
    </row>
    <row r="90" spans="4:4" ht="15" x14ac:dyDescent="0.25">
      <c r="D90"/>
    </row>
    <row r="91" spans="4:4" ht="15" x14ac:dyDescent="0.25">
      <c r="D91"/>
    </row>
    <row r="92" spans="4:4" ht="15" x14ac:dyDescent="0.25">
      <c r="D92"/>
    </row>
    <row r="93" spans="4:4" ht="15" x14ac:dyDescent="0.25">
      <c r="D93"/>
    </row>
    <row r="94" spans="4:4" ht="15" x14ac:dyDescent="0.25">
      <c r="D94"/>
    </row>
    <row r="95" spans="4:4" ht="15" x14ac:dyDescent="0.25">
      <c r="D95"/>
    </row>
    <row r="96" spans="4:4" ht="15" x14ac:dyDescent="0.25">
      <c r="D96"/>
    </row>
    <row r="97" spans="4:4" ht="15" x14ac:dyDescent="0.25">
      <c r="D97"/>
    </row>
    <row r="98" spans="4:4" ht="15" x14ac:dyDescent="0.25">
      <c r="D98"/>
    </row>
    <row r="99" spans="4:4" ht="15" x14ac:dyDescent="0.25">
      <c r="D99"/>
    </row>
    <row r="100" spans="4:4" ht="15" x14ac:dyDescent="0.25">
      <c r="D100"/>
    </row>
    <row r="101" spans="4:4" ht="15" x14ac:dyDescent="0.25">
      <c r="D101"/>
    </row>
    <row r="102" spans="4:4" ht="15" x14ac:dyDescent="0.25">
      <c r="D102"/>
    </row>
    <row r="103" spans="4:4" ht="15" x14ac:dyDescent="0.25">
      <c r="D103"/>
    </row>
    <row r="104" spans="4:4" ht="15" x14ac:dyDescent="0.25">
      <c r="D104"/>
    </row>
    <row r="105" spans="4:4" ht="15" x14ac:dyDescent="0.25">
      <c r="D105"/>
    </row>
    <row r="106" spans="4:4" ht="15" x14ac:dyDescent="0.25">
      <c r="D106"/>
    </row>
    <row r="107" spans="4:4" ht="15" x14ac:dyDescent="0.25">
      <c r="D107"/>
    </row>
    <row r="108" spans="4:4" ht="15" x14ac:dyDescent="0.25">
      <c r="D108"/>
    </row>
    <row r="109" spans="4:4" ht="15" x14ac:dyDescent="0.25">
      <c r="D109"/>
    </row>
    <row r="110" spans="4:4" ht="15" x14ac:dyDescent="0.25">
      <c r="D110"/>
    </row>
    <row r="111" spans="4:4" ht="15" x14ac:dyDescent="0.25">
      <c r="D111"/>
    </row>
    <row r="112" spans="4:4" ht="15" x14ac:dyDescent="0.25">
      <c r="D112"/>
    </row>
    <row r="113" spans="4:4" ht="15" x14ac:dyDescent="0.25">
      <c r="D113"/>
    </row>
    <row r="114" spans="4:4" ht="15" x14ac:dyDescent="0.25">
      <c r="D114"/>
    </row>
    <row r="115" spans="4:4" ht="15" x14ac:dyDescent="0.25">
      <c r="D115"/>
    </row>
    <row r="116" spans="4:4" ht="15" x14ac:dyDescent="0.25">
      <c r="D116"/>
    </row>
    <row r="117" spans="4:4" ht="15" x14ac:dyDescent="0.25">
      <c r="D117"/>
    </row>
    <row r="118" spans="4:4" ht="15" x14ac:dyDescent="0.25">
      <c r="D118"/>
    </row>
    <row r="119" spans="4:4" ht="15" x14ac:dyDescent="0.25">
      <c r="D119"/>
    </row>
    <row r="120" spans="4:4" ht="15" x14ac:dyDescent="0.25">
      <c r="D120"/>
    </row>
    <row r="121" spans="4:4" ht="15" x14ac:dyDescent="0.25">
      <c r="D121"/>
    </row>
    <row r="122" spans="4:4" ht="15" x14ac:dyDescent="0.25">
      <c r="D122"/>
    </row>
    <row r="123" spans="4:4" ht="15" x14ac:dyDescent="0.25">
      <c r="D123"/>
    </row>
    <row r="124" spans="4:4" ht="15" x14ac:dyDescent="0.25">
      <c r="D124"/>
    </row>
    <row r="125" spans="4:4" ht="15" x14ac:dyDescent="0.25">
      <c r="D125"/>
    </row>
    <row r="126" spans="4:4" ht="15" x14ac:dyDescent="0.25">
      <c r="D126"/>
    </row>
    <row r="127" spans="4:4" ht="15" x14ac:dyDescent="0.25">
      <c r="D127"/>
    </row>
    <row r="128" spans="4:4" ht="15" x14ac:dyDescent="0.25">
      <c r="D128"/>
    </row>
    <row r="129" spans="4:4" ht="15" x14ac:dyDescent="0.25">
      <c r="D129"/>
    </row>
    <row r="130" spans="4:4" ht="15" x14ac:dyDescent="0.25">
      <c r="D130"/>
    </row>
    <row r="131" spans="4:4" ht="15" x14ac:dyDescent="0.25">
      <c r="D131"/>
    </row>
    <row r="132" spans="4:4" ht="15" x14ac:dyDescent="0.25">
      <c r="D132"/>
    </row>
    <row r="133" spans="4:4" ht="15" x14ac:dyDescent="0.25">
      <c r="D133"/>
    </row>
    <row r="134" spans="4:4" ht="15" x14ac:dyDescent="0.25">
      <c r="D134"/>
    </row>
    <row r="135" spans="4:4" ht="15" x14ac:dyDescent="0.25">
      <c r="D135"/>
    </row>
    <row r="136" spans="4:4" ht="15" x14ac:dyDescent="0.25">
      <c r="D136"/>
    </row>
    <row r="137" spans="4:4" ht="15" x14ac:dyDescent="0.25">
      <c r="D137"/>
    </row>
    <row r="138" spans="4:4" ht="15" x14ac:dyDescent="0.25">
      <c r="D138"/>
    </row>
    <row r="139" spans="4:4" ht="15" x14ac:dyDescent="0.25">
      <c r="D139"/>
    </row>
    <row r="140" spans="4:4" ht="15" x14ac:dyDescent="0.25">
      <c r="D140"/>
    </row>
    <row r="141" spans="4:4" ht="15" x14ac:dyDescent="0.25">
      <c r="D141"/>
    </row>
    <row r="142" spans="4:4" ht="15" x14ac:dyDescent="0.25">
      <c r="D142"/>
    </row>
    <row r="143" spans="4:4" ht="15" x14ac:dyDescent="0.25">
      <c r="D143"/>
    </row>
    <row r="144" spans="4:4" ht="15" x14ac:dyDescent="0.25">
      <c r="D144"/>
    </row>
    <row r="145" spans="4:4" ht="15" x14ac:dyDescent="0.25">
      <c r="D145"/>
    </row>
    <row r="146" spans="4:4" ht="15" x14ac:dyDescent="0.25">
      <c r="D146"/>
    </row>
    <row r="147" spans="4:4" ht="15" x14ac:dyDescent="0.25">
      <c r="D147"/>
    </row>
    <row r="148" spans="4:4" ht="15" x14ac:dyDescent="0.25">
      <c r="D148"/>
    </row>
    <row r="149" spans="4:4" ht="15" x14ac:dyDescent="0.25">
      <c r="D149"/>
    </row>
    <row r="150" spans="4:4" ht="15" x14ac:dyDescent="0.25">
      <c r="D150"/>
    </row>
    <row r="151" spans="4:4" ht="15" x14ac:dyDescent="0.25">
      <c r="D151"/>
    </row>
    <row r="152" spans="4:4" ht="15" x14ac:dyDescent="0.25">
      <c r="D152"/>
    </row>
    <row r="153" spans="4:4" ht="15" x14ac:dyDescent="0.25">
      <c r="D153"/>
    </row>
    <row r="154" spans="4:4" ht="15" x14ac:dyDescent="0.25">
      <c r="D154"/>
    </row>
    <row r="155" spans="4:4" ht="15" x14ac:dyDescent="0.25">
      <c r="D155"/>
    </row>
    <row r="156" spans="4:4" ht="15" x14ac:dyDescent="0.25">
      <c r="D156"/>
    </row>
    <row r="157" spans="4:4" ht="15" x14ac:dyDescent="0.25">
      <c r="D157"/>
    </row>
    <row r="158" spans="4:4" ht="15" x14ac:dyDescent="0.25">
      <c r="D158"/>
    </row>
    <row r="159" spans="4:4" ht="15" x14ac:dyDescent="0.25">
      <c r="D159"/>
    </row>
    <row r="160" spans="4:4" ht="15" x14ac:dyDescent="0.25">
      <c r="D160"/>
    </row>
    <row r="161" spans="4:4" ht="15" x14ac:dyDescent="0.25">
      <c r="D161"/>
    </row>
    <row r="162" spans="4:4" ht="15" x14ac:dyDescent="0.25">
      <c r="D162"/>
    </row>
    <row r="163" spans="4:4" ht="15" x14ac:dyDescent="0.25">
      <c r="D163"/>
    </row>
    <row r="164" spans="4:4" ht="15" x14ac:dyDescent="0.25">
      <c r="D164"/>
    </row>
    <row r="165" spans="4:4" ht="15" x14ac:dyDescent="0.25">
      <c r="D165"/>
    </row>
    <row r="166" spans="4:4" ht="15" x14ac:dyDescent="0.25">
      <c r="D166"/>
    </row>
    <row r="167" spans="4:4" ht="15" x14ac:dyDescent="0.25">
      <c r="D167"/>
    </row>
    <row r="168" spans="4:4" ht="15" x14ac:dyDescent="0.25">
      <c r="D168"/>
    </row>
    <row r="169" spans="4:4" ht="15" x14ac:dyDescent="0.25">
      <c r="D169"/>
    </row>
    <row r="170" spans="4:4" ht="15" x14ac:dyDescent="0.25">
      <c r="D170"/>
    </row>
    <row r="171" spans="4:4" ht="15" x14ac:dyDescent="0.25">
      <c r="D171"/>
    </row>
    <row r="172" spans="4:4" ht="15" x14ac:dyDescent="0.25">
      <c r="D172"/>
    </row>
    <row r="173" spans="4:4" ht="15" x14ac:dyDescent="0.25">
      <c r="D173"/>
    </row>
    <row r="174" spans="4:4" ht="15" x14ac:dyDescent="0.25">
      <c r="D174"/>
    </row>
    <row r="175" spans="4:4" ht="15" x14ac:dyDescent="0.25">
      <c r="D175"/>
    </row>
    <row r="176" spans="4:4" ht="15" x14ac:dyDescent="0.25">
      <c r="D176"/>
    </row>
    <row r="177" spans="4:4" ht="15" x14ac:dyDescent="0.25">
      <c r="D177"/>
    </row>
    <row r="178" spans="4:4" ht="15" x14ac:dyDescent="0.25">
      <c r="D178"/>
    </row>
    <row r="179" spans="4:4" ht="15" x14ac:dyDescent="0.25">
      <c r="D179"/>
    </row>
    <row r="180" spans="4:4" ht="15" x14ac:dyDescent="0.25">
      <c r="D180"/>
    </row>
    <row r="181" spans="4:4" ht="15" x14ac:dyDescent="0.25">
      <c r="D181"/>
    </row>
    <row r="182" spans="4:4" ht="15" x14ac:dyDescent="0.25">
      <c r="D182"/>
    </row>
    <row r="183" spans="4:4" ht="15" x14ac:dyDescent="0.25">
      <c r="D183"/>
    </row>
    <row r="184" spans="4:4" ht="15" x14ac:dyDescent="0.25">
      <c r="D184"/>
    </row>
    <row r="185" spans="4:4" ht="15" x14ac:dyDescent="0.25">
      <c r="D185"/>
    </row>
    <row r="186" spans="4:4" ht="15" x14ac:dyDescent="0.25">
      <c r="D186"/>
    </row>
    <row r="187" spans="4:4" ht="15" x14ac:dyDescent="0.25">
      <c r="D187"/>
    </row>
    <row r="188" spans="4:4" ht="15" x14ac:dyDescent="0.25">
      <c r="D188"/>
    </row>
    <row r="189" spans="4:4" ht="15" x14ac:dyDescent="0.25">
      <c r="D189"/>
    </row>
    <row r="190" spans="4:4" ht="15" x14ac:dyDescent="0.25">
      <c r="D190"/>
    </row>
    <row r="191" spans="4:4" ht="15" x14ac:dyDescent="0.25">
      <c r="D191"/>
    </row>
    <row r="192" spans="4:4" ht="15" x14ac:dyDescent="0.25">
      <c r="D192"/>
    </row>
    <row r="193" spans="4:4" ht="15" x14ac:dyDescent="0.25">
      <c r="D193"/>
    </row>
    <row r="194" spans="4:4" ht="15" x14ac:dyDescent="0.25">
      <c r="D194"/>
    </row>
    <row r="195" spans="4:4" ht="15" x14ac:dyDescent="0.25">
      <c r="D195"/>
    </row>
    <row r="196" spans="4:4" ht="15" x14ac:dyDescent="0.25">
      <c r="D196"/>
    </row>
    <row r="197" spans="4:4" ht="15" x14ac:dyDescent="0.25">
      <c r="D197"/>
    </row>
    <row r="198" spans="4:4" ht="15" x14ac:dyDescent="0.25">
      <c r="D198"/>
    </row>
    <row r="199" spans="4:4" ht="15" x14ac:dyDescent="0.25">
      <c r="D199"/>
    </row>
    <row r="200" spans="4:4" ht="15" x14ac:dyDescent="0.25">
      <c r="D200"/>
    </row>
    <row r="201" spans="4:4" ht="15" x14ac:dyDescent="0.25">
      <c r="D201"/>
    </row>
    <row r="202" spans="4:4" ht="15" x14ac:dyDescent="0.25">
      <c r="D202"/>
    </row>
    <row r="203" spans="4:4" ht="15" x14ac:dyDescent="0.25">
      <c r="D203"/>
    </row>
    <row r="204" spans="4:4" ht="15" x14ac:dyDescent="0.25">
      <c r="D204"/>
    </row>
    <row r="205" spans="4:4" ht="15" x14ac:dyDescent="0.25">
      <c r="D205"/>
    </row>
    <row r="206" spans="4:4" ht="15" x14ac:dyDescent="0.25">
      <c r="D206"/>
    </row>
    <row r="207" spans="4:4" ht="15" x14ac:dyDescent="0.25">
      <c r="D207"/>
    </row>
    <row r="208" spans="4:4" ht="15" x14ac:dyDescent="0.25">
      <c r="D208"/>
    </row>
    <row r="209" spans="4:4" ht="15" x14ac:dyDescent="0.25">
      <c r="D209"/>
    </row>
    <row r="210" spans="4:4" ht="15" x14ac:dyDescent="0.25">
      <c r="D210"/>
    </row>
    <row r="211" spans="4:4" ht="15" x14ac:dyDescent="0.25">
      <c r="D211"/>
    </row>
    <row r="212" spans="4:4" ht="15" x14ac:dyDescent="0.25">
      <c r="D212"/>
    </row>
    <row r="213" spans="4:4" ht="15" x14ac:dyDescent="0.25">
      <c r="D213"/>
    </row>
    <row r="214" spans="4:4" ht="15" x14ac:dyDescent="0.25">
      <c r="D214"/>
    </row>
    <row r="215" spans="4:4" ht="15" x14ac:dyDescent="0.25">
      <c r="D215"/>
    </row>
    <row r="216" spans="4:4" ht="15" x14ac:dyDescent="0.25">
      <c r="D216"/>
    </row>
    <row r="217" spans="4:4" ht="15" x14ac:dyDescent="0.25">
      <c r="D217"/>
    </row>
    <row r="218" spans="4:4" ht="15" x14ac:dyDescent="0.25">
      <c r="D218"/>
    </row>
    <row r="219" spans="4:4" ht="15" x14ac:dyDescent="0.25">
      <c r="D219"/>
    </row>
    <row r="220" spans="4:4" ht="15" x14ac:dyDescent="0.25">
      <c r="D220"/>
    </row>
    <row r="221" spans="4:4" ht="15" x14ac:dyDescent="0.25">
      <c r="D221"/>
    </row>
    <row r="222" spans="4:4" ht="15" x14ac:dyDescent="0.25">
      <c r="D222"/>
    </row>
    <row r="223" spans="4:4" ht="15" x14ac:dyDescent="0.25">
      <c r="D223"/>
    </row>
    <row r="224" spans="4:4" ht="15" x14ac:dyDescent="0.25">
      <c r="D224"/>
    </row>
    <row r="225" spans="4:4" ht="15" x14ac:dyDescent="0.25">
      <c r="D225"/>
    </row>
    <row r="226" spans="4:4" ht="15" x14ac:dyDescent="0.25">
      <c r="D226"/>
    </row>
    <row r="227" spans="4:4" ht="15" x14ac:dyDescent="0.25">
      <c r="D227"/>
    </row>
    <row r="228" spans="4:4" ht="15" x14ac:dyDescent="0.25">
      <c r="D228"/>
    </row>
    <row r="229" spans="4:4" ht="15" x14ac:dyDescent="0.25">
      <c r="D229"/>
    </row>
    <row r="230" spans="4:4" ht="15" x14ac:dyDescent="0.25">
      <c r="D230"/>
    </row>
    <row r="231" spans="4:4" ht="15" x14ac:dyDescent="0.25">
      <c r="D231"/>
    </row>
    <row r="232" spans="4:4" ht="15" x14ac:dyDescent="0.25">
      <c r="D232"/>
    </row>
    <row r="233" spans="4:4" ht="15" x14ac:dyDescent="0.25">
      <c r="D233"/>
    </row>
    <row r="234" spans="4:4" ht="15" x14ac:dyDescent="0.25">
      <c r="D234"/>
    </row>
    <row r="235" spans="4:4" ht="15" x14ac:dyDescent="0.25">
      <c r="D235"/>
    </row>
    <row r="236" spans="4:4" ht="15" x14ac:dyDescent="0.25">
      <c r="D236"/>
    </row>
    <row r="237" spans="4:4" ht="15" x14ac:dyDescent="0.25">
      <c r="D237"/>
    </row>
    <row r="238" spans="4:4" ht="15" x14ac:dyDescent="0.25">
      <c r="D238"/>
    </row>
    <row r="239" spans="4:4" ht="15" x14ac:dyDescent="0.25">
      <c r="D239"/>
    </row>
    <row r="240" spans="4:4" ht="15" x14ac:dyDescent="0.25">
      <c r="D240"/>
    </row>
    <row r="241" spans="4:4" ht="15" x14ac:dyDescent="0.25">
      <c r="D241"/>
    </row>
    <row r="242" spans="4:4" ht="15" x14ac:dyDescent="0.25">
      <c r="D242"/>
    </row>
    <row r="243" spans="4:4" ht="15" x14ac:dyDescent="0.25">
      <c r="D243"/>
    </row>
    <row r="244" spans="4:4" ht="15" x14ac:dyDescent="0.25">
      <c r="D244"/>
    </row>
    <row r="245" spans="4:4" ht="15" x14ac:dyDescent="0.25">
      <c r="D245"/>
    </row>
    <row r="246" spans="4:4" ht="15" x14ac:dyDescent="0.25">
      <c r="D246"/>
    </row>
    <row r="247" spans="4:4" ht="15" x14ac:dyDescent="0.25">
      <c r="D247"/>
    </row>
    <row r="248" spans="4:4" ht="15" x14ac:dyDescent="0.25">
      <c r="D248"/>
    </row>
    <row r="249" spans="4:4" ht="15" x14ac:dyDescent="0.25">
      <c r="D249"/>
    </row>
    <row r="250" spans="4:4" ht="15" x14ac:dyDescent="0.25">
      <c r="D250"/>
    </row>
    <row r="251" spans="4:4" ht="15" x14ac:dyDescent="0.25">
      <c r="D251"/>
    </row>
    <row r="252" spans="4:4" ht="15" x14ac:dyDescent="0.25">
      <c r="D252"/>
    </row>
    <row r="253" spans="4:4" ht="15" x14ac:dyDescent="0.25">
      <c r="D253"/>
    </row>
    <row r="254" spans="4:4" ht="15" x14ac:dyDescent="0.25">
      <c r="D254"/>
    </row>
    <row r="255" spans="4:4" ht="15" x14ac:dyDescent="0.25">
      <c r="D255"/>
    </row>
    <row r="256" spans="4:4" ht="15" x14ac:dyDescent="0.25">
      <c r="D256"/>
    </row>
    <row r="257" spans="4:4" ht="15" x14ac:dyDescent="0.25">
      <c r="D257"/>
    </row>
    <row r="258" spans="4:4" ht="15" x14ac:dyDescent="0.25">
      <c r="D258"/>
    </row>
    <row r="259" spans="4:4" ht="15" x14ac:dyDescent="0.25">
      <c r="D259"/>
    </row>
    <row r="260" spans="4:4" ht="15" x14ac:dyDescent="0.25">
      <c r="D260"/>
    </row>
    <row r="261" spans="4:4" ht="15" x14ac:dyDescent="0.25">
      <c r="D261"/>
    </row>
    <row r="262" spans="4:4" ht="15" x14ac:dyDescent="0.25">
      <c r="D262"/>
    </row>
    <row r="263" spans="4:4" ht="15" x14ac:dyDescent="0.25">
      <c r="D263"/>
    </row>
    <row r="264" spans="4:4" ht="15" x14ac:dyDescent="0.25">
      <c r="D264"/>
    </row>
    <row r="265" spans="4:4" ht="15" x14ac:dyDescent="0.25">
      <c r="D265"/>
    </row>
    <row r="266" spans="4:4" ht="15" x14ac:dyDescent="0.25">
      <c r="D266"/>
    </row>
    <row r="267" spans="4:4" ht="15" x14ac:dyDescent="0.25">
      <c r="D267"/>
    </row>
    <row r="268" spans="4:4" ht="15" x14ac:dyDescent="0.25">
      <c r="D268"/>
    </row>
    <row r="269" spans="4:4" ht="15" x14ac:dyDescent="0.25">
      <c r="D269"/>
    </row>
    <row r="270" spans="4:4" ht="15" x14ac:dyDescent="0.25">
      <c r="D270"/>
    </row>
    <row r="271" spans="4:4" ht="15" x14ac:dyDescent="0.25">
      <c r="D271"/>
    </row>
    <row r="272" spans="4:4" ht="15" x14ac:dyDescent="0.25">
      <c r="D272"/>
    </row>
    <row r="273" spans="4:4" ht="15" x14ac:dyDescent="0.25">
      <c r="D273"/>
    </row>
    <row r="274" spans="4:4" ht="15" x14ac:dyDescent="0.25">
      <c r="D274"/>
    </row>
    <row r="275" spans="4:4" ht="15" x14ac:dyDescent="0.25">
      <c r="D275"/>
    </row>
    <row r="276" spans="4:4" ht="15" x14ac:dyDescent="0.25">
      <c r="D276"/>
    </row>
    <row r="277" spans="4:4" ht="15" x14ac:dyDescent="0.25">
      <c r="D277"/>
    </row>
    <row r="278" spans="4:4" ht="15" x14ac:dyDescent="0.25">
      <c r="D278"/>
    </row>
    <row r="279" spans="4:4" ht="15" x14ac:dyDescent="0.25">
      <c r="D279"/>
    </row>
    <row r="280" spans="4:4" ht="15" x14ac:dyDescent="0.25">
      <c r="D280"/>
    </row>
    <row r="281" spans="4:4" ht="15" x14ac:dyDescent="0.25">
      <c r="D281"/>
    </row>
    <row r="282" spans="4:4" ht="15" x14ac:dyDescent="0.25">
      <c r="D282"/>
    </row>
    <row r="283" spans="4:4" ht="15" x14ac:dyDescent="0.25">
      <c r="D283"/>
    </row>
    <row r="284" spans="4:4" ht="15" x14ac:dyDescent="0.25">
      <c r="D284"/>
    </row>
    <row r="285" spans="4:4" ht="15" x14ac:dyDescent="0.25">
      <c r="D285"/>
    </row>
    <row r="286" spans="4:4" ht="15" x14ac:dyDescent="0.25">
      <c r="D286"/>
    </row>
    <row r="287" spans="4:4" ht="15" x14ac:dyDescent="0.25">
      <c r="D287"/>
    </row>
    <row r="288" spans="4:4" ht="15" x14ac:dyDescent="0.25">
      <c r="D288"/>
    </row>
    <row r="289" spans="4:4" ht="15" x14ac:dyDescent="0.25">
      <c r="D289"/>
    </row>
    <row r="290" spans="4:4" ht="15" x14ac:dyDescent="0.25">
      <c r="D290"/>
    </row>
    <row r="291" spans="4:4" ht="15" x14ac:dyDescent="0.25">
      <c r="D291"/>
    </row>
    <row r="292" spans="4:4" ht="15" x14ac:dyDescent="0.25">
      <c r="D292"/>
    </row>
    <row r="293" spans="4:4" ht="15" x14ac:dyDescent="0.25">
      <c r="D293"/>
    </row>
    <row r="294" spans="4:4" ht="15" x14ac:dyDescent="0.25">
      <c r="D294"/>
    </row>
    <row r="295" spans="4:4" ht="15" x14ac:dyDescent="0.25">
      <c r="D295"/>
    </row>
    <row r="296" spans="4:4" ht="15" x14ac:dyDescent="0.25">
      <c r="D296"/>
    </row>
    <row r="297" spans="4:4" ht="15" x14ac:dyDescent="0.25">
      <c r="D297"/>
    </row>
    <row r="298" spans="4:4" ht="15" x14ac:dyDescent="0.25">
      <c r="D298"/>
    </row>
    <row r="299" spans="4:4" ht="15" x14ac:dyDescent="0.25">
      <c r="D299"/>
    </row>
    <row r="300" spans="4:4" ht="15" x14ac:dyDescent="0.25">
      <c r="D300"/>
    </row>
    <row r="301" spans="4:4" ht="15" x14ac:dyDescent="0.25">
      <c r="D301"/>
    </row>
    <row r="302" spans="4:4" ht="15" x14ac:dyDescent="0.25">
      <c r="D302"/>
    </row>
    <row r="303" spans="4:4" ht="15" x14ac:dyDescent="0.25">
      <c r="D303"/>
    </row>
    <row r="304" spans="4:4" ht="15" x14ac:dyDescent="0.25">
      <c r="D304"/>
    </row>
    <row r="305" spans="4:4" ht="15" x14ac:dyDescent="0.25">
      <c r="D305"/>
    </row>
    <row r="306" spans="4:4" ht="15" x14ac:dyDescent="0.25">
      <c r="D306"/>
    </row>
    <row r="307" spans="4:4" ht="15" x14ac:dyDescent="0.25">
      <c r="D307"/>
    </row>
    <row r="308" spans="4:4" ht="15" x14ac:dyDescent="0.25">
      <c r="D308"/>
    </row>
    <row r="309" spans="4:4" ht="15" x14ac:dyDescent="0.25">
      <c r="D309"/>
    </row>
    <row r="310" spans="4:4" ht="15" x14ac:dyDescent="0.25">
      <c r="D310"/>
    </row>
    <row r="311" spans="4:4" ht="15" x14ac:dyDescent="0.25">
      <c r="D311"/>
    </row>
    <row r="312" spans="4:4" ht="15" x14ac:dyDescent="0.25">
      <c r="D312"/>
    </row>
    <row r="313" spans="4:4" ht="15" x14ac:dyDescent="0.25">
      <c r="D313"/>
    </row>
    <row r="314" spans="4:4" ht="15" x14ac:dyDescent="0.25">
      <c r="D314"/>
    </row>
    <row r="315" spans="4:4" ht="15" x14ac:dyDescent="0.25">
      <c r="D315"/>
    </row>
    <row r="316" spans="4:4" ht="15" x14ac:dyDescent="0.25">
      <c r="D316"/>
    </row>
    <row r="317" spans="4:4" ht="15" x14ac:dyDescent="0.25">
      <c r="D317"/>
    </row>
    <row r="318" spans="4:4" ht="15" x14ac:dyDescent="0.25">
      <c r="D318"/>
    </row>
    <row r="319" spans="4:4" ht="15" x14ac:dyDescent="0.25">
      <c r="D319"/>
    </row>
    <row r="320" spans="4:4" ht="15" x14ac:dyDescent="0.25">
      <c r="D320"/>
    </row>
    <row r="321" spans="4:4" ht="15" x14ac:dyDescent="0.25">
      <c r="D321"/>
    </row>
    <row r="322" spans="4:4" ht="15" x14ac:dyDescent="0.25">
      <c r="D322"/>
    </row>
    <row r="323" spans="4:4" ht="15" x14ac:dyDescent="0.25">
      <c r="D323"/>
    </row>
    <row r="324" spans="4:4" ht="15" x14ac:dyDescent="0.25">
      <c r="D324"/>
    </row>
    <row r="325" spans="4:4" ht="15" x14ac:dyDescent="0.25">
      <c r="D325"/>
    </row>
    <row r="326" spans="4:4" ht="15" x14ac:dyDescent="0.25">
      <c r="D326"/>
    </row>
    <row r="327" spans="4:4" ht="15" x14ac:dyDescent="0.25">
      <c r="D327"/>
    </row>
    <row r="328" spans="4:4" ht="15" x14ac:dyDescent="0.25">
      <c r="D328"/>
    </row>
    <row r="329" spans="4:4" ht="15" x14ac:dyDescent="0.25">
      <c r="D329"/>
    </row>
    <row r="330" spans="4:4" ht="15" x14ac:dyDescent="0.25">
      <c r="D330"/>
    </row>
    <row r="331" spans="4:4" ht="15" x14ac:dyDescent="0.25">
      <c r="D331"/>
    </row>
    <row r="332" spans="4:4" ht="15" x14ac:dyDescent="0.25">
      <c r="D332"/>
    </row>
    <row r="333" spans="4:4" ht="15" x14ac:dyDescent="0.25">
      <c r="D333"/>
    </row>
    <row r="334" spans="4:4" ht="15" x14ac:dyDescent="0.25">
      <c r="D334"/>
    </row>
    <row r="335" spans="4:4" ht="15" x14ac:dyDescent="0.25">
      <c r="D335"/>
    </row>
    <row r="336" spans="4:4" ht="15" x14ac:dyDescent="0.25">
      <c r="D336"/>
    </row>
    <row r="337" spans="4:4" ht="15" x14ac:dyDescent="0.25">
      <c r="D337"/>
    </row>
    <row r="338" spans="4:4" ht="15" x14ac:dyDescent="0.25">
      <c r="D338"/>
    </row>
    <row r="339" spans="4:4" ht="15" x14ac:dyDescent="0.25">
      <c r="D339"/>
    </row>
    <row r="340" spans="4:4" ht="15" x14ac:dyDescent="0.25">
      <c r="D340"/>
    </row>
    <row r="341" spans="4:4" ht="15" x14ac:dyDescent="0.25">
      <c r="D341"/>
    </row>
    <row r="342" spans="4:4" ht="15" x14ac:dyDescent="0.25">
      <c r="D342"/>
    </row>
    <row r="343" spans="4:4" ht="15" x14ac:dyDescent="0.25">
      <c r="D343"/>
    </row>
    <row r="344" spans="4:4" ht="15" x14ac:dyDescent="0.25">
      <c r="D344"/>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7" operator="containsText" text="See Memo on TFP Update for Enbridge" id="{95E89D6F-7E5D-4B16-9B7E-13403D4FFABC}">
            <xm:f>NOT(ISERROR(SEARCH("See Memo on TFP Update for Enbridge",'Capital Stock Calculation'!D23)))</xm:f>
            <x14:dxf>
              <fill>
                <patternFill>
                  <bgColor rgb="FFFFFF00"/>
                </patternFill>
              </fill>
            </x14:dxf>
          </x14:cfRule>
          <xm:sqref>D27:D28</xm:sqref>
        </x14:conditionalFormatting>
        <x14:conditionalFormatting xmlns:xm="http://schemas.microsoft.com/office/excel/2006/main">
          <x14:cfRule type="containsText" priority="34" operator="containsText" text="See Memo on TFP Update for Enbridge" id="{319CD75D-139D-4A55-8A14-9FE1C030E8C2}">
            <xm:f>NOT(ISERROR(SEARCH("See Memo on TFP Update for Enbridge",'Capital Stock Calculation'!B19)))</xm:f>
            <x14:dxf>
              <fill>
                <patternFill>
                  <bgColor rgb="FFFFFF00"/>
                </patternFill>
              </fill>
            </x14:dxf>
          </x14:cfRule>
          <xm:sqref>B22:C23</xm:sqref>
        </x14:conditionalFormatting>
        <x14:conditionalFormatting xmlns:xm="http://schemas.microsoft.com/office/excel/2006/main">
          <x14:cfRule type="containsText" priority="105" operator="containsText" text="See Memo on TFP Update for Enbridge" id="{95E89D6F-7E5D-4B16-9B7E-13403D4FFABC}">
            <xm:f>NOT(ISERROR(SEARCH("See Memo on TFP Update for Enbridge",'Capital Stock Calculation'!D25)))</xm:f>
            <x14:dxf>
              <fill>
                <patternFill>
                  <bgColor rgb="FFFFFF00"/>
                </patternFill>
              </fill>
            </x14:dxf>
          </x14:cfRule>
          <xm:sqref>D30:D53</xm:sqref>
        </x14:conditionalFormatting>
        <x14:conditionalFormatting xmlns:xm="http://schemas.microsoft.com/office/excel/2006/main">
          <x14:cfRule type="containsText" priority="106" operator="containsText" text="See Memo on TFP Update for Enbridge" id="{95E89D6F-7E5D-4B16-9B7E-13403D4FFABC}">
            <xm:f>NOT(ISERROR(SEARCH("See Memo on TFP Update for Enbridge",'Capital Stock Calculation'!#REF!)))</xm:f>
            <x14:dxf>
              <fill>
                <patternFill>
                  <bgColor rgb="FFFFFF00"/>
                </patternFill>
              </fill>
            </x14:dxf>
          </x14:cfRule>
          <xm:sqref>D29</xm:sqref>
        </x14:conditionalFormatting>
        <x14:conditionalFormatting xmlns:xm="http://schemas.microsoft.com/office/excel/2006/main">
          <x14:cfRule type="containsText" priority="127" operator="containsText" text="See Memo on TFP Update for Enbridge" id="{95E89D6F-7E5D-4B16-9B7E-13403D4FFABC}">
            <xm:f>NOT(ISERROR(SEARCH("See Memo on TFP Update for Enbridge",'Capital Stock Calculation'!B5)))</xm:f>
            <x14:dxf>
              <fill>
                <patternFill>
                  <bgColor rgb="FFFFFF00"/>
                </patternFill>
              </fill>
            </x14:dxf>
          </x14:cfRule>
          <xm:sqref>B11:C13</xm:sqref>
        </x14:conditionalFormatting>
        <x14:conditionalFormatting xmlns:xm="http://schemas.microsoft.com/office/excel/2006/main">
          <x14:cfRule type="containsText" priority="152" operator="containsText" text="See Memo on TFP Update for Enbridge" id="{95E89D6F-7E5D-4B16-9B7E-13403D4FFABC}">
            <xm:f>NOT(ISERROR(SEARCH("See Memo on TFP Update for Enbridge",'Capital Stock Calculation'!P5)))</xm:f>
            <x14:dxf>
              <fill>
                <patternFill>
                  <bgColor rgb="FFFFFF00"/>
                </patternFill>
              </fill>
            </x14:dxf>
          </x14:cfRule>
          <xm:sqref>D11:KQ13</xm:sqref>
        </x14:conditionalFormatting>
        <x14:conditionalFormatting xmlns:xm="http://schemas.microsoft.com/office/excel/2006/main">
          <x14:cfRule type="containsText" priority="172" operator="containsText" text="See Memo on TFP Update for Enbridge" id="{95E89D6F-7E5D-4B16-9B7E-13403D4FFABC}">
            <xm:f>NOT(ISERROR(SEARCH("See Memo on TFP Update for Enbridge",'Capital Stock Calculation'!E19)))</xm:f>
            <x14:dxf>
              <fill>
                <patternFill>
                  <bgColor rgb="FFFFFF00"/>
                </patternFill>
              </fill>
            </x14:dxf>
          </x14:cfRule>
          <xm:sqref>D23:AB23</xm:sqref>
        </x14:conditionalFormatting>
        <x14:conditionalFormatting xmlns:xm="http://schemas.microsoft.com/office/excel/2006/main">
          <x14:cfRule type="containsText" priority="174" operator="containsText" text="See Memo on TFP Update for Enbridge" id="{319CD75D-139D-4A55-8A14-9FE1C030E8C2}">
            <xm:f>NOT(ISERROR(SEARCH("See Memo on TFP Update for Enbridge",'Capital Stock Calculation'!E19)))</xm:f>
            <x14:dxf>
              <fill>
                <patternFill>
                  <bgColor rgb="FFFFFF00"/>
                </patternFill>
              </fill>
            </x14:dxf>
          </x14:cfRule>
          <xm:sqref>D22:AB22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
  <sheetViews>
    <sheetView workbookViewId="0">
      <selection activeCell="D40" sqref="D40"/>
    </sheetView>
  </sheetViews>
  <sheetFormatPr defaultRowHeight="15" x14ac:dyDescent="0.25"/>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2:O50"/>
  <sheetViews>
    <sheetView showGridLines="0" tabSelected="1" zoomScale="75" zoomScaleNormal="75" workbookViewId="0">
      <selection activeCell="F78" sqref="F78"/>
    </sheetView>
  </sheetViews>
  <sheetFormatPr defaultColWidth="9.140625" defaultRowHeight="12.75" x14ac:dyDescent="0.2"/>
  <cols>
    <col min="1" max="1" width="9.140625" style="1"/>
    <col min="2" max="2" width="7.28515625" style="1" customWidth="1"/>
    <col min="3" max="3" width="24.7109375" style="1" customWidth="1"/>
    <col min="4" max="4" width="12.42578125" style="1" customWidth="1"/>
    <col min="5" max="5" width="14.42578125" style="1" customWidth="1"/>
    <col min="6" max="6" width="20.28515625" style="1" customWidth="1"/>
    <col min="7" max="7" width="18.140625" style="1" customWidth="1"/>
    <col min="8" max="8" width="17.140625" style="1" customWidth="1"/>
    <col min="9" max="9" width="16.5703125" style="1" customWidth="1"/>
    <col min="10" max="10" width="19.140625" style="1" customWidth="1"/>
    <col min="11" max="11" width="17.28515625" style="1" customWidth="1"/>
    <col min="12" max="12" width="18.5703125" style="1" customWidth="1"/>
    <col min="13" max="13" width="14.28515625" style="1" customWidth="1"/>
    <col min="14" max="14" width="26.140625" style="1" customWidth="1"/>
    <col min="15" max="15" width="16.85546875" style="1" bestFit="1" customWidth="1"/>
    <col min="16" max="16384" width="9.140625" style="1"/>
  </cols>
  <sheetData>
    <row r="2" spans="2:14" ht="18.75" x14ac:dyDescent="0.3">
      <c r="B2" s="62" t="str">
        <f ca="1">MID(CELL("filename",A1),FIND("]",CELL("filename",A1))+1,256)</f>
        <v>Capital Stock Calculation</v>
      </c>
    </row>
    <row r="4" spans="2:14" ht="15" x14ac:dyDescent="0.25">
      <c r="B4" s="63" t="s">
        <v>69</v>
      </c>
      <c r="C4" s="63"/>
    </row>
    <row r="5" spans="2:14" ht="15" x14ac:dyDescent="0.25">
      <c r="B5" s="64" t="s">
        <v>70</v>
      </c>
      <c r="C5" s="64"/>
    </row>
    <row r="7" spans="2:14" ht="15.75" x14ac:dyDescent="0.25">
      <c r="B7" s="65" t="s">
        <v>73</v>
      </c>
      <c r="C7" s="66"/>
      <c r="D7" s="66"/>
      <c r="E7" s="66"/>
      <c r="F7" s="66"/>
      <c r="G7" s="66"/>
      <c r="H7" s="66"/>
    </row>
    <row r="8" spans="2:14" ht="15" x14ac:dyDescent="0.25">
      <c r="B8" s="67"/>
      <c r="C8" s="68"/>
    </row>
    <row r="9" spans="2:14" ht="15" x14ac:dyDescent="0.25">
      <c r="B9" s="69" t="s">
        <v>71</v>
      </c>
      <c r="C9" s="70"/>
      <c r="D9" s="70" t="s">
        <v>74</v>
      </c>
      <c r="E9" s="70"/>
      <c r="F9" s="70"/>
      <c r="G9" s="70"/>
      <c r="H9" s="70"/>
    </row>
    <row r="11" spans="2:14" ht="30" customHeight="1" x14ac:dyDescent="0.2">
      <c r="B11" s="57"/>
      <c r="C11" s="57"/>
      <c r="D11" s="57"/>
      <c r="E11" s="57"/>
      <c r="F11" s="58" t="s">
        <v>9</v>
      </c>
      <c r="G11" s="58" t="s">
        <v>13</v>
      </c>
      <c r="H11" s="58" t="s">
        <v>15</v>
      </c>
      <c r="I11" s="58" t="s">
        <v>10</v>
      </c>
      <c r="J11" s="58" t="s">
        <v>66</v>
      </c>
      <c r="K11" s="58" t="s">
        <v>11</v>
      </c>
      <c r="L11" s="58" t="s">
        <v>67</v>
      </c>
      <c r="M11" s="58" t="s">
        <v>35</v>
      </c>
      <c r="N11" s="58" t="s">
        <v>36</v>
      </c>
    </row>
    <row r="12" spans="2:14" ht="15" x14ac:dyDescent="0.2">
      <c r="B12" s="57"/>
      <c r="C12" s="59" t="s">
        <v>52</v>
      </c>
      <c r="D12" s="59" t="s">
        <v>68</v>
      </c>
      <c r="E12" s="59" t="s">
        <v>37</v>
      </c>
      <c r="F12" s="59" t="s">
        <v>7</v>
      </c>
      <c r="G12" s="59" t="s">
        <v>14</v>
      </c>
      <c r="H12" s="59" t="s">
        <v>16</v>
      </c>
      <c r="I12" s="59" t="s">
        <v>8</v>
      </c>
      <c r="J12" s="59" t="s">
        <v>38</v>
      </c>
      <c r="K12" s="59" t="s">
        <v>39</v>
      </c>
      <c r="L12" s="59" t="s">
        <v>40</v>
      </c>
      <c r="M12" s="59" t="s">
        <v>41</v>
      </c>
      <c r="N12" s="59" t="s">
        <v>42</v>
      </c>
    </row>
    <row r="13" spans="2:14" ht="15" x14ac:dyDescent="0.2">
      <c r="B13" s="57"/>
      <c r="C13" s="59"/>
      <c r="D13" s="59"/>
      <c r="E13" s="59"/>
      <c r="F13" s="59" t="s">
        <v>43</v>
      </c>
      <c r="G13" s="59" t="s">
        <v>44</v>
      </c>
      <c r="H13" s="59" t="s">
        <v>54</v>
      </c>
      <c r="I13" s="59" t="s">
        <v>46</v>
      </c>
      <c r="J13" s="59" t="s">
        <v>47</v>
      </c>
      <c r="K13" s="59" t="s">
        <v>48</v>
      </c>
      <c r="L13" s="59" t="s">
        <v>49</v>
      </c>
      <c r="M13" s="59" t="s">
        <v>50</v>
      </c>
      <c r="N13" s="59" t="s">
        <v>51</v>
      </c>
    </row>
    <row r="14" spans="2:14" ht="15" x14ac:dyDescent="0.2">
      <c r="B14" s="59"/>
      <c r="C14" s="59"/>
      <c r="D14" s="59"/>
      <c r="E14" s="59"/>
      <c r="F14" s="59"/>
      <c r="G14" s="59"/>
      <c r="H14" s="59"/>
      <c r="I14" s="59" t="s">
        <v>55</v>
      </c>
      <c r="J14" s="59" t="s">
        <v>56</v>
      </c>
      <c r="K14" s="59"/>
      <c r="L14" s="59" t="s">
        <v>58</v>
      </c>
      <c r="M14" s="59"/>
      <c r="N14" s="59" t="s">
        <v>57</v>
      </c>
    </row>
    <row r="15" spans="2:14" ht="15" x14ac:dyDescent="0.2">
      <c r="B15" s="60"/>
      <c r="C15" s="60" t="s">
        <v>2</v>
      </c>
      <c r="D15" s="60">
        <v>1992</v>
      </c>
      <c r="E15" s="60" t="s">
        <v>53</v>
      </c>
      <c r="F15" s="61">
        <f t="array" ref="F15">INDEX('Calendar Year Conversion'!$D$13:$U$38,MATCH('Capital Stock Calculation'!$D$15,'Calendar Year Conversion'!$C$13:$C$38,0),MATCH('Capital Stock Calculation'!F$11,'Calendar Year Conversion'!$D$11:$U$11,0))*1000000</f>
        <v>1789949999.9999998</v>
      </c>
      <c r="G15" s="61">
        <f t="array" ref="G15">INDEX('Calendar Year Conversion'!$D$13:$U$38,MATCH('Capital Stock Calculation'!$D$15,'Calendar Year Conversion'!$C$13:$C$38,0),MATCH('Capital Stock Calculation'!G$11,'Calendar Year Conversion'!$D$11:$U$11,0))*1000000</f>
        <v>34675000</v>
      </c>
      <c r="H15" s="61">
        <f t="array" ref="H15">INDEX('Calendar Year Conversion'!$D$13:$U$38,MATCH('Capital Stock Calculation'!$D$15,'Calendar Year Conversion'!$C$13:$C$38,0),MATCH('Capital Stock Calculation'!H$11,'Calendar Year Conversion'!$D$11:$U$11,0))*1000000</f>
        <v>503874999.99999994</v>
      </c>
      <c r="I15" s="72">
        <f>SUM(F15:H15)</f>
        <v>2328499999.9999995</v>
      </c>
      <c r="J15" s="75">
        <f>(F15+G15)/I15</f>
        <v>0.78360532531672755</v>
      </c>
      <c r="K15" s="61">
        <f>INDEX('Calendar Year Conversion'!$D$13:$U$38,MATCH('Capital Stock Calculation'!$D$15,'Calendar Year Conversion'!$C$13:$C$38,0),MATCH('Capital Stock Calculation'!K$11,'Calendar Year Conversion'!$D$11:$U$11,0))*1000000</f>
        <v>1763725000</v>
      </c>
      <c r="L15" s="72">
        <f>K15*J15</f>
        <v>1382064302.3942454</v>
      </c>
      <c r="M15" s="74">
        <f t="array" ref="M15">INDEX('Handy-Whitman Triangularized'!$C$7:$C$12,MATCH('Capital Stock Calculation'!E15,'Handy-Whitman Triangularized'!$A$7:$A$12,0))</f>
        <v>0.52876190476190477</v>
      </c>
      <c r="N15" s="72">
        <f>L15/M15</f>
        <v>2613774347.1072726</v>
      </c>
    </row>
    <row r="17" spans="2:15" ht="15.75" x14ac:dyDescent="0.25">
      <c r="B17" s="65" t="s">
        <v>202</v>
      </c>
      <c r="C17" s="66"/>
      <c r="D17" s="66"/>
      <c r="E17" s="66"/>
      <c r="F17" s="66"/>
      <c r="G17" s="66"/>
      <c r="H17" s="66"/>
    </row>
    <row r="18" spans="2:15" ht="15" x14ac:dyDescent="0.25">
      <c r="B18" s="67"/>
      <c r="C18" s="68"/>
    </row>
    <row r="19" spans="2:15" ht="15" x14ac:dyDescent="0.25">
      <c r="B19" s="69" t="s">
        <v>71</v>
      </c>
      <c r="C19" s="70"/>
      <c r="D19" s="70" t="s">
        <v>72</v>
      </c>
      <c r="E19" s="70"/>
      <c r="F19" s="70"/>
      <c r="G19" s="70"/>
      <c r="H19" s="70"/>
    </row>
    <row r="21" spans="2:15" ht="75" x14ac:dyDescent="0.2">
      <c r="B21" s="57"/>
      <c r="C21" s="58"/>
      <c r="D21" s="58"/>
      <c r="E21" s="58"/>
      <c r="F21" s="58" t="s">
        <v>3</v>
      </c>
      <c r="G21" s="58" t="s">
        <v>5</v>
      </c>
      <c r="H21" s="58" t="s">
        <v>85</v>
      </c>
      <c r="I21" s="58" t="s">
        <v>86</v>
      </c>
      <c r="J21" s="58" t="s">
        <v>87</v>
      </c>
      <c r="K21" s="58" t="s">
        <v>88</v>
      </c>
      <c r="L21" s="58" t="s">
        <v>75</v>
      </c>
      <c r="M21" s="58" t="s">
        <v>76</v>
      </c>
      <c r="N21" s="58" t="s">
        <v>77</v>
      </c>
    </row>
    <row r="22" spans="2:15" ht="15" x14ac:dyDescent="0.2">
      <c r="B22" s="57"/>
      <c r="C22" s="58" t="s">
        <v>52</v>
      </c>
      <c r="D22" s="58" t="s">
        <v>0</v>
      </c>
      <c r="E22" s="58" t="s">
        <v>37</v>
      </c>
      <c r="F22" s="58" t="s">
        <v>4</v>
      </c>
      <c r="G22" s="58" t="s">
        <v>6</v>
      </c>
      <c r="H22" s="58" t="s">
        <v>78</v>
      </c>
      <c r="I22" s="58" t="s">
        <v>79</v>
      </c>
      <c r="J22" s="58" t="s">
        <v>80</v>
      </c>
      <c r="K22" s="58" t="s">
        <v>81</v>
      </c>
      <c r="L22" s="58" t="s">
        <v>82</v>
      </c>
      <c r="M22" s="58" t="s">
        <v>83</v>
      </c>
      <c r="N22" s="58" t="s">
        <v>84</v>
      </c>
    </row>
    <row r="23" spans="2:15" ht="15" x14ac:dyDescent="0.2">
      <c r="B23" s="57"/>
      <c r="C23" s="58"/>
      <c r="D23" s="58"/>
      <c r="E23" s="58"/>
      <c r="F23" s="58" t="s">
        <v>43</v>
      </c>
      <c r="G23" s="58" t="s">
        <v>44</v>
      </c>
      <c r="H23" s="58" t="s">
        <v>45</v>
      </c>
      <c r="I23" s="58" t="s">
        <v>46</v>
      </c>
      <c r="J23" s="58" t="s">
        <v>47</v>
      </c>
      <c r="K23" s="58" t="s">
        <v>48</v>
      </c>
      <c r="L23" s="58" t="s">
        <v>49</v>
      </c>
      <c r="M23" s="58" t="s">
        <v>50</v>
      </c>
      <c r="N23" s="58" t="s">
        <v>51</v>
      </c>
    </row>
    <row r="24" spans="2:15" ht="35.25" customHeight="1" x14ac:dyDescent="0.2">
      <c r="B24" s="57"/>
      <c r="C24" s="58"/>
      <c r="D24" s="58"/>
      <c r="E24" s="58"/>
      <c r="F24" s="58"/>
      <c r="G24" s="58"/>
      <c r="H24" s="58"/>
      <c r="I24" s="58"/>
      <c r="J24" s="58" t="s">
        <v>89</v>
      </c>
      <c r="K24" s="58" t="s">
        <v>90</v>
      </c>
      <c r="L24" s="58" t="s">
        <v>91</v>
      </c>
      <c r="M24" s="58" t="s">
        <v>92</v>
      </c>
      <c r="N24" s="58"/>
    </row>
    <row r="25" spans="2:15" ht="15" x14ac:dyDescent="0.2">
      <c r="B25" s="109">
        <v>1</v>
      </c>
      <c r="C25" s="60" t="s">
        <v>2</v>
      </c>
      <c r="D25" s="60">
        <v>1992</v>
      </c>
      <c r="E25" s="60" t="s">
        <v>53</v>
      </c>
      <c r="F25" s="61">
        <f>INDEX('Calendar Year Conversion'!$D$13:$U$38,MATCH('Capital Stock Calculation'!$D25,'Calendar Year Conversion'!$C$13:$C$38,0),MATCH('Capital Stock Calculation'!F$21,'Calendar Year Conversion'!$D$11:$U$11,0))*1000000+('Calendar Year Conversion'!I14*1000000)</f>
        <v>172674999.99999994</v>
      </c>
      <c r="G25" s="61">
        <f>INDEX('Calendar Year Conversion'!$D$13:$U$38,MATCH('Capital Stock Calculation'!$D25,'Calendar Year Conversion'!$C$13:$C$38,0),MATCH('Capital Stock Calculation'!G$21,'Calendar Year Conversion'!$D$11:$U$11,0))*1000000+('Calendar Year Conversion'!J14*1000000)</f>
        <v>0</v>
      </c>
      <c r="H25" s="71">
        <f t="array" ref="H25">INDEX('Handy-Whitman Index'!$B$6:$G$110,MATCH('Capital Stock Calculation'!$D25,'Handy-Whitman Index'!$A$6:$A$110,0),MATCH('Capital Stock Calculation'!$E25,'Handy-Whitman Index'!$B$5:$G$5,0))</f>
        <v>290.25</v>
      </c>
      <c r="I25" s="71">
        <f t="array" ref="I25">INDEX('Handy-Whitman Index'!$B$6:$G$110,(MATCH('Capital Stock Calculation'!$D25,'Handy-Whitman Index'!$A$6:$A$110)-33),MATCH('Capital Stock Calculation'!$E25,'Handy-Whitman Index'!$B$5:$G$5,0))</f>
        <v>56</v>
      </c>
      <c r="J25" s="72">
        <f t="shared" ref="J25:J49" si="0">H25/100</f>
        <v>2.9024999999999999</v>
      </c>
      <c r="K25" s="72">
        <f t="shared" ref="K25:K49" si="1">I25/100</f>
        <v>0.56000000000000005</v>
      </c>
      <c r="L25" s="72">
        <f t="shared" ref="L25:L49" si="2">F25/J25</f>
        <v>59491817.398794122</v>
      </c>
      <c r="M25" s="72">
        <f t="shared" ref="M25:M49" si="3">G25/K25</f>
        <v>0</v>
      </c>
      <c r="N25" s="72">
        <f>IF(D25=1992,N15,N24+L25+M25)</f>
        <v>2613774347.1072726</v>
      </c>
    </row>
    <row r="26" spans="2:15" ht="15" x14ac:dyDescent="0.2">
      <c r="B26" s="109">
        <f t="shared" ref="B26:B49" si="4">B25+1</f>
        <v>2</v>
      </c>
      <c r="C26" s="60" t="s">
        <v>2</v>
      </c>
      <c r="D26" s="60">
        <v>1993</v>
      </c>
      <c r="E26" s="60" t="s">
        <v>53</v>
      </c>
      <c r="F26" s="61">
        <f>INDEX('Calendar Year Conversion'!$D$13:$U$38,MATCH('Capital Stock Calculation'!$D26,'Calendar Year Conversion'!$C$13:$C$38,0),MATCH('Capital Stock Calculation'!F$21,'Calendar Year Conversion'!$D$11:$U$11,0))*1000000+('Calendar Year Conversion'!I15*1000000)</f>
        <v>165874999.99999991</v>
      </c>
      <c r="G26" s="61">
        <f>INDEX('Calendar Year Conversion'!$D$13:$U$38,MATCH('Capital Stock Calculation'!$D26,'Calendar Year Conversion'!$C$13:$C$38,0),MATCH('Capital Stock Calculation'!G$21,'Calendar Year Conversion'!$D$11:$U$11,0))*1000000+('Calendar Year Conversion'!J15*1000000)</f>
        <v>-2750000</v>
      </c>
      <c r="H26" s="71">
        <f t="array" ref="H26">INDEX('Handy-Whitman Index'!$B$6:$G$110,MATCH('Capital Stock Calculation'!$D26,'Handy-Whitman Index'!$A$6:$A$110,0),MATCH('Capital Stock Calculation'!$E26,'Handy-Whitman Index'!$B$5:$G$5,0))</f>
        <v>298</v>
      </c>
      <c r="I26" s="71">
        <f t="array" ref="I26">INDEX('Handy-Whitman Index'!$B$6:$G$110,(MATCH('Capital Stock Calculation'!$D26,'Handy-Whitman Index'!$A$6:$A$110)-33),MATCH('Capital Stock Calculation'!$E26,'Handy-Whitman Index'!$B$5:$G$5,0))</f>
        <v>57</v>
      </c>
      <c r="J26" s="72">
        <f t="shared" si="0"/>
        <v>2.98</v>
      </c>
      <c r="K26" s="72">
        <f t="shared" si="1"/>
        <v>0.56999999999999995</v>
      </c>
      <c r="L26" s="72">
        <f t="shared" si="2"/>
        <v>55662751.677852318</v>
      </c>
      <c r="M26" s="72">
        <f t="shared" si="3"/>
        <v>-4824561.4035087721</v>
      </c>
      <c r="N26" s="72">
        <f t="shared" ref="N26:N49" si="5">IF(D26=1992,N16,N25+L26+M26)</f>
        <v>2664612537.3816161</v>
      </c>
      <c r="O26" s="121"/>
    </row>
    <row r="27" spans="2:15" ht="15" x14ac:dyDescent="0.2">
      <c r="B27" s="109">
        <f t="shared" si="4"/>
        <v>3</v>
      </c>
      <c r="C27" s="60" t="s">
        <v>2</v>
      </c>
      <c r="D27" s="60">
        <v>1994</v>
      </c>
      <c r="E27" s="60" t="s">
        <v>53</v>
      </c>
      <c r="F27" s="61">
        <f>INDEX('Calendar Year Conversion'!$D$13:$U$38,MATCH('Capital Stock Calculation'!$D27,'Calendar Year Conversion'!$C$13:$C$38,0),MATCH('Capital Stock Calculation'!F$21,'Calendar Year Conversion'!$D$11:$U$11,0))*1000000+('Calendar Year Conversion'!I16*1000000)</f>
        <v>137999999.99999997</v>
      </c>
      <c r="G27" s="61">
        <f>INDEX('Calendar Year Conversion'!$D$13:$U$38,MATCH('Capital Stock Calculation'!$D27,'Calendar Year Conversion'!$C$13:$C$38,0),MATCH('Capital Stock Calculation'!G$21,'Calendar Year Conversion'!$D$11:$U$11,0))*1000000+('Calendar Year Conversion'!J16*1000000)</f>
        <v>-12000000</v>
      </c>
      <c r="H27" s="71">
        <f t="array" ref="H27">INDEX('Handy-Whitman Index'!$B$6:$G$110,MATCH('Capital Stock Calculation'!$D27,'Handy-Whitman Index'!$A$6:$A$110,0),MATCH('Capital Stock Calculation'!$E27,'Handy-Whitman Index'!$B$5:$G$5,0))</f>
        <v>307.25</v>
      </c>
      <c r="I27" s="71">
        <f t="array" ref="I27">INDEX('Handy-Whitman Index'!$B$6:$G$110,(MATCH('Capital Stock Calculation'!$D27,'Handy-Whitman Index'!$A$6:$A$110)-33),MATCH('Capital Stock Calculation'!$E27,'Handy-Whitman Index'!$B$5:$G$5,0))</f>
        <v>57</v>
      </c>
      <c r="J27" s="72">
        <f t="shared" si="0"/>
        <v>3.0724999999999998</v>
      </c>
      <c r="K27" s="72">
        <f t="shared" si="1"/>
        <v>0.56999999999999995</v>
      </c>
      <c r="L27" s="72">
        <f t="shared" si="2"/>
        <v>44914564.68673718</v>
      </c>
      <c r="M27" s="72">
        <f t="shared" si="3"/>
        <v>-21052631.578947369</v>
      </c>
      <c r="N27" s="72">
        <f t="shared" si="5"/>
        <v>2688474470.4894056</v>
      </c>
    </row>
    <row r="28" spans="2:15" ht="15" x14ac:dyDescent="0.2">
      <c r="B28" s="109">
        <f t="shared" si="4"/>
        <v>4</v>
      </c>
      <c r="C28" s="60" t="s">
        <v>2</v>
      </c>
      <c r="D28" s="60">
        <v>1995</v>
      </c>
      <c r="E28" s="60" t="s">
        <v>53</v>
      </c>
      <c r="F28" s="61">
        <f>INDEX('Calendar Year Conversion'!$D$13:$U$38,MATCH('Capital Stock Calculation'!$D28,'Calendar Year Conversion'!$C$13:$C$38,0),MATCH('Capital Stock Calculation'!F$21,'Calendar Year Conversion'!$D$11:$U$11,0))*1000000+('Calendar Year Conversion'!I17*1000000)</f>
        <v>166250000</v>
      </c>
      <c r="G28" s="61">
        <f>INDEX('Calendar Year Conversion'!$D$13:$U$38,MATCH('Capital Stock Calculation'!$D28,'Calendar Year Conversion'!$C$13:$C$38,0),MATCH('Capital Stock Calculation'!G$21,'Calendar Year Conversion'!$D$11:$U$11,0))*1000000+('Calendar Year Conversion'!J17*1000000)</f>
        <v>-16775000</v>
      </c>
      <c r="H28" s="71">
        <f t="array" ref="H28">INDEX('Handy-Whitman Index'!$B$6:$G$110,MATCH('Capital Stock Calculation'!$D28,'Handy-Whitman Index'!$A$6:$A$110,0),MATCH('Capital Stock Calculation'!$E28,'Handy-Whitman Index'!$B$5:$G$5,0))</f>
        <v>316.5</v>
      </c>
      <c r="I28" s="71">
        <f t="array" ref="I28">INDEX('Handy-Whitman Index'!$B$6:$G$110,(MATCH('Capital Stock Calculation'!$D28,'Handy-Whitman Index'!$A$6:$A$110)-33),MATCH('Capital Stock Calculation'!$E28,'Handy-Whitman Index'!$B$5:$G$5,0))</f>
        <v>58</v>
      </c>
      <c r="J28" s="72">
        <f t="shared" si="0"/>
        <v>3.165</v>
      </c>
      <c r="K28" s="72">
        <f t="shared" si="1"/>
        <v>0.57999999999999996</v>
      </c>
      <c r="L28" s="72">
        <f t="shared" si="2"/>
        <v>52527646.129541866</v>
      </c>
      <c r="M28" s="72">
        <f t="shared" si="3"/>
        <v>-28922413.793103449</v>
      </c>
      <c r="N28" s="72">
        <f t="shared" si="5"/>
        <v>2712079702.8258443</v>
      </c>
    </row>
    <row r="29" spans="2:15" ht="15" x14ac:dyDescent="0.2">
      <c r="B29" s="109">
        <f t="shared" si="4"/>
        <v>5</v>
      </c>
      <c r="C29" s="60" t="s">
        <v>2</v>
      </c>
      <c r="D29" s="60">
        <v>1996</v>
      </c>
      <c r="E29" s="60" t="s">
        <v>53</v>
      </c>
      <c r="F29" s="61">
        <f>INDEX('Calendar Year Conversion'!$D$13:$U$38,MATCH('Capital Stock Calculation'!$D29,'Calendar Year Conversion'!$C$13:$C$38,0),MATCH('Capital Stock Calculation'!F$21,'Calendar Year Conversion'!$D$11:$U$11,0))*1000000+('Calendar Year Conversion'!I18*1000000)</f>
        <v>196524999.99999997</v>
      </c>
      <c r="G29" s="61">
        <f>INDEX('Calendar Year Conversion'!$D$13:$U$38,MATCH('Capital Stock Calculation'!$D29,'Calendar Year Conversion'!$C$13:$C$38,0),MATCH('Capital Stock Calculation'!G$21,'Calendar Year Conversion'!$D$11:$U$11,0))*1000000+('Calendar Year Conversion'!J18*1000000)</f>
        <v>-23750000</v>
      </c>
      <c r="H29" s="71">
        <f t="array" ref="H29">INDEX('Handy-Whitman Index'!$B$6:$G$110,MATCH('Capital Stock Calculation'!$D29,'Handy-Whitman Index'!$A$6:$A$110,0),MATCH('Capital Stock Calculation'!$E29,'Handy-Whitman Index'!$B$5:$G$5,0))</f>
        <v>321.75</v>
      </c>
      <c r="I29" s="71">
        <f t="array" ref="I29">INDEX('Handy-Whitman Index'!$B$6:$G$110,(MATCH('Capital Stock Calculation'!$D29,'Handy-Whitman Index'!$A$6:$A$110)-33),MATCH('Capital Stock Calculation'!$E29,'Handy-Whitman Index'!$B$5:$G$5,0))</f>
        <v>58</v>
      </c>
      <c r="J29" s="72">
        <f t="shared" si="0"/>
        <v>3.2174999999999998</v>
      </c>
      <c r="K29" s="72">
        <f t="shared" si="1"/>
        <v>0.57999999999999996</v>
      </c>
      <c r="L29" s="72">
        <f t="shared" si="2"/>
        <v>61080031.080031075</v>
      </c>
      <c r="M29" s="72">
        <f t="shared" si="3"/>
        <v>-40948275.862068966</v>
      </c>
      <c r="N29" s="72">
        <f t="shared" si="5"/>
        <v>2732211458.0438061</v>
      </c>
    </row>
    <row r="30" spans="2:15" ht="15" x14ac:dyDescent="0.2">
      <c r="B30" s="109">
        <f t="shared" si="4"/>
        <v>6</v>
      </c>
      <c r="C30" s="60" t="s">
        <v>2</v>
      </c>
      <c r="D30" s="60">
        <v>1997</v>
      </c>
      <c r="E30" s="60" t="s">
        <v>53</v>
      </c>
      <c r="F30" s="61">
        <f>INDEX('Calendar Year Conversion'!$D$13:$U$38,MATCH('Capital Stock Calculation'!$D30,'Calendar Year Conversion'!$C$13:$C$38,0),MATCH('Capital Stock Calculation'!F$21,'Calendar Year Conversion'!$D$11:$U$11,0))*1000000+('Calendar Year Conversion'!I19*1000000)</f>
        <v>216375000.00000003</v>
      </c>
      <c r="G30" s="61">
        <f>INDEX('Calendar Year Conversion'!$D$13:$U$38,MATCH('Capital Stock Calculation'!$D30,'Calendar Year Conversion'!$C$13:$C$38,0),MATCH('Capital Stock Calculation'!G$21,'Calendar Year Conversion'!$D$11:$U$11,0))*1000000+('Calendar Year Conversion'!J19*1000000)</f>
        <v>-25350000</v>
      </c>
      <c r="H30" s="71">
        <f t="array" ref="H30">INDEX('Handy-Whitman Index'!$B$6:$G$110,MATCH('Capital Stock Calculation'!$D30,'Handy-Whitman Index'!$A$6:$A$110,0),MATCH('Capital Stock Calculation'!$E30,'Handy-Whitman Index'!$B$5:$G$5,0))</f>
        <v>326.75</v>
      </c>
      <c r="I30" s="71">
        <f t="array" ref="I30">INDEX('Handy-Whitman Index'!$B$6:$G$110,(MATCH('Capital Stock Calculation'!$D30,'Handy-Whitman Index'!$A$6:$A$110)-33),MATCH('Capital Stock Calculation'!$E30,'Handy-Whitman Index'!$B$5:$G$5,0))</f>
        <v>60</v>
      </c>
      <c r="J30" s="72">
        <f t="shared" si="0"/>
        <v>3.2675000000000001</v>
      </c>
      <c r="K30" s="72">
        <f t="shared" si="1"/>
        <v>0.6</v>
      </c>
      <c r="L30" s="72">
        <f t="shared" si="2"/>
        <v>66220351.951032907</v>
      </c>
      <c r="M30" s="72">
        <f t="shared" si="3"/>
        <v>-42250000</v>
      </c>
      <c r="N30" s="72">
        <f t="shared" si="5"/>
        <v>2756181809.9948392</v>
      </c>
    </row>
    <row r="31" spans="2:15" ht="15" x14ac:dyDescent="0.2">
      <c r="B31" s="109">
        <f t="shared" si="4"/>
        <v>7</v>
      </c>
      <c r="C31" s="60" t="s">
        <v>2</v>
      </c>
      <c r="D31" s="60">
        <v>1998</v>
      </c>
      <c r="E31" s="60" t="s">
        <v>53</v>
      </c>
      <c r="F31" s="61">
        <f>INDEX('Calendar Year Conversion'!$D$13:$U$38,MATCH('Capital Stock Calculation'!$D31,'Calendar Year Conversion'!$C$13:$C$38,0),MATCH('Capital Stock Calculation'!F$21,'Calendar Year Conversion'!$D$11:$U$11,0))*1000000+('Calendar Year Conversion'!I20*1000000)</f>
        <v>214450000</v>
      </c>
      <c r="G31" s="61">
        <f>INDEX('Calendar Year Conversion'!$D$13:$U$38,MATCH('Capital Stock Calculation'!$D31,'Calendar Year Conversion'!$C$13:$C$38,0),MATCH('Capital Stock Calculation'!G$21,'Calendar Year Conversion'!$D$11:$U$11,0))*1000000+('Calendar Year Conversion'!J20*1000000)</f>
        <v>-17175000</v>
      </c>
      <c r="H31" s="71">
        <f t="array" ref="H31">INDEX('Handy-Whitman Index'!$B$6:$G$110,MATCH('Capital Stock Calculation'!$D31,'Handy-Whitman Index'!$A$6:$A$110,0),MATCH('Capital Stock Calculation'!$E31,'Handy-Whitman Index'!$B$5:$G$5,0))</f>
        <v>334.25</v>
      </c>
      <c r="I31" s="71">
        <f t="array" ref="I31">INDEX('Handy-Whitman Index'!$B$6:$G$110,(MATCH('Capital Stock Calculation'!$D31,'Handy-Whitman Index'!$A$6:$A$110)-33),MATCH('Capital Stock Calculation'!$E31,'Handy-Whitman Index'!$B$5:$G$5,0))</f>
        <v>62</v>
      </c>
      <c r="J31" s="72">
        <f t="shared" si="0"/>
        <v>3.3424999999999998</v>
      </c>
      <c r="K31" s="72">
        <f t="shared" si="1"/>
        <v>0.62</v>
      </c>
      <c r="L31" s="72">
        <f t="shared" si="2"/>
        <v>64158563.949139871</v>
      </c>
      <c r="M31" s="72">
        <f t="shared" si="3"/>
        <v>-27701612.903225806</v>
      </c>
      <c r="N31" s="72">
        <f t="shared" si="5"/>
        <v>2792638761.0407534</v>
      </c>
    </row>
    <row r="32" spans="2:15" ht="15" x14ac:dyDescent="0.2">
      <c r="B32" s="109">
        <f t="shared" si="4"/>
        <v>8</v>
      </c>
      <c r="C32" s="60" t="s">
        <v>2</v>
      </c>
      <c r="D32" s="60">
        <v>1999</v>
      </c>
      <c r="E32" s="60" t="s">
        <v>53</v>
      </c>
      <c r="F32" s="61">
        <f>INDEX('Calendar Year Conversion'!$D$13:$U$38,MATCH('Capital Stock Calculation'!$D32,'Calendar Year Conversion'!$C$13:$C$38,0),MATCH('Capital Stock Calculation'!F$21,'Calendar Year Conversion'!$D$11:$U$11,0))*1000000+('Calendar Year Conversion'!I21*1000000)</f>
        <v>192575000</v>
      </c>
      <c r="G32" s="61">
        <f>INDEX('Calendar Year Conversion'!$D$13:$U$38,MATCH('Capital Stock Calculation'!$D32,'Calendar Year Conversion'!$C$13:$C$38,0),MATCH('Capital Stock Calculation'!G$21,'Calendar Year Conversion'!$D$11:$U$11,0))*1000000+('Calendar Year Conversion'!J21*1000000)</f>
        <v>-23725000</v>
      </c>
      <c r="H32" s="71">
        <f t="array" ref="H32">INDEX('Handy-Whitman Index'!$B$6:$G$110,MATCH('Capital Stock Calculation'!$D32,'Handy-Whitman Index'!$A$6:$A$110,0),MATCH('Capital Stock Calculation'!$E32,'Handy-Whitman Index'!$B$5:$G$5,0))</f>
        <v>336.75</v>
      </c>
      <c r="I32" s="71">
        <f t="array" ref="I32">INDEX('Handy-Whitman Index'!$B$6:$G$110,(MATCH('Capital Stock Calculation'!$D32,'Handy-Whitman Index'!$A$6:$A$110)-33),MATCH('Capital Stock Calculation'!$E32,'Handy-Whitman Index'!$B$5:$G$5,0))</f>
        <v>64</v>
      </c>
      <c r="J32" s="72">
        <f t="shared" si="0"/>
        <v>3.3675000000000002</v>
      </c>
      <c r="K32" s="72">
        <f t="shared" si="1"/>
        <v>0.64</v>
      </c>
      <c r="L32" s="72">
        <f t="shared" si="2"/>
        <v>57186340.014847808</v>
      </c>
      <c r="M32" s="72">
        <f t="shared" si="3"/>
        <v>-37070312.5</v>
      </c>
      <c r="N32" s="72">
        <f t="shared" si="5"/>
        <v>2812754788.5556011</v>
      </c>
    </row>
    <row r="33" spans="2:14" ht="15" x14ac:dyDescent="0.2">
      <c r="B33" s="109">
        <f t="shared" si="4"/>
        <v>9</v>
      </c>
      <c r="C33" s="60" t="s">
        <v>2</v>
      </c>
      <c r="D33" s="60">
        <v>2000</v>
      </c>
      <c r="E33" s="60" t="s">
        <v>53</v>
      </c>
      <c r="F33" s="61">
        <f>INDEX('Calendar Year Conversion'!$D$13:$U$38,MATCH('Capital Stock Calculation'!$D33,'Calendar Year Conversion'!$C$13:$C$38,0),MATCH('Capital Stock Calculation'!F$21,'Calendar Year Conversion'!$D$11:$U$11,0))*1000000+('Calendar Year Conversion'!I22*1000000)</f>
        <v>212700000</v>
      </c>
      <c r="G33" s="61">
        <f>INDEX('Calendar Year Conversion'!$D$13:$U$38,MATCH('Capital Stock Calculation'!$D33,'Calendar Year Conversion'!$C$13:$C$38,0),MATCH('Capital Stock Calculation'!G$21,'Calendar Year Conversion'!$D$11:$U$11,0))*1000000+('Calendar Year Conversion'!J22*1000000)</f>
        <v>-26125000</v>
      </c>
      <c r="H33" s="71">
        <f t="array" ref="H33">INDEX('Handy-Whitman Index'!$B$6:$G$110,MATCH('Capital Stock Calculation'!$D33,'Handy-Whitman Index'!$A$6:$A$110,0),MATCH('Capital Stock Calculation'!$E33,'Handy-Whitman Index'!$B$5:$G$5,0))</f>
        <v>345.5</v>
      </c>
      <c r="I33" s="71">
        <f t="array" ref="I33">INDEX('Handy-Whitman Index'!$B$6:$G$110,(MATCH('Capital Stock Calculation'!$D33,'Handy-Whitman Index'!$A$6:$A$110)-33),MATCH('Capital Stock Calculation'!$E33,'Handy-Whitman Index'!$B$5:$G$5,0))</f>
        <v>67</v>
      </c>
      <c r="J33" s="72">
        <f t="shared" si="0"/>
        <v>3.4550000000000001</v>
      </c>
      <c r="K33" s="72">
        <f t="shared" si="1"/>
        <v>0.67</v>
      </c>
      <c r="L33" s="72">
        <f t="shared" si="2"/>
        <v>61562952.243125901</v>
      </c>
      <c r="M33" s="72">
        <f t="shared" si="3"/>
        <v>-38992537.313432835</v>
      </c>
      <c r="N33" s="72">
        <f t="shared" si="5"/>
        <v>2835325203.4852943</v>
      </c>
    </row>
    <row r="34" spans="2:14" ht="15" x14ac:dyDescent="0.2">
      <c r="B34" s="109">
        <f t="shared" si="4"/>
        <v>10</v>
      </c>
      <c r="C34" s="60" t="s">
        <v>2</v>
      </c>
      <c r="D34" s="60">
        <v>2001</v>
      </c>
      <c r="E34" s="60" t="s">
        <v>53</v>
      </c>
      <c r="F34" s="61">
        <f>INDEX('Calendar Year Conversion'!$D$13:$U$38,MATCH('Capital Stock Calculation'!$D34,'Calendar Year Conversion'!$C$13:$C$38,0),MATCH('Capital Stock Calculation'!F$21,'Calendar Year Conversion'!$D$11:$U$11,0))*1000000+('Calendar Year Conversion'!I23*1000000)</f>
        <v>230075000</v>
      </c>
      <c r="G34" s="61">
        <f>INDEX('Calendar Year Conversion'!$D$13:$U$38,MATCH('Capital Stock Calculation'!$D34,'Calendar Year Conversion'!$C$13:$C$38,0),MATCH('Capital Stock Calculation'!G$21,'Calendar Year Conversion'!$D$11:$U$11,0))*1000000+('Calendar Year Conversion'!J23*1000000)</f>
        <v>-24249999.999999996</v>
      </c>
      <c r="H34" s="71">
        <f t="array" ref="H34">INDEX('Handy-Whitman Index'!$B$6:$G$110,MATCH('Capital Stock Calculation'!$D34,'Handy-Whitman Index'!$A$6:$A$110,0),MATCH('Capital Stock Calculation'!$E34,'Handy-Whitman Index'!$B$5:$G$5,0))</f>
        <v>355.75</v>
      </c>
      <c r="I34" s="71">
        <f t="array" ref="I34">INDEX('Handy-Whitman Index'!$B$6:$G$110,(MATCH('Capital Stock Calculation'!$D34,'Handy-Whitman Index'!$A$6:$A$110)-33),MATCH('Capital Stock Calculation'!$E34,'Handy-Whitman Index'!$B$5:$G$5,0))</f>
        <v>70</v>
      </c>
      <c r="J34" s="72">
        <f t="shared" si="0"/>
        <v>3.5575000000000001</v>
      </c>
      <c r="K34" s="72">
        <f t="shared" si="1"/>
        <v>0.7</v>
      </c>
      <c r="L34" s="72">
        <f t="shared" si="2"/>
        <v>64673225.579761066</v>
      </c>
      <c r="M34" s="72">
        <f t="shared" si="3"/>
        <v>-34642857.142857142</v>
      </c>
      <c r="N34" s="72">
        <f t="shared" si="5"/>
        <v>2865355571.9221983</v>
      </c>
    </row>
    <row r="35" spans="2:14" ht="15" x14ac:dyDescent="0.2">
      <c r="B35" s="109">
        <f t="shared" si="4"/>
        <v>11</v>
      </c>
      <c r="C35" s="60" t="s">
        <v>2</v>
      </c>
      <c r="D35" s="60">
        <v>2002</v>
      </c>
      <c r="E35" s="60" t="s">
        <v>53</v>
      </c>
      <c r="F35" s="61">
        <f>INDEX('Calendar Year Conversion'!$D$13:$U$38,MATCH('Capital Stock Calculation'!$D35,'Calendar Year Conversion'!$C$13:$C$38,0),MATCH('Capital Stock Calculation'!F$21,'Calendar Year Conversion'!$D$11:$U$11,0))*1000000+('Calendar Year Conversion'!I24*1000000)</f>
        <v>236875000</v>
      </c>
      <c r="G35" s="61">
        <f>INDEX('Calendar Year Conversion'!$D$13:$U$38,MATCH('Capital Stock Calculation'!$D35,'Calendar Year Conversion'!$C$13:$C$38,0),MATCH('Capital Stock Calculation'!G$21,'Calendar Year Conversion'!$D$11:$U$11,0))*1000000+('Calendar Year Conversion'!J24*1000000)</f>
        <v>-20250000</v>
      </c>
      <c r="H35" s="71">
        <f t="array" ref="H35">INDEX('Handy-Whitman Index'!$B$6:$G$110,MATCH('Capital Stock Calculation'!$D35,'Handy-Whitman Index'!$A$6:$A$110,0),MATCH('Capital Stock Calculation'!$E35,'Handy-Whitman Index'!$B$5:$G$5,0))</f>
        <v>367.5</v>
      </c>
      <c r="I35" s="71">
        <f t="array" ref="I35">INDEX('Handy-Whitman Index'!$B$6:$G$110,(MATCH('Capital Stock Calculation'!$D35,'Handy-Whitman Index'!$A$6:$A$110)-33),MATCH('Capital Stock Calculation'!$E35,'Handy-Whitman Index'!$B$5:$G$5,0))</f>
        <v>74</v>
      </c>
      <c r="J35" s="72">
        <f t="shared" si="0"/>
        <v>3.6749999999999998</v>
      </c>
      <c r="K35" s="72">
        <f t="shared" si="1"/>
        <v>0.74</v>
      </c>
      <c r="L35" s="72">
        <f t="shared" si="2"/>
        <v>64455782.312925175</v>
      </c>
      <c r="M35" s="72">
        <f t="shared" si="3"/>
        <v>-27364864.864864863</v>
      </c>
      <c r="N35" s="72">
        <f t="shared" si="5"/>
        <v>2902446489.3702588</v>
      </c>
    </row>
    <row r="36" spans="2:14" ht="15" x14ac:dyDescent="0.2">
      <c r="B36" s="109">
        <f t="shared" si="4"/>
        <v>12</v>
      </c>
      <c r="C36" s="60" t="s">
        <v>2</v>
      </c>
      <c r="D36" s="60">
        <v>2003</v>
      </c>
      <c r="E36" s="60" t="s">
        <v>53</v>
      </c>
      <c r="F36" s="61">
        <f>INDEX('Calendar Year Conversion'!$D$13:$U$38,MATCH('Capital Stock Calculation'!$D36,'Calendar Year Conversion'!$C$13:$C$38,0),MATCH('Capital Stock Calculation'!F$21,'Calendar Year Conversion'!$D$11:$U$11,0))*1000000+('Calendar Year Conversion'!I25*1000000)</f>
        <v>216024999.99999997</v>
      </c>
      <c r="G36" s="61">
        <f>INDEX('Calendar Year Conversion'!$D$13:$U$38,MATCH('Capital Stock Calculation'!$D36,'Calendar Year Conversion'!$C$13:$C$38,0),MATCH('Capital Stock Calculation'!G$21,'Calendar Year Conversion'!$D$11:$U$11,0))*1000000+('Calendar Year Conversion'!J25*1000000)</f>
        <v>-22950000</v>
      </c>
      <c r="H36" s="71">
        <f t="array" ref="H36">INDEX('Handy-Whitman Index'!$B$6:$G$110,MATCH('Capital Stock Calculation'!$D36,'Handy-Whitman Index'!$A$6:$A$110,0),MATCH('Capital Stock Calculation'!$E36,'Handy-Whitman Index'!$B$5:$G$5,0))</f>
        <v>374.75</v>
      </c>
      <c r="I36" s="71">
        <f t="array" ref="I36">INDEX('Handy-Whitman Index'!$B$6:$G$110,(MATCH('Capital Stock Calculation'!$D36,'Handy-Whitman Index'!$A$6:$A$110)-33),MATCH('Capital Stock Calculation'!$E36,'Handy-Whitman Index'!$B$5:$G$5,0))</f>
        <v>81</v>
      </c>
      <c r="J36" s="72">
        <f t="shared" si="0"/>
        <v>3.7475000000000001</v>
      </c>
      <c r="K36" s="72">
        <f t="shared" si="1"/>
        <v>0.81</v>
      </c>
      <c r="L36" s="72">
        <f t="shared" si="2"/>
        <v>57645096.731154092</v>
      </c>
      <c r="M36" s="72">
        <f t="shared" si="3"/>
        <v>-28333333.333333332</v>
      </c>
      <c r="N36" s="72">
        <f t="shared" si="5"/>
        <v>2931758252.7680793</v>
      </c>
    </row>
    <row r="37" spans="2:14" ht="15" x14ac:dyDescent="0.2">
      <c r="B37" s="109">
        <f t="shared" si="4"/>
        <v>13</v>
      </c>
      <c r="C37" s="60" t="s">
        <v>2</v>
      </c>
      <c r="D37" s="60">
        <v>2004</v>
      </c>
      <c r="E37" s="60" t="s">
        <v>53</v>
      </c>
      <c r="F37" s="61">
        <f>INDEX('Calendar Year Conversion'!$D$13:$U$38,MATCH('Capital Stock Calculation'!$D37,'Calendar Year Conversion'!$C$13:$C$38,0),MATCH('Capital Stock Calculation'!F$21,'Calendar Year Conversion'!$D$11:$U$11,0))*1000000+('Calendar Year Conversion'!I26*1000000)</f>
        <v>232875000</v>
      </c>
      <c r="G37" s="61">
        <f>INDEX('Calendar Year Conversion'!$D$13:$U$38,MATCH('Capital Stock Calculation'!$D37,'Calendar Year Conversion'!$C$13:$C$38,0),MATCH('Capital Stock Calculation'!G$21,'Calendar Year Conversion'!$D$11:$U$11,0))*1000000+('Calendar Year Conversion'!J26*1000000)</f>
        <v>-41075000.000000007</v>
      </c>
      <c r="H37" s="71">
        <f t="array" ref="H37">INDEX('Handy-Whitman Index'!$B$6:$G$110,MATCH('Capital Stock Calculation'!$D37,'Handy-Whitman Index'!$A$6:$A$110,0),MATCH('Capital Stock Calculation'!$E37,'Handy-Whitman Index'!$B$5:$G$5,0))</f>
        <v>399.25</v>
      </c>
      <c r="I37" s="71">
        <f t="array" ref="I37">INDEX('Handy-Whitman Index'!$B$6:$G$110,(MATCH('Capital Stock Calculation'!$D37,'Handy-Whitman Index'!$A$6:$A$110)-33),MATCH('Capital Stock Calculation'!$E37,'Handy-Whitman Index'!$B$5:$G$5,0))</f>
        <v>87</v>
      </c>
      <c r="J37" s="72">
        <f t="shared" si="0"/>
        <v>3.9925000000000002</v>
      </c>
      <c r="K37" s="72">
        <f t="shared" si="1"/>
        <v>0.87</v>
      </c>
      <c r="L37" s="72">
        <f t="shared" si="2"/>
        <v>58328115.216030054</v>
      </c>
      <c r="M37" s="72">
        <f t="shared" si="3"/>
        <v>-47212643.678160928</v>
      </c>
      <c r="N37" s="72">
        <f t="shared" si="5"/>
        <v>2942873724.3059483</v>
      </c>
    </row>
    <row r="38" spans="2:14" ht="15" x14ac:dyDescent="0.2">
      <c r="B38" s="109">
        <f t="shared" si="4"/>
        <v>14</v>
      </c>
      <c r="C38" s="60" t="s">
        <v>2</v>
      </c>
      <c r="D38" s="60">
        <v>2005</v>
      </c>
      <c r="E38" s="60" t="s">
        <v>53</v>
      </c>
      <c r="F38" s="61">
        <f>INDEX('Calendar Year Conversion'!$D$13:$U$38,MATCH('Capital Stock Calculation'!$D38,'Calendar Year Conversion'!$C$13:$C$38,0),MATCH('Capital Stock Calculation'!F$21,'Calendar Year Conversion'!$D$11:$U$11,0))*1000000+('Calendar Year Conversion'!I27*1000000)</f>
        <v>292200000</v>
      </c>
      <c r="G38" s="61">
        <f>INDEX('Calendar Year Conversion'!$D$13:$U$38,MATCH('Capital Stock Calculation'!$D38,'Calendar Year Conversion'!$C$13:$C$38,0),MATCH('Capital Stock Calculation'!G$21,'Calendar Year Conversion'!$D$11:$U$11,0))*1000000+('Calendar Year Conversion'!J27*1000000)</f>
        <v>-23900000</v>
      </c>
      <c r="H38" s="71">
        <f t="array" ref="H38">INDEX('Handy-Whitman Index'!$B$6:$G$110,MATCH('Capital Stock Calculation'!$D38,'Handy-Whitman Index'!$A$6:$A$110,0),MATCH('Capital Stock Calculation'!$E38,'Handy-Whitman Index'!$B$5:$G$5,0))</f>
        <v>432.5</v>
      </c>
      <c r="I38" s="71">
        <f t="array" ref="I38">INDEX('Handy-Whitman Index'!$B$6:$G$110,(MATCH('Capital Stock Calculation'!$D38,'Handy-Whitman Index'!$A$6:$A$110)-33),MATCH('Capital Stock Calculation'!$E38,'Handy-Whitman Index'!$B$5:$G$5,0))</f>
        <v>92</v>
      </c>
      <c r="J38" s="72">
        <f t="shared" si="0"/>
        <v>4.3250000000000002</v>
      </c>
      <c r="K38" s="72">
        <f t="shared" si="1"/>
        <v>0.92</v>
      </c>
      <c r="L38" s="72">
        <f t="shared" si="2"/>
        <v>67560693.64161849</v>
      </c>
      <c r="M38" s="72">
        <f t="shared" si="3"/>
        <v>-25978260.869565215</v>
      </c>
      <c r="N38" s="72">
        <f t="shared" si="5"/>
        <v>2984456157.078002</v>
      </c>
    </row>
    <row r="39" spans="2:14" ht="15" x14ac:dyDescent="0.2">
      <c r="B39" s="109">
        <f t="shared" si="4"/>
        <v>15</v>
      </c>
      <c r="C39" s="60" t="s">
        <v>2</v>
      </c>
      <c r="D39" s="60">
        <v>2006</v>
      </c>
      <c r="E39" s="60" t="s">
        <v>53</v>
      </c>
      <c r="F39" s="61">
        <f>INDEX('Calendar Year Conversion'!$D$13:$U$38,MATCH('Capital Stock Calculation'!$D39,'Calendar Year Conversion'!$C$13:$C$38,0),MATCH('Capital Stock Calculation'!F$21,'Calendar Year Conversion'!$D$11:$U$11,0))*1000000+('Calendar Year Conversion'!I28*1000000)</f>
        <v>312400000</v>
      </c>
      <c r="G39" s="61">
        <f>INDEX('Calendar Year Conversion'!$D$13:$U$38,MATCH('Capital Stock Calculation'!$D39,'Calendar Year Conversion'!$C$13:$C$38,0),MATCH('Capital Stock Calculation'!G$21,'Calendar Year Conversion'!$D$11:$U$11,0))*1000000+('Calendar Year Conversion'!J28*1000000)</f>
        <v>-30800000</v>
      </c>
      <c r="H39" s="71">
        <f t="array" ref="H39">INDEX('Handy-Whitman Index'!$B$6:$G$110,MATCH('Capital Stock Calculation'!$D39,'Handy-Whitman Index'!$A$6:$A$110,0),MATCH('Capital Stock Calculation'!$E39,'Handy-Whitman Index'!$B$5:$G$5,0))</f>
        <v>478.5</v>
      </c>
      <c r="I39" s="71">
        <f t="array" ref="I39">INDEX('Handy-Whitman Index'!$B$6:$G$110,(MATCH('Capital Stock Calculation'!$D39,'Handy-Whitman Index'!$A$6:$A$110)-33),MATCH('Capital Stock Calculation'!$E39,'Handy-Whitman Index'!$B$5:$G$5,0))</f>
        <v>100</v>
      </c>
      <c r="J39" s="72">
        <f t="shared" si="0"/>
        <v>4.7850000000000001</v>
      </c>
      <c r="K39" s="72">
        <f t="shared" si="1"/>
        <v>1</v>
      </c>
      <c r="L39" s="72">
        <f t="shared" si="2"/>
        <v>65287356.321839079</v>
      </c>
      <c r="M39" s="72">
        <f t="shared" si="3"/>
        <v>-30800000</v>
      </c>
      <c r="N39" s="72">
        <f t="shared" si="5"/>
        <v>3018943513.3998408</v>
      </c>
    </row>
    <row r="40" spans="2:14" ht="14.45" x14ac:dyDescent="0.25">
      <c r="B40" s="109">
        <f t="shared" si="4"/>
        <v>16</v>
      </c>
      <c r="C40" s="60" t="s">
        <v>2</v>
      </c>
      <c r="D40" s="60">
        <v>2007</v>
      </c>
      <c r="E40" s="60" t="s">
        <v>53</v>
      </c>
      <c r="F40" s="61">
        <f>INDEX('Calendar Year Conversion'!$D$13:$U$38,MATCH('Capital Stock Calculation'!$D40,'Calendar Year Conversion'!$C$13:$C$38,0),MATCH('Capital Stock Calculation'!F$21,'Calendar Year Conversion'!$D$11:$U$11,0))*1000000+('Calendar Year Conversion'!I29*1000000)</f>
        <v>294900000</v>
      </c>
      <c r="G40" s="61">
        <f>INDEX('Calendar Year Conversion'!$D$13:$U$38,MATCH('Capital Stock Calculation'!$D40,'Calendar Year Conversion'!$C$13:$C$38,0),MATCH('Capital Stock Calculation'!G$21,'Calendar Year Conversion'!$D$11:$U$11,0))*1000000+('Calendar Year Conversion'!J29*1000000)</f>
        <v>-42900000</v>
      </c>
      <c r="H40" s="71">
        <f t="array" ref="H40">INDEX('Handy-Whitman Index'!$B$6:$G$110,MATCH('Capital Stock Calculation'!$D40,'Handy-Whitman Index'!$A$6:$A$110,0),MATCH('Capital Stock Calculation'!$E40,'Handy-Whitman Index'!$B$5:$G$5,0))</f>
        <v>532.44704139288206</v>
      </c>
      <c r="I40" s="71">
        <f t="array" ref="I40">INDEX('Handy-Whitman Index'!$B$6:$G$110,(MATCH('Capital Stock Calculation'!$D40,'Handy-Whitman Index'!$A$6:$A$110)-33),MATCH('Capital Stock Calculation'!$E40,'Handy-Whitman Index'!$B$5:$G$5,0))</f>
        <v>118</v>
      </c>
      <c r="J40" s="72">
        <f t="shared" si="0"/>
        <v>5.3244704139288208</v>
      </c>
      <c r="K40" s="72">
        <f t="shared" si="1"/>
        <v>1.18</v>
      </c>
      <c r="L40" s="72">
        <f t="shared" si="2"/>
        <v>55385789.961108856</v>
      </c>
      <c r="M40" s="72">
        <f t="shared" si="3"/>
        <v>-36355932.203389831</v>
      </c>
      <c r="N40" s="72">
        <f t="shared" si="5"/>
        <v>3037973371.1575599</v>
      </c>
    </row>
    <row r="41" spans="2:14" ht="15" x14ac:dyDescent="0.2">
      <c r="B41" s="109">
        <f t="shared" si="4"/>
        <v>17</v>
      </c>
      <c r="C41" s="60" t="s">
        <v>2</v>
      </c>
      <c r="D41" s="60">
        <v>2008</v>
      </c>
      <c r="E41" s="60" t="s">
        <v>53</v>
      </c>
      <c r="F41" s="61">
        <f>INDEX('Calendar Year Conversion'!$D$13:$U$38,MATCH('Capital Stock Calculation'!$D41,'Calendar Year Conversion'!$C$13:$C$38,0),MATCH('Capital Stock Calculation'!F$21,'Calendar Year Conversion'!$D$11:$U$11,0))*1000000+('Calendar Year Conversion'!I30*1000000)</f>
        <v>289800000</v>
      </c>
      <c r="G41" s="61">
        <f>INDEX('Calendar Year Conversion'!$D$13:$U$38,MATCH('Capital Stock Calculation'!$D41,'Calendar Year Conversion'!$C$13:$C$38,0),MATCH('Capital Stock Calculation'!G$21,'Calendar Year Conversion'!$D$11:$U$11,0))*1000000+('Calendar Year Conversion'!J30*1000000)</f>
        <v>-43400000</v>
      </c>
      <c r="H41" s="71">
        <f t="array" ref="H41">INDEX('Handy-Whitman Index'!$B$6:$G$110,MATCH('Capital Stock Calculation'!$D41,'Handy-Whitman Index'!$A$6:$A$110,0),MATCH('Capital Stock Calculation'!$E41,'Handy-Whitman Index'!$B$5:$G$5,0))</f>
        <v>582.25</v>
      </c>
      <c r="I41" s="71">
        <f t="array" ref="I41">INDEX('Handy-Whitman Index'!$B$6:$G$110,(MATCH('Capital Stock Calculation'!$D41,'Handy-Whitman Index'!$A$6:$A$110)-33),MATCH('Capital Stock Calculation'!$E41,'Handy-Whitman Index'!$B$5:$G$5,0))</f>
        <v>136</v>
      </c>
      <c r="J41" s="72">
        <f t="shared" si="0"/>
        <v>5.8224999999999998</v>
      </c>
      <c r="K41" s="72">
        <f t="shared" si="1"/>
        <v>1.36</v>
      </c>
      <c r="L41" s="72">
        <f t="shared" si="2"/>
        <v>49772434.521253757</v>
      </c>
      <c r="M41" s="72">
        <f t="shared" si="3"/>
        <v>-31911764.705882352</v>
      </c>
      <c r="N41" s="72">
        <f t="shared" si="5"/>
        <v>3055834040.9729309</v>
      </c>
    </row>
    <row r="42" spans="2:14" ht="15" x14ac:dyDescent="0.2">
      <c r="B42" s="109">
        <f t="shared" si="4"/>
        <v>18</v>
      </c>
      <c r="C42" s="60" t="s">
        <v>2</v>
      </c>
      <c r="D42" s="60">
        <v>2009</v>
      </c>
      <c r="E42" s="60" t="s">
        <v>53</v>
      </c>
      <c r="F42" s="61">
        <f>INDEX('Calendar Year Conversion'!$D$13:$U$38,MATCH('Capital Stock Calculation'!$D42,'Calendar Year Conversion'!$C$13:$C$38,0),MATCH('Capital Stock Calculation'!F$21,'Calendar Year Conversion'!$D$11:$U$11,0))*1000000+('Calendar Year Conversion'!I31*1000000)</f>
        <v>278700000</v>
      </c>
      <c r="G42" s="61">
        <f>INDEX('Calendar Year Conversion'!$D$13:$U$38,MATCH('Capital Stock Calculation'!$D42,'Calendar Year Conversion'!$C$13:$C$38,0),MATCH('Capital Stock Calculation'!G$21,'Calendar Year Conversion'!$D$11:$U$11,0))*1000000+('Calendar Year Conversion'!J31*1000000)</f>
        <v>-44600000</v>
      </c>
      <c r="H42" s="71">
        <f t="array" ref="H42">INDEX('Handy-Whitman Index'!$B$6:$G$110,MATCH('Capital Stock Calculation'!$D42,'Handy-Whitman Index'!$A$6:$A$110,0),MATCH('Capital Stock Calculation'!$E42,'Handy-Whitman Index'!$B$5:$G$5,0))</f>
        <v>598.25</v>
      </c>
      <c r="I42" s="71">
        <f t="array" ref="I42">INDEX('Handy-Whitman Index'!$B$6:$G$110,(MATCH('Capital Stock Calculation'!$D42,'Handy-Whitman Index'!$A$6:$A$110)-33),MATCH('Capital Stock Calculation'!$E42,'Handy-Whitman Index'!$B$5:$G$5,0))</f>
        <v>142</v>
      </c>
      <c r="J42" s="72">
        <f t="shared" si="0"/>
        <v>5.9824999999999999</v>
      </c>
      <c r="K42" s="72">
        <f t="shared" si="1"/>
        <v>1.42</v>
      </c>
      <c r="L42" s="72">
        <f t="shared" si="2"/>
        <v>46585875.47012119</v>
      </c>
      <c r="M42" s="72">
        <f t="shared" si="3"/>
        <v>-31408450.704225354</v>
      </c>
      <c r="N42" s="72">
        <f t="shared" si="5"/>
        <v>3071011465.7388268</v>
      </c>
    </row>
    <row r="43" spans="2:14" ht="15" x14ac:dyDescent="0.2">
      <c r="B43" s="109">
        <f t="shared" si="4"/>
        <v>19</v>
      </c>
      <c r="C43" s="60" t="s">
        <v>2</v>
      </c>
      <c r="D43" s="60">
        <v>2010</v>
      </c>
      <c r="E43" s="60" t="s">
        <v>53</v>
      </c>
      <c r="F43" s="61">
        <f>INDEX('Calendar Year Conversion'!$D$13:$U$38,MATCH('Capital Stock Calculation'!$D43,'Calendar Year Conversion'!$C$13:$C$38,0),MATCH('Capital Stock Calculation'!F$21,'Calendar Year Conversion'!$D$11:$U$11,0))*1000000+('Calendar Year Conversion'!I32*1000000)</f>
        <v>300700000</v>
      </c>
      <c r="G43" s="61">
        <f>INDEX('Calendar Year Conversion'!$D$13:$U$38,MATCH('Capital Stock Calculation'!$D43,'Calendar Year Conversion'!$C$13:$C$38,0),MATCH('Capital Stock Calculation'!G$21,'Calendar Year Conversion'!$D$11:$U$11,0))*1000000+('Calendar Year Conversion'!J32*1000000)</f>
        <v>-49300000</v>
      </c>
      <c r="H43" s="71">
        <f t="array" ref="H43">INDEX('Handy-Whitman Index'!$B$6:$G$110,MATCH('Capital Stock Calculation'!$D43,'Handy-Whitman Index'!$A$6:$A$110,0),MATCH('Capital Stock Calculation'!$E43,'Handy-Whitman Index'!$B$5:$G$5,0))</f>
        <v>619.25</v>
      </c>
      <c r="I43" s="71">
        <f t="array" ref="I43">INDEX('Handy-Whitman Index'!$B$6:$G$110,(MATCH('Capital Stock Calculation'!$D43,'Handy-Whitman Index'!$A$6:$A$110)-33),MATCH('Capital Stock Calculation'!$E43,'Handy-Whitman Index'!$B$5:$G$5,0))</f>
        <v>149</v>
      </c>
      <c r="J43" s="72">
        <f t="shared" si="0"/>
        <v>6.1924999999999999</v>
      </c>
      <c r="K43" s="72">
        <f t="shared" si="1"/>
        <v>1.49</v>
      </c>
      <c r="L43" s="72">
        <f t="shared" si="2"/>
        <v>48558740.411788456</v>
      </c>
      <c r="M43" s="72">
        <f t="shared" si="3"/>
        <v>-33087248.322147653</v>
      </c>
      <c r="N43" s="72">
        <f t="shared" si="5"/>
        <v>3086482957.8284674</v>
      </c>
    </row>
    <row r="44" spans="2:14" ht="15" x14ac:dyDescent="0.2">
      <c r="B44" s="109">
        <f t="shared" si="4"/>
        <v>20</v>
      </c>
      <c r="C44" s="60" t="s">
        <v>2</v>
      </c>
      <c r="D44" s="60">
        <v>2011</v>
      </c>
      <c r="E44" s="60" t="s">
        <v>53</v>
      </c>
      <c r="F44" s="61">
        <f>INDEX('Calendar Year Conversion'!$D$13:$U$38,MATCH('Capital Stock Calculation'!$D44,'Calendar Year Conversion'!$C$13:$C$38,0),MATCH('Capital Stock Calculation'!F$21,'Calendar Year Conversion'!$D$11:$U$11,0))*1000000+('Calendar Year Conversion'!I33*1000000)</f>
        <v>308100000</v>
      </c>
      <c r="G44" s="61">
        <f>INDEX('Calendar Year Conversion'!$D$13:$U$38,MATCH('Capital Stock Calculation'!$D44,'Calendar Year Conversion'!$C$13:$C$38,0),MATCH('Capital Stock Calculation'!G$21,'Calendar Year Conversion'!$D$11:$U$11,0))*1000000+('Calendar Year Conversion'!J33*1000000)</f>
        <v>-35100000</v>
      </c>
      <c r="H44" s="71">
        <f t="array" ref="H44">INDEX('Handy-Whitman Index'!$B$6:$G$110,MATCH('Capital Stock Calculation'!$D44,'Handy-Whitman Index'!$A$6:$A$110,0),MATCH('Capital Stock Calculation'!$E44,'Handy-Whitman Index'!$B$5:$G$5,0))</f>
        <v>649.75</v>
      </c>
      <c r="I44" s="71">
        <f t="array" ref="I44">INDEX('Handy-Whitman Index'!$B$6:$G$110,(MATCH('Capital Stock Calculation'!$D44,'Handy-Whitman Index'!$A$6:$A$110)-33),MATCH('Capital Stock Calculation'!$E44,'Handy-Whitman Index'!$B$5:$G$5,0))</f>
        <v>156</v>
      </c>
      <c r="J44" s="72">
        <f t="shared" si="0"/>
        <v>6.4974999999999996</v>
      </c>
      <c r="K44" s="72">
        <f t="shared" si="1"/>
        <v>1.56</v>
      </c>
      <c r="L44" s="72">
        <f t="shared" si="2"/>
        <v>47418237.783762991</v>
      </c>
      <c r="M44" s="72">
        <f t="shared" si="3"/>
        <v>-22500000</v>
      </c>
      <c r="N44" s="72">
        <f t="shared" si="5"/>
        <v>3111401195.6122303</v>
      </c>
    </row>
    <row r="45" spans="2:14" ht="15" x14ac:dyDescent="0.2">
      <c r="B45" s="109">
        <f t="shared" si="4"/>
        <v>21</v>
      </c>
      <c r="C45" s="60" t="s">
        <v>2</v>
      </c>
      <c r="D45" s="60">
        <v>2012</v>
      </c>
      <c r="E45" s="60" t="s">
        <v>53</v>
      </c>
      <c r="F45" s="61">
        <f>INDEX('Calendar Year Conversion'!$D$13:$U$38,MATCH('Capital Stock Calculation'!$D45,'Calendar Year Conversion'!$C$13:$C$38,0),MATCH('Capital Stock Calculation'!F$21,'Calendar Year Conversion'!$D$11:$U$11,0))*1000000+('Calendar Year Conversion'!I34*1000000)</f>
        <v>387600000</v>
      </c>
      <c r="G45" s="61">
        <f>INDEX('Calendar Year Conversion'!$D$13:$U$38,MATCH('Capital Stock Calculation'!$D45,'Calendar Year Conversion'!$C$13:$C$38,0),MATCH('Capital Stock Calculation'!G$21,'Calendar Year Conversion'!$D$11:$U$11,0))*1000000+('Calendar Year Conversion'!J34*1000000)</f>
        <v>-59600000</v>
      </c>
      <c r="H45" s="71">
        <f t="array" ref="H45">INDEX('Handy-Whitman Index'!$B$6:$G$110,MATCH('Capital Stock Calculation'!$D45,'Handy-Whitman Index'!$A$6:$A$110,0),MATCH('Capital Stock Calculation'!$E45,'Handy-Whitman Index'!$B$5:$G$5,0))</f>
        <v>678.5</v>
      </c>
      <c r="I45" s="71">
        <f t="array" ref="I45">INDEX('Handy-Whitman Index'!$B$6:$G$110,(MATCH('Capital Stock Calculation'!$D45,'Handy-Whitman Index'!$A$6:$A$110)-33),MATCH('Capital Stock Calculation'!$E45,'Handy-Whitman Index'!$B$5:$G$5,0))</f>
        <v>173</v>
      </c>
      <c r="J45" s="72">
        <f t="shared" si="0"/>
        <v>6.7850000000000001</v>
      </c>
      <c r="K45" s="72">
        <f t="shared" si="1"/>
        <v>1.73</v>
      </c>
      <c r="L45" s="72">
        <f t="shared" si="2"/>
        <v>57126013.264554165</v>
      </c>
      <c r="M45" s="72">
        <f t="shared" si="3"/>
        <v>-34450867.05202312</v>
      </c>
      <c r="N45" s="72">
        <f t="shared" si="5"/>
        <v>3134076341.8247614</v>
      </c>
    </row>
    <row r="46" spans="2:14" ht="15" x14ac:dyDescent="0.2">
      <c r="B46" s="109">
        <f t="shared" si="4"/>
        <v>22</v>
      </c>
      <c r="C46" s="60" t="s">
        <v>2</v>
      </c>
      <c r="D46" s="60">
        <v>2013</v>
      </c>
      <c r="E46" s="60" t="s">
        <v>53</v>
      </c>
      <c r="F46" s="61">
        <f>INDEX('Calendar Year Conversion'!$D$13:$U$38,MATCH('Capital Stock Calculation'!$D46,'Calendar Year Conversion'!$C$13:$C$38,0),MATCH('Capital Stock Calculation'!F$21,'Calendar Year Conversion'!$D$11:$U$11,0))*1000000+('Calendar Year Conversion'!I35*1000000)</f>
        <v>386300000</v>
      </c>
      <c r="G46" s="61">
        <f>INDEX('Calendar Year Conversion'!$D$13:$U$38,MATCH('Capital Stock Calculation'!$D46,'Calendar Year Conversion'!$C$13:$C$38,0),MATCH('Capital Stock Calculation'!G$21,'Calendar Year Conversion'!$D$11:$U$11,0))*1000000+('Calendar Year Conversion'!J35*1000000)</f>
        <v>-22400000</v>
      </c>
      <c r="H46" s="71">
        <f t="array" ref="H46">INDEX('Handy-Whitman Index'!$B$6:$G$110,MATCH('Capital Stock Calculation'!$D46,'Handy-Whitman Index'!$A$6:$A$110,0),MATCH('Capital Stock Calculation'!$E46,'Handy-Whitman Index'!$B$5:$G$5,0))</f>
        <v>701</v>
      </c>
      <c r="I46" s="71">
        <f t="array" ref="I46">INDEX('Handy-Whitman Index'!$B$6:$G$110,(MATCH('Capital Stock Calculation'!$D46,'Handy-Whitman Index'!$A$6:$A$110)-33),MATCH('Capital Stock Calculation'!$E46,'Handy-Whitman Index'!$B$5:$G$5,0))</f>
        <v>186</v>
      </c>
      <c r="J46" s="72">
        <f t="shared" si="0"/>
        <v>7.01</v>
      </c>
      <c r="K46" s="72">
        <f t="shared" si="1"/>
        <v>1.86</v>
      </c>
      <c r="L46" s="72">
        <f t="shared" si="2"/>
        <v>55106990.014265336</v>
      </c>
      <c r="M46" s="72">
        <f t="shared" si="3"/>
        <v>-12043010.752688171</v>
      </c>
      <c r="N46" s="72">
        <f t="shared" si="5"/>
        <v>3177140321.0863385</v>
      </c>
    </row>
    <row r="47" spans="2:14" ht="15" x14ac:dyDescent="0.2">
      <c r="B47" s="109">
        <f t="shared" si="4"/>
        <v>23</v>
      </c>
      <c r="C47" s="60" t="s">
        <v>2</v>
      </c>
      <c r="D47" s="60">
        <v>2014</v>
      </c>
      <c r="E47" s="60" t="s">
        <v>53</v>
      </c>
      <c r="F47" s="61">
        <f>INDEX('Calendar Year Conversion'!$D$13:$U$38,MATCH('Capital Stock Calculation'!$D47,'Calendar Year Conversion'!$C$13:$C$38,0),MATCH('Capital Stock Calculation'!F$21,'Calendar Year Conversion'!$D$11:$U$11,0))*1000000+('Calendar Year Conversion'!I36*1000000)</f>
        <v>451300000</v>
      </c>
      <c r="G47" s="61">
        <f>INDEX('Calendar Year Conversion'!$D$13:$U$38,MATCH('Capital Stock Calculation'!$D47,'Calendar Year Conversion'!$C$13:$C$38,0),MATCH('Capital Stock Calculation'!G$21,'Calendar Year Conversion'!$D$11:$U$11,0))*1000000+('Calendar Year Conversion'!J36*1000000)</f>
        <v>-24600000</v>
      </c>
      <c r="H47" s="71">
        <f t="array" ref="H47">INDEX('Handy-Whitman Index'!$B$6:$G$110,MATCH('Capital Stock Calculation'!$D47,'Handy-Whitman Index'!$A$6:$A$110,0),MATCH('Capital Stock Calculation'!$E47,'Handy-Whitman Index'!$B$5:$G$5,0))</f>
        <v>722</v>
      </c>
      <c r="I47" s="71">
        <f t="array" ref="I47">INDEX('Handy-Whitman Index'!$B$6:$G$110,(MATCH('Capital Stock Calculation'!$D47,'Handy-Whitman Index'!$A$6:$A$110)-33),MATCH('Capital Stock Calculation'!$E47,'Handy-Whitman Index'!$B$5:$G$5,0))</f>
        <v>202</v>
      </c>
      <c r="J47" s="72">
        <f t="shared" si="0"/>
        <v>7.22</v>
      </c>
      <c r="K47" s="72">
        <f t="shared" si="1"/>
        <v>2.02</v>
      </c>
      <c r="L47" s="72">
        <f t="shared" si="2"/>
        <v>62506925.207756236</v>
      </c>
      <c r="M47" s="72">
        <f t="shared" si="3"/>
        <v>-12178217.821782177</v>
      </c>
      <c r="N47" s="72">
        <f t="shared" si="5"/>
        <v>3227469028.4723125</v>
      </c>
    </row>
    <row r="48" spans="2:14" ht="15" x14ac:dyDescent="0.2">
      <c r="B48" s="109">
        <f t="shared" si="4"/>
        <v>24</v>
      </c>
      <c r="C48" s="60" t="s">
        <v>2</v>
      </c>
      <c r="D48" s="60">
        <v>2015</v>
      </c>
      <c r="E48" s="60" t="s">
        <v>53</v>
      </c>
      <c r="F48" s="61">
        <f>INDEX('Calendar Year Conversion'!$D$13:$U$38,MATCH('Capital Stock Calculation'!$D48,'Calendar Year Conversion'!$C$13:$C$38,0),MATCH('Capital Stock Calculation'!F$21,'Calendar Year Conversion'!$D$11:$U$11,0))*1000000+('Calendar Year Conversion'!I37*1000000)</f>
        <v>339400000</v>
      </c>
      <c r="G48" s="61">
        <f>INDEX('Calendar Year Conversion'!$D$13:$U$38,MATCH('Capital Stock Calculation'!$D48,'Calendar Year Conversion'!$C$13:$C$38,0),MATCH('Capital Stock Calculation'!G$21,'Calendar Year Conversion'!$D$11:$U$11,0))*1000000+('Calendar Year Conversion'!J37*1000000)</f>
        <v>-66300000</v>
      </c>
      <c r="H48" s="71">
        <f t="array" ref="H48">INDEX('Handy-Whitman Index'!$B$6:$G$110,MATCH('Capital Stock Calculation'!$D48,'Handy-Whitman Index'!$A$6:$A$110,0),MATCH('Capital Stock Calculation'!$E48,'Handy-Whitman Index'!$B$5:$G$5,0))</f>
        <v>737.25</v>
      </c>
      <c r="I48" s="71">
        <f t="array" ref="I48">INDEX('Handy-Whitman Index'!$B$6:$G$110,(MATCH('Capital Stock Calculation'!$D48,'Handy-Whitman Index'!$A$6:$A$110)-33),MATCH('Capital Stock Calculation'!$E48,'Handy-Whitman Index'!$B$5:$G$5,0))</f>
        <v>215</v>
      </c>
      <c r="J48" s="72">
        <f t="shared" si="0"/>
        <v>7.3724999999999996</v>
      </c>
      <c r="K48" s="72">
        <f t="shared" si="1"/>
        <v>2.15</v>
      </c>
      <c r="L48" s="72">
        <f t="shared" si="2"/>
        <v>46035944.387928113</v>
      </c>
      <c r="M48" s="72">
        <f t="shared" si="3"/>
        <v>-30837209.302325584</v>
      </c>
      <c r="N48" s="72">
        <f t="shared" si="5"/>
        <v>3242667763.5579147</v>
      </c>
    </row>
    <row r="49" spans="2:14" ht="15" x14ac:dyDescent="0.2">
      <c r="B49" s="109">
        <f t="shared" si="4"/>
        <v>25</v>
      </c>
      <c r="C49" s="60" t="s">
        <v>2</v>
      </c>
      <c r="D49" s="60">
        <v>2016</v>
      </c>
      <c r="E49" s="60" t="s">
        <v>53</v>
      </c>
      <c r="F49" s="61">
        <f>INDEX('Calendar Year Conversion'!$D$13:$U$38,MATCH('Capital Stock Calculation'!$D49,'Calendar Year Conversion'!$C$13:$C$38,0),MATCH('Capital Stock Calculation'!F$21,'Calendar Year Conversion'!$D$11:$U$11,0))*1000000+('Calendar Year Conversion'!I38*1000000)</f>
        <v>1280100000</v>
      </c>
      <c r="G49" s="61">
        <f>INDEX('Calendar Year Conversion'!$D$13:$U$38,MATCH('Capital Stock Calculation'!$D49,'Calendar Year Conversion'!$C$13:$C$38,0),MATCH('Capital Stock Calculation'!G$21,'Calendar Year Conversion'!$D$11:$U$11,0))*1000000+('Calendar Year Conversion'!J38*1000000)</f>
        <v>-30500000</v>
      </c>
      <c r="H49" s="71">
        <f t="array" ref="H49">INDEX('Handy-Whitman Index'!$B$6:$G$110,MATCH('Capital Stock Calculation'!$D49,'Handy-Whitman Index'!$A$6:$A$110,0),MATCH('Capital Stock Calculation'!$E49,'Handy-Whitman Index'!$B$5:$G$5,0))</f>
        <v>746.5</v>
      </c>
      <c r="I49" s="71">
        <f t="array" ref="I49">INDEX('Handy-Whitman Index'!$B$6:$G$110,(MATCH('Capital Stock Calculation'!$D49,'Handy-Whitman Index'!$A$6:$A$110)-33),MATCH('Capital Stock Calculation'!$E49,'Handy-Whitman Index'!$B$5:$G$5,0))</f>
        <v>223</v>
      </c>
      <c r="J49" s="72">
        <f t="shared" si="0"/>
        <v>7.4649999999999999</v>
      </c>
      <c r="K49" s="72">
        <f t="shared" si="1"/>
        <v>2.23</v>
      </c>
      <c r="L49" s="72">
        <f t="shared" si="2"/>
        <v>171480241.12525117</v>
      </c>
      <c r="M49" s="72">
        <f t="shared" si="3"/>
        <v>-13677130.04484305</v>
      </c>
      <c r="N49" s="72">
        <f t="shared" si="5"/>
        <v>3400470874.6383228</v>
      </c>
    </row>
    <row r="50" spans="2:14" ht="15" x14ac:dyDescent="0.2">
      <c r="B50" s="120" t="s">
        <v>203</v>
      </c>
    </row>
  </sheetData>
  <conditionalFormatting sqref="C13:N14 C11:F12 H11:N12">
    <cfRule type="containsText" dxfId="26" priority="6" operator="containsText" text="See Memo on TFP Update for Enbridge">
      <formula>NOT(ISERROR(SEARCH("See Memo on TFP Update for Enbridge",C11)))</formula>
    </cfRule>
  </conditionalFormatting>
  <conditionalFormatting sqref="G11:G12">
    <cfRule type="containsText" dxfId="25" priority="5" operator="containsText" text="See Memo on TFP Update for Enbridge">
      <formula>NOT(ISERROR(SEARCH("See Memo on TFP Update for Enbridge",G11)))</formula>
    </cfRule>
  </conditionalFormatting>
  <conditionalFormatting sqref="B11:B14">
    <cfRule type="containsText" dxfId="24" priority="4" operator="containsText" text="See Memo on TFP Update for Enbridge">
      <formula>NOT(ISERROR(SEARCH("See Memo on TFP Update for Enbridge",B11)))</formula>
    </cfRule>
  </conditionalFormatting>
  <conditionalFormatting sqref="B21:B24">
    <cfRule type="containsText" dxfId="23" priority="1" operator="containsText" text="See Memo on TFP Update for Enbridge">
      <formula>NOT(ISERROR(SEARCH("See Memo on TFP Update for Enbridge",B21)))</formula>
    </cfRule>
  </conditionalFormatting>
  <conditionalFormatting sqref="C21:N24">
    <cfRule type="containsText" dxfId="22" priority="2" operator="containsText" text="See Memo on TFP Update for Enbridge">
      <formula>NOT(ISERROR(SEARCH("See Memo on TFP Update for Enbridge",C21)))</formula>
    </cfRule>
  </conditionalFormatting>
  <pageMargins left="0.7" right="0.7" top="0.75" bottom="0.75" header="0.3" footer="0.3"/>
  <pageSetup scale="48" orientation="landscape" r:id="rId1"/>
  <drawing r:id="rId2"/>
  <legacyDrawing r:id="rId3"/>
  <oleObjects>
    <mc:AlternateContent xmlns:mc="http://schemas.openxmlformats.org/markup-compatibility/2006">
      <mc:Choice Requires="x14">
        <oleObject progId="Equation.3" shapeId="6146" r:id="rId4">
          <objectPr defaultSize="0" autoPict="0" r:id="rId5">
            <anchor moveWithCells="1" sizeWithCells="1">
              <from>
                <xdr:col>13</xdr:col>
                <xdr:colOff>190500</xdr:colOff>
                <xdr:row>22</xdr:row>
                <xdr:rowOff>180975</xdr:rowOff>
              </from>
              <to>
                <xdr:col>13</xdr:col>
                <xdr:colOff>1495425</xdr:colOff>
                <xdr:row>23</xdr:row>
                <xdr:rowOff>409575</xdr:rowOff>
              </to>
            </anchor>
          </objectPr>
        </oleObject>
      </mc:Choice>
      <mc:Fallback>
        <oleObject progId="Equation.3" shapeId="6146" r:id="rId4"/>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U40"/>
  <sheetViews>
    <sheetView showGridLines="0" topLeftCell="A10" zoomScale="75" zoomScaleNormal="75" workbookViewId="0">
      <selection activeCell="AD18" sqref="AD18"/>
    </sheetView>
  </sheetViews>
  <sheetFormatPr defaultRowHeight="15" x14ac:dyDescent="0.25"/>
  <cols>
    <col min="2" max="2" width="2.42578125" customWidth="1"/>
    <col min="4" max="4" width="11.42578125" customWidth="1"/>
    <col min="5" max="5" width="12.7109375" customWidth="1"/>
    <col min="6" max="18" width="14.140625" customWidth="1"/>
    <col min="19" max="20" width="13.140625" customWidth="1"/>
    <col min="21" max="21" width="11.85546875" customWidth="1"/>
  </cols>
  <sheetData>
    <row r="2" spans="2:21" ht="21" x14ac:dyDescent="0.35">
      <c r="B2" s="113" t="str">
        <f ca="1">MID(CELL("filename",A6),FIND("]",CELL("filename",A6))+1,256)</f>
        <v>Calendar Year Conversion</v>
      </c>
      <c r="C2" s="113"/>
      <c r="D2" s="113"/>
      <c r="E2" s="113"/>
    </row>
    <row r="4" spans="2:21" x14ac:dyDescent="0.25">
      <c r="B4" s="112" t="s">
        <v>69</v>
      </c>
      <c r="C4" s="104"/>
      <c r="D4" s="99"/>
    </row>
    <row r="5" spans="2:21" x14ac:dyDescent="0.25">
      <c r="B5" s="105" t="s">
        <v>199</v>
      </c>
      <c r="C5" s="107"/>
      <c r="D5" s="106"/>
    </row>
    <row r="7" spans="2:21" ht="15.75" x14ac:dyDescent="0.25">
      <c r="B7" s="65" t="s">
        <v>200</v>
      </c>
      <c r="C7" s="66"/>
      <c r="D7" s="66"/>
      <c r="E7" s="66"/>
      <c r="F7" s="66"/>
      <c r="G7" s="66"/>
      <c r="H7" s="66"/>
    </row>
    <row r="8" spans="2:21" x14ac:dyDescent="0.25">
      <c r="B8" s="67"/>
      <c r="C8" s="68"/>
      <c r="D8" s="1"/>
      <c r="E8" s="1"/>
      <c r="F8" s="1"/>
      <c r="G8" s="1"/>
      <c r="H8" s="1"/>
    </row>
    <row r="9" spans="2:21" x14ac:dyDescent="0.25">
      <c r="B9" s="69" t="s">
        <v>71</v>
      </c>
      <c r="C9" s="70"/>
      <c r="D9" s="70" t="s">
        <v>201</v>
      </c>
      <c r="E9" s="70"/>
      <c r="F9" s="70"/>
      <c r="G9" s="70"/>
      <c r="H9" s="70"/>
    </row>
    <row r="11" spans="2:21" ht="60" x14ac:dyDescent="0.25">
      <c r="B11" s="111"/>
      <c r="C11" s="115"/>
      <c r="D11" s="115" t="s">
        <v>3</v>
      </c>
      <c r="E11" s="115" t="s">
        <v>5</v>
      </c>
      <c r="F11" s="116" t="s">
        <v>9</v>
      </c>
      <c r="G11" s="115" t="s">
        <v>23</v>
      </c>
      <c r="H11" s="115" t="s">
        <v>22</v>
      </c>
      <c r="I11" s="115" t="s">
        <v>17</v>
      </c>
      <c r="J11" s="115" t="s">
        <v>18</v>
      </c>
      <c r="K11" s="116" t="s">
        <v>13</v>
      </c>
      <c r="L11" s="115" t="s">
        <v>24</v>
      </c>
      <c r="M11" s="115" t="s">
        <v>25</v>
      </c>
      <c r="N11" s="115" t="s">
        <v>19</v>
      </c>
      <c r="O11" s="115" t="s">
        <v>20</v>
      </c>
      <c r="P11" s="116" t="s">
        <v>15</v>
      </c>
      <c r="Q11" s="115" t="s">
        <v>27</v>
      </c>
      <c r="R11" s="115" t="s">
        <v>28</v>
      </c>
      <c r="S11" s="115" t="s">
        <v>10</v>
      </c>
      <c r="T11" s="115" t="s">
        <v>30</v>
      </c>
      <c r="U11" s="115" t="s">
        <v>11</v>
      </c>
    </row>
    <row r="12" spans="2:21" ht="30" x14ac:dyDescent="0.25">
      <c r="B12" s="111"/>
      <c r="C12" s="117" t="s">
        <v>0</v>
      </c>
      <c r="D12" s="114" t="s">
        <v>4</v>
      </c>
      <c r="E12" s="114" t="s">
        <v>6</v>
      </c>
      <c r="F12" s="117" t="s">
        <v>7</v>
      </c>
      <c r="G12" s="117" t="s">
        <v>7</v>
      </c>
      <c r="H12" s="118" t="s">
        <v>21</v>
      </c>
      <c r="I12" s="114" t="s">
        <v>4</v>
      </c>
      <c r="J12" s="114" t="s">
        <v>6</v>
      </c>
      <c r="K12" s="117" t="s">
        <v>14</v>
      </c>
      <c r="L12" s="117" t="s">
        <v>14</v>
      </c>
      <c r="M12" s="118" t="s">
        <v>26</v>
      </c>
      <c r="N12" s="114" t="s">
        <v>4</v>
      </c>
      <c r="O12" s="114" t="s">
        <v>6</v>
      </c>
      <c r="P12" s="117" t="s">
        <v>16</v>
      </c>
      <c r="Q12" s="117" t="s">
        <v>16</v>
      </c>
      <c r="R12" s="118" t="s">
        <v>29</v>
      </c>
      <c r="S12" s="117" t="s">
        <v>8</v>
      </c>
      <c r="T12" s="117" t="s">
        <v>8</v>
      </c>
      <c r="U12" s="118" t="s">
        <v>12</v>
      </c>
    </row>
    <row r="13" spans="2:21" x14ac:dyDescent="0.25">
      <c r="B13" s="110"/>
      <c r="C13" s="110">
        <v>1991</v>
      </c>
      <c r="D13" s="119">
        <f>IF($C13&gt;2004,(Capital!C6),((Capital!C6*(9/12))+(Capital!C7*(3/12))))</f>
        <v>140.67499999999995</v>
      </c>
      <c r="E13" s="119">
        <f>IF($C13&gt;2004,(Capital!D6),((Capital!D6*(9/12))+(Capital!D7*(3/12))))</f>
        <v>0</v>
      </c>
      <c r="F13" s="119">
        <f>IF($C13&gt;2004,(Capital!E6),((Capital!E6*(9/12))+(Capital!E7*(3/12))))</f>
        <v>1623.6250000000002</v>
      </c>
      <c r="G13" s="119">
        <f>IF($C13&gt;2004,(Capital!F6),((Capital!F6*(9/12))+(Capital!F7*(3/12))))</f>
        <v>-360.47499999999997</v>
      </c>
      <c r="H13" s="119">
        <f>IF($C13&gt;2004,(Capital!G6),((Capital!G6*(9/12))+(Capital!G7*(3/12))))</f>
        <v>1263.1500000000001</v>
      </c>
      <c r="I13" s="119">
        <f>IF($C13&gt;2004,(Capital!H6),((Capital!H6*(9/12))+(Capital!H7*(3/12))))</f>
        <v>1.0250000000000001</v>
      </c>
      <c r="J13" s="119">
        <f>IF($C13&gt;2004,(Capital!I6),((Capital!I6*(9/12))+(Capital!I7*(3/12))))</f>
        <v>0</v>
      </c>
      <c r="K13" s="119">
        <f>IF($C13&gt;2004,(Capital!J6),((Capital!J6*(9/12))+(Capital!J7*(3/12))))</f>
        <v>4.0500000000000007</v>
      </c>
      <c r="L13" s="119">
        <f>IF($C13&gt;2004,(Capital!K6),((Capital!K6*(9/12))+(Capital!K7*(3/12))))</f>
        <v>-1.4249999999999998</v>
      </c>
      <c r="M13" s="119">
        <f>IF($C13&gt;2004,(Capital!L6),((Capital!L6*(9/12))+(Capital!L7*(3/12))))</f>
        <v>2.625</v>
      </c>
      <c r="N13" s="119">
        <f>IF($C13&gt;2004,(Capital!M6),((Capital!M6*(9/12))+(Capital!M7*(3/12))))</f>
        <v>43.125000000000014</v>
      </c>
      <c r="O13" s="119">
        <f>IF($C13&gt;2004,(Capital!N6),((Capital!N6*(9/12))+(Capital!N7*(3/12))))</f>
        <v>0</v>
      </c>
      <c r="P13" s="119">
        <f>IF($C13&gt;2004,(Capital!O6),((Capital!O6*(9/12))+(Capital!O7*(3/12))))</f>
        <v>442.80000000000007</v>
      </c>
      <c r="Q13" s="119">
        <f>IF($C13&gt;2004,(Capital!P6),((Capital!P6*(9/12))+(Capital!P7*(3/12))))</f>
        <v>-144.57500000000002</v>
      </c>
      <c r="R13" s="119">
        <f>IF($C13&gt;2004,(Capital!Q6),((Capital!Q6*(9/12))+(Capital!Q7*(3/12))))</f>
        <v>298.22500000000002</v>
      </c>
      <c r="S13" s="119">
        <f>IF($C13&gt;2004,(Capital!R6),((Capital!R6*(9/12))+(Capital!R7*(3/12))))</f>
        <v>2070.4749999999999</v>
      </c>
      <c r="T13" s="119">
        <f>IF($C13&gt;2004,(Capital!S6),((Capital!S6*(9/12))+(Capital!S7*(3/12))))</f>
        <v>-506.47499999999997</v>
      </c>
      <c r="U13" s="119">
        <f>IF($C13&gt;2004,(Capital!T6),((Capital!T6*(9/12))+(Capital!T7*(3/12))))</f>
        <v>1564</v>
      </c>
    </row>
    <row r="14" spans="2:21" x14ac:dyDescent="0.25">
      <c r="B14" s="110"/>
      <c r="C14" s="110">
        <f>C13+1</f>
        <v>1992</v>
      </c>
      <c r="D14" s="119">
        <f>IF($C14&gt;2004,(Capital!C7),((Capital!C7*(9/12))+(Capital!C8*(3/12))))</f>
        <v>169.07499999999993</v>
      </c>
      <c r="E14" s="119">
        <f>IF($C14&gt;2004,(Capital!D7),((Capital!D7*(9/12))+(Capital!D8*(3/12))))</f>
        <v>0</v>
      </c>
      <c r="F14" s="119">
        <f>IF($C14&gt;2004,(Capital!E7),((Capital!E7*(9/12))+(Capital!E8*(3/12))))</f>
        <v>1789.9499999999998</v>
      </c>
      <c r="G14" s="119">
        <f>IF($C14&gt;2004,(Capital!F7),((Capital!F7*(9/12))+(Capital!F8*(3/12))))</f>
        <v>-394.90000000000003</v>
      </c>
      <c r="H14" s="119">
        <f>IF($C14&gt;2004,(Capital!G7),((Capital!G7*(9/12))+(Capital!G8*(3/12))))</f>
        <v>1395.05</v>
      </c>
      <c r="I14" s="119">
        <f>IF($C14&gt;2004,(Capital!H7),((Capital!H7*(9/12))+(Capital!H8*(3/12))))</f>
        <v>3.6</v>
      </c>
      <c r="J14" s="119">
        <f>IF($C14&gt;2004,(Capital!I7),((Capital!I7*(9/12))+(Capital!I8*(3/12))))</f>
        <v>0</v>
      </c>
      <c r="K14" s="119">
        <f>IF($C14&gt;2004,(Capital!J7),((Capital!J7*(9/12))+(Capital!J8*(3/12))))</f>
        <v>34.674999999999997</v>
      </c>
      <c r="L14" s="119">
        <f>IF($C14&gt;2004,(Capital!K7),((Capital!K7*(9/12))+(Capital!K8*(3/12))))</f>
        <v>-8.1</v>
      </c>
      <c r="M14" s="119">
        <f>IF($C14&gt;2004,(Capital!L7),((Capital!L7*(9/12))+(Capital!L8*(3/12))))</f>
        <v>26.574999999999999</v>
      </c>
      <c r="N14" s="119">
        <f>IF($C14&gt;2004,(Capital!M7),((Capital!M7*(9/12))+(Capital!M8*(3/12))))</f>
        <v>60.94999999999996</v>
      </c>
      <c r="O14" s="119">
        <f>IF($C14&gt;2004,(Capital!N7),((Capital!N7*(9/12))+(Capital!N8*(3/12))))</f>
        <v>0</v>
      </c>
      <c r="P14" s="119">
        <f>IF($C14&gt;2004,(Capital!O7),((Capital!O7*(9/12))+(Capital!O8*(3/12))))</f>
        <v>503.87499999999994</v>
      </c>
      <c r="Q14" s="119">
        <f>IF($C14&gt;2004,(Capital!P7),((Capital!P7*(9/12))+(Capital!P8*(3/12))))</f>
        <v>-161.77500000000001</v>
      </c>
      <c r="R14" s="119">
        <f>IF($C14&gt;2004,(Capital!Q7),((Capital!Q7*(9/12))+(Capital!Q8*(3/12))))</f>
        <v>342.09999999999997</v>
      </c>
      <c r="S14" s="119">
        <f>IF($C14&gt;2004,(Capital!R7),((Capital!R7*(9/12))+(Capital!R8*(3/12))))</f>
        <v>2328.5</v>
      </c>
      <c r="T14" s="119">
        <f>IF($C14&gt;2004,(Capital!S7),((Capital!S7*(9/12))+(Capital!S8*(3/12))))</f>
        <v>-564.77500000000009</v>
      </c>
      <c r="U14" s="119">
        <f>IF($C14&gt;2004,(Capital!T7),((Capital!T7*(9/12))+(Capital!T8*(3/12))))</f>
        <v>1763.7249999999999</v>
      </c>
    </row>
    <row r="15" spans="2:21" x14ac:dyDescent="0.25">
      <c r="B15" s="110"/>
      <c r="C15" s="110">
        <f t="shared" ref="C15:C38" si="0">C14+1</f>
        <v>1993</v>
      </c>
      <c r="D15" s="119">
        <f>IF($C15&gt;2004,(Capital!C8),((Capital!C8*(9/12))+(Capital!C9*(3/12))))</f>
        <v>163.3249999999999</v>
      </c>
      <c r="E15" s="119">
        <f>IF($C15&gt;2004,(Capital!D8),((Capital!D8*(9/12))+(Capital!D9*(3/12))))</f>
        <v>-2.7250000000000001</v>
      </c>
      <c r="F15" s="119">
        <f>IF($C15&gt;2004,(Capital!E8),((Capital!E8*(9/12))+(Capital!E9*(3/12))))</f>
        <v>1953.25</v>
      </c>
      <c r="G15" s="119">
        <f>IF($C15&gt;2004,(Capital!F8),((Capital!F8*(9/12))+(Capital!F9*(3/12))))</f>
        <v>-436.5</v>
      </c>
      <c r="H15" s="119">
        <f>IF($C15&gt;2004,(Capital!G8),((Capital!G8*(9/12))+(Capital!G9*(3/12))))</f>
        <v>1516.75</v>
      </c>
      <c r="I15" s="119">
        <f>IF($C15&gt;2004,(Capital!H8),((Capital!H8*(9/12))+(Capital!H9*(3/12))))</f>
        <v>2.5499999999999998</v>
      </c>
      <c r="J15" s="119">
        <f>IF($C15&gt;2004,(Capital!I8),((Capital!I8*(9/12))+(Capital!I9*(3/12))))</f>
        <v>-2.5000000000000001E-2</v>
      </c>
      <c r="K15" s="119">
        <f>IF($C15&gt;2004,(Capital!J8),((Capital!J8*(9/12))+(Capital!J9*(3/12))))</f>
        <v>118.27500000000001</v>
      </c>
      <c r="L15" s="119">
        <f>IF($C15&gt;2004,(Capital!K8),((Capital!K8*(9/12))+(Capital!K9*(3/12))))</f>
        <v>-28.524999999999999</v>
      </c>
      <c r="M15" s="119">
        <f>IF($C15&gt;2004,(Capital!L8),((Capital!L8*(9/12))+(Capital!L9*(3/12))))</f>
        <v>89.749999999999986</v>
      </c>
      <c r="N15" s="119">
        <f>IF($C15&gt;2004,(Capital!M8),((Capital!M8*(9/12))+(Capital!M9*(3/12))))</f>
        <v>77.799999999999983</v>
      </c>
      <c r="O15" s="119">
        <f>IF($C15&gt;2004,(Capital!N8),((Capital!N8*(9/12))+(Capital!N9*(3/12))))</f>
        <v>-3.75</v>
      </c>
      <c r="P15" s="119">
        <f>IF($C15&gt;2004,(Capital!O8),((Capital!O8*(9/12))+(Capital!O9*(3/12))))</f>
        <v>578.29999999999995</v>
      </c>
      <c r="Q15" s="119">
        <f>IF($C15&gt;2004,(Capital!P8),((Capital!P8*(9/12))+(Capital!P9*(3/12))))</f>
        <v>-183.7</v>
      </c>
      <c r="R15" s="119">
        <f>IF($C15&gt;2004,(Capital!Q8),((Capital!Q8*(9/12))+(Capital!Q9*(3/12))))</f>
        <v>394.59999999999997</v>
      </c>
      <c r="S15" s="119">
        <f>IF($C15&gt;2004,(Capital!R8),((Capital!R8*(9/12))+(Capital!R9*(3/12))))</f>
        <v>2649.8249999999998</v>
      </c>
      <c r="T15" s="119">
        <f>IF($C15&gt;2004,(Capital!S8),((Capital!S8*(9/12))+(Capital!S9*(3/12))))</f>
        <v>-648.72500000000002</v>
      </c>
      <c r="U15" s="119">
        <f>IF($C15&gt;2004,(Capital!T8),((Capital!T8*(9/12))+(Capital!T9*(3/12))))</f>
        <v>2001.1</v>
      </c>
    </row>
    <row r="16" spans="2:21" x14ac:dyDescent="0.25">
      <c r="B16" s="110"/>
      <c r="C16" s="110">
        <f t="shared" si="0"/>
        <v>1994</v>
      </c>
      <c r="D16" s="119">
        <f>IF($C16&gt;2004,(Capital!C9),((Capital!C9*(9/12))+(Capital!C10*(3/12))))</f>
        <v>136.27499999999998</v>
      </c>
      <c r="E16" s="119">
        <f>IF($C16&gt;2004,(Capital!D9),((Capital!D9*(9/12))+(Capital!D10*(3/12))))</f>
        <v>-11.9</v>
      </c>
      <c r="F16" s="119">
        <f>IF($C16&gt;2004,(Capital!E9),((Capital!E9*(9/12))+(Capital!E10*(3/12))))</f>
        <v>2081.4249999999997</v>
      </c>
      <c r="G16" s="119">
        <f>IF($C16&gt;2004,(Capital!F9),((Capital!F9*(9/12))+(Capital!F10*(3/12))))</f>
        <v>-479.77499999999998</v>
      </c>
      <c r="H16" s="119">
        <f>IF($C16&gt;2004,(Capital!G9),((Capital!G9*(9/12))+(Capital!G10*(3/12))))</f>
        <v>1601.6499999999999</v>
      </c>
      <c r="I16" s="119">
        <f>IF($C16&gt;2004,(Capital!H9),((Capital!H9*(9/12))+(Capital!H10*(3/12))))</f>
        <v>1.7249999999999999</v>
      </c>
      <c r="J16" s="119">
        <f>IF($C16&gt;2004,(Capital!I9),((Capital!I9*(9/12))+(Capital!I10*(3/12))))</f>
        <v>-0.1</v>
      </c>
      <c r="K16" s="119">
        <f>IF($C16&gt;2004,(Capital!J9),((Capital!J9*(9/12))+(Capital!J10*(3/12))))</f>
        <v>119.77499999999999</v>
      </c>
      <c r="L16" s="119">
        <f>IF($C16&gt;2004,(Capital!K9),((Capital!K9*(9/12))+(Capital!K10*(3/12))))</f>
        <v>-31.024999999999999</v>
      </c>
      <c r="M16" s="119">
        <f>IF($C16&gt;2004,(Capital!L9),((Capital!L9*(9/12))+(Capital!L10*(3/12))))</f>
        <v>88.75</v>
      </c>
      <c r="N16" s="119">
        <f>IF($C16&gt;2004,(Capital!M9),((Capital!M9*(9/12))+(Capital!M10*(3/12))))</f>
        <v>111.55</v>
      </c>
      <c r="O16" s="119">
        <f>IF($C16&gt;2004,(Capital!N9),((Capital!N9*(9/12))+(Capital!N10*(3/12))))</f>
        <v>-14.275</v>
      </c>
      <c r="P16" s="119">
        <f>IF($C16&gt;2004,(Capital!O9),((Capital!O9*(9/12))+(Capital!O10*(3/12))))</f>
        <v>675.57499999999993</v>
      </c>
      <c r="Q16" s="119">
        <f>IF($C16&gt;2004,(Capital!P9),((Capital!P9*(9/12))+(Capital!P10*(3/12))))</f>
        <v>-211.25</v>
      </c>
      <c r="R16" s="119">
        <f>IF($C16&gt;2004,(Capital!Q9),((Capital!Q9*(9/12))+(Capital!Q10*(3/12))))</f>
        <v>464.32499999999993</v>
      </c>
      <c r="S16" s="119">
        <f>IF($C16&gt;2004,(Capital!R9),((Capital!R9*(9/12))+(Capital!R10*(3/12))))</f>
        <v>2876.7749999999996</v>
      </c>
      <c r="T16" s="119">
        <f>IF($C16&gt;2004,(Capital!S9),((Capital!S9*(9/12))+(Capital!S10*(3/12))))</f>
        <v>-722.05</v>
      </c>
      <c r="U16" s="119">
        <f>IF($C16&gt;2004,(Capital!T9),((Capital!T9*(9/12))+(Capital!T10*(3/12))))</f>
        <v>2154.7249999999999</v>
      </c>
    </row>
    <row r="17" spans="2:21" x14ac:dyDescent="0.25">
      <c r="B17" s="110"/>
      <c r="C17" s="110">
        <f t="shared" si="0"/>
        <v>1995</v>
      </c>
      <c r="D17" s="119">
        <f>IF($C17&gt;2004,(Capital!C10),((Capital!C10*(9/12))+(Capital!C11*(3/12))))</f>
        <v>160.875</v>
      </c>
      <c r="E17" s="119">
        <f>IF($C17&gt;2004,(Capital!D10),((Capital!D10*(9/12))+(Capital!D11*(3/12))))</f>
        <v>-16.675000000000001</v>
      </c>
      <c r="F17" s="119">
        <f>IF($C17&gt;2004,(Capital!E10),((Capital!E10*(9/12))+(Capital!E11*(3/12))))</f>
        <v>2231.25</v>
      </c>
      <c r="G17" s="119">
        <f>IF($C17&gt;2004,(Capital!F10),((Capital!F10*(9/12))+(Capital!F11*(3/12))))</f>
        <v>-520.19999999999993</v>
      </c>
      <c r="H17" s="119">
        <f>IF($C17&gt;2004,(Capital!G10),((Capital!G10*(9/12))+(Capital!G11*(3/12))))</f>
        <v>1711.05</v>
      </c>
      <c r="I17" s="119">
        <f>IF($C17&gt;2004,(Capital!H10),((Capital!H10*(9/12))+(Capital!H11*(3/12))))</f>
        <v>5.375</v>
      </c>
      <c r="J17" s="119">
        <f>IF($C17&gt;2004,(Capital!I10),((Capital!I10*(9/12))+(Capital!I11*(3/12))))</f>
        <v>-0.1</v>
      </c>
      <c r="K17" s="119">
        <f>IF($C17&gt;2004,(Capital!J10),((Capital!J10*(9/12))+(Capital!J11*(3/12))))</f>
        <v>124.55</v>
      </c>
      <c r="L17" s="119">
        <f>IF($C17&gt;2004,(Capital!K10),((Capital!K10*(9/12))+(Capital!K11*(3/12))))</f>
        <v>-33.625</v>
      </c>
      <c r="M17" s="119">
        <f>IF($C17&gt;2004,(Capital!L10),((Capital!L10*(9/12))+(Capital!L11*(3/12))))</f>
        <v>90.925000000000011</v>
      </c>
      <c r="N17" s="119">
        <f>IF($C17&gt;2004,(Capital!M10),((Capital!M10*(9/12))+(Capital!M11*(3/12))))</f>
        <v>120.7</v>
      </c>
      <c r="O17" s="119">
        <f>IF($C17&gt;2004,(Capital!N10),((Capital!N10*(9/12))+(Capital!N11*(3/12))))</f>
        <v>-15.975</v>
      </c>
      <c r="P17" s="119">
        <f>IF($C17&gt;2004,(Capital!O10),((Capital!O10*(9/12))+(Capital!O11*(3/12))))</f>
        <v>780.3</v>
      </c>
      <c r="Q17" s="119">
        <f>IF($C17&gt;2004,(Capital!P10),((Capital!P10*(9/12))+(Capital!P11*(3/12))))</f>
        <v>-246.9</v>
      </c>
      <c r="R17" s="119">
        <f>IF($C17&gt;2004,(Capital!Q10),((Capital!Q10*(9/12))+(Capital!Q11*(3/12))))</f>
        <v>533.4</v>
      </c>
      <c r="S17" s="119">
        <f>IF($C17&gt;2004,(Capital!R10),((Capital!R10*(9/12))+(Capital!R11*(3/12))))</f>
        <v>3136.1000000000004</v>
      </c>
      <c r="T17" s="119">
        <f>IF($C17&gt;2004,(Capital!S10),((Capital!S10*(9/12))+(Capital!S11*(3/12))))</f>
        <v>-800.72499999999991</v>
      </c>
      <c r="U17" s="119">
        <f>IF($C17&gt;2004,(Capital!T10),((Capital!T10*(9/12))+(Capital!T11*(3/12))))</f>
        <v>2335.375</v>
      </c>
    </row>
    <row r="18" spans="2:21" x14ac:dyDescent="0.25">
      <c r="B18" s="110"/>
      <c r="C18" s="110">
        <f t="shared" si="0"/>
        <v>1996</v>
      </c>
      <c r="D18" s="119">
        <f>IF($C18&gt;2004,(Capital!C11),((Capital!C11*(9/12))+(Capital!C12*(3/12))))</f>
        <v>184.92499999999998</v>
      </c>
      <c r="E18" s="119">
        <f>IF($C18&gt;2004,(Capital!D11),((Capital!D11*(9/12))+(Capital!D12*(3/12))))</f>
        <v>-23.5</v>
      </c>
      <c r="F18" s="119">
        <f>IF($C18&gt;2004,(Capital!E11),((Capital!E11*(9/12))+(Capital!E12*(3/12))))</f>
        <v>2403.4250000000002</v>
      </c>
      <c r="G18" s="119">
        <f>IF($C18&gt;2004,(Capital!F11),((Capital!F11*(9/12))+(Capital!F12*(3/12))))</f>
        <v>-561.87499999999989</v>
      </c>
      <c r="H18" s="119">
        <f>IF($C18&gt;2004,(Capital!G11),((Capital!G11*(9/12))+(Capital!G12*(3/12))))</f>
        <v>1841.5500000000002</v>
      </c>
      <c r="I18" s="119">
        <f>IF($C18&gt;2004,(Capital!H11),((Capital!H11*(9/12))+(Capital!H12*(3/12))))</f>
        <v>11.6</v>
      </c>
      <c r="J18" s="119">
        <f>IF($C18&gt;2004,(Capital!I11),((Capital!I11*(9/12))+(Capital!I12*(3/12))))</f>
        <v>-0.25</v>
      </c>
      <c r="K18" s="119">
        <f>IF($C18&gt;2004,(Capital!J11),((Capital!J11*(9/12))+(Capital!J12*(3/12))))</f>
        <v>135.52500000000001</v>
      </c>
      <c r="L18" s="119">
        <f>IF($C18&gt;2004,(Capital!K11),((Capital!K11*(9/12))+(Capital!K12*(3/12))))</f>
        <v>-36.349999999999994</v>
      </c>
      <c r="M18" s="119">
        <f>IF($C18&gt;2004,(Capital!L11),((Capital!L11*(9/12))+(Capital!L12*(3/12))))</f>
        <v>99.175000000000011</v>
      </c>
      <c r="N18" s="119">
        <f>IF($C18&gt;2004,(Capital!M11),((Capital!M11*(9/12))+(Capital!M12*(3/12))))</f>
        <v>140.27500000000001</v>
      </c>
      <c r="O18" s="119">
        <f>IF($C18&gt;2004,(Capital!N11),((Capital!N11*(9/12))+(Capital!N12*(3/12))))</f>
        <v>-28.450000000000003</v>
      </c>
      <c r="P18" s="119">
        <f>IF($C18&gt;2004,(Capital!O11),((Capital!O11*(9/12))+(Capital!O12*(3/12))))</f>
        <v>891.1</v>
      </c>
      <c r="Q18" s="119">
        <f>IF($C18&gt;2004,(Capital!P11),((Capital!P11*(9/12))+(Capital!P12*(3/12))))</f>
        <v>-281.75</v>
      </c>
      <c r="R18" s="119">
        <f>IF($C18&gt;2004,(Capital!Q11),((Capital!Q11*(9/12))+(Capital!Q12*(3/12))))</f>
        <v>609.34999999999991</v>
      </c>
      <c r="S18" s="119">
        <f>IF($C18&gt;2004,(Capital!R11),((Capital!R11*(9/12))+(Capital!R12*(3/12))))</f>
        <v>3430.05</v>
      </c>
      <c r="T18" s="119">
        <f>IF($C18&gt;2004,(Capital!S11),((Capital!S11*(9/12))+(Capital!S12*(3/12))))</f>
        <v>-879.97499999999991</v>
      </c>
      <c r="U18" s="119">
        <f>IF($C18&gt;2004,(Capital!T11),((Capital!T11*(9/12))+(Capital!T12*(3/12))))</f>
        <v>2550.0750000000007</v>
      </c>
    </row>
    <row r="19" spans="2:21" x14ac:dyDescent="0.25">
      <c r="B19" s="110"/>
      <c r="C19" s="110">
        <f t="shared" si="0"/>
        <v>1997</v>
      </c>
      <c r="D19" s="119">
        <f>IF($C19&gt;2004,(Capital!C12),((Capital!C12*(9/12))+(Capital!C13*(3/12))))</f>
        <v>198.45000000000002</v>
      </c>
      <c r="E19" s="119">
        <f>IF($C19&gt;2004,(Capital!D12),((Capital!D12*(9/12))+(Capital!D13*(3/12))))</f>
        <v>-24.824999999999999</v>
      </c>
      <c r="F19" s="119">
        <f>IF($C19&gt;2004,(Capital!E12),((Capital!E12*(9/12))+(Capital!E13*(3/12))))</f>
        <v>2576.125</v>
      </c>
      <c r="G19" s="119">
        <f>IF($C19&gt;2004,(Capital!F12),((Capital!F12*(9/12))+(Capital!F13*(3/12))))</f>
        <v>-617.79999999999995</v>
      </c>
      <c r="H19" s="119">
        <f>IF($C19&gt;2004,(Capital!G12),((Capital!G12*(9/12))+(Capital!G13*(3/12))))</f>
        <v>1958.3250000000003</v>
      </c>
      <c r="I19" s="119">
        <f>IF($C19&gt;2004,(Capital!H12),((Capital!H12*(9/12))+(Capital!H13*(3/12))))</f>
        <v>17.924999999999997</v>
      </c>
      <c r="J19" s="119">
        <f>IF($C19&gt;2004,(Capital!I12),((Capital!I12*(9/12))+(Capital!I13*(3/12))))</f>
        <v>-0.52499999999999991</v>
      </c>
      <c r="K19" s="119">
        <f>IF($C19&gt;2004,(Capital!J12),((Capital!J12*(9/12))+(Capital!J13*(3/12))))</f>
        <v>152.92499999999998</v>
      </c>
      <c r="L19" s="119">
        <f>IF($C19&gt;2004,(Capital!K12),((Capital!K12*(9/12))+(Capital!K13*(3/12))))</f>
        <v>-38.85</v>
      </c>
      <c r="M19" s="119">
        <f>IF($C19&gt;2004,(Capital!L12),((Capital!L12*(9/12))+(Capital!L13*(3/12))))</f>
        <v>114.07499999999999</v>
      </c>
      <c r="N19" s="119">
        <f>IF($C19&gt;2004,(Capital!M12),((Capital!M12*(9/12))+(Capital!M13*(3/12))))</f>
        <v>174.5</v>
      </c>
      <c r="O19" s="119">
        <f>IF($C19&gt;2004,(Capital!N12),((Capital!N12*(9/12))+(Capital!N13*(3/12))))</f>
        <v>-32.299999999999997</v>
      </c>
      <c r="P19" s="119">
        <f>IF($C19&gt;2004,(Capital!O12),((Capital!O12*(9/12))+(Capital!O13*(3/12))))</f>
        <v>1029.8499999999999</v>
      </c>
      <c r="Q19" s="119">
        <f>IF($C19&gt;2004,(Capital!P12),((Capital!P12*(9/12))+(Capital!P13*(3/12))))</f>
        <v>-330.79999999999995</v>
      </c>
      <c r="R19" s="119">
        <f>IF($C19&gt;2004,(Capital!Q12),((Capital!Q12*(9/12))+(Capital!Q13*(3/12))))</f>
        <v>699.05000000000007</v>
      </c>
      <c r="S19" s="119">
        <f>IF($C19&gt;2004,(Capital!R12),((Capital!R12*(9/12))+(Capital!R13*(3/12))))</f>
        <v>3758.8999999999996</v>
      </c>
      <c r="T19" s="119">
        <f>IF($C19&gt;2004,(Capital!S12),((Capital!S12*(9/12))+(Capital!S13*(3/12))))</f>
        <v>-987.45</v>
      </c>
      <c r="U19" s="119">
        <f>IF($C19&gt;2004,(Capital!T12),((Capital!T12*(9/12))+(Capital!T13*(3/12))))</f>
        <v>2771.45</v>
      </c>
    </row>
    <row r="20" spans="2:21" x14ac:dyDescent="0.25">
      <c r="B20" s="110"/>
      <c r="C20" s="110">
        <f t="shared" si="0"/>
        <v>1998</v>
      </c>
      <c r="D20" s="119">
        <f>IF($C20&gt;2004,(Capital!C13),((Capital!C13*(9/12))+(Capital!C14*(3/12))))</f>
        <v>185.2</v>
      </c>
      <c r="E20" s="119">
        <f>IF($C20&gt;2004,(Capital!D13),((Capital!D13*(9/12))+(Capital!D14*(3/12))))</f>
        <v>-17.175000000000001</v>
      </c>
      <c r="F20" s="119">
        <f>IF($C20&gt;2004,(Capital!E13),((Capital!E13*(9/12))+(Capital!E14*(3/12))))</f>
        <v>2743.9250000000002</v>
      </c>
      <c r="G20" s="119">
        <f>IF($C20&gt;2004,(Capital!F13),((Capital!F13*(9/12))+(Capital!F14*(3/12))))</f>
        <v>-686.8</v>
      </c>
      <c r="H20" s="119">
        <f>IF($C20&gt;2004,(Capital!G13),((Capital!G13*(9/12))+(Capital!G14*(3/12))))</f>
        <v>2057.125</v>
      </c>
      <c r="I20" s="119">
        <f>IF($C20&gt;2004,(Capital!H13),((Capital!H13*(9/12))+(Capital!H14*(3/12))))</f>
        <v>29.249999999999996</v>
      </c>
      <c r="J20" s="119">
        <f>IF($C20&gt;2004,(Capital!I13),((Capital!I13*(9/12))+(Capital!I14*(3/12))))</f>
        <v>0</v>
      </c>
      <c r="K20" s="119">
        <f>IF($C20&gt;2004,(Capital!J13),((Capital!J13*(9/12))+(Capital!J14*(3/12))))</f>
        <v>182.17499999999998</v>
      </c>
      <c r="L20" s="119">
        <f>IF($C20&gt;2004,(Capital!K13),((Capital!K13*(9/12))+(Capital!K14*(3/12))))</f>
        <v>-42.424999999999997</v>
      </c>
      <c r="M20" s="119">
        <f>IF($C20&gt;2004,(Capital!L13),((Capital!L13*(9/12))+(Capital!L14*(3/12))))</f>
        <v>139.75</v>
      </c>
      <c r="N20" s="119">
        <f>IF($C20&gt;2004,(Capital!M13),((Capital!M13*(9/12))+(Capital!M14*(3/12))))</f>
        <v>137.02500000000001</v>
      </c>
      <c r="O20" s="119">
        <f>IF($C20&gt;2004,(Capital!N13),((Capital!N13*(9/12))+(Capital!N14*(3/12))))</f>
        <v>-37.725000000000001</v>
      </c>
      <c r="P20" s="119">
        <f>IF($C20&gt;2004,(Capital!O13),((Capital!O13*(9/12))+(Capital!O14*(3/12))))</f>
        <v>1128.25</v>
      </c>
      <c r="Q20" s="119">
        <f>IF($C20&gt;2004,(Capital!P13),((Capital!P13*(9/12))+(Capital!P14*(3/12))))</f>
        <v>-393.95000000000005</v>
      </c>
      <c r="R20" s="119">
        <f>IF($C20&gt;2004,(Capital!Q13),((Capital!Q13*(9/12))+(Capital!Q14*(3/12))))</f>
        <v>734.30000000000007</v>
      </c>
      <c r="S20" s="119">
        <f>IF($C20&gt;2004,(Capital!R13),((Capital!R13*(9/12))+(Capital!R14*(3/12))))</f>
        <v>4054.35</v>
      </c>
      <c r="T20" s="119">
        <f>IF($C20&gt;2004,(Capital!S13),((Capital!S13*(9/12))+(Capital!S14*(3/12))))</f>
        <v>-1123.1749999999997</v>
      </c>
      <c r="U20" s="119">
        <f>IF($C20&gt;2004,(Capital!T13),((Capital!T13*(9/12))+(Capital!T14*(3/12))))</f>
        <v>2931.1749999999997</v>
      </c>
    </row>
    <row r="21" spans="2:21" x14ac:dyDescent="0.25">
      <c r="B21" s="110"/>
      <c r="C21" s="110">
        <f t="shared" si="0"/>
        <v>1999</v>
      </c>
      <c r="D21" s="119">
        <f>IF($C21&gt;2004,(Capital!C14),((Capital!C14*(9/12))+(Capital!C15*(3/12))))</f>
        <v>181.875</v>
      </c>
      <c r="E21" s="119">
        <f>IF($C21&gt;2004,(Capital!D14),((Capital!D14*(9/12))+(Capital!D15*(3/12))))</f>
        <v>-23.6</v>
      </c>
      <c r="F21" s="119">
        <f>IF($C21&gt;2004,(Capital!E14),((Capital!E14*(9/12))+(Capital!E15*(3/12))))</f>
        <v>2902.7750000000005</v>
      </c>
      <c r="G21" s="119">
        <f>IF($C21&gt;2004,(Capital!F14),((Capital!F14*(9/12))+(Capital!F15*(3/12))))</f>
        <v>-755.95</v>
      </c>
      <c r="H21" s="119">
        <f>IF($C21&gt;2004,(Capital!G14),((Capital!G14*(9/12))+(Capital!G15*(3/12))))</f>
        <v>2146.8249999999998</v>
      </c>
      <c r="I21" s="119">
        <f>IF($C21&gt;2004,(Capital!H14),((Capital!H14*(9/12))+(Capital!H15*(3/12))))</f>
        <v>10.7</v>
      </c>
      <c r="J21" s="119">
        <f>IF($C21&gt;2004,(Capital!I14),((Capital!I14*(9/12))+(Capital!I15*(3/12))))</f>
        <v>-0.125</v>
      </c>
      <c r="K21" s="119">
        <f>IF($C21&gt;2004,(Capital!J14),((Capital!J14*(9/12))+(Capital!J15*(3/12))))</f>
        <v>192.60000000000002</v>
      </c>
      <c r="L21" s="119">
        <f>IF($C21&gt;2004,(Capital!K14),((Capital!K14*(9/12))+(Capital!K15*(3/12))))</f>
        <v>-46.475000000000001</v>
      </c>
      <c r="M21" s="119">
        <f>IF($C21&gt;2004,(Capital!L14),((Capital!L14*(9/12))+(Capital!L15*(3/12))))</f>
        <v>146.125</v>
      </c>
      <c r="N21" s="119">
        <f>IF($C21&gt;2004,(Capital!M14),((Capital!M14*(9/12))+(Capital!M15*(3/12))))</f>
        <v>96.624999999999986</v>
      </c>
      <c r="O21" s="119">
        <f>IF($C21&gt;2004,(Capital!N14),((Capital!N14*(9/12))+(Capital!N15*(3/12))))</f>
        <v>-38.074999999999996</v>
      </c>
      <c r="P21" s="119">
        <f>IF($C21&gt;2004,(Capital!O14),((Capital!O14*(9/12))+(Capital!O15*(3/12))))</f>
        <v>966.27500000000009</v>
      </c>
      <c r="Q21" s="119">
        <f>IF($C21&gt;2004,(Capital!P14),((Capital!P14*(9/12))+(Capital!P15*(3/12))))</f>
        <v>-377</v>
      </c>
      <c r="R21" s="119">
        <f>IF($C21&gt;2004,(Capital!Q14),((Capital!Q14*(9/12))+(Capital!Q15*(3/12))))</f>
        <v>589.27500000000009</v>
      </c>
      <c r="S21" s="119">
        <f>IF($C21&gt;2004,(Capital!R14),((Capital!R14*(9/12))+(Capital!R15*(3/12))))</f>
        <v>4061.65</v>
      </c>
      <c r="T21" s="119">
        <f>IF($C21&gt;2004,(Capital!S14),((Capital!S14*(9/12))+(Capital!S15*(3/12))))</f>
        <v>-1179.425</v>
      </c>
      <c r="U21" s="119">
        <f>IF($C21&gt;2004,(Capital!T14),((Capital!T14*(9/12))+(Capital!T15*(3/12))))</f>
        <v>2882.2250000000004</v>
      </c>
    </row>
    <row r="22" spans="2:21" x14ac:dyDescent="0.25">
      <c r="B22" s="110"/>
      <c r="C22" s="110">
        <f t="shared" si="0"/>
        <v>2000</v>
      </c>
      <c r="D22" s="119">
        <f>IF($C22&gt;2004,(Capital!C15),((Capital!C15*(9/12))+(Capital!C16*(3/12))))</f>
        <v>191</v>
      </c>
      <c r="E22" s="119">
        <f>IF($C22&gt;2004,(Capital!D15),((Capital!D15*(9/12))+(Capital!D16*(3/12))))</f>
        <v>-25.725000000000001</v>
      </c>
      <c r="F22" s="119">
        <f>IF($C22&gt;2004,(Capital!E15),((Capital!E15*(9/12))+(Capital!E16*(3/12))))</f>
        <v>3069.0999999999995</v>
      </c>
      <c r="G22" s="119">
        <f>IF($C22&gt;2004,(Capital!F15),((Capital!F15*(9/12))+(Capital!F16*(3/12))))</f>
        <v>-828.57500000000005</v>
      </c>
      <c r="H22" s="119">
        <f>IF($C22&gt;2004,(Capital!G15),((Capital!G15*(9/12))+(Capital!G16*(3/12))))</f>
        <v>2240.5249999999996</v>
      </c>
      <c r="I22" s="119">
        <f>IF($C22&gt;2004,(Capital!H15),((Capital!H15*(9/12))+(Capital!H16*(3/12))))</f>
        <v>21.699999999999996</v>
      </c>
      <c r="J22" s="119">
        <f>IF($C22&gt;2004,(Capital!I15),((Capital!I15*(9/12))+(Capital!I16*(3/12))))</f>
        <v>-0.4</v>
      </c>
      <c r="K22" s="119">
        <f>IF($C22&gt;2004,(Capital!J15),((Capital!J15*(9/12))+(Capital!J16*(3/12))))</f>
        <v>213.45</v>
      </c>
      <c r="L22" s="119">
        <f>IF($C22&gt;2004,(Capital!K15),((Capital!K15*(9/12))+(Capital!K16*(3/12))))</f>
        <v>-50.574999999999996</v>
      </c>
      <c r="M22" s="119">
        <f>IF($C22&gt;2004,(Capital!L15),((Capital!L15*(9/12))+(Capital!L16*(3/12))))</f>
        <v>162.875</v>
      </c>
      <c r="N22" s="119">
        <f>IF($C22&gt;2004,(Capital!M15),((Capital!M15*(9/12))+(Capital!M16*(3/12))))</f>
        <v>15.749999999999998</v>
      </c>
      <c r="O22" s="119">
        <f>IF($C22&gt;2004,(Capital!N15),((Capital!N15*(9/12))+(Capital!N16*(3/12))))</f>
        <v>-25.699999999999996</v>
      </c>
      <c r="P22" s="119">
        <f>IF($C22&gt;2004,(Capital!O15),((Capital!O15*(9/12))+(Capital!O16*(3/12))))</f>
        <v>284.32499999999999</v>
      </c>
      <c r="Q22" s="119">
        <f>IF($C22&gt;2004,(Capital!P15),((Capital!P15*(9/12))+(Capital!P16*(3/12))))</f>
        <v>-175.8</v>
      </c>
      <c r="R22" s="119">
        <f>IF($C22&gt;2004,(Capital!Q15),((Capital!Q15*(9/12))+(Capital!Q16*(3/12))))</f>
        <v>108.52499999999998</v>
      </c>
      <c r="S22" s="119">
        <f>IF($C22&gt;2004,(Capital!R15),((Capital!R15*(9/12))+(Capital!R16*(3/12))))</f>
        <v>3566.875</v>
      </c>
      <c r="T22" s="119">
        <f>IF($C22&gt;2004,(Capital!S15),((Capital!S15*(9/12))+(Capital!S16*(3/12))))</f>
        <v>-1054.95</v>
      </c>
      <c r="U22" s="119">
        <f>IF($C22&gt;2004,(Capital!T15),((Capital!T15*(9/12))+(Capital!T16*(3/12))))</f>
        <v>2511.9249999999997</v>
      </c>
    </row>
    <row r="23" spans="2:21" x14ac:dyDescent="0.25">
      <c r="B23" s="110"/>
      <c r="C23" s="110">
        <f t="shared" si="0"/>
        <v>2001</v>
      </c>
      <c r="D23" s="119">
        <f>IF($C23&gt;2004,(Capital!C16),((Capital!C16*(9/12))+(Capital!C17*(3/12))))</f>
        <v>215.9</v>
      </c>
      <c r="E23" s="119">
        <f>IF($C23&gt;2004,(Capital!D16),((Capital!D16*(9/12))+(Capital!D17*(3/12))))</f>
        <v>-24.174999999999997</v>
      </c>
      <c r="F23" s="119">
        <f>IF($C23&gt;2004,(Capital!E16),((Capital!E16*(9/12))+(Capital!E17*(3/12))))</f>
        <v>3260.8250000000003</v>
      </c>
      <c r="G23" s="119">
        <f>IF($C23&gt;2004,(Capital!F16),((Capital!F16*(9/12))+(Capital!F17*(3/12))))</f>
        <v>-907.40000000000009</v>
      </c>
      <c r="H23" s="119">
        <f>IF($C23&gt;2004,(Capital!G16),((Capital!G16*(9/12))+(Capital!G17*(3/12))))</f>
        <v>2353.4250000000002</v>
      </c>
      <c r="I23" s="119">
        <f>IF($C23&gt;2004,(Capital!H16),((Capital!H16*(9/12))+(Capital!H17*(3/12))))</f>
        <v>14.174999999999999</v>
      </c>
      <c r="J23" s="119">
        <f>IF($C23&gt;2004,(Capital!I16),((Capital!I16*(9/12))+(Capital!I17*(3/12))))</f>
        <v>-7.5000000000000011E-2</v>
      </c>
      <c r="K23" s="119">
        <f>IF($C23&gt;2004,(Capital!J16),((Capital!J16*(9/12))+(Capital!J17*(3/12))))</f>
        <v>227.54999999999998</v>
      </c>
      <c r="L23" s="119">
        <f>IF($C23&gt;2004,(Capital!K16),((Capital!K16*(9/12))+(Capital!K17*(3/12))))</f>
        <v>-55.325000000000003</v>
      </c>
      <c r="M23" s="119">
        <f>IF($C23&gt;2004,(Capital!L16),((Capital!L16*(9/12))+(Capital!L17*(3/12))))</f>
        <v>172.22499999999999</v>
      </c>
      <c r="N23" s="119">
        <f>IF($C23&gt;2004,(Capital!M16),((Capital!M16*(9/12))+(Capital!M17*(3/12))))</f>
        <v>15.15</v>
      </c>
      <c r="O23" s="119">
        <f>IF($C23&gt;2004,(Capital!N16),((Capital!N16*(9/12))+(Capital!N17*(3/12))))</f>
        <v>-24.825000000000003</v>
      </c>
      <c r="P23" s="119">
        <f>IF($C23&gt;2004,(Capital!O16),((Capital!O16*(9/12))+(Capital!O17*(3/12))))</f>
        <v>249.45</v>
      </c>
      <c r="Q23" s="119">
        <f>IF($C23&gt;2004,(Capital!P16),((Capital!P16*(9/12))+(Capital!P17*(3/12))))</f>
        <v>-170.875</v>
      </c>
      <c r="R23" s="119">
        <f>IF($C23&gt;2004,(Capital!Q16),((Capital!Q16*(9/12))+(Capital!Q17*(3/12))))</f>
        <v>78.575000000000003</v>
      </c>
      <c r="S23" s="119">
        <f>IF($C23&gt;2004,(Capital!R16),((Capital!R16*(9/12))+(Capital!R17*(3/12))))</f>
        <v>3737.8249999999998</v>
      </c>
      <c r="T23" s="119">
        <f>IF($C23&gt;2004,(Capital!S16),((Capital!S16*(9/12))+(Capital!S17*(3/12))))</f>
        <v>-1133.6000000000001</v>
      </c>
      <c r="U23" s="119">
        <f>IF($C23&gt;2004,(Capital!T16),((Capital!T16*(9/12))+(Capital!T17*(3/12))))</f>
        <v>2604.2249999999999</v>
      </c>
    </row>
    <row r="24" spans="2:21" x14ac:dyDescent="0.25">
      <c r="B24" s="110"/>
      <c r="C24" s="110">
        <f t="shared" si="0"/>
        <v>2002</v>
      </c>
      <c r="D24" s="119">
        <f>IF($C24&gt;2004,(Capital!C17),((Capital!C17*(9/12))+(Capital!C18*(3/12))))</f>
        <v>226.875</v>
      </c>
      <c r="E24" s="119">
        <f>IF($C24&gt;2004,(Capital!D17),((Capital!D17*(9/12))+(Capital!D18*(3/12))))</f>
        <v>-20.25</v>
      </c>
      <c r="F24" s="119">
        <f>IF($C24&gt;2004,(Capital!E17),((Capital!E17*(9/12))+(Capital!E18*(3/12))))</f>
        <v>3467.4250000000002</v>
      </c>
      <c r="G24" s="119">
        <f>IF($C24&gt;2004,(Capital!F17),((Capital!F17*(9/12))+(Capital!F18*(3/12))))</f>
        <v>-1002.9750000000001</v>
      </c>
      <c r="H24" s="119">
        <f>IF($C24&gt;2004,(Capital!G17),((Capital!G17*(9/12))+(Capital!G18*(3/12))))</f>
        <v>2464.4499999999998</v>
      </c>
      <c r="I24" s="119">
        <f>IF($C24&gt;2004,(Capital!H17),((Capital!H17*(9/12))+(Capital!H18*(3/12))))</f>
        <v>10</v>
      </c>
      <c r="J24" s="119">
        <f>IF($C24&gt;2004,(Capital!I17),((Capital!I17*(9/12))+(Capital!I18*(3/12))))</f>
        <v>0</v>
      </c>
      <c r="K24" s="119">
        <f>IF($C24&gt;2004,(Capital!J17),((Capital!J17*(9/12))+(Capital!J18*(3/12))))</f>
        <v>237.54999999999998</v>
      </c>
      <c r="L24" s="119">
        <f>IF($C24&gt;2004,(Capital!K17),((Capital!K17*(9/12))+(Capital!K18*(3/12))))</f>
        <v>-60.35</v>
      </c>
      <c r="M24" s="119">
        <f>IF($C24&gt;2004,(Capital!L17),((Capital!L17*(9/12))+(Capital!L18*(3/12))))</f>
        <v>177.2</v>
      </c>
      <c r="N24" s="119">
        <f>IF($C24&gt;2004,(Capital!M17),((Capital!M17*(9/12))+(Capital!M18*(3/12))))</f>
        <v>18.024999999999999</v>
      </c>
      <c r="O24" s="119">
        <f>IF($C24&gt;2004,(Capital!N17),((Capital!N17*(9/12))+(Capital!N18*(3/12))))</f>
        <v>-36</v>
      </c>
      <c r="P24" s="119">
        <f>IF($C24&gt;2004,(Capital!O17),((Capital!O17*(9/12))+(Capital!O18*(3/12))))</f>
        <v>231.47499999999999</v>
      </c>
      <c r="Q24" s="119">
        <f>IF($C24&gt;2004,(Capital!P17),((Capital!P17*(9/12))+(Capital!P18*(3/12))))</f>
        <v>-170.02500000000001</v>
      </c>
      <c r="R24" s="119">
        <f>IF($C24&gt;2004,(Capital!Q17),((Capital!Q17*(9/12))+(Capital!Q18*(3/12))))</f>
        <v>61.449999999999996</v>
      </c>
      <c r="S24" s="119">
        <f>IF($C24&gt;2004,(Capital!R17),((Capital!R17*(9/12))+(Capital!R18*(3/12))))</f>
        <v>3936.45</v>
      </c>
      <c r="T24" s="119">
        <f>IF($C24&gt;2004,(Capital!S17),((Capital!S17*(9/12))+(Capital!S18*(3/12))))</f>
        <v>-1233.3500000000001</v>
      </c>
      <c r="U24" s="119">
        <f>IF($C24&gt;2004,(Capital!T17),((Capital!T17*(9/12))+(Capital!T18*(3/12))))</f>
        <v>2703.0999999999995</v>
      </c>
    </row>
    <row r="25" spans="2:21" x14ac:dyDescent="0.25">
      <c r="B25" s="110"/>
      <c r="C25" s="110">
        <f t="shared" si="0"/>
        <v>2003</v>
      </c>
      <c r="D25" s="119">
        <f>IF($C25&gt;2004,(Capital!C18),((Capital!C18*(9/12))+(Capital!C19*(3/12))))</f>
        <v>210.39999999999998</v>
      </c>
      <c r="E25" s="119">
        <f>IF($C25&gt;2004,(Capital!D18),((Capital!D18*(9/12))+(Capital!D19*(3/12))))</f>
        <v>-22.65</v>
      </c>
      <c r="F25" s="119">
        <f>IF($C25&gt;2004,(Capital!E18),((Capital!E18*(9/12))+(Capital!E19*(3/12))))</f>
        <v>3655.05</v>
      </c>
      <c r="G25" s="119">
        <f>IF($C25&gt;2004,(Capital!F18),((Capital!F18*(9/12))+(Capital!F19*(3/12))))</f>
        <v>-1121.4749999999999</v>
      </c>
      <c r="H25" s="119">
        <f>IF($C25&gt;2004,(Capital!G18),((Capital!G18*(9/12))+(Capital!G19*(3/12))))</f>
        <v>2533.5749999999998</v>
      </c>
      <c r="I25" s="119">
        <f>IF($C25&gt;2004,(Capital!H18),((Capital!H18*(9/12))+(Capital!H19*(3/12))))</f>
        <v>5.625</v>
      </c>
      <c r="J25" s="119">
        <f>IF($C25&gt;2004,(Capital!I18),((Capital!I18*(9/12))+(Capital!I19*(3/12))))</f>
        <v>-0.3</v>
      </c>
      <c r="K25" s="119">
        <f>IF($C25&gt;2004,(Capital!J18),((Capital!J18*(9/12))+(Capital!J19*(3/12))))</f>
        <v>242.85000000000002</v>
      </c>
      <c r="L25" s="119">
        <f>IF($C25&gt;2004,(Capital!K18),((Capital!K18*(9/12))+(Capital!K19*(3/12))))</f>
        <v>-65.45</v>
      </c>
      <c r="M25" s="119">
        <f>IF($C25&gt;2004,(Capital!L18),((Capital!L18*(9/12))+(Capital!L19*(3/12))))</f>
        <v>177.4</v>
      </c>
      <c r="N25" s="119">
        <f>IF($C25&gt;2004,(Capital!M18),((Capital!M18*(9/12))+(Capital!M19*(3/12))))</f>
        <v>38.674999999999997</v>
      </c>
      <c r="O25" s="119">
        <f>IF($C25&gt;2004,(Capital!N18),((Capital!N18*(9/12))+(Capital!N19*(3/12))))</f>
        <v>-65.3</v>
      </c>
      <c r="P25" s="119">
        <f>IF($C25&gt;2004,(Capital!O18),((Capital!O18*(9/12))+(Capital!O19*(3/12))))</f>
        <v>204.82500000000002</v>
      </c>
      <c r="Q25" s="119">
        <f>IF($C25&gt;2004,(Capital!P18),((Capital!P18*(9/12))+(Capital!P19*(3/12))))</f>
        <v>-128.32500000000002</v>
      </c>
      <c r="R25" s="119">
        <f>IF($C25&gt;2004,(Capital!Q18),((Capital!Q18*(9/12))+(Capital!Q19*(3/12))))</f>
        <v>76.5</v>
      </c>
      <c r="S25" s="119">
        <f>IF($C25&gt;2004,(Capital!R18),((Capital!R18*(9/12))+(Capital!R19*(3/12))))</f>
        <v>4102.7250000000004</v>
      </c>
      <c r="T25" s="119">
        <f>IF($C25&gt;2004,(Capital!S18),((Capital!S18*(9/12))+(Capital!S19*(3/12))))</f>
        <v>-1315.25</v>
      </c>
      <c r="U25" s="119">
        <f>IF($C25&gt;2004,(Capital!T18),((Capital!T18*(9/12))+(Capital!T19*(3/12))))</f>
        <v>2787.4749999999995</v>
      </c>
    </row>
    <row r="26" spans="2:21" x14ac:dyDescent="0.25">
      <c r="B26" s="110"/>
      <c r="C26" s="110">
        <f t="shared" si="0"/>
        <v>2004</v>
      </c>
      <c r="D26" s="119">
        <f>IF($C26&gt;2004,(Capital!C19),((Capital!C19*(9/12))+(Capital!C20*(3/12))))</f>
        <v>227.625</v>
      </c>
      <c r="E26" s="119">
        <f>IF($C26&gt;2004,(Capital!D19),((Capital!D19*(9/12))+(Capital!D20*(3/12))))</f>
        <v>-40.175000000000004</v>
      </c>
      <c r="F26" s="119">
        <f>IF($C26&gt;2004,(Capital!E19),((Capital!E19*(9/12))+(Capital!E20*(3/12))))</f>
        <v>3852.1749999999997</v>
      </c>
      <c r="G26" s="119">
        <f>IF($C26&gt;2004,(Capital!F19),((Capital!F19*(9/12))+(Capital!F20*(3/12))))</f>
        <v>-1243.2249999999999</v>
      </c>
      <c r="H26" s="119">
        <f>IF($C26&gt;2004,(Capital!G19),((Capital!G19*(9/12))+(Capital!G20*(3/12))))</f>
        <v>2608.9499999999998</v>
      </c>
      <c r="I26" s="119">
        <f>IF($C26&gt;2004,(Capital!H19),((Capital!H19*(9/12))+(Capital!H20*(3/12))))</f>
        <v>5.25</v>
      </c>
      <c r="J26" s="119">
        <f>IF($C26&gt;2004,(Capital!I19),((Capital!I19*(9/12))+(Capital!I20*(3/12))))</f>
        <v>-0.89999999999999991</v>
      </c>
      <c r="K26" s="119">
        <f>IF($C26&gt;2004,(Capital!J19),((Capital!J19*(9/12))+(Capital!J20*(3/12))))</f>
        <v>247.17499999999998</v>
      </c>
      <c r="L26" s="119">
        <f>IF($C26&gt;2004,(Capital!K19),((Capital!K19*(9/12))+(Capital!K20*(3/12))))</f>
        <v>-70.349999999999994</v>
      </c>
      <c r="M26" s="119">
        <f>IF($C26&gt;2004,(Capital!L19),((Capital!L19*(9/12))+(Capital!L20*(3/12))))</f>
        <v>176.82499999999999</v>
      </c>
      <c r="N26" s="119">
        <f>IF($C26&gt;2004,(Capital!M19),((Capital!M19*(9/12))+(Capital!M20*(3/12))))</f>
        <v>51.725000000000001</v>
      </c>
      <c r="O26" s="119">
        <f>IF($C26&gt;2004,(Capital!N19),((Capital!N19*(9/12))+(Capital!N20*(3/12))))</f>
        <v>-12.375</v>
      </c>
      <c r="P26" s="119">
        <f>IF($C26&gt;2004,(Capital!O19),((Capital!O19*(9/12))+(Capital!O20*(3/12))))</f>
        <v>247.29999999999998</v>
      </c>
      <c r="Q26" s="119">
        <f>IF($C26&gt;2004,(Capital!P19),((Capital!P19*(9/12))+(Capital!P20*(3/12))))</f>
        <v>-135.54999999999998</v>
      </c>
      <c r="R26" s="119">
        <f>IF($C26&gt;2004,(Capital!Q19),((Capital!Q19*(9/12))+(Capital!Q20*(3/12))))</f>
        <v>111.75</v>
      </c>
      <c r="S26" s="119">
        <f>IF($C26&gt;2004,(Capital!R19),((Capital!R19*(9/12))+(Capital!R20*(3/12))))</f>
        <v>4346.6499999999996</v>
      </c>
      <c r="T26" s="119">
        <f>IF($C26&gt;2004,(Capital!S19),((Capital!S19*(9/12))+(Capital!S20*(3/12))))</f>
        <v>-1449.125</v>
      </c>
      <c r="U26" s="119">
        <f>IF($C26&gt;2004,(Capital!T19),((Capital!T19*(9/12))+(Capital!T20*(3/12))))</f>
        <v>2897.5250000000001</v>
      </c>
    </row>
    <row r="27" spans="2:21" x14ac:dyDescent="0.25">
      <c r="B27" s="110"/>
      <c r="C27" s="110">
        <f t="shared" si="0"/>
        <v>2005</v>
      </c>
      <c r="D27" s="119">
        <f>IF($C27&gt;2004,(Capital!C20),((Capital!C20*(9/12))+(Capital!C21*(3/12))))</f>
        <v>286.5</v>
      </c>
      <c r="E27" s="119">
        <f>IF($C27&gt;2004,(Capital!D20),((Capital!D20*(9/12))+(Capital!D21*(3/12))))</f>
        <v>-23.9</v>
      </c>
      <c r="F27" s="119">
        <f>IF($C27&gt;2004,(Capital!E20),((Capital!E20*(9/12))+(Capital!E21*(3/12))))</f>
        <v>4078.6</v>
      </c>
      <c r="G27" s="119">
        <f>IF($C27&gt;2004,(Capital!F20),((Capital!F20*(9/12))+(Capital!F21*(3/12))))</f>
        <v>-1372.9</v>
      </c>
      <c r="H27" s="119">
        <f>IF($C27&gt;2004,(Capital!G20),((Capital!G20*(9/12))+(Capital!G21*(3/12))))</f>
        <v>2705.7</v>
      </c>
      <c r="I27" s="119">
        <f>IF($C27&gt;2004,(Capital!H20),((Capital!H20*(9/12))+(Capital!H21*(3/12))))</f>
        <v>5.7</v>
      </c>
      <c r="J27" s="119">
        <f>IF($C27&gt;2004,(Capital!I20),((Capital!I20*(9/12))+(Capital!I21*(3/12))))</f>
        <v>0</v>
      </c>
      <c r="K27" s="119">
        <f>IF($C27&gt;2004,(Capital!J20),((Capital!J20*(9/12))+(Capital!J21*(3/12))))</f>
        <v>251.6</v>
      </c>
      <c r="L27" s="119">
        <f>IF($C27&gt;2004,(Capital!K20),((Capital!K20*(9/12))+(Capital!K21*(3/12))))</f>
        <v>-75.599999999999994</v>
      </c>
      <c r="M27" s="119">
        <f>IF($C27&gt;2004,(Capital!L20),((Capital!L20*(9/12))+(Capital!L21*(3/12))))</f>
        <v>176</v>
      </c>
      <c r="N27" s="119">
        <f>IF($C27&gt;2004,(Capital!M20),((Capital!M20*(9/12))+(Capital!M21*(3/12))))</f>
        <v>43.4</v>
      </c>
      <c r="O27" s="119">
        <f>IF($C27&gt;2004,(Capital!N20),((Capital!N20*(9/12))+(Capital!N21*(3/12))))</f>
        <v>-35.4</v>
      </c>
      <c r="P27" s="119">
        <f>IF($C27&gt;2004,(Capital!O20),((Capital!O20*(9/12))+(Capital!O21*(3/12))))</f>
        <v>262.89999999999998</v>
      </c>
      <c r="Q27" s="119">
        <f>IF($C27&gt;2004,(Capital!P20),((Capital!P20*(9/12))+(Capital!P21*(3/12))))</f>
        <v>-130.9</v>
      </c>
      <c r="R27" s="119">
        <f>IF($C27&gt;2004,(Capital!Q20),((Capital!Q20*(9/12))+(Capital!Q21*(3/12))))</f>
        <v>131.99999999999997</v>
      </c>
      <c r="S27" s="119">
        <f>IF($C27&gt;2004,(Capital!R20),((Capital!R20*(9/12))+(Capital!R21*(3/12))))</f>
        <v>4593.0999999999995</v>
      </c>
      <c r="T27" s="119">
        <f>IF($C27&gt;2004,(Capital!S20),((Capital!S20*(9/12))+(Capital!S21*(3/12))))</f>
        <v>-1579.4</v>
      </c>
      <c r="U27" s="119">
        <f>IF($C27&gt;2004,(Capital!T20),((Capital!T20*(9/12))+(Capital!T21*(3/12))))</f>
        <v>3013.6999999999994</v>
      </c>
    </row>
    <row r="28" spans="2:21" x14ac:dyDescent="0.25">
      <c r="B28" s="110"/>
      <c r="C28" s="110">
        <f t="shared" si="0"/>
        <v>2006</v>
      </c>
      <c r="D28" s="119">
        <f>IF($C28&gt;2004,(Capital!C21),((Capital!C21*(9/12))+(Capital!C22*(3/12))))</f>
        <v>301.5</v>
      </c>
      <c r="E28" s="119">
        <f>IF($C28&gt;2004,(Capital!D21),((Capital!D21*(9/12))+(Capital!D22*(3/12))))</f>
        <v>-30.8</v>
      </c>
      <c r="F28" s="119">
        <f>IF($C28&gt;2004,(Capital!E21),((Capital!E21*(9/12))+(Capital!E22*(3/12))))</f>
        <v>4349.3</v>
      </c>
      <c r="G28" s="119">
        <f>IF($C28&gt;2004,(Capital!F21),((Capital!F21*(9/12))+(Capital!F22*(3/12))))</f>
        <v>-1497.4</v>
      </c>
      <c r="H28" s="119">
        <f>IF($C28&gt;2004,(Capital!G21),((Capital!G21*(9/12))+(Capital!G22*(3/12))))</f>
        <v>2851.9</v>
      </c>
      <c r="I28" s="119">
        <f>IF($C28&gt;2004,(Capital!H21),((Capital!H21*(9/12))+(Capital!H22*(3/12))))</f>
        <v>10.9</v>
      </c>
      <c r="J28" s="119">
        <f>IF($C28&gt;2004,(Capital!I21),((Capital!I21*(9/12))+(Capital!I22*(3/12))))</f>
        <v>0</v>
      </c>
      <c r="K28" s="119">
        <f>IF($C28&gt;2004,(Capital!J21),((Capital!J21*(9/12))+(Capital!J22*(3/12))))</f>
        <v>262.5</v>
      </c>
      <c r="L28" s="119">
        <f>IF($C28&gt;2004,(Capital!K21),((Capital!K21*(9/12))+(Capital!K22*(3/12))))</f>
        <v>-81.5</v>
      </c>
      <c r="M28" s="119">
        <f>IF($C28&gt;2004,(Capital!L21),((Capital!L21*(9/12))+(Capital!L22*(3/12))))</f>
        <v>181</v>
      </c>
      <c r="N28" s="119">
        <f>IF($C28&gt;2004,(Capital!M21),((Capital!M21*(9/12))+(Capital!M22*(3/12))))</f>
        <v>41.4</v>
      </c>
      <c r="O28" s="119">
        <f>IF($C28&gt;2004,(Capital!N21),((Capital!N21*(9/12))+(Capital!N22*(3/12))))</f>
        <v>-17.100000000000001</v>
      </c>
      <c r="P28" s="119">
        <f>IF($C28&gt;2004,(Capital!O21),((Capital!O21*(9/12))+(Capital!O22*(3/12))))</f>
        <v>287.2</v>
      </c>
      <c r="Q28" s="119">
        <f>IF($C28&gt;2004,(Capital!P21),((Capital!P21*(9/12))+(Capital!P22*(3/12))))</f>
        <v>-143.80000000000001</v>
      </c>
      <c r="R28" s="119">
        <f>IF($C28&gt;2004,(Capital!Q21),((Capital!Q21*(9/12))+(Capital!Q22*(3/12))))</f>
        <v>143.39999999999998</v>
      </c>
      <c r="S28" s="119">
        <f>IF($C28&gt;2004,(Capital!R21),((Capital!R21*(9/12))+(Capital!R22*(3/12))))</f>
        <v>4899</v>
      </c>
      <c r="T28" s="119">
        <f>IF($C28&gt;2004,(Capital!S21),((Capital!S21*(9/12))+(Capital!S22*(3/12))))</f>
        <v>-1722.7</v>
      </c>
      <c r="U28" s="119">
        <f>IF($C28&gt;2004,(Capital!T21),((Capital!T21*(9/12))+(Capital!T22*(3/12))))</f>
        <v>3176.3</v>
      </c>
    </row>
    <row r="29" spans="2:21" x14ac:dyDescent="0.25">
      <c r="B29" s="110"/>
      <c r="C29" s="110">
        <f t="shared" si="0"/>
        <v>2007</v>
      </c>
      <c r="D29" s="119">
        <f>IF($C29&gt;2004,(Capital!C22),((Capital!C22*(9/12))+(Capital!C23*(3/12))))</f>
        <v>292.39999999999998</v>
      </c>
      <c r="E29" s="119">
        <f>IF($C29&gt;2004,(Capital!D22),((Capital!D22*(9/12))+(Capital!D23*(3/12))))</f>
        <v>-42.9</v>
      </c>
      <c r="F29" s="119">
        <f>IF($C29&gt;2004,(Capital!E22),((Capital!E22*(9/12))+(Capital!E23*(3/12))))</f>
        <v>4598.8</v>
      </c>
      <c r="G29" s="119">
        <f>IF($C29&gt;2004,(Capital!F22),((Capital!F22*(9/12))+(Capital!F23*(3/12))))</f>
        <v>-1649.4</v>
      </c>
      <c r="H29" s="119">
        <f>IF($C29&gt;2004,(Capital!G22),((Capital!G22*(9/12))+(Capital!G23*(3/12))))</f>
        <v>2949.4</v>
      </c>
      <c r="I29" s="119">
        <f>IF($C29&gt;2004,(Capital!H22),((Capital!H22*(9/12))+(Capital!H23*(3/12))))</f>
        <v>2.5</v>
      </c>
      <c r="J29" s="119">
        <f>IF($C29&gt;2004,(Capital!I22),((Capital!I22*(9/12))+(Capital!I23*(3/12))))</f>
        <v>0</v>
      </c>
      <c r="K29" s="119">
        <f>IF($C29&gt;2004,(Capital!J22),((Capital!J22*(9/12))+(Capital!J23*(3/12))))</f>
        <v>265</v>
      </c>
      <c r="L29" s="119">
        <f>IF($C29&gt;2004,(Capital!K22),((Capital!K22*(9/12))+(Capital!K23*(3/12))))</f>
        <v>-87.5</v>
      </c>
      <c r="M29" s="119">
        <f>IF($C29&gt;2004,(Capital!L22),((Capital!L22*(9/12))+(Capital!L23*(3/12))))</f>
        <v>177.5</v>
      </c>
      <c r="N29" s="119">
        <f>IF($C29&gt;2004,(Capital!M22),((Capital!M22*(9/12))+(Capital!M23*(3/12))))</f>
        <v>41</v>
      </c>
      <c r="O29" s="119">
        <f>IF($C29&gt;2004,(Capital!N22),((Capital!N22*(9/12))+(Capital!N23*(3/12))))</f>
        <v>-18.600000000000001</v>
      </c>
      <c r="P29" s="119">
        <f>IF($C29&gt;2004,(Capital!O22),((Capital!O22*(9/12))+(Capital!O23*(3/12))))</f>
        <v>306.60000000000002</v>
      </c>
      <c r="Q29" s="119">
        <f>IF($C29&gt;2004,(Capital!P22),((Capital!P22*(9/12))+(Capital!P23*(3/12))))</f>
        <v>-160.9</v>
      </c>
      <c r="R29" s="119">
        <f>IF($C29&gt;2004,(Capital!Q22),((Capital!Q22*(9/12))+(Capital!Q23*(3/12))))</f>
        <v>145.70000000000002</v>
      </c>
      <c r="S29" s="119">
        <f>IF($C29&gt;2004,(Capital!R22),((Capital!R22*(9/12))+(Capital!R23*(3/12))))</f>
        <v>5170.4000000000005</v>
      </c>
      <c r="T29" s="119">
        <f>IF($C29&gt;2004,(Capital!S22),((Capital!S22*(9/12))+(Capital!S23*(3/12))))</f>
        <v>-1897.8000000000002</v>
      </c>
      <c r="U29" s="119">
        <f>IF($C29&gt;2004,(Capital!T22),((Capital!T22*(9/12))+(Capital!T23*(3/12))))</f>
        <v>3272.6000000000004</v>
      </c>
    </row>
    <row r="30" spans="2:21" x14ac:dyDescent="0.25">
      <c r="B30" s="110"/>
      <c r="C30" s="110">
        <f t="shared" si="0"/>
        <v>2008</v>
      </c>
      <c r="D30" s="119">
        <f>IF($C30&gt;2004,(Capital!C23),((Capital!C23*(9/12))+(Capital!C24*(3/12))))</f>
        <v>283.3</v>
      </c>
      <c r="E30" s="119">
        <f>IF($C30&gt;2004,(Capital!D23),((Capital!D23*(9/12))+(Capital!D24*(3/12))))</f>
        <v>-43.4</v>
      </c>
      <c r="F30" s="119">
        <f>IF($C30&gt;2004,(Capital!E23),((Capital!E23*(9/12))+(Capital!E24*(3/12))))</f>
        <v>4838.7</v>
      </c>
      <c r="G30" s="119">
        <f>IF($C30&gt;2004,(Capital!F23),((Capital!F23*(9/12))+(Capital!F24*(3/12))))</f>
        <v>-1791</v>
      </c>
      <c r="H30" s="119">
        <f>IF($C30&gt;2004,(Capital!G23),((Capital!G23*(9/12))+(Capital!G24*(3/12))))</f>
        <v>3047.7</v>
      </c>
      <c r="I30" s="119">
        <f>IF($C30&gt;2004,(Capital!H23),((Capital!H23*(9/12))+(Capital!H24*(3/12))))</f>
        <v>6.5</v>
      </c>
      <c r="J30" s="119">
        <f>IF($C30&gt;2004,(Capital!I23),((Capital!I23*(9/12))+(Capital!I24*(3/12))))</f>
        <v>0</v>
      </c>
      <c r="K30" s="119">
        <f>IF($C30&gt;2004,(Capital!J23),((Capital!J23*(9/12))+(Capital!J24*(3/12))))</f>
        <v>271.5</v>
      </c>
      <c r="L30" s="119">
        <f>IF($C30&gt;2004,(Capital!K23),((Capital!K23*(9/12))+(Capital!K24*(3/12))))</f>
        <v>-93.7</v>
      </c>
      <c r="M30" s="119">
        <f>IF($C30&gt;2004,(Capital!L23),((Capital!L23*(9/12))+(Capital!L24*(3/12))))</f>
        <v>177.8</v>
      </c>
      <c r="N30" s="119">
        <f>IF($C30&gt;2004,(Capital!M23),((Capital!M23*(9/12))+(Capital!M24*(3/12))))</f>
        <v>39.4</v>
      </c>
      <c r="O30" s="119">
        <f>IF($C30&gt;2004,(Capital!N23),((Capital!N23*(9/12))+(Capital!N24*(3/12))))</f>
        <v>-60.5</v>
      </c>
      <c r="P30" s="119">
        <f>IF($C30&gt;2004,(Capital!O23),((Capital!O23*(9/12))+(Capital!O24*(3/12))))</f>
        <v>285.5</v>
      </c>
      <c r="Q30" s="119">
        <f>IF($C30&gt;2004,(Capital!P23),((Capital!P23*(9/12))+(Capital!P24*(3/12))))</f>
        <v>-134</v>
      </c>
      <c r="R30" s="119">
        <f>IF($C30&gt;2004,(Capital!Q23),((Capital!Q23*(9/12))+(Capital!Q24*(3/12))))</f>
        <v>151.5</v>
      </c>
      <c r="S30" s="119">
        <f>IF($C30&gt;2004,(Capital!R23),((Capital!R23*(9/12))+(Capital!R24*(3/12))))</f>
        <v>5395.7</v>
      </c>
      <c r="T30" s="119">
        <f>IF($C30&gt;2004,(Capital!S23),((Capital!S23*(9/12))+(Capital!S24*(3/12))))</f>
        <v>-2018.7</v>
      </c>
      <c r="U30" s="119">
        <f>IF($C30&gt;2004,(Capital!T23),((Capital!T23*(9/12))+(Capital!T24*(3/12))))</f>
        <v>3377</v>
      </c>
    </row>
    <row r="31" spans="2:21" x14ac:dyDescent="0.25">
      <c r="B31" s="110"/>
      <c r="C31" s="110">
        <f t="shared" si="0"/>
        <v>2009</v>
      </c>
      <c r="D31" s="119">
        <f>IF($C31&gt;2004,(Capital!C24),((Capital!C24*(9/12))+(Capital!C25*(3/12))))</f>
        <v>270.60000000000002</v>
      </c>
      <c r="E31" s="119">
        <f>IF($C31&gt;2004,(Capital!D24),((Capital!D24*(9/12))+(Capital!D25*(3/12))))</f>
        <v>-44.6</v>
      </c>
      <c r="F31" s="119">
        <f>IF($C31&gt;2004,(Capital!E24),((Capital!E24*(9/12))+(Capital!E25*(3/12))))</f>
        <v>5064.7</v>
      </c>
      <c r="G31" s="119">
        <f>IF($C31&gt;2004,(Capital!F24),((Capital!F24*(9/12))+(Capital!F25*(3/12))))</f>
        <v>-1931.4</v>
      </c>
      <c r="H31" s="119">
        <f>IF($C31&gt;2004,(Capital!G24),((Capital!G24*(9/12))+(Capital!G25*(3/12))))</f>
        <v>3133.2999999999997</v>
      </c>
      <c r="I31" s="119">
        <f>IF($C31&gt;2004,(Capital!H24),((Capital!H24*(9/12))+(Capital!H25*(3/12))))</f>
        <v>8.1</v>
      </c>
      <c r="J31" s="119">
        <f>IF($C31&gt;2004,(Capital!I24),((Capital!I24*(9/12))+(Capital!I25*(3/12))))</f>
        <v>0</v>
      </c>
      <c r="K31" s="119">
        <f>IF($C31&gt;2004,(Capital!J24),((Capital!J24*(9/12))+(Capital!J25*(3/12))))</f>
        <v>279.7</v>
      </c>
      <c r="L31" s="119">
        <f>IF($C31&gt;2004,(Capital!K24),((Capital!K24*(9/12))+(Capital!K25*(3/12))))</f>
        <v>-99.1</v>
      </c>
      <c r="M31" s="119">
        <f>IF($C31&gt;2004,(Capital!L24),((Capital!L24*(9/12))+(Capital!L25*(3/12))))</f>
        <v>180.6</v>
      </c>
      <c r="N31" s="119">
        <f>IF($C31&gt;2004,(Capital!M24),((Capital!M24*(9/12))+(Capital!M25*(3/12))))</f>
        <v>158.9</v>
      </c>
      <c r="O31" s="119">
        <f>IF($C31&gt;2004,(Capital!N24),((Capital!N24*(9/12))+(Capital!N25*(3/12))))</f>
        <v>-58.8</v>
      </c>
      <c r="P31" s="119">
        <f>IF($C31&gt;2004,(Capital!O24),((Capital!O24*(9/12))+(Capital!O25*(3/12))))</f>
        <v>385.2</v>
      </c>
      <c r="Q31" s="119">
        <f>IF($C31&gt;2004,(Capital!P24),((Capital!P24*(9/12))+(Capital!P25*(3/12))))</f>
        <v>-113.7</v>
      </c>
      <c r="R31" s="119">
        <f>IF($C31&gt;2004,(Capital!Q24),((Capital!Q24*(9/12))+(Capital!Q25*(3/12))))</f>
        <v>271.5</v>
      </c>
      <c r="S31" s="119">
        <f>IF($C31&gt;2004,(Capital!R24),((Capital!R24*(9/12))+(Capital!R25*(3/12))))</f>
        <v>5729.5999999999995</v>
      </c>
      <c r="T31" s="119">
        <f>IF($C31&gt;2004,(Capital!S24),((Capital!S24*(9/12))+(Capital!S25*(3/12))))</f>
        <v>-2144.1999999999998</v>
      </c>
      <c r="U31" s="119">
        <f>IF($C31&gt;2004,(Capital!T24),((Capital!T24*(9/12))+(Capital!T25*(3/12))))</f>
        <v>3585.3999999999996</v>
      </c>
    </row>
    <row r="32" spans="2:21" x14ac:dyDescent="0.25">
      <c r="B32" s="110"/>
      <c r="C32" s="110">
        <f t="shared" si="0"/>
        <v>2010</v>
      </c>
      <c r="D32" s="119">
        <f>IF($C32&gt;2004,(Capital!C25),((Capital!C25*(9/12))+(Capital!C26*(3/12))))</f>
        <v>284.60000000000002</v>
      </c>
      <c r="E32" s="119">
        <f>IF($C32&gt;2004,(Capital!D25),((Capital!D25*(9/12))+(Capital!D26*(3/12))))</f>
        <v>-49.3</v>
      </c>
      <c r="F32" s="119">
        <f>IF($C32&gt;2004,(Capital!E25),((Capital!E25*(9/12))+(Capital!E26*(3/12))))</f>
        <v>5300</v>
      </c>
      <c r="G32" s="119">
        <f>IF($C32&gt;2004,(Capital!F25),((Capital!F25*(9/12))+(Capital!F26*(3/12))))</f>
        <v>-2080.9</v>
      </c>
      <c r="H32" s="119">
        <f>IF($C32&gt;2004,(Capital!G25),((Capital!G25*(9/12))+(Capital!G26*(3/12))))</f>
        <v>3219.1</v>
      </c>
      <c r="I32" s="119">
        <f>IF($C32&gt;2004,(Capital!H25),((Capital!H25*(9/12))+(Capital!H26*(3/12))))</f>
        <v>16.100000000000001</v>
      </c>
      <c r="J32" s="119">
        <f>IF($C32&gt;2004,(Capital!I25),((Capital!I25*(9/12))+(Capital!I26*(3/12))))</f>
        <v>0</v>
      </c>
      <c r="K32" s="119">
        <f>IF($C32&gt;2004,(Capital!J25),((Capital!J25*(9/12))+(Capital!J26*(3/12))))</f>
        <v>295.8</v>
      </c>
      <c r="L32" s="119">
        <f>IF($C32&gt;2004,(Capital!K25),((Capital!K25*(9/12))+(Capital!K26*(3/12))))</f>
        <v>-105.5</v>
      </c>
      <c r="M32" s="119">
        <f>IF($C32&gt;2004,(Capital!L25),((Capital!L25*(9/12))+(Capital!L26*(3/12))))</f>
        <v>190.3</v>
      </c>
      <c r="N32" s="119">
        <f>IF($C32&gt;2004,(Capital!M25),((Capital!M25*(9/12))+(Capital!M26*(3/12))))</f>
        <v>40</v>
      </c>
      <c r="O32" s="119">
        <f>IF($C32&gt;2004,(Capital!N25),((Capital!N25*(9/12))+(Capital!N26*(3/12))))</f>
        <v>-39.299999999999997</v>
      </c>
      <c r="P32" s="119">
        <f>IF($C32&gt;2004,(Capital!O25),((Capital!O25*(9/12))+(Capital!O26*(3/12))))</f>
        <v>385.9</v>
      </c>
      <c r="Q32" s="119">
        <f>IF($C32&gt;2004,(Capital!P25),((Capital!P25*(9/12))+(Capital!P26*(3/12))))</f>
        <v>-116.7</v>
      </c>
      <c r="R32" s="119">
        <f>IF($C32&gt;2004,(Capital!Q25),((Capital!Q25*(9/12))+(Capital!Q26*(3/12))))</f>
        <v>269.2</v>
      </c>
      <c r="S32" s="119">
        <f>IF($C32&gt;2004,(Capital!R25),((Capital!R25*(9/12))+(Capital!R26*(3/12))))</f>
        <v>5981.7</v>
      </c>
      <c r="T32" s="119">
        <f>IF($C32&gt;2004,(Capital!S25),((Capital!S25*(9/12))+(Capital!S26*(3/12))))</f>
        <v>-2303.1</v>
      </c>
      <c r="U32" s="119">
        <f>IF($C32&gt;2004,(Capital!T25),((Capital!T25*(9/12))+(Capital!T26*(3/12))))</f>
        <v>3678.6</v>
      </c>
    </row>
    <row r="33" spans="2:21" x14ac:dyDescent="0.25">
      <c r="B33" s="110"/>
      <c r="C33" s="110">
        <f t="shared" si="0"/>
        <v>2011</v>
      </c>
      <c r="D33" s="119">
        <f>IF($C33&gt;2004,(Capital!C26),((Capital!C26*(9/12))+(Capital!C27*(3/12))))</f>
        <v>287.10000000000002</v>
      </c>
      <c r="E33" s="119">
        <f>IF($C33&gt;2004,(Capital!D26),((Capital!D26*(9/12))+(Capital!D27*(3/12))))</f>
        <v>-35.1</v>
      </c>
      <c r="F33" s="119">
        <f>IF($C33&gt;2004,(Capital!E26),((Capital!E26*(9/12))+(Capital!E27*(3/12))))</f>
        <v>5551.9</v>
      </c>
      <c r="G33" s="119">
        <f>IF($C33&gt;2004,(Capital!F26),((Capital!F26*(9/12))+(Capital!F27*(3/12))))</f>
        <v>-2238.5</v>
      </c>
      <c r="H33" s="119">
        <f>IF($C33&gt;2004,(Capital!G26),((Capital!G26*(9/12))+(Capital!G27*(3/12))))</f>
        <v>3313.3999999999996</v>
      </c>
      <c r="I33" s="119">
        <f>IF($C33&gt;2004,(Capital!H26),((Capital!H26*(9/12))+(Capital!H27*(3/12))))</f>
        <v>21</v>
      </c>
      <c r="J33" s="119">
        <f>IF($C33&gt;2004,(Capital!I26),((Capital!I26*(9/12))+(Capital!I27*(3/12))))</f>
        <v>0</v>
      </c>
      <c r="K33" s="119">
        <f>IF($C33&gt;2004,(Capital!J26),((Capital!J26*(9/12))+(Capital!J27*(3/12))))</f>
        <v>316.2</v>
      </c>
      <c r="L33" s="119">
        <f>IF($C33&gt;2004,(Capital!K26),((Capital!K26*(9/12))+(Capital!K27*(3/12))))</f>
        <v>-111.8</v>
      </c>
      <c r="M33" s="119">
        <f>IF($C33&gt;2004,(Capital!L26),((Capital!L26*(9/12))+(Capital!L27*(3/12))))</f>
        <v>204.39999999999998</v>
      </c>
      <c r="N33" s="119">
        <f>IF($C33&gt;2004,(Capital!M26),((Capital!M26*(9/12))+(Capital!M27*(3/12))))</f>
        <v>44.8</v>
      </c>
      <c r="O33" s="119">
        <f>IF($C33&gt;2004,(Capital!N26),((Capital!N26*(9/12))+(Capital!N27*(3/12))))</f>
        <v>-30.7</v>
      </c>
      <c r="P33" s="119">
        <f>IF($C33&gt;2004,(Capital!O26),((Capital!O26*(9/12))+(Capital!O27*(3/12))))</f>
        <v>400</v>
      </c>
      <c r="Q33" s="119">
        <f>IF($C33&gt;2004,(Capital!P26),((Capital!P26*(9/12))+(Capital!P27*(3/12))))</f>
        <v>-129</v>
      </c>
      <c r="R33" s="119">
        <f>IF($C33&gt;2004,(Capital!Q26),((Capital!Q26*(9/12))+(Capital!Q27*(3/12))))</f>
        <v>271</v>
      </c>
      <c r="S33" s="119">
        <f>IF($C33&gt;2004,(Capital!R26),((Capital!R26*(9/12))+(Capital!R27*(3/12))))</f>
        <v>6268.0999999999995</v>
      </c>
      <c r="T33" s="119">
        <f>IF($C33&gt;2004,(Capital!S26),((Capital!S26*(9/12))+(Capital!S27*(3/12))))</f>
        <v>-2479.3000000000002</v>
      </c>
      <c r="U33" s="119">
        <f>IF($C33&gt;2004,(Capital!T26),((Capital!T26*(9/12))+(Capital!T27*(3/12))))</f>
        <v>3788.7999999999993</v>
      </c>
    </row>
    <row r="34" spans="2:21" x14ac:dyDescent="0.25">
      <c r="B34" s="110"/>
      <c r="C34" s="110">
        <f t="shared" si="0"/>
        <v>2012</v>
      </c>
      <c r="D34" s="119">
        <f>IF($C34&gt;2004,(Capital!C27),((Capital!C27*(9/12))+(Capital!C28*(3/12))))</f>
        <v>367.5</v>
      </c>
      <c r="E34" s="119">
        <f>IF($C34&gt;2004,(Capital!D27),((Capital!D27*(9/12))+(Capital!D28*(3/12))))</f>
        <v>-59.6</v>
      </c>
      <c r="F34" s="119">
        <f>IF($C34&gt;2004,(Capital!E27),((Capital!E27*(9/12))+(Capital!E28*(3/12))))</f>
        <v>5859.8</v>
      </c>
      <c r="G34" s="119">
        <f>IF($C34&gt;2004,(Capital!F27),((Capital!F27*(9/12))+(Capital!F28*(3/12))))</f>
        <v>-2393.5</v>
      </c>
      <c r="H34" s="119">
        <f>IF($C34&gt;2004,(Capital!G27),((Capital!G27*(9/12))+(Capital!G28*(3/12))))</f>
        <v>3466.3</v>
      </c>
      <c r="I34" s="119">
        <f>IF($C34&gt;2004,(Capital!H27),((Capital!H27*(9/12))+(Capital!H28*(3/12))))</f>
        <v>20.100000000000001</v>
      </c>
      <c r="J34" s="119">
        <f>IF($C34&gt;2004,(Capital!I27),((Capital!I27*(9/12))+(Capital!I28*(3/12))))</f>
        <v>0</v>
      </c>
      <c r="K34" s="119">
        <f>IF($C34&gt;2004,(Capital!J27),((Capital!J27*(9/12))+(Capital!J28*(3/12))))</f>
        <v>336.3</v>
      </c>
      <c r="L34" s="119">
        <f>IF($C34&gt;2004,(Capital!K27),((Capital!K27*(9/12))+(Capital!K28*(3/12))))</f>
        <v>-118.7</v>
      </c>
      <c r="M34" s="119">
        <f>IF($C34&gt;2004,(Capital!L27),((Capital!L27*(9/12))+(Capital!L28*(3/12))))</f>
        <v>217.60000000000002</v>
      </c>
      <c r="N34" s="119">
        <f>IF($C34&gt;2004,(Capital!M27),((Capital!M27*(9/12))+(Capital!M28*(3/12))))</f>
        <v>43.5</v>
      </c>
      <c r="O34" s="119">
        <f>IF($C34&gt;2004,(Capital!N27),((Capital!N27*(9/12))+(Capital!N28*(3/12))))</f>
        <v>-34</v>
      </c>
      <c r="P34" s="119">
        <f>IF($C34&gt;2004,(Capital!O27),((Capital!O27*(9/12))+(Capital!O28*(3/12))))</f>
        <v>409.4</v>
      </c>
      <c r="Q34" s="119">
        <f>IF($C34&gt;2004,(Capital!P27),((Capital!P27*(9/12))+(Capital!P28*(3/12))))</f>
        <v>-139.69999999999999</v>
      </c>
      <c r="R34" s="119">
        <f>IF($C34&gt;2004,(Capital!Q27),((Capital!Q27*(9/12))+(Capital!Q28*(3/12))))</f>
        <v>269.7</v>
      </c>
      <c r="S34" s="119">
        <f>IF($C34&gt;2004,(Capital!R27),((Capital!R27*(9/12))+(Capital!R28*(3/12))))</f>
        <v>6605.5</v>
      </c>
      <c r="T34" s="119">
        <f>IF($C34&gt;2004,(Capital!S27),((Capital!S27*(9/12))+(Capital!S28*(3/12))))</f>
        <v>-2651.8999999999996</v>
      </c>
      <c r="U34" s="119">
        <f>IF($C34&gt;2004,(Capital!T27),((Capital!T27*(9/12))+(Capital!T28*(3/12))))</f>
        <v>3953.6000000000004</v>
      </c>
    </row>
    <row r="35" spans="2:21" x14ac:dyDescent="0.25">
      <c r="B35" s="110"/>
      <c r="C35" s="110">
        <f t="shared" si="0"/>
        <v>2013</v>
      </c>
      <c r="D35" s="119">
        <f>IF($C35&gt;2004,(Capital!C28),((Capital!C28*(9/12))+(Capital!C29*(3/12))))</f>
        <v>366.3</v>
      </c>
      <c r="E35" s="119">
        <f>IF($C35&gt;2004,(Capital!D28),((Capital!D28*(9/12))+(Capital!D29*(3/12))))</f>
        <v>-22.4</v>
      </c>
      <c r="F35" s="119">
        <f>IF($C35&gt;2004,(Capital!E28),((Capital!E28*(9/12))+(Capital!E29*(3/12))))</f>
        <v>6203.7</v>
      </c>
      <c r="G35" s="119">
        <f>IF($C35&gt;2004,(Capital!F28),((Capital!F28*(9/12))+(Capital!F29*(3/12))))</f>
        <v>-2544.6999999999998</v>
      </c>
      <c r="H35" s="119">
        <f>IF($C35&gt;2004,(Capital!G28),((Capital!G28*(9/12))+(Capital!G29*(3/12))))</f>
        <v>3659</v>
      </c>
      <c r="I35" s="119">
        <f>IF($C35&gt;2004,(Capital!H28),((Capital!H28*(9/12))+(Capital!H29*(3/12))))</f>
        <v>20</v>
      </c>
      <c r="J35" s="119">
        <f>IF($C35&gt;2004,(Capital!I28),((Capital!I28*(9/12))+(Capital!I29*(3/12))))</f>
        <v>0</v>
      </c>
      <c r="K35" s="119">
        <f>IF($C35&gt;2004,(Capital!J28),((Capital!J28*(9/12))+(Capital!J29*(3/12))))</f>
        <v>356.4</v>
      </c>
      <c r="L35" s="119">
        <f>IF($C35&gt;2004,(Capital!K28),((Capital!K28*(9/12))+(Capital!K29*(3/12))))</f>
        <v>-124.7</v>
      </c>
      <c r="M35" s="119">
        <f>IF($C35&gt;2004,(Capital!L28),((Capital!L28*(9/12))+(Capital!L29*(3/12))))</f>
        <v>231.7</v>
      </c>
      <c r="N35" s="119">
        <f>IF($C35&gt;2004,(Capital!M28),((Capital!M28*(9/12))+(Capital!M29*(3/12))))</f>
        <v>64.400000000000006</v>
      </c>
      <c r="O35" s="119">
        <f>IF($C35&gt;2004,(Capital!N28),((Capital!N28*(9/12))+(Capital!N29*(3/12))))</f>
        <v>-17.3</v>
      </c>
      <c r="P35" s="119">
        <f>IF($C35&gt;2004,(Capital!O28),((Capital!O28*(9/12))+(Capital!O29*(3/12))))</f>
        <v>456.5</v>
      </c>
      <c r="Q35" s="119">
        <f>IF($C35&gt;2004,(Capital!P28),((Capital!P28*(9/12))+(Capital!P29*(3/12))))</f>
        <v>-185.3</v>
      </c>
      <c r="R35" s="119">
        <f>IF($C35&gt;2004,(Capital!Q28),((Capital!Q28*(9/12))+(Capital!Q29*(3/12))))</f>
        <v>271.2</v>
      </c>
      <c r="S35" s="119">
        <f>IF($C35&gt;2004,(Capital!R28),((Capital!R28*(9/12))+(Capital!R29*(3/12))))</f>
        <v>7016.5999999999995</v>
      </c>
      <c r="T35" s="119">
        <f>IF($C35&gt;2004,(Capital!S28),((Capital!S28*(9/12))+(Capital!S29*(3/12))))</f>
        <v>-2854.7</v>
      </c>
      <c r="U35" s="119">
        <f>IF($C35&gt;2004,(Capital!T28),((Capital!T28*(9/12))+(Capital!T29*(3/12))))</f>
        <v>4161.8999999999996</v>
      </c>
    </row>
    <row r="36" spans="2:21" x14ac:dyDescent="0.25">
      <c r="B36" s="110"/>
      <c r="C36" s="110">
        <f t="shared" si="0"/>
        <v>2014</v>
      </c>
      <c r="D36" s="119">
        <f>IF($C36&gt;2004,(Capital!C29),((Capital!C29*(9/12))+(Capital!C30*(3/12))))</f>
        <v>441.5</v>
      </c>
      <c r="E36" s="119">
        <f>IF($C36&gt;2004,(Capital!D29),((Capital!D29*(9/12))+(Capital!D30*(3/12))))</f>
        <v>-24.6</v>
      </c>
      <c r="F36" s="119">
        <f>IF($C36&gt;2004,(Capital!E29),((Capital!E29*(9/12))+(Capital!E30*(3/12))))</f>
        <v>6620.5999999999995</v>
      </c>
      <c r="G36" s="119">
        <f>IF($C36&gt;2004,(Capital!F29),((Capital!F29*(9/12))+(Capital!F30*(3/12))))</f>
        <v>-2573.5</v>
      </c>
      <c r="H36" s="119">
        <f>IF($C36&gt;2004,(Capital!G29),((Capital!G29*(9/12))+(Capital!G30*(3/12))))</f>
        <v>4047.0999999999995</v>
      </c>
      <c r="I36" s="119">
        <f>IF($C36&gt;2004,(Capital!H29),((Capital!H29*(9/12))+(Capital!H30*(3/12))))</f>
        <v>9.8000000000000007</v>
      </c>
      <c r="J36" s="119">
        <f>IF($C36&gt;2004,(Capital!I29),((Capital!I29*(9/12))+(Capital!I30*(3/12))))</f>
        <v>0</v>
      </c>
      <c r="K36" s="119">
        <f>IF($C36&gt;2004,(Capital!J29),((Capital!J29*(9/12))+(Capital!J30*(3/12))))</f>
        <v>366.2</v>
      </c>
      <c r="L36" s="119">
        <f>IF($C36&gt;2004,(Capital!K29),((Capital!K29*(9/12))+(Capital!K30*(3/12))))</f>
        <v>-131.5</v>
      </c>
      <c r="M36" s="119">
        <f>IF($C36&gt;2004,(Capital!L29),((Capital!L29*(9/12))+(Capital!L30*(3/12))))</f>
        <v>234.7</v>
      </c>
      <c r="N36" s="119">
        <f>IF($C36&gt;2004,(Capital!M29),((Capital!M29*(9/12))+(Capital!M30*(3/12))))</f>
        <v>57.6</v>
      </c>
      <c r="O36" s="119">
        <f>IF($C36&gt;2004,(Capital!N29),((Capital!N29*(9/12))+(Capital!N30*(3/12))))</f>
        <v>-7.3</v>
      </c>
      <c r="P36" s="119">
        <f>IF($C36&gt;2004,(Capital!O29),((Capital!O29*(9/12))+(Capital!O30*(3/12))))</f>
        <v>506.8</v>
      </c>
      <c r="Q36" s="119">
        <f>IF($C36&gt;2004,(Capital!P29),((Capital!P29*(9/12))+(Capital!P30*(3/12))))</f>
        <v>-252.7</v>
      </c>
      <c r="R36" s="119">
        <f>IF($C36&gt;2004,(Capital!Q29),((Capital!Q29*(9/12))+(Capital!Q30*(3/12))))</f>
        <v>254.10000000000002</v>
      </c>
      <c r="S36" s="119">
        <f>IF($C36&gt;2004,(Capital!R29),((Capital!R29*(9/12))+(Capital!R30*(3/12))))</f>
        <v>7493.5999999999995</v>
      </c>
      <c r="T36" s="119">
        <f>IF($C36&gt;2004,(Capital!S29),((Capital!S29*(9/12))+(Capital!S30*(3/12))))</f>
        <v>-2957.7</v>
      </c>
      <c r="U36" s="119">
        <f>IF($C36&gt;2004,(Capital!T29),((Capital!T29*(9/12))+(Capital!T30*(3/12))))</f>
        <v>4535.8999999999996</v>
      </c>
    </row>
    <row r="37" spans="2:21" x14ac:dyDescent="0.25">
      <c r="B37" s="110"/>
      <c r="C37" s="110">
        <f t="shared" si="0"/>
        <v>2015</v>
      </c>
      <c r="D37" s="119">
        <f>IF($C37&gt;2004,(Capital!C30),((Capital!C30*(9/12))+(Capital!C31*(3/12))))</f>
        <v>320.7</v>
      </c>
      <c r="E37" s="119">
        <f>IF($C37&gt;2004,(Capital!D30),((Capital!D30*(9/12))+(Capital!D31*(3/12))))</f>
        <v>-52.2</v>
      </c>
      <c r="F37" s="119">
        <f>IF($C37&gt;2004,(Capital!E30),((Capital!E30*(9/12))+(Capital!E31*(3/12))))</f>
        <v>6889.2</v>
      </c>
      <c r="G37" s="119">
        <f>IF($C37&gt;2004,(Capital!F30),((Capital!F30*(9/12))+(Capital!F31*(3/12))))</f>
        <v>-2569.6999999999998</v>
      </c>
      <c r="H37" s="119">
        <f>IF($C37&gt;2004,(Capital!G30),((Capital!G30*(9/12))+(Capital!G31*(3/12))))</f>
        <v>4319.5</v>
      </c>
      <c r="I37" s="119">
        <f>IF($C37&gt;2004,(Capital!H30),((Capital!H30*(9/12))+(Capital!H31*(3/12))))</f>
        <v>18.7</v>
      </c>
      <c r="J37" s="119">
        <f>IF($C37&gt;2004,(Capital!I30),((Capital!I30*(9/12))+(Capital!I31*(3/12))))</f>
        <v>-14.1</v>
      </c>
      <c r="K37" s="119">
        <f>IF($C37&gt;2004,(Capital!J30),((Capital!J30*(9/12))+(Capital!J31*(3/12))))</f>
        <v>365.29999999999995</v>
      </c>
      <c r="L37" s="119">
        <f>IF($C37&gt;2004,(Capital!K30),((Capital!K30*(9/12))+(Capital!K31*(3/12))))</f>
        <v>-126.1</v>
      </c>
      <c r="M37" s="119">
        <f>IF($C37&gt;2004,(Capital!L30),((Capital!L30*(9/12))+(Capital!L31*(3/12))))</f>
        <v>239.19999999999996</v>
      </c>
      <c r="N37" s="119">
        <f>IF($C37&gt;2004,(Capital!M30),((Capital!M30*(9/12))+(Capital!M31*(3/12))))</f>
        <v>24.5</v>
      </c>
      <c r="O37" s="119">
        <f>IF($C37&gt;2004,(Capital!N30),((Capital!N30*(9/12))+(Capital!N31*(3/12))))</f>
        <v>-42.5</v>
      </c>
      <c r="P37" s="119">
        <f>IF($C37&gt;2004,(Capital!O30),((Capital!O30*(9/12))+(Capital!O31*(3/12))))</f>
        <v>488.9</v>
      </c>
      <c r="Q37" s="119">
        <f>IF($C37&gt;2004,(Capital!P30),((Capital!P30*(9/12))+(Capital!P31*(3/12))))</f>
        <v>-283</v>
      </c>
      <c r="R37" s="119">
        <f>IF($C37&gt;2004,(Capital!Q30),((Capital!Q30*(9/12))+(Capital!Q31*(3/12))))</f>
        <v>205.89999999999998</v>
      </c>
      <c r="S37" s="119">
        <f>IF($C37&gt;2004,(Capital!R30),((Capital!R30*(9/12))+(Capital!R31*(3/12))))</f>
        <v>7743.4</v>
      </c>
      <c r="T37" s="119">
        <f>IF($C37&gt;2004,(Capital!S30),((Capital!S30*(9/12))+(Capital!S31*(3/12))))</f>
        <v>-2978.7999999999997</v>
      </c>
      <c r="U37" s="119">
        <f>IF($C37&gt;2004,(Capital!T30),((Capital!T30*(9/12))+(Capital!T31*(3/12))))</f>
        <v>4764.6000000000004</v>
      </c>
    </row>
    <row r="38" spans="2:21" x14ac:dyDescent="0.25">
      <c r="B38" s="110"/>
      <c r="C38" s="110">
        <f t="shared" si="0"/>
        <v>2016</v>
      </c>
      <c r="D38" s="119">
        <f>IF($C38&gt;2004,(Capital!C31),((Capital!C31*(9/12))+(Capital!C32*(3/12))))</f>
        <v>1240.0999999999999</v>
      </c>
      <c r="E38" s="119">
        <f>IF($C38&gt;2004,(Capital!D31),((Capital!D31*(9/12))+(Capital!D32*(3/12))))</f>
        <v>-29.7</v>
      </c>
      <c r="F38" s="119">
        <f>IF($C38&gt;2004,(Capital!E31),((Capital!E31*(9/12))+(Capital!E32*(3/12))))</f>
        <v>8099.5999999999995</v>
      </c>
      <c r="G38" s="119">
        <f>IF($C38&gt;2004,(Capital!F31),((Capital!F31*(9/12))+(Capital!F32*(3/12))))</f>
        <v>-2625.6000000000004</v>
      </c>
      <c r="H38" s="119">
        <f>IF($C38&gt;2004,(Capital!G31),((Capital!G31*(9/12))+(Capital!G32*(3/12))))</f>
        <v>5473.9999999999991</v>
      </c>
      <c r="I38" s="119">
        <f>IF($C38&gt;2004,(Capital!H31),((Capital!H31*(9/12))+(Capital!H32*(3/12))))</f>
        <v>40</v>
      </c>
      <c r="J38" s="119">
        <f>IF($C38&gt;2004,(Capital!I31),((Capital!I31*(9/12))+(Capital!I32*(3/12))))</f>
        <v>-0.8</v>
      </c>
      <c r="K38" s="119">
        <f>IF($C38&gt;2004,(Capital!J31),((Capital!J31*(9/12))+(Capital!J32*(3/12))))</f>
        <v>404.5</v>
      </c>
      <c r="L38" s="119">
        <f>IF($C38&gt;2004,(Capital!K31),((Capital!K31*(9/12))+(Capital!K32*(3/12))))</f>
        <v>-132.80000000000001</v>
      </c>
      <c r="M38" s="119">
        <f>IF($C38&gt;2004,(Capital!L31),((Capital!L31*(9/12))+(Capital!L32*(3/12))))</f>
        <v>271.7</v>
      </c>
      <c r="N38" s="119">
        <f>IF($C38&gt;2004,(Capital!M31),((Capital!M31*(9/12))+(Capital!M32*(3/12))))</f>
        <v>131.5</v>
      </c>
      <c r="O38" s="119">
        <f>IF($C38&gt;2004,(Capital!N31),((Capital!N31*(9/12))+(Capital!N32*(3/12))))</f>
        <v>-47.8</v>
      </c>
      <c r="P38" s="119">
        <f>IF($C38&gt;2004,(Capital!O31),((Capital!O31*(9/12))+(Capital!O32*(3/12))))</f>
        <v>572.6</v>
      </c>
      <c r="Q38" s="119">
        <f>IF($C38&gt;2004,(Capital!P31),((Capital!P31*(9/12))+(Capital!P32*(3/12))))</f>
        <v>-314.5</v>
      </c>
      <c r="R38" s="119">
        <f>IF($C38&gt;2004,(Capital!Q31),((Capital!Q31*(9/12))+(Capital!Q32*(3/12))))</f>
        <v>258.10000000000002</v>
      </c>
      <c r="S38" s="119">
        <f>IF($C38&gt;2004,(Capital!R31),((Capital!R31*(9/12))+(Capital!R32*(3/12))))</f>
        <v>9076.6999999999989</v>
      </c>
      <c r="T38" s="119">
        <f>IF($C38&gt;2004,(Capital!S31),((Capital!S31*(9/12))+(Capital!S32*(3/12))))</f>
        <v>-3072.9000000000005</v>
      </c>
      <c r="U38" s="119">
        <f>IF($C38&gt;2004,(Capital!T31),((Capital!T31*(9/12))+(Capital!T32*(3/12))))</f>
        <v>6003.7999999999984</v>
      </c>
    </row>
    <row r="40" spans="2:21" x14ac:dyDescent="0.25">
      <c r="N40" s="142"/>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text="See Memo on TFP Update for Enbridge" id="{01D2EE6E-6518-4EC7-BEB5-AE7A818F7A38}">
            <xm:f>NOT(ISERROR(SEARCH("See Memo on TFP Update for Enbridge",Capital!D11)))</xm:f>
            <x14:dxf>
              <fill>
                <patternFill>
                  <bgColor rgb="FFFFFF00"/>
                </patternFill>
              </fill>
            </x14:dxf>
          </x14:cfRule>
          <xm:sqref>D11:U12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sheetPr>
  <dimension ref="A1"/>
  <sheetViews>
    <sheetView workbookViewId="0">
      <selection activeCell="P42" sqref="P42"/>
    </sheetView>
  </sheetViews>
  <sheetFormatPr defaultRowHeight="15" x14ac:dyDescent="0.25"/>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Capital Price--&gt;</vt:lpstr>
      <vt:lpstr>Capital Price Calculation</vt:lpstr>
      <vt:lpstr>All Variables</vt:lpstr>
      <vt:lpstr>Expected Inflation (i)</vt:lpstr>
      <vt:lpstr>Enbridge Ratings and Yields</vt:lpstr>
      <vt:lpstr>Capital Stock--&gt;</vt:lpstr>
      <vt:lpstr>Capital Stock Calculation</vt:lpstr>
      <vt:lpstr>Calendar Year Conversion</vt:lpstr>
      <vt:lpstr>Capital Stock Data--&gt;</vt:lpstr>
      <vt:lpstr>Capital</vt:lpstr>
      <vt:lpstr>Handy-Whitman Index</vt:lpstr>
      <vt:lpstr>Handy-Whitman Triangularized</vt:lpstr>
      <vt:lpstr>Capital Price Data--&gt;</vt:lpstr>
      <vt:lpstr>Monthly Average Bond Yields</vt:lpstr>
      <vt:lpstr>Alberta Yields</vt:lpstr>
      <vt:lpstr>Enbridge Bond Ratings</vt:lpstr>
      <vt:lpstr>Canadian CPI</vt:lpstr>
      <vt:lpstr>Canadian 10 Year Bond Yield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2018-03-16T13:15:17Z</dcterms:created>
  <dcterms:modified xsi:type="dcterms:W3CDTF">2018-03-23T15:20:36Z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{E27505CB-10E8-4454-89A7-679A041CA083}</vt:lpwstr>
  </property>
  <property fmtid="{D5CDD505-2E9C-101B-9397-08002B2CF9AE}" pid="3" name="_AdHocReviewCycleID">
    <vt:i4>311823745</vt:i4>
  </property>
  <property fmtid="{D5CDD505-2E9C-101B-9397-08002B2CF9AE}" pid="4" name="_NewReviewCycle">
    <vt:lpwstr/>
  </property>
</Properties>
</file>