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2.xml" ContentType="application/vnd.openxmlformats-officedocument.drawing+xml"/>
  <Override PartName="/xl/embeddings/oleObject3.bin" ContentType="application/vnd.openxmlformats-officedocument.oleObject"/>
  <Override PartName="/xl/drawings/drawing3.xml" ContentType="application/vnd.openxmlformats-officedocument.drawing+xml"/>
  <Override PartName="/xl/embeddings/oleObject4.bin" ContentType="application/vnd.openxmlformats-officedocument.oleObject"/>
  <Override PartName="/xl/drawings/drawing4.xml" ContentType="application/vnd.openxmlformats-officedocument.drawing+xml"/>
  <Override PartName="/xl/embeddings/oleObject5.bin" ContentType="application/vnd.openxmlformats-officedocument.oleObject"/>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6720" yWindow="-120" windowWidth="19410" windowHeight="11280" firstSheet="6" activeTab="6"/>
  </bookViews>
  <sheets>
    <sheet name="Capital Price--&gt;" sheetId="13" r:id="rId1"/>
    <sheet name="Capital Price Calculation" sheetId="22" r:id="rId2"/>
    <sheet name="All Variables" sheetId="23" r:id="rId3"/>
    <sheet name="Expected Inflation (i)" sheetId="21" r:id="rId4"/>
    <sheet name="Union Ratings and Yields" sheetId="18" r:id="rId5"/>
    <sheet name="Capital Stock--&gt;" sheetId="11" r:id="rId6"/>
    <sheet name="Capital Stock Calculation" sheetId="8" r:id="rId7"/>
    <sheet name="Capital Data Summary" sheetId="29" r:id="rId8"/>
    <sheet name="Capital Stock Data--&gt;" sheetId="7" r:id="rId9"/>
    <sheet name="From Union" sheetId="27" r:id="rId10"/>
    <sheet name="From Union (2)" sheetId="28" r:id="rId11"/>
    <sheet name="Union Transmission Additions" sheetId="31" r:id="rId12"/>
    <sheet name="Retirements Data" sheetId="30" r:id="rId13"/>
    <sheet name="Handy-Whitman Index" sheetId="9" r:id="rId14"/>
    <sheet name="Handy-Whitman Triangularized" sheetId="10" r:id="rId15"/>
    <sheet name="Capital Price Data--&gt;" sheetId="14" r:id="rId16"/>
    <sheet name="Union Bond Ratings" sheetId="26" r:id="rId17"/>
    <sheet name="Monthly Average Bond Yields" sheetId="16" r:id="rId18"/>
    <sheet name="Canadian CPI" sheetId="19" r:id="rId19"/>
    <sheet name="Canadian 10 Year Bond Yield" sheetId="20" r:id="rId20"/>
  </sheets>
  <definedNames>
    <definedName name="_xlnm.Print_Area" localSheetId="18">'Canadian CPI'!$A$1:$H$1256</definedName>
    <definedName name="_xlnm.Print_Area" localSheetId="10">'From Union (2)'!$A$1:$CE$69</definedName>
    <definedName name="_xlnm.Print_Titles" localSheetId="19">'Canadian 10 Year Bond Yield'!$A:$H,'Canadian 10 Year Bond Yield'!$10:$11</definedName>
    <definedName name="_xlnm.Print_Titles" localSheetId="18">'Canadian CPI'!$A:$H,'Canadian CPI'!$6:$6</definedName>
    <definedName name="_xlnm.Print_Titles" localSheetId="10">'From Union (2)'!$A:$C,'From Union (2)'!$1:$4</definedName>
    <definedName name="_xlnm.Print_Titles" localSheetId="13">'Handy-Whitman Index'!$A:$G,'Handy-Whitman Index'!$2:$2</definedName>
    <definedName name="_xlnm.Print_Titles" localSheetId="17">'Monthly Average Bond Yields'!$A:$J,'Monthly Average Bond Yields'!$4:$5</definedName>
  </definedNames>
  <calcPr calcId="145621"/>
</workbook>
</file>

<file path=xl/calcChain.xml><?xml version="1.0" encoding="utf-8"?>
<calcChain xmlns="http://schemas.openxmlformats.org/spreadsheetml/2006/main">
  <c r="K16" i="22" l="1"/>
  <c r="K17" i="22" s="1"/>
  <c r="K18" i="22" s="1"/>
  <c r="K19" i="22" s="1"/>
  <c r="K20" i="22" s="1"/>
  <c r="K21" i="22" s="1"/>
  <c r="K22" i="22" s="1"/>
  <c r="K23" i="22" s="1"/>
  <c r="K24" i="22" s="1"/>
  <c r="K25" i="22" s="1"/>
  <c r="K26" i="22" s="1"/>
  <c r="K27" i="22" s="1"/>
  <c r="K28" i="22" s="1"/>
  <c r="K29" i="22" s="1"/>
  <c r="K30" i="22" s="1"/>
  <c r="K31" i="22" s="1"/>
  <c r="K15" i="22"/>
  <c r="O14" i="29" l="1"/>
  <c r="O15" i="29" s="1"/>
  <c r="O16" i="29" s="1"/>
  <c r="O17" i="29" s="1"/>
  <c r="O18" i="29" s="1"/>
  <c r="O19" i="29" s="1"/>
  <c r="O20" i="29" s="1"/>
  <c r="O21" i="29" s="1"/>
  <c r="O22" i="29" s="1"/>
  <c r="O23" i="29" s="1"/>
  <c r="O24" i="29" s="1"/>
  <c r="O25" i="29" s="1"/>
  <c r="O26" i="29" s="1"/>
  <c r="O27" i="29" s="1"/>
  <c r="O28" i="29" s="1"/>
  <c r="O29" i="29" s="1"/>
  <c r="O30" i="29" s="1"/>
  <c r="F13" i="29" l="1" a="1"/>
  <c r="F13" i="29" s="1"/>
  <c r="F14" i="29" a="1"/>
  <c r="F14" i="29" s="1"/>
  <c r="F15" i="29" a="1"/>
  <c r="F15" i="29" s="1"/>
  <c r="F16" i="29" a="1"/>
  <c r="F16" i="29" s="1"/>
  <c r="F17" i="29" a="1"/>
  <c r="F17" i="29" s="1"/>
  <c r="F18" i="29" a="1"/>
  <c r="F18" i="29" s="1"/>
  <c r="F19" i="29" a="1"/>
  <c r="F19" i="29" s="1"/>
  <c r="F20" i="29" a="1"/>
  <c r="F20" i="29" s="1"/>
  <c r="F21" i="29" a="1"/>
  <c r="F21" i="29"/>
  <c r="F22" i="29" a="1"/>
  <c r="F22" i="29" s="1"/>
  <c r="F23" i="29" a="1"/>
  <c r="F23" i="29" s="1"/>
  <c r="F24" i="29" a="1"/>
  <c r="F24" i="29" s="1"/>
  <c r="F25" i="29" a="1"/>
  <c r="F25" i="29" s="1"/>
  <c r="F26" i="29" a="1"/>
  <c r="F26" i="29" s="1"/>
  <c r="F27" i="29" a="1"/>
  <c r="F27" i="29" s="1"/>
  <c r="F28" i="29" a="1"/>
  <c r="F28" i="29" s="1"/>
  <c r="F29" i="29" a="1"/>
  <c r="F29" i="29" s="1"/>
  <c r="F30" i="29" a="1"/>
  <c r="F30" i="29" s="1"/>
  <c r="B15" i="21" l="1"/>
  <c r="D14" i="21"/>
  <c r="E14" i="21"/>
  <c r="D32" i="21"/>
  <c r="E32" i="21"/>
  <c r="E15" i="18"/>
  <c r="F15" i="18"/>
  <c r="G15" i="18"/>
  <c r="H15" i="18"/>
  <c r="I15" i="18"/>
  <c r="J15" i="18"/>
  <c r="K15" i="18"/>
  <c r="L15" i="18"/>
  <c r="M15" i="18"/>
  <c r="N15" i="18"/>
  <c r="O15" i="18"/>
  <c r="P15" i="18"/>
  <c r="Q15" i="18"/>
  <c r="R15" i="18"/>
  <c r="S15" i="18"/>
  <c r="T15" i="18"/>
  <c r="U15" i="18"/>
  <c r="V15" i="18"/>
  <c r="W15" i="18"/>
  <c r="X15" i="18"/>
  <c r="Y15" i="18"/>
  <c r="Z15" i="18"/>
  <c r="AC15" i="18"/>
  <c r="AD15" i="18"/>
  <c r="AE15" i="18"/>
  <c r="AF15" i="18"/>
  <c r="AG15" i="18"/>
  <c r="AH15" i="18"/>
  <c r="AI15" i="18"/>
  <c r="AJ15" i="18"/>
  <c r="AK15" i="18"/>
  <c r="AL15" i="18"/>
  <c r="AM15" i="18"/>
  <c r="AN15" i="18"/>
  <c r="AO15" i="18"/>
  <c r="AP15" i="18"/>
  <c r="AQ15" i="18"/>
  <c r="AR15" i="18"/>
  <c r="AS15" i="18"/>
  <c r="AT15" i="18"/>
  <c r="AU15" i="18"/>
  <c r="AV15" i="18"/>
  <c r="AW15" i="18"/>
  <c r="AX15" i="18"/>
  <c r="AY15" i="18"/>
  <c r="AZ15" i="18"/>
  <c r="BA15" i="18"/>
  <c r="BD15" i="18"/>
  <c r="BE15" i="18"/>
  <c r="BF15" i="18"/>
  <c r="BG15" i="18"/>
  <c r="BH15" i="18"/>
  <c r="BI15" i="18"/>
  <c r="BJ15" i="18"/>
  <c r="BK15" i="18"/>
  <c r="BL15" i="18"/>
  <c r="BM15" i="18"/>
  <c r="BN15" i="18"/>
  <c r="BO15" i="18"/>
  <c r="BP15" i="18"/>
  <c r="BQ15" i="18"/>
  <c r="BR15" i="18"/>
  <c r="BS15" i="18"/>
  <c r="BT15" i="18"/>
  <c r="BU15" i="18"/>
  <c r="BV15" i="18"/>
  <c r="BW15" i="18"/>
  <c r="BX15" i="18"/>
  <c r="BY15" i="18"/>
  <c r="BZ15" i="18"/>
  <c r="CA15" i="18"/>
  <c r="CB15" i="18"/>
  <c r="CE15" i="18"/>
  <c r="CF15" i="18"/>
  <c r="CG15" i="18"/>
  <c r="CH15" i="18"/>
  <c r="CI15" i="18"/>
  <c r="CJ15" i="18"/>
  <c r="CK15" i="18"/>
  <c r="CL15" i="18"/>
  <c r="CM15" i="18"/>
  <c r="CN15" i="18"/>
  <c r="CO15" i="18"/>
  <c r="CP15" i="18"/>
  <c r="CQ15" i="18"/>
  <c r="CR15" i="18"/>
  <c r="CS15" i="18"/>
  <c r="CT15" i="18"/>
  <c r="CU15" i="18"/>
  <c r="CV15" i="18"/>
  <c r="CW15" i="18"/>
  <c r="CX15" i="18"/>
  <c r="CY15" i="18"/>
  <c r="CZ15" i="18"/>
  <c r="DA15" i="18"/>
  <c r="DB15" i="18"/>
  <c r="DC15" i="18"/>
  <c r="DF15" i="18"/>
  <c r="DG15" i="18"/>
  <c r="DH15" i="18"/>
  <c r="DI15" i="18"/>
  <c r="DJ15" i="18"/>
  <c r="DK15" i="18"/>
  <c r="DL15" i="18"/>
  <c r="DM15" i="18"/>
  <c r="DN15" i="18"/>
  <c r="DO15" i="18"/>
  <c r="DP15" i="18"/>
  <c r="DQ15" i="18"/>
  <c r="DR15" i="18"/>
  <c r="DS15" i="18"/>
  <c r="DT15" i="18"/>
  <c r="DU15" i="18"/>
  <c r="DV15" i="18"/>
  <c r="DW15" i="18"/>
  <c r="DX15" i="18"/>
  <c r="DY15" i="18"/>
  <c r="DZ15" i="18"/>
  <c r="EA15" i="18"/>
  <c r="EB15" i="18"/>
  <c r="EC15" i="18"/>
  <c r="ED15" i="18"/>
  <c r="EG15" i="18"/>
  <c r="EH15" i="18"/>
  <c r="EI15" i="18"/>
  <c r="EJ15" i="18"/>
  <c r="EK15" i="18"/>
  <c r="EL15" i="18"/>
  <c r="EM15" i="18"/>
  <c r="EN15" i="18"/>
  <c r="EO15" i="18"/>
  <c r="EP15" i="18"/>
  <c r="EQ15" i="18"/>
  <c r="ER15" i="18"/>
  <c r="ES15" i="18"/>
  <c r="ET15" i="18"/>
  <c r="EU15" i="18"/>
  <c r="EV15" i="18"/>
  <c r="EW15" i="18"/>
  <c r="EX15" i="18"/>
  <c r="EY15" i="18"/>
  <c r="EZ15" i="18"/>
  <c r="FA15" i="18"/>
  <c r="FB15" i="18"/>
  <c r="FC15" i="18"/>
  <c r="FD15" i="18"/>
  <c r="FE15" i="18"/>
  <c r="FH15" i="18"/>
  <c r="FI15" i="18"/>
  <c r="FJ15" i="18"/>
  <c r="FK15" i="18"/>
  <c r="FL15" i="18"/>
  <c r="FM15" i="18"/>
  <c r="FN15" i="18"/>
  <c r="FO15" i="18"/>
  <c r="FP15" i="18"/>
  <c r="FQ15" i="18"/>
  <c r="FR15" i="18"/>
  <c r="FS15" i="18"/>
  <c r="FT15" i="18"/>
  <c r="FU15" i="18"/>
  <c r="FV15" i="18"/>
  <c r="FW15" i="18"/>
  <c r="FX15" i="18"/>
  <c r="FY15" i="18"/>
  <c r="FZ15" i="18"/>
  <c r="GA15" i="18"/>
  <c r="GB15" i="18"/>
  <c r="GC15" i="18"/>
  <c r="GD15" i="18"/>
  <c r="GE15" i="18"/>
  <c r="GF15" i="18"/>
  <c r="GI15" i="18"/>
  <c r="GJ15" i="18"/>
  <c r="GK15" i="18"/>
  <c r="GL15" i="18"/>
  <c r="GM15" i="18"/>
  <c r="GN15" i="18"/>
  <c r="GO15" i="18"/>
  <c r="GP15" i="18"/>
  <c r="GQ15" i="18"/>
  <c r="GR15" i="18"/>
  <c r="GS15" i="18"/>
  <c r="GT15" i="18"/>
  <c r="GU15" i="18"/>
  <c r="GV15" i="18"/>
  <c r="GW15" i="18"/>
  <c r="GX15" i="18"/>
  <c r="GY15" i="18"/>
  <c r="GZ15" i="18"/>
  <c r="HA15" i="18"/>
  <c r="HB15" i="18"/>
  <c r="HC15" i="18"/>
  <c r="HD15" i="18"/>
  <c r="HE15" i="18"/>
  <c r="HF15" i="18"/>
  <c r="HG15" i="18"/>
  <c r="HJ15" i="18"/>
  <c r="HK15" i="18"/>
  <c r="HL15" i="18"/>
  <c r="HM15" i="18"/>
  <c r="HN15" i="18"/>
  <c r="HO15" i="18"/>
  <c r="HP15" i="18"/>
  <c r="HQ15" i="18"/>
  <c r="HR15" i="18"/>
  <c r="HS15" i="18"/>
  <c r="HT15" i="18"/>
  <c r="HU15" i="18"/>
  <c r="D15" i="18"/>
  <c r="F14" i="21" l="1"/>
  <c r="G14" i="21" s="1"/>
  <c r="X15" i="29"/>
  <c r="X16" i="29"/>
  <c r="X17" i="29"/>
  <c r="X18" i="29"/>
  <c r="X19" i="29"/>
  <c r="X20" i="29"/>
  <c r="X21" i="29"/>
  <c r="X22" i="29"/>
  <c r="X23" i="29"/>
  <c r="X24" i="29"/>
  <c r="X25" i="29"/>
  <c r="X26" i="29"/>
  <c r="X27" i="29"/>
  <c r="X28" i="29"/>
  <c r="X29" i="29"/>
  <c r="X30" i="29"/>
  <c r="X14" i="29"/>
  <c r="D19" i="31"/>
  <c r="D18" i="31"/>
  <c r="D17" i="31"/>
  <c r="D16" i="31"/>
  <c r="D15" i="31"/>
  <c r="D14" i="31"/>
  <c r="D13" i="31"/>
  <c r="D12" i="31"/>
  <c r="D11" i="31"/>
  <c r="D10" i="31"/>
  <c r="D9" i="31"/>
  <c r="D8" i="31"/>
  <c r="D7" i="31"/>
  <c r="D6" i="31"/>
  <c r="D5" i="31"/>
  <c r="D4" i="31"/>
  <c r="D3" i="31"/>
  <c r="G25" i="8" l="1" a="1"/>
  <c r="G25" i="8" s="1"/>
  <c r="B39" i="29"/>
  <c r="B40" i="29" s="1"/>
  <c r="B41" i="29" s="1"/>
  <c r="B42" i="29" s="1"/>
  <c r="B43" i="29" s="1"/>
  <c r="B44" i="29" s="1"/>
  <c r="B45" i="29" s="1"/>
  <c r="B46" i="29" s="1"/>
  <c r="B47" i="29" s="1"/>
  <c r="B48" i="29" s="1"/>
  <c r="B49" i="29" s="1"/>
  <c r="B50" i="29" s="1"/>
  <c r="B51" i="29" s="1"/>
  <c r="B52" i="29" s="1"/>
  <c r="B53" i="29" s="1"/>
  <c r="B54" i="29" s="1"/>
  <c r="B55" i="29" s="1"/>
  <c r="Y13" i="29"/>
  <c r="G38" i="29" s="1"/>
  <c r="Y14" i="29"/>
  <c r="Y15" i="29"/>
  <c r="Y16" i="29"/>
  <c r="Y17" i="29"/>
  <c r="Y18" i="29"/>
  <c r="Y19" i="29"/>
  <c r="Y21" i="29"/>
  <c r="Y22" i="29"/>
  <c r="Y23" i="29"/>
  <c r="Y24" i="29"/>
  <c r="Y25" i="29"/>
  <c r="Y26" i="29"/>
  <c r="Y27" i="29"/>
  <c r="Y28" i="29"/>
  <c r="Y29" i="29"/>
  <c r="Y30" i="29"/>
  <c r="C11" i="30"/>
  <c r="Y20" i="29" s="1"/>
  <c r="X13" i="29" a="1"/>
  <c r="X13" i="29" s="1"/>
  <c r="U13" i="29" a="1"/>
  <c r="U13" i="29" s="1"/>
  <c r="U14" i="29" a="1"/>
  <c r="U14" i="29" s="1"/>
  <c r="U15" i="29" a="1"/>
  <c r="U15" i="29" s="1"/>
  <c r="U16" i="29" a="1"/>
  <c r="U16" i="29" s="1"/>
  <c r="U17" i="29" a="1"/>
  <c r="U17" i="29" s="1"/>
  <c r="U18" i="29" a="1"/>
  <c r="U18" i="29" s="1"/>
  <c r="U19" i="29" a="1"/>
  <c r="U19" i="29" s="1"/>
  <c r="U20" i="29" a="1"/>
  <c r="U20" i="29" s="1"/>
  <c r="U21" i="29" a="1"/>
  <c r="U21" i="29" s="1"/>
  <c r="U22" i="29" a="1"/>
  <c r="U22" i="29"/>
  <c r="U23" i="29" a="1"/>
  <c r="U23" i="29" s="1"/>
  <c r="U24" i="29" a="1"/>
  <c r="U24" i="29" s="1"/>
  <c r="U25" i="29" a="1"/>
  <c r="U25" i="29" s="1"/>
  <c r="U26" i="29" a="1"/>
  <c r="U26" i="29" s="1"/>
  <c r="U27" i="29" a="1"/>
  <c r="U27" i="29" s="1"/>
  <c r="U28" i="29" a="1"/>
  <c r="U28" i="29" s="1"/>
  <c r="U29" i="29" a="1"/>
  <c r="U29" i="29" s="1"/>
  <c r="U30" i="29" a="1"/>
  <c r="U30" i="29" s="1"/>
  <c r="T13" i="29" a="1"/>
  <c r="T13" i="29" s="1"/>
  <c r="I15" i="8" s="1" a="1"/>
  <c r="I15" i="8" s="1"/>
  <c r="T14" i="29" a="1"/>
  <c r="T14" i="29" s="1"/>
  <c r="T15" i="29" a="1"/>
  <c r="T15" i="29" s="1"/>
  <c r="T16" i="29" a="1"/>
  <c r="T16" i="29" s="1"/>
  <c r="T17" i="29" a="1"/>
  <c r="T17" i="29" s="1"/>
  <c r="T18" i="29" a="1"/>
  <c r="T18" i="29" s="1"/>
  <c r="T19" i="29" a="1"/>
  <c r="T19" i="29" s="1"/>
  <c r="T20" i="29" a="1"/>
  <c r="T20" i="29" s="1"/>
  <c r="T21" i="29" a="1"/>
  <c r="T21" i="29" s="1"/>
  <c r="T22" i="29" a="1"/>
  <c r="T22" i="29" s="1"/>
  <c r="T23" i="29" a="1"/>
  <c r="T23" i="29" s="1"/>
  <c r="T24" i="29" a="1"/>
  <c r="T24" i="29" s="1"/>
  <c r="T25" i="29" a="1"/>
  <c r="T25" i="29" s="1"/>
  <c r="T26" i="29" a="1"/>
  <c r="T26" i="29" s="1"/>
  <c r="T27" i="29" a="1"/>
  <c r="T27" i="29" s="1"/>
  <c r="T28" i="29" a="1"/>
  <c r="T28" i="29" s="1"/>
  <c r="T29" i="29" a="1"/>
  <c r="T29" i="29" s="1"/>
  <c r="T30" i="29" a="1"/>
  <c r="T30" i="29" s="1"/>
  <c r="R13" i="29" a="1"/>
  <c r="R13" i="29" s="1"/>
  <c r="R14" i="29" a="1"/>
  <c r="R14" i="29" s="1"/>
  <c r="R15" i="29" a="1"/>
  <c r="R15" i="29" s="1"/>
  <c r="R16" i="29" a="1"/>
  <c r="R16" i="29" s="1"/>
  <c r="R17" i="29" a="1"/>
  <c r="R17" i="29" s="1"/>
  <c r="R18" i="29" a="1"/>
  <c r="R18" i="29" s="1"/>
  <c r="R19" i="29" a="1"/>
  <c r="R19" i="29" s="1"/>
  <c r="R20" i="29" a="1"/>
  <c r="R20" i="29" s="1"/>
  <c r="R21" i="29" a="1"/>
  <c r="R21" i="29"/>
  <c r="R22" i="29" a="1"/>
  <c r="R22" i="29" s="1"/>
  <c r="R23" i="29" a="1"/>
  <c r="R23" i="29" s="1"/>
  <c r="R24" i="29" a="1"/>
  <c r="R24" i="29" s="1"/>
  <c r="R25" i="29" a="1"/>
  <c r="R25" i="29" s="1"/>
  <c r="R26" i="29" a="1"/>
  <c r="R26" i="29" s="1"/>
  <c r="R27" i="29" a="1"/>
  <c r="R27" i="29" s="1"/>
  <c r="R28" i="29" a="1"/>
  <c r="R28" i="29" s="1"/>
  <c r="R29" i="29" a="1"/>
  <c r="R29" i="29" s="1"/>
  <c r="R30" i="29" a="1"/>
  <c r="R30" i="29" s="1"/>
  <c r="N13" i="29" a="1"/>
  <c r="N13" i="29" s="1"/>
  <c r="N14" i="29" a="1"/>
  <c r="N14" i="29" s="1"/>
  <c r="N15" i="29" a="1"/>
  <c r="N15" i="29" s="1"/>
  <c r="S15" i="29" s="1"/>
  <c r="N16" i="29" a="1"/>
  <c r="N16" i="29" s="1"/>
  <c r="N17" i="29" a="1"/>
  <c r="N17" i="29" s="1"/>
  <c r="N18" i="29" a="1"/>
  <c r="N18" i="29" s="1"/>
  <c r="N19" i="29" a="1"/>
  <c r="N19" i="29" s="1"/>
  <c r="N20" i="29" a="1"/>
  <c r="N20" i="29" s="1"/>
  <c r="N21" i="29" a="1"/>
  <c r="N21" i="29" s="1"/>
  <c r="N22" i="29" a="1"/>
  <c r="N22" i="29" s="1"/>
  <c r="N23" i="29" a="1"/>
  <c r="N23" i="29" s="1"/>
  <c r="N24" i="29" a="1"/>
  <c r="N24" i="29" s="1"/>
  <c r="N25" i="29" a="1"/>
  <c r="N25" i="29" s="1"/>
  <c r="N26" i="29" a="1"/>
  <c r="N26" i="29" s="1"/>
  <c r="N27" i="29" a="1"/>
  <c r="N27" i="29" s="1"/>
  <c r="N28" i="29" a="1"/>
  <c r="N28" i="29" s="1"/>
  <c r="N29" i="29" a="1"/>
  <c r="N29" i="29" s="1"/>
  <c r="N30" i="29" a="1"/>
  <c r="N30" i="29" s="1"/>
  <c r="L13" i="29" a="1"/>
  <c r="L13" i="29" s="1"/>
  <c r="L14" i="29" a="1"/>
  <c r="L14" i="29" s="1"/>
  <c r="L15" i="29" a="1"/>
  <c r="L15" i="29" s="1"/>
  <c r="L16" i="29" a="1"/>
  <c r="L16" i="29" s="1"/>
  <c r="L17" i="29" a="1"/>
  <c r="L17" i="29" s="1"/>
  <c r="L18" i="29" a="1"/>
  <c r="L18" i="29" s="1"/>
  <c r="L19" i="29" a="1"/>
  <c r="L19" i="29" s="1"/>
  <c r="L20" i="29" a="1"/>
  <c r="L20" i="29" s="1"/>
  <c r="L21" i="29" a="1"/>
  <c r="L21" i="29" s="1"/>
  <c r="L22" i="29" a="1"/>
  <c r="L22" i="29" s="1"/>
  <c r="L23" i="29" a="1"/>
  <c r="L23" i="29" s="1"/>
  <c r="L24" i="29" a="1"/>
  <c r="L24" i="29" s="1"/>
  <c r="L25" i="29" a="1"/>
  <c r="L25" i="29" s="1"/>
  <c r="L26" i="29" a="1"/>
  <c r="L26" i="29" s="1"/>
  <c r="L27" i="29" a="1"/>
  <c r="L27" i="29" s="1"/>
  <c r="L28" i="29" a="1"/>
  <c r="L28" i="29" s="1"/>
  <c r="L29" i="29" a="1"/>
  <c r="L29" i="29" s="1"/>
  <c r="L30" i="29" a="1"/>
  <c r="L30" i="29" s="1"/>
  <c r="K13" i="29" a="1"/>
  <c r="K13" i="29" s="1"/>
  <c r="K14" i="29" a="1"/>
  <c r="K14" i="29" s="1"/>
  <c r="K15" i="29" a="1"/>
  <c r="K15" i="29" s="1"/>
  <c r="K16" i="29" a="1"/>
  <c r="K16" i="29" s="1"/>
  <c r="K17" i="29" a="1"/>
  <c r="K17" i="29" s="1"/>
  <c r="K18" i="29" a="1"/>
  <c r="K18" i="29" s="1"/>
  <c r="K19" i="29" a="1"/>
  <c r="K19" i="29" s="1"/>
  <c r="K20" i="29" a="1"/>
  <c r="K20" i="29" s="1"/>
  <c r="K21" i="29" a="1"/>
  <c r="K21" i="29" s="1"/>
  <c r="K22" i="29" a="1"/>
  <c r="K22" i="29" s="1"/>
  <c r="K23" i="29" a="1"/>
  <c r="K23" i="29" s="1"/>
  <c r="K24" i="29" a="1"/>
  <c r="K24" i="29" s="1"/>
  <c r="K25" i="29" a="1"/>
  <c r="K25" i="29" s="1"/>
  <c r="K26" i="29" a="1"/>
  <c r="K26" i="29" s="1"/>
  <c r="K27" i="29" a="1"/>
  <c r="K27" i="29" s="1"/>
  <c r="K28" i="29" a="1"/>
  <c r="K28" i="29" s="1"/>
  <c r="K29" i="29" a="1"/>
  <c r="K29" i="29" s="1"/>
  <c r="K30" i="29" a="1"/>
  <c r="K30" i="29" s="1"/>
  <c r="I13" i="29" a="1"/>
  <c r="I13" i="29" s="1"/>
  <c r="I14" i="29" a="1"/>
  <c r="I14" i="29" s="1"/>
  <c r="I15" i="29" a="1"/>
  <c r="I15" i="29" s="1"/>
  <c r="I16" i="29" a="1"/>
  <c r="I16" i="29" s="1"/>
  <c r="I17" i="29" a="1"/>
  <c r="I17" i="29" s="1"/>
  <c r="I18" i="29" a="1"/>
  <c r="I18" i="29" s="1"/>
  <c r="I19" i="29" a="1"/>
  <c r="I19" i="29" s="1"/>
  <c r="I20" i="29" a="1"/>
  <c r="I20" i="29" s="1"/>
  <c r="I21" i="29" a="1"/>
  <c r="I21" i="29" s="1"/>
  <c r="I22" i="29" a="1"/>
  <c r="I22" i="29" s="1"/>
  <c r="I23" i="29" a="1"/>
  <c r="I23" i="29" s="1"/>
  <c r="I24" i="29" a="1"/>
  <c r="I24" i="29" s="1"/>
  <c r="I25" i="29" a="1"/>
  <c r="I25" i="29" s="1"/>
  <c r="I26" i="29" a="1"/>
  <c r="I26" i="29" s="1"/>
  <c r="I27" i="29" a="1"/>
  <c r="I27" i="29" s="1"/>
  <c r="I28" i="29" a="1"/>
  <c r="I28" i="29" s="1"/>
  <c r="I29" i="29" a="1"/>
  <c r="I29" i="29" s="1"/>
  <c r="I30" i="29" a="1"/>
  <c r="I30" i="29" s="1"/>
  <c r="H13" i="29" a="1"/>
  <c r="H13" i="29" s="1"/>
  <c r="H14" i="29" a="1"/>
  <c r="H14" i="29" s="1"/>
  <c r="H15" i="29" a="1"/>
  <c r="H15" i="29" s="1"/>
  <c r="H16" i="29" a="1"/>
  <c r="H16" i="29" s="1"/>
  <c r="H17" i="29" a="1"/>
  <c r="H17" i="29" s="1"/>
  <c r="H18" i="29" a="1"/>
  <c r="H18" i="29" s="1"/>
  <c r="H19" i="29" a="1"/>
  <c r="H19" i="29" s="1"/>
  <c r="H20" i="29" a="1"/>
  <c r="H20" i="29" s="1"/>
  <c r="H21" i="29" a="1"/>
  <c r="H21" i="29" s="1"/>
  <c r="H22" i="29" a="1"/>
  <c r="H22" i="29" s="1"/>
  <c r="H23" i="29" a="1"/>
  <c r="H23" i="29" s="1"/>
  <c r="H24" i="29" a="1"/>
  <c r="H24" i="29" s="1"/>
  <c r="H25" i="29" a="1"/>
  <c r="H25" i="29" s="1"/>
  <c r="H26" i="29" a="1"/>
  <c r="H26" i="29" s="1"/>
  <c r="H27" i="29" a="1"/>
  <c r="H27" i="29" s="1"/>
  <c r="H28" i="29" a="1"/>
  <c r="H28" i="29" s="1"/>
  <c r="H29" i="29" a="1"/>
  <c r="H29" i="29" s="1"/>
  <c r="H30" i="29" a="1"/>
  <c r="H30" i="29" s="1"/>
  <c r="J30" i="29" s="1"/>
  <c r="E13" i="29" a="1"/>
  <c r="E13" i="29" s="1"/>
  <c r="E14" i="29" a="1"/>
  <c r="E14" i="29" s="1"/>
  <c r="G14" i="29" s="1"/>
  <c r="E15" i="29" a="1"/>
  <c r="E15" i="29" s="1"/>
  <c r="G15" i="29" s="1"/>
  <c r="E16" i="29" a="1"/>
  <c r="E16" i="29" s="1"/>
  <c r="G16" i="29" s="1"/>
  <c r="E17" i="29" a="1"/>
  <c r="E17" i="29" s="1"/>
  <c r="G17" i="29" s="1"/>
  <c r="E18" i="29" a="1"/>
  <c r="E18" i="29" s="1"/>
  <c r="G18" i="29" s="1"/>
  <c r="E19" i="29" a="1"/>
  <c r="E19" i="29" s="1"/>
  <c r="G19" i="29" s="1"/>
  <c r="E20" i="29" a="1"/>
  <c r="E20" i="29" s="1"/>
  <c r="G20" i="29" s="1"/>
  <c r="E21" i="29" a="1"/>
  <c r="E21" i="29" s="1"/>
  <c r="G21" i="29" s="1"/>
  <c r="E22" i="29" a="1"/>
  <c r="E22" i="29" s="1"/>
  <c r="G22" i="29" s="1"/>
  <c r="E23" i="29" a="1"/>
  <c r="E23" i="29" s="1"/>
  <c r="G23" i="29" s="1"/>
  <c r="E24" i="29" a="1"/>
  <c r="E24" i="29" s="1"/>
  <c r="G24" i="29" s="1"/>
  <c r="E25" i="29" a="1"/>
  <c r="E25" i="29" s="1"/>
  <c r="G25" i="29" s="1"/>
  <c r="E26" i="29" a="1"/>
  <c r="E26" i="29" s="1"/>
  <c r="G26" i="29" s="1"/>
  <c r="E27" i="29" a="1"/>
  <c r="E27" i="29" s="1"/>
  <c r="G27" i="29" s="1"/>
  <c r="E28" i="29" a="1"/>
  <c r="E28" i="29" s="1"/>
  <c r="G28" i="29" s="1"/>
  <c r="E29" i="29" a="1"/>
  <c r="E29" i="29" s="1"/>
  <c r="G29" i="29" s="1"/>
  <c r="E30" i="29" a="1"/>
  <c r="E30" i="29" s="1"/>
  <c r="G30" i="29" s="1"/>
  <c r="B14" i="29"/>
  <c r="B15" i="29" s="1"/>
  <c r="B16" i="29" s="1"/>
  <c r="B17" i="29" s="1"/>
  <c r="B18" i="29" s="1"/>
  <c r="B19" i="29" s="1"/>
  <c r="B20" i="29" s="1"/>
  <c r="B21" i="29" s="1"/>
  <c r="B22" i="29" s="1"/>
  <c r="B23" i="29" s="1"/>
  <c r="B24" i="29" s="1"/>
  <c r="B25" i="29" s="1"/>
  <c r="B26" i="29" s="1"/>
  <c r="B27" i="29" s="1"/>
  <c r="B28" i="29" s="1"/>
  <c r="B29" i="29" s="1"/>
  <c r="B30" i="29" s="1"/>
  <c r="S23" i="29" l="1"/>
  <c r="V28" i="29"/>
  <c r="S16" i="29"/>
  <c r="S24" i="29"/>
  <c r="F15" i="8" a="1"/>
  <c r="F15" i="8" s="1"/>
  <c r="G13" i="29"/>
  <c r="J14" i="29"/>
  <c r="S19" i="29"/>
  <c r="M26" i="29"/>
  <c r="S20" i="29"/>
  <c r="M14" i="29"/>
  <c r="V22" i="29"/>
  <c r="V30" i="29"/>
  <c r="V14" i="29"/>
  <c r="S18" i="29"/>
  <c r="J19" i="29"/>
  <c r="J22" i="29"/>
  <c r="M23" i="29"/>
  <c r="M15" i="29"/>
  <c r="V16" i="29"/>
  <c r="M30" i="29"/>
  <c r="M22" i="29"/>
  <c r="V21" i="29"/>
  <c r="J17" i="29"/>
  <c r="M18" i="29"/>
  <c r="J23" i="29"/>
  <c r="J15" i="29"/>
  <c r="M25" i="29"/>
  <c r="M17" i="29"/>
  <c r="V26" i="29"/>
  <c r="M27" i="29"/>
  <c r="V29" i="29"/>
  <c r="J29" i="29"/>
  <c r="J21" i="29"/>
  <c r="S30" i="29"/>
  <c r="S22" i="29"/>
  <c r="S14" i="29"/>
  <c r="V20" i="29"/>
  <c r="J28" i="29"/>
  <c r="J20" i="29"/>
  <c r="M24" i="29"/>
  <c r="M16" i="29"/>
  <c r="S29" i="29"/>
  <c r="S21" i="29"/>
  <c r="S13" i="29"/>
  <c r="V27" i="29"/>
  <c r="V19" i="29"/>
  <c r="J27" i="29"/>
  <c r="S28" i="29"/>
  <c r="V18" i="29"/>
  <c r="J26" i="29"/>
  <c r="S27" i="29"/>
  <c r="V25" i="29"/>
  <c r="J25" i="29"/>
  <c r="M29" i="29"/>
  <c r="M21" i="29"/>
  <c r="M13" i="29"/>
  <c r="S26" i="29"/>
  <c r="V24" i="29"/>
  <c r="M19" i="29"/>
  <c r="J18" i="29"/>
  <c r="V17" i="29"/>
  <c r="J24" i="29"/>
  <c r="J16" i="29"/>
  <c r="M28" i="29"/>
  <c r="M20" i="29"/>
  <c r="S25" i="29"/>
  <c r="S17" i="29"/>
  <c r="V23" i="29"/>
  <c r="V15" i="29"/>
  <c r="G15" i="8" a="1"/>
  <c r="G15" i="8" s="1"/>
  <c r="E52" i="29"/>
  <c r="E42" i="29"/>
  <c r="E48" i="29"/>
  <c r="E41" i="29"/>
  <c r="E45" i="29"/>
  <c r="E44" i="29"/>
  <c r="J13" i="29"/>
  <c r="E55" i="29"/>
  <c r="V13" i="29"/>
  <c r="E46" i="29"/>
  <c r="E39" i="29"/>
  <c r="E54" i="29"/>
  <c r="E43" i="29"/>
  <c r="E38" i="29"/>
  <c r="F38" i="29" s="1"/>
  <c r="F25" i="8" s="1" a="1"/>
  <c r="F25" i="8" s="1"/>
  <c r="E47" i="29"/>
  <c r="E40" i="29"/>
  <c r="E53" i="29"/>
  <c r="H15" i="8" a="1"/>
  <c r="H15" i="8" s="1"/>
  <c r="E51" i="29"/>
  <c r="E50" i="29"/>
  <c r="E49" i="29"/>
  <c r="W18" i="29" l="1"/>
  <c r="W14" i="29"/>
  <c r="W21" i="29"/>
  <c r="W25" i="29"/>
  <c r="W28" i="29"/>
  <c r="W23" i="29"/>
  <c r="W30" i="29"/>
  <c r="W15" i="29"/>
  <c r="W22" i="29"/>
  <c r="W29" i="29"/>
  <c r="W24" i="29"/>
  <c r="W19" i="29"/>
  <c r="W17" i="29"/>
  <c r="W27" i="29"/>
  <c r="W20" i="29"/>
  <c r="W16" i="29"/>
  <c r="W26" i="29"/>
  <c r="G40" i="29"/>
  <c r="G27" i="8" s="1" a="1"/>
  <c r="G27" i="8" s="1"/>
  <c r="F40" i="29"/>
  <c r="F27" i="8" s="1" a="1"/>
  <c r="F27" i="8" s="1"/>
  <c r="G39" i="29"/>
  <c r="G26" i="8" s="1" a="1"/>
  <c r="G26" i="8" s="1"/>
  <c r="F39" i="29"/>
  <c r="F26" i="8" s="1" a="1"/>
  <c r="F26" i="8" s="1"/>
  <c r="G47" i="29"/>
  <c r="G34" i="8" s="1" a="1"/>
  <c r="G34" i="8" s="1"/>
  <c r="F47" i="29"/>
  <c r="F34" i="8" s="1" a="1"/>
  <c r="F34" i="8" s="1"/>
  <c r="G44" i="29"/>
  <c r="G31" i="8" s="1" a="1"/>
  <c r="G31" i="8" s="1"/>
  <c r="F44" i="29"/>
  <c r="F31" i="8" s="1" a="1"/>
  <c r="F31" i="8" s="1"/>
  <c r="G42" i="29"/>
  <c r="G29" i="8" s="1" a="1"/>
  <c r="G29" i="8" s="1"/>
  <c r="F42" i="29"/>
  <c r="F29" i="8" s="1" a="1"/>
  <c r="F29" i="8" s="1"/>
  <c r="G45" i="29"/>
  <c r="G32" i="8" s="1" a="1"/>
  <c r="G32" i="8" s="1"/>
  <c r="F45" i="29"/>
  <c r="F32" i="8" s="1" a="1"/>
  <c r="F32" i="8" s="1"/>
  <c r="G50" i="29"/>
  <c r="G37" i="8" s="1" a="1"/>
  <c r="G37" i="8" s="1"/>
  <c r="F50" i="29"/>
  <c r="F37" i="8" s="1" a="1"/>
  <c r="F37" i="8" s="1"/>
  <c r="G48" i="29"/>
  <c r="G35" i="8" s="1" a="1"/>
  <c r="G35" i="8" s="1"/>
  <c r="F48" i="29"/>
  <c r="F35" i="8" s="1" a="1"/>
  <c r="F35" i="8" s="1"/>
  <c r="G46" i="29"/>
  <c r="G33" i="8" s="1" a="1"/>
  <c r="G33" i="8" s="1"/>
  <c r="F46" i="29"/>
  <c r="F33" i="8" s="1" a="1"/>
  <c r="F33" i="8" s="1"/>
  <c r="G43" i="29"/>
  <c r="G30" i="8" s="1" a="1"/>
  <c r="G30" i="8" s="1"/>
  <c r="F43" i="29"/>
  <c r="F30" i="8" s="1" a="1"/>
  <c r="F30" i="8" s="1"/>
  <c r="G41" i="29"/>
  <c r="G28" i="8" s="1" a="1"/>
  <c r="G28" i="8" s="1"/>
  <c r="F41" i="29"/>
  <c r="F28" i="8" s="1" a="1"/>
  <c r="F28" i="8" s="1"/>
  <c r="G52" i="29"/>
  <c r="G39" i="8" s="1" a="1"/>
  <c r="G39" i="8" s="1"/>
  <c r="F52" i="29"/>
  <c r="F39" i="8" s="1" a="1"/>
  <c r="F39" i="8" s="1"/>
  <c r="G55" i="29"/>
  <c r="G42" i="8" s="1" a="1"/>
  <c r="G42" i="8" s="1"/>
  <c r="F55" i="29"/>
  <c r="F42" i="8" s="1" a="1"/>
  <c r="F42" i="8" s="1"/>
  <c r="G51" i="29"/>
  <c r="G38" i="8" s="1" a="1"/>
  <c r="G38" i="8" s="1"/>
  <c r="F51" i="29"/>
  <c r="F38" i="8" s="1" a="1"/>
  <c r="F38" i="8" s="1"/>
  <c r="W13" i="29"/>
  <c r="L15" i="8" s="1" a="1"/>
  <c r="L15" i="8" s="1"/>
  <c r="G53" i="29"/>
  <c r="G40" i="8" s="1" a="1"/>
  <c r="G40" i="8" s="1"/>
  <c r="F53" i="29"/>
  <c r="F40" i="8" s="1" a="1"/>
  <c r="F40" i="8" s="1"/>
  <c r="G49" i="29"/>
  <c r="G36" i="8" s="1" a="1"/>
  <c r="G36" i="8" s="1"/>
  <c r="F49" i="29"/>
  <c r="F36" i="8" s="1" a="1"/>
  <c r="F36" i="8" s="1"/>
  <c r="G54" i="29"/>
  <c r="G41" i="8" s="1" a="1"/>
  <c r="G41" i="8" s="1"/>
  <c r="F54" i="29"/>
  <c r="F41" i="8" s="1" a="1"/>
  <c r="F41" i="8" s="1"/>
  <c r="B2" i="29"/>
  <c r="B7" i="29" s="1"/>
  <c r="BZ61" i="28"/>
  <c r="BC61" i="28"/>
  <c r="AY61" i="28"/>
  <c r="AU61" i="28"/>
  <c r="S61" i="28"/>
  <c r="U61" i="28" s="1"/>
  <c r="BZ60" i="28"/>
  <c r="BC60" i="28"/>
  <c r="AY60" i="28"/>
  <c r="AU60" i="28"/>
  <c r="R60" i="28"/>
  <c r="S60" i="28" s="1"/>
  <c r="U60" i="28" s="1"/>
  <c r="L60" i="28"/>
  <c r="BZ59" i="28"/>
  <c r="BC59" i="28"/>
  <c r="AY59" i="28"/>
  <c r="AU59" i="28"/>
  <c r="R59" i="28"/>
  <c r="S59" i="28" s="1"/>
  <c r="U59" i="28" s="1"/>
  <c r="L59" i="28"/>
  <c r="BZ58" i="28"/>
  <c r="BC58" i="28"/>
  <c r="AY58" i="28"/>
  <c r="AU58" i="28"/>
  <c r="R58" i="28"/>
  <c r="S58" i="28" s="1"/>
  <c r="L58" i="28"/>
  <c r="BZ57" i="28"/>
  <c r="BC57" i="28"/>
  <c r="AY57" i="28"/>
  <c r="AX57" i="28"/>
  <c r="AU57" i="28"/>
  <c r="R57" i="28"/>
  <c r="S57" i="28" s="1"/>
  <c r="U57" i="28" s="1"/>
  <c r="BZ56" i="28"/>
  <c r="BC56" i="28"/>
  <c r="AY56" i="28"/>
  <c r="AX56" i="28"/>
  <c r="AU56" i="28"/>
  <c r="V56" i="28"/>
  <c r="R56" i="28"/>
  <c r="S56" i="28" s="1"/>
  <c r="U56" i="28" s="1"/>
  <c r="BZ55" i="28"/>
  <c r="BC55" i="28"/>
  <c r="AY55" i="28"/>
  <c r="AX55" i="28"/>
  <c r="AU55" i="28"/>
  <c r="V55" i="28"/>
  <c r="R55" i="28"/>
  <c r="S55" i="28" s="1"/>
  <c r="U55" i="28" s="1"/>
  <c r="N55" i="28"/>
  <c r="BZ54" i="28"/>
  <c r="BC54" i="28"/>
  <c r="AY54" i="28"/>
  <c r="AX54" i="28"/>
  <c r="AU54" i="28"/>
  <c r="V54" i="28"/>
  <c r="R54" i="28"/>
  <c r="S54" i="28" s="1"/>
  <c r="U54" i="28" s="1"/>
  <c r="N54" i="28"/>
  <c r="BZ53" i="28"/>
  <c r="BC53" i="28"/>
  <c r="AY53" i="28"/>
  <c r="AX53" i="28"/>
  <c r="AU53" i="28"/>
  <c r="V53" i="28"/>
  <c r="R53" i="28"/>
  <c r="S53" i="28" s="1"/>
  <c r="U53" i="28" s="1"/>
  <c r="N53" i="28"/>
  <c r="BC52" i="28"/>
  <c r="AY52" i="28"/>
  <c r="AU52" i="28"/>
  <c r="V52" i="28"/>
  <c r="R52" i="28"/>
  <c r="S52" i="28" s="1"/>
  <c r="U52" i="28" s="1"/>
  <c r="N52" i="28"/>
  <c r="V51" i="28"/>
  <c r="R51" i="28"/>
  <c r="S51" i="28" s="1"/>
  <c r="U51" i="28" s="1"/>
  <c r="N51" i="28"/>
  <c r="BB50" i="28"/>
  <c r="R50" i="28"/>
  <c r="S50" i="28" s="1"/>
  <c r="U50" i="28" s="1"/>
  <c r="BB49" i="28"/>
  <c r="R49" i="28"/>
  <c r="S49" i="28" s="1"/>
  <c r="BB48" i="28"/>
  <c r="R48" i="28"/>
  <c r="S48" i="28" s="1"/>
  <c r="BB47" i="28"/>
  <c r="R47" i="28"/>
  <c r="S47" i="28" s="1"/>
  <c r="BB46" i="28"/>
  <c r="R46" i="28"/>
  <c r="S46" i="28" s="1"/>
  <c r="BB45" i="28"/>
  <c r="R45" i="28"/>
  <c r="S45" i="28" s="1"/>
  <c r="BD129" i="27"/>
  <c r="BC129" i="27"/>
  <c r="BB129" i="27"/>
  <c r="BA129" i="27"/>
  <c r="AZ129" i="27"/>
  <c r="AY129" i="27"/>
  <c r="AW129" i="27"/>
  <c r="BD127" i="27"/>
  <c r="BC127" i="27"/>
  <c r="BB127" i="27"/>
  <c r="BA127" i="27"/>
  <c r="AZ127" i="27"/>
  <c r="AY127" i="27"/>
  <c r="AX127" i="27"/>
  <c r="AW127" i="27"/>
  <c r="AV127" i="27"/>
  <c r="AU124" i="27"/>
  <c r="AT124" i="27"/>
  <c r="AS124" i="27"/>
  <c r="AR124" i="27"/>
  <c r="AQ124" i="27"/>
  <c r="AP124" i="27"/>
  <c r="AO124" i="27"/>
  <c r="AN124" i="27"/>
  <c r="AK124" i="27"/>
  <c r="AH124" i="27"/>
  <c r="AE124" i="27"/>
  <c r="AB124" i="27"/>
  <c r="Y124" i="27"/>
  <c r="V124" i="27"/>
  <c r="S124" i="27"/>
  <c r="P124" i="27"/>
  <c r="M124" i="27"/>
  <c r="J124" i="27"/>
  <c r="G124" i="27"/>
  <c r="D124" i="27"/>
  <c r="BD123" i="27"/>
  <c r="BC123" i="27"/>
  <c r="BD122" i="27"/>
  <c r="BC122" i="27"/>
  <c r="BB122" i="27"/>
  <c r="BB123" i="27" s="1"/>
  <c r="BA122" i="27"/>
  <c r="BA123" i="27" s="1"/>
  <c r="AZ122" i="27"/>
  <c r="AZ123" i="27" s="1"/>
  <c r="AU122" i="27"/>
  <c r="AU123" i="27" s="1"/>
  <c r="BD121" i="27"/>
  <c r="BC121" i="27"/>
  <c r="BA121" i="27"/>
  <c r="AZ121" i="27"/>
  <c r="AQ121" i="27"/>
  <c r="AN121" i="27"/>
  <c r="AM121" i="27"/>
  <c r="AL121" i="27"/>
  <c r="AJ121" i="27"/>
  <c r="AI121" i="27"/>
  <c r="AG121" i="27"/>
  <c r="AD121" i="27"/>
  <c r="AC121" i="27"/>
  <c r="AA121" i="27"/>
  <c r="X121" i="27"/>
  <c r="U121" i="27"/>
  <c r="S121" i="27"/>
  <c r="R121" i="27"/>
  <c r="Q121" i="27"/>
  <c r="O121" i="27"/>
  <c r="N121" i="27"/>
  <c r="L121" i="27"/>
  <c r="K121" i="27"/>
  <c r="I121" i="27"/>
  <c r="H121" i="27"/>
  <c r="F121" i="27"/>
  <c r="E121" i="27"/>
  <c r="C121" i="27"/>
  <c r="B121" i="27"/>
  <c r="AK120" i="27"/>
  <c r="AH120" i="27"/>
  <c r="AE120" i="27"/>
  <c r="AB120" i="27"/>
  <c r="Y120" i="27"/>
  <c r="V120" i="27"/>
  <c r="S120" i="27"/>
  <c r="P120" i="27"/>
  <c r="M120" i="27"/>
  <c r="J120" i="27"/>
  <c r="G120" i="27"/>
  <c r="D120" i="27"/>
  <c r="AT121" i="27"/>
  <c r="AS121" i="27"/>
  <c r="AR121" i="27"/>
  <c r="AP121" i="27"/>
  <c r="AI118" i="27"/>
  <c r="AK118" i="27" s="1"/>
  <c r="AF118" i="27"/>
  <c r="AE118" i="27"/>
  <c r="AB118" i="27"/>
  <c r="Y118" i="27"/>
  <c r="V118" i="27"/>
  <c r="S118" i="27"/>
  <c r="P118" i="27"/>
  <c r="M118" i="27"/>
  <c r="M121" i="27" s="1"/>
  <c r="J118" i="27"/>
  <c r="G118" i="27"/>
  <c r="D118" i="27"/>
  <c r="BB116" i="27"/>
  <c r="BB121" i="27" s="1"/>
  <c r="AU121" i="27"/>
  <c r="AK116" i="27"/>
  <c r="AK121" i="27" s="1"/>
  <c r="AH116" i="27"/>
  <c r="AE116" i="27"/>
  <c r="AE121" i="27" s="1"/>
  <c r="Z116" i="27"/>
  <c r="Z121" i="27" s="1"/>
  <c r="W116" i="27"/>
  <c r="W121" i="27" s="1"/>
  <c r="T116" i="27"/>
  <c r="V116" i="27" s="1"/>
  <c r="V121" i="27" s="1"/>
  <c r="S116" i="27"/>
  <c r="Q116" i="27"/>
  <c r="N116" i="27"/>
  <c r="P116" i="27" s="1"/>
  <c r="P121" i="27" s="1"/>
  <c r="M116" i="27"/>
  <c r="J116" i="27"/>
  <c r="J121" i="27" s="1"/>
  <c r="G116" i="27"/>
  <c r="G121" i="27" s="1"/>
  <c r="D116" i="27"/>
  <c r="D121" i="27" s="1"/>
  <c r="AT122" i="27"/>
  <c r="AS122" i="27"/>
  <c r="AS123" i="27" s="1"/>
  <c r="AR122" i="27"/>
  <c r="AR123" i="27" s="1"/>
  <c r="AQ122" i="27"/>
  <c r="AQ123" i="27" s="1"/>
  <c r="AP122" i="27"/>
  <c r="AP123" i="27" s="1"/>
  <c r="AO122" i="27"/>
  <c r="AO123" i="27" s="1"/>
  <c r="AK114" i="27"/>
  <c r="AH114" i="27"/>
  <c r="AE114" i="27"/>
  <c r="AB114" i="27"/>
  <c r="Y114" i="27"/>
  <c r="V114" i="27"/>
  <c r="S114" i="27"/>
  <c r="P114" i="27"/>
  <c r="M114" i="27"/>
  <c r="J114" i="27"/>
  <c r="G114" i="27"/>
  <c r="D114" i="27"/>
  <c r="AK113" i="27"/>
  <c r="AH113" i="27"/>
  <c r="AE113" i="27"/>
  <c r="AB113" i="27"/>
  <c r="Y113" i="27"/>
  <c r="V113" i="27"/>
  <c r="S113" i="27"/>
  <c r="P113" i="27"/>
  <c r="M113" i="27"/>
  <c r="J113" i="27"/>
  <c r="G113" i="27"/>
  <c r="D113" i="27"/>
  <c r="AK112" i="27"/>
  <c r="AH112" i="27"/>
  <c r="AE112" i="27"/>
  <c r="AB112" i="27"/>
  <c r="Y112" i="27"/>
  <c r="V112" i="27"/>
  <c r="S112" i="27"/>
  <c r="P112" i="27"/>
  <c r="M112" i="27"/>
  <c r="J112" i="27"/>
  <c r="G112" i="27"/>
  <c r="D112" i="27"/>
  <c r="AK111" i="27"/>
  <c r="AH111" i="27"/>
  <c r="AE111" i="27"/>
  <c r="AB111" i="27"/>
  <c r="Y111" i="27"/>
  <c r="V111" i="27"/>
  <c r="S111" i="27"/>
  <c r="P111" i="27"/>
  <c r="M111" i="27"/>
  <c r="J111" i="27"/>
  <c r="G111" i="27"/>
  <c r="D111" i="27"/>
  <c r="AK110" i="27"/>
  <c r="AH110" i="27"/>
  <c r="AE110" i="27"/>
  <c r="AB110" i="27"/>
  <c r="Y110" i="27"/>
  <c r="V110" i="27"/>
  <c r="S110" i="27"/>
  <c r="P110" i="27"/>
  <c r="M110" i="27"/>
  <c r="J110" i="27"/>
  <c r="G110" i="27"/>
  <c r="D110" i="27"/>
  <c r="AK109" i="27"/>
  <c r="AH109" i="27"/>
  <c r="AE109" i="27"/>
  <c r="AB109" i="27"/>
  <c r="Y109" i="27"/>
  <c r="V109" i="27"/>
  <c r="S109" i="27"/>
  <c r="P109" i="27"/>
  <c r="M109" i="27"/>
  <c r="J109" i="27"/>
  <c r="G109" i="27"/>
  <c r="D109" i="27"/>
  <c r="AK108" i="27"/>
  <c r="AH108" i="27"/>
  <c r="AE108" i="27"/>
  <c r="AB108" i="27"/>
  <c r="Y108" i="27"/>
  <c r="V108" i="27"/>
  <c r="S108" i="27"/>
  <c r="P108" i="27"/>
  <c r="M108" i="27"/>
  <c r="J108" i="27"/>
  <c r="G108" i="27"/>
  <c r="D108" i="27"/>
  <c r="AC93" i="27"/>
  <c r="U93" i="27"/>
  <c r="M93" i="27"/>
  <c r="E93" i="27"/>
  <c r="AO93" i="27"/>
  <c r="AK82" i="27"/>
  <c r="AH82" i="27"/>
  <c r="AH93" i="27" s="1"/>
  <c r="AE82" i="27"/>
  <c r="AB82" i="27"/>
  <c r="Y82" i="27"/>
  <c r="V82" i="27"/>
  <c r="S82" i="27"/>
  <c r="S93" i="27" s="1"/>
  <c r="P82" i="27"/>
  <c r="M82" i="27"/>
  <c r="J82" i="27"/>
  <c r="G82" i="27"/>
  <c r="D82" i="27"/>
  <c r="AK81" i="27"/>
  <c r="AH81" i="27"/>
  <c r="AE81" i="27"/>
  <c r="AB81" i="27"/>
  <c r="Y81" i="27"/>
  <c r="V81" i="27"/>
  <c r="S81" i="27"/>
  <c r="P81" i="27"/>
  <c r="M81" i="27"/>
  <c r="J81" i="27"/>
  <c r="G81" i="27"/>
  <c r="D81" i="27"/>
  <c r="AK80" i="27"/>
  <c r="AH80" i="27"/>
  <c r="AE80" i="27"/>
  <c r="AB80" i="27"/>
  <c r="Y80" i="27"/>
  <c r="V80" i="27"/>
  <c r="S80" i="27"/>
  <c r="P80" i="27"/>
  <c r="M80" i="27"/>
  <c r="J80" i="27"/>
  <c r="G80" i="27"/>
  <c r="D80" i="27"/>
  <c r="AK79" i="27"/>
  <c r="AH79" i="27"/>
  <c r="AE79" i="27"/>
  <c r="AB79" i="27"/>
  <c r="Y79" i="27"/>
  <c r="V79" i="27"/>
  <c r="S79" i="27"/>
  <c r="P79" i="27"/>
  <c r="M79" i="27"/>
  <c r="J79" i="27"/>
  <c r="G79" i="27"/>
  <c r="D79" i="27"/>
  <c r="AK78" i="27"/>
  <c r="AH78" i="27"/>
  <c r="AE78" i="27"/>
  <c r="AB78" i="27"/>
  <c r="Y78" i="27"/>
  <c r="V78" i="27"/>
  <c r="S78" i="27"/>
  <c r="P78" i="27"/>
  <c r="M78" i="27"/>
  <c r="J78" i="27"/>
  <c r="G78" i="27"/>
  <c r="D78" i="27"/>
  <c r="AI77" i="27"/>
  <c r="AK77" i="27" s="1"/>
  <c r="AH77" i="27"/>
  <c r="AE77" i="27"/>
  <c r="AB77" i="27"/>
  <c r="Y77" i="27"/>
  <c r="V77" i="27"/>
  <c r="S77" i="27"/>
  <c r="P77" i="27"/>
  <c r="M77" i="27"/>
  <c r="K77" i="27"/>
  <c r="H77" i="27"/>
  <c r="J77" i="27" s="1"/>
  <c r="D77" i="27"/>
  <c r="G77" i="27" s="1"/>
  <c r="BA72" i="27"/>
  <c r="AZ72" i="27"/>
  <c r="AY72" i="27"/>
  <c r="AK71" i="27"/>
  <c r="AH71" i="27"/>
  <c r="AE71" i="27"/>
  <c r="AB71" i="27"/>
  <c r="Y71" i="27"/>
  <c r="V71" i="27"/>
  <c r="S71" i="27"/>
  <c r="P71" i="27"/>
  <c r="M71" i="27"/>
  <c r="J71" i="27"/>
  <c r="G71" i="27"/>
  <c r="D71" i="27"/>
  <c r="AK70" i="27"/>
  <c r="AH70" i="27"/>
  <c r="AE70" i="27"/>
  <c r="AB70" i="27"/>
  <c r="Y70" i="27"/>
  <c r="V70" i="27"/>
  <c r="S70" i="27"/>
  <c r="P70" i="27"/>
  <c r="M70" i="27"/>
  <c r="J70" i="27"/>
  <c r="G70" i="27"/>
  <c r="D70" i="27"/>
  <c r="AK69" i="27"/>
  <c r="AH69" i="27"/>
  <c r="AE69" i="27"/>
  <c r="AB69" i="27"/>
  <c r="Y69" i="27"/>
  <c r="V69" i="27"/>
  <c r="S69" i="27"/>
  <c r="P69" i="27"/>
  <c r="M69" i="27"/>
  <c r="J69" i="27"/>
  <c r="H69" i="27"/>
  <c r="G69" i="27"/>
  <c r="D69" i="27"/>
  <c r="AT68" i="27"/>
  <c r="AS68" i="27"/>
  <c r="AR68" i="27"/>
  <c r="AQ68" i="27"/>
  <c r="AP68" i="27"/>
  <c r="AO68" i="27"/>
  <c r="AN68" i="27"/>
  <c r="BD67" i="27"/>
  <c r="BC67" i="27"/>
  <c r="BB67" i="27"/>
  <c r="BA67" i="27"/>
  <c r="AZ67" i="27"/>
  <c r="AY67" i="27"/>
  <c r="AX67" i="27"/>
  <c r="AW67" i="27"/>
  <c r="AV67" i="27"/>
  <c r="BE65" i="27"/>
  <c r="BE67" i="27" s="1"/>
  <c r="BD65" i="27"/>
  <c r="BC65" i="27"/>
  <c r="BB65" i="27"/>
  <c r="AU68" i="27"/>
  <c r="AK65" i="27"/>
  <c r="AH65" i="27"/>
  <c r="AE65" i="27"/>
  <c r="AB65" i="27"/>
  <c r="Y65" i="27"/>
  <c r="V65" i="27"/>
  <c r="S65" i="27"/>
  <c r="P65" i="27"/>
  <c r="M65" i="27"/>
  <c r="J65" i="27"/>
  <c r="G65" i="27"/>
  <c r="D65" i="27"/>
  <c r="BE64" i="27"/>
  <c r="BD64" i="27"/>
  <c r="BC64" i="27"/>
  <c r="BB64" i="27"/>
  <c r="AK64" i="27"/>
  <c r="AH64" i="27"/>
  <c r="AE64" i="27"/>
  <c r="AB64" i="27"/>
  <c r="Y64" i="27"/>
  <c r="V64" i="27"/>
  <c r="S64" i="27"/>
  <c r="P64" i="27"/>
  <c r="M64" i="27"/>
  <c r="J64" i="27"/>
  <c r="G64" i="27"/>
  <c r="D64" i="27"/>
  <c r="BE63" i="27"/>
  <c r="BD63" i="27"/>
  <c r="BD54" i="27" s="1"/>
  <c r="BC63" i="27"/>
  <c r="BB63" i="27"/>
  <c r="AS54" i="27"/>
  <c r="AK63" i="27"/>
  <c r="AH63" i="27"/>
  <c r="AE63" i="27"/>
  <c r="AB63" i="27"/>
  <c r="Y63" i="27"/>
  <c r="V63" i="27"/>
  <c r="S63" i="27"/>
  <c r="P63" i="27"/>
  <c r="M63" i="27"/>
  <c r="J63" i="27"/>
  <c r="G63" i="27"/>
  <c r="D63" i="27"/>
  <c r="AT62" i="27"/>
  <c r="AS62" i="27"/>
  <c r="AQ62" i="27"/>
  <c r="AP62" i="27"/>
  <c r="AO62" i="27"/>
  <c r="AN62" i="27"/>
  <c r="BC61" i="27"/>
  <c r="BC73" i="27" s="1"/>
  <c r="BC75" i="27" s="1"/>
  <c r="BA61" i="27"/>
  <c r="BA73" i="27" s="1"/>
  <c r="BA75" i="27" s="1"/>
  <c r="BE60" i="27"/>
  <c r="BA60" i="27"/>
  <c r="AZ60" i="27"/>
  <c r="AY60" i="27"/>
  <c r="AX60" i="27"/>
  <c r="AW60" i="27"/>
  <c r="BE59" i="27"/>
  <c r="BD59" i="27"/>
  <c r="BD60" i="27" s="1"/>
  <c r="BC59" i="27"/>
  <c r="BB59" i="27"/>
  <c r="BB60" i="27" s="1"/>
  <c r="AV60" i="27"/>
  <c r="BE58" i="27"/>
  <c r="BD58" i="27"/>
  <c r="BC58" i="27"/>
  <c r="BC60" i="27" s="1"/>
  <c r="BB58" i="27"/>
  <c r="AX54" i="27"/>
  <c r="AU62" i="27"/>
  <c r="AR62" i="27"/>
  <c r="AK58" i="27"/>
  <c r="AH58" i="27"/>
  <c r="AE58" i="27"/>
  <c r="AB58" i="27"/>
  <c r="AB54" i="27" s="1"/>
  <c r="Y58" i="27"/>
  <c r="V58" i="27"/>
  <c r="S58" i="27"/>
  <c r="P58" i="27"/>
  <c r="M58" i="27"/>
  <c r="J58" i="27"/>
  <c r="G58" i="27"/>
  <c r="D58" i="27"/>
  <c r="BE57" i="27"/>
  <c r="BE54" i="27" s="1"/>
  <c r="BD57" i="27"/>
  <c r="BC57" i="27"/>
  <c r="BC54" i="27" s="1"/>
  <c r="BB57" i="27"/>
  <c r="AK57" i="27"/>
  <c r="AH57" i="27"/>
  <c r="AE57" i="27"/>
  <c r="AB57" i="27"/>
  <c r="Y57" i="27"/>
  <c r="V57" i="27"/>
  <c r="V54" i="27" s="1"/>
  <c r="S57" i="27"/>
  <c r="P57" i="27"/>
  <c r="M57" i="27"/>
  <c r="J57" i="27"/>
  <c r="G57" i="27"/>
  <c r="D57" i="27"/>
  <c r="AR54" i="27"/>
  <c r="AK56" i="27"/>
  <c r="AK54" i="27" s="1"/>
  <c r="AH56" i="27"/>
  <c r="AE56" i="27"/>
  <c r="AB56" i="27"/>
  <c r="Y56" i="27"/>
  <c r="V56" i="27"/>
  <c r="S56" i="27"/>
  <c r="P56" i="27"/>
  <c r="P54" i="27" s="1"/>
  <c r="M56" i="27"/>
  <c r="M54" i="27" s="1"/>
  <c r="J56" i="27"/>
  <c r="G56" i="27"/>
  <c r="D56" i="27"/>
  <c r="AW54" i="27"/>
  <c r="AK55" i="27"/>
  <c r="AF55" i="27"/>
  <c r="AF54" i="27" s="1"/>
  <c r="AC55" i="27"/>
  <c r="AB55" i="27"/>
  <c r="Y55" i="27"/>
  <c r="V55" i="27"/>
  <c r="S55" i="27"/>
  <c r="P55" i="27"/>
  <c r="M55" i="27"/>
  <c r="H55" i="27"/>
  <c r="G55" i="27"/>
  <c r="G54" i="27" s="1"/>
  <c r="D55" i="27"/>
  <c r="BB54" i="27"/>
  <c r="BA54" i="27"/>
  <c r="AZ54" i="27"/>
  <c r="AY54" i="27"/>
  <c r="AQ54" i="27"/>
  <c r="AP54" i="27"/>
  <c r="AO54" i="27"/>
  <c r="AN54" i="27"/>
  <c r="AM54" i="27"/>
  <c r="AL54" i="27"/>
  <c r="AJ54" i="27"/>
  <c r="AI54" i="27"/>
  <c r="AG54" i="27"/>
  <c r="AD54" i="27"/>
  <c r="AA54" i="27"/>
  <c r="Z54" i="27"/>
  <c r="X54" i="27"/>
  <c r="W54" i="27"/>
  <c r="U54" i="27"/>
  <c r="T54" i="27"/>
  <c r="S54" i="27"/>
  <c r="R54" i="27"/>
  <c r="Q54" i="27"/>
  <c r="O54" i="27"/>
  <c r="N54" i="27"/>
  <c r="L54" i="27"/>
  <c r="K54" i="27"/>
  <c r="I54" i="27"/>
  <c r="F54" i="27"/>
  <c r="E54" i="27"/>
  <c r="D54" i="27"/>
  <c r="C54" i="27"/>
  <c r="B54" i="27"/>
  <c r="AK53" i="27"/>
  <c r="AH53" i="27"/>
  <c r="AE53" i="27"/>
  <c r="AB53" i="27"/>
  <c r="Y53" i="27"/>
  <c r="V53" i="27"/>
  <c r="S53" i="27"/>
  <c r="P53" i="27"/>
  <c r="M53" i="27"/>
  <c r="J53" i="27"/>
  <c r="G53" i="27"/>
  <c r="D53" i="27"/>
  <c r="AK52" i="27"/>
  <c r="AH52" i="27"/>
  <c r="AE52" i="27"/>
  <c r="AB52" i="27"/>
  <c r="Y52" i="27"/>
  <c r="V52" i="27"/>
  <c r="S52" i="27"/>
  <c r="P52" i="27"/>
  <c r="M52" i="27"/>
  <c r="H52" i="27"/>
  <c r="J52" i="27" s="1"/>
  <c r="G52" i="27"/>
  <c r="D52" i="27"/>
  <c r="AU51" i="27"/>
  <c r="AT51" i="27"/>
  <c r="AS51" i="27"/>
  <c r="AQ51" i="27"/>
  <c r="AP51" i="27"/>
  <c r="AO51" i="27"/>
  <c r="AN51" i="27"/>
  <c r="BE49" i="27"/>
  <c r="BD49" i="27"/>
  <c r="BC49" i="27"/>
  <c r="BA49" i="27"/>
  <c r="AZ49" i="27"/>
  <c r="AY49" i="27"/>
  <c r="AV49" i="27"/>
  <c r="BE47" i="27"/>
  <c r="BD47" i="27"/>
  <c r="BC47" i="27"/>
  <c r="BB47" i="27"/>
  <c r="BB49" i="27" s="1"/>
  <c r="AW49" i="27"/>
  <c r="AR51" i="27"/>
  <c r="AK47" i="27"/>
  <c r="AH47" i="27"/>
  <c r="AE47" i="27"/>
  <c r="AB47" i="27"/>
  <c r="Y47" i="27"/>
  <c r="V47" i="27"/>
  <c r="S47" i="27"/>
  <c r="P47" i="27"/>
  <c r="M47" i="27"/>
  <c r="J47" i="27"/>
  <c r="G47" i="27"/>
  <c r="D47" i="27"/>
  <c r="BE46" i="27"/>
  <c r="BD46" i="27"/>
  <c r="BC46" i="27"/>
  <c r="BB46" i="27"/>
  <c r="AW37" i="27"/>
  <c r="AK46" i="27"/>
  <c r="AH46" i="27"/>
  <c r="AE46" i="27"/>
  <c r="AB46" i="27"/>
  <c r="Y46" i="27"/>
  <c r="V46" i="27"/>
  <c r="S46" i="27"/>
  <c r="P46" i="27"/>
  <c r="M46" i="27"/>
  <c r="J46" i="27"/>
  <c r="G46" i="27"/>
  <c r="D46" i="27"/>
  <c r="BE45" i="27"/>
  <c r="BD45" i="27"/>
  <c r="BC45" i="27"/>
  <c r="BB45" i="27"/>
  <c r="AK45" i="27"/>
  <c r="AH45" i="27"/>
  <c r="AE45" i="27"/>
  <c r="AB45" i="27"/>
  <c r="Y45" i="27"/>
  <c r="V45" i="27"/>
  <c r="S45" i="27"/>
  <c r="P45" i="27"/>
  <c r="M45" i="27"/>
  <c r="J45" i="27"/>
  <c r="G45" i="27"/>
  <c r="D45" i="27"/>
  <c r="BE43" i="27"/>
  <c r="BE61" i="27" s="1"/>
  <c r="BE73" i="27" s="1"/>
  <c r="BE75" i="27" s="1"/>
  <c r="BA43" i="27"/>
  <c r="AZ43" i="27"/>
  <c r="AZ61" i="27" s="1"/>
  <c r="AZ73" i="27" s="1"/>
  <c r="AZ75" i="27" s="1"/>
  <c r="AY43" i="27"/>
  <c r="AY61" i="27" s="1"/>
  <c r="AY73" i="27" s="1"/>
  <c r="AY75" i="27" s="1"/>
  <c r="AX43" i="27"/>
  <c r="AX61" i="27" s="1"/>
  <c r="AX73" i="27" s="1"/>
  <c r="AX75" i="27" s="1"/>
  <c r="AW43" i="27"/>
  <c r="AW61" i="27" s="1"/>
  <c r="AW73" i="27" s="1"/>
  <c r="AW75" i="27" s="1"/>
  <c r="BE42" i="27"/>
  <c r="BE72" i="27" s="1"/>
  <c r="BD42" i="27"/>
  <c r="BC42" i="27"/>
  <c r="BC72" i="27" s="1"/>
  <c r="BB42" i="27"/>
  <c r="AX72" i="27"/>
  <c r="AW72" i="27"/>
  <c r="BE41" i="27"/>
  <c r="BD41" i="27"/>
  <c r="BC41" i="27"/>
  <c r="BC43" i="27" s="1"/>
  <c r="BB41" i="27"/>
  <c r="AU44" i="27"/>
  <c r="AU74" i="27" s="1"/>
  <c r="AU75" i="27" s="1"/>
  <c r="AT44" i="27"/>
  <c r="AT74" i="27" s="1"/>
  <c r="AT75" i="27" s="1"/>
  <c r="AS44" i="27"/>
  <c r="AR44" i="27"/>
  <c r="AQ44" i="27"/>
  <c r="AP44" i="27"/>
  <c r="AP74" i="27" s="1"/>
  <c r="AP75" i="27" s="1"/>
  <c r="AO44" i="27"/>
  <c r="AO74" i="27" s="1"/>
  <c r="AO75" i="27" s="1"/>
  <c r="AN37" i="27"/>
  <c r="AK41" i="27"/>
  <c r="AH41" i="27"/>
  <c r="AE41" i="27"/>
  <c r="AB41" i="27"/>
  <c r="Y41" i="27"/>
  <c r="V41" i="27"/>
  <c r="S41" i="27"/>
  <c r="P41" i="27"/>
  <c r="M41" i="27"/>
  <c r="J41" i="27"/>
  <c r="G41" i="27"/>
  <c r="D41" i="27"/>
  <c r="BE40" i="27"/>
  <c r="BD40" i="27"/>
  <c r="BD37" i="27" s="1"/>
  <c r="BC40" i="27"/>
  <c r="BC37" i="27" s="1"/>
  <c r="BB40" i="27"/>
  <c r="BB37" i="27" s="1"/>
  <c r="AK40" i="27"/>
  <c r="AH40" i="27"/>
  <c r="AE40" i="27"/>
  <c r="AB40" i="27"/>
  <c r="Y40" i="27"/>
  <c r="V40" i="27"/>
  <c r="S40" i="27"/>
  <c r="P40" i="27"/>
  <c r="M40" i="27"/>
  <c r="J40" i="27"/>
  <c r="G40" i="27"/>
  <c r="D40" i="27"/>
  <c r="AK39" i="27"/>
  <c r="AH39" i="27"/>
  <c r="AE39" i="27"/>
  <c r="AB39" i="27"/>
  <c r="Y39" i="27"/>
  <c r="V39" i="27"/>
  <c r="S39" i="27"/>
  <c r="P39" i="27"/>
  <c r="M39" i="27"/>
  <c r="J39" i="27"/>
  <c r="G39" i="27"/>
  <c r="D39" i="27"/>
  <c r="AT37" i="27"/>
  <c r="AS37" i="27"/>
  <c r="AR37" i="27"/>
  <c r="AK38" i="27"/>
  <c r="AF38" i="27"/>
  <c r="AH38" i="27" s="1"/>
  <c r="AC38" i="27"/>
  <c r="AE38" i="27" s="1"/>
  <c r="AB38" i="27"/>
  <c r="Y38" i="27"/>
  <c r="V38" i="27"/>
  <c r="S38" i="27"/>
  <c r="P38" i="27"/>
  <c r="M38" i="27"/>
  <c r="H38" i="27"/>
  <c r="J38" i="27" s="1"/>
  <c r="G38" i="27"/>
  <c r="D38" i="27"/>
  <c r="BE37" i="27"/>
  <c r="BA37" i="27"/>
  <c r="AZ37" i="27"/>
  <c r="AY37" i="27"/>
  <c r="AX37" i="27"/>
  <c r="AQ37" i="27"/>
  <c r="AP37" i="27"/>
  <c r="AO37" i="27"/>
  <c r="AK37" i="27"/>
  <c r="AH37" i="27"/>
  <c r="AE37" i="27"/>
  <c r="AB37" i="27"/>
  <c r="Y37" i="27"/>
  <c r="V37" i="27"/>
  <c r="S37" i="27"/>
  <c r="P37" i="27"/>
  <c r="M37" i="27"/>
  <c r="J37" i="27"/>
  <c r="G37" i="27"/>
  <c r="D37" i="27"/>
  <c r="BD35" i="27"/>
  <c r="BD36" i="27" s="1"/>
  <c r="BC35" i="27"/>
  <c r="BC36" i="27" s="1"/>
  <c r="BB35" i="27"/>
  <c r="BB36" i="27" s="1"/>
  <c r="BA35" i="27"/>
  <c r="BA36" i="27" s="1"/>
  <c r="AZ35" i="27"/>
  <c r="AZ36" i="27" s="1"/>
  <c r="AU35" i="27"/>
  <c r="AU36" i="27" s="1"/>
  <c r="AT35" i="27"/>
  <c r="AT36" i="27" s="1"/>
  <c r="BD34" i="27"/>
  <c r="BC34" i="27"/>
  <c r="BB34" i="27"/>
  <c r="BA34" i="27"/>
  <c r="AZ34" i="27"/>
  <c r="AY34" i="27"/>
  <c r="AT34" i="27"/>
  <c r="AM34" i="27"/>
  <c r="AM93" i="27" s="1"/>
  <c r="AL34" i="27"/>
  <c r="AL93" i="27" s="1"/>
  <c r="AJ34" i="27"/>
  <c r="AJ93" i="27" s="1"/>
  <c r="AG34" i="27"/>
  <c r="AG93" i="27" s="1"/>
  <c r="AF34" i="27"/>
  <c r="AF93" i="27" s="1"/>
  <c r="AE34" i="27"/>
  <c r="AE93" i="27" s="1"/>
  <c r="AD34" i="27"/>
  <c r="AD93" i="27" s="1"/>
  <c r="AC34" i="27"/>
  <c r="AA34" i="27"/>
  <c r="AA93" i="27" s="1"/>
  <c r="X34" i="27"/>
  <c r="X93" i="27" s="1"/>
  <c r="W34" i="27"/>
  <c r="W93" i="27" s="1"/>
  <c r="V34" i="27"/>
  <c r="U34" i="27"/>
  <c r="T34" i="27"/>
  <c r="T93" i="27" s="1"/>
  <c r="R34" i="27"/>
  <c r="R93" i="27" s="1"/>
  <c r="O34" i="27"/>
  <c r="O93" i="27" s="1"/>
  <c r="L34" i="27"/>
  <c r="L93" i="27" s="1"/>
  <c r="K34" i="27"/>
  <c r="K93" i="27" s="1"/>
  <c r="I34" i="27"/>
  <c r="I93" i="27" s="1"/>
  <c r="H34" i="27"/>
  <c r="H93" i="27" s="1"/>
  <c r="G34" i="27"/>
  <c r="G93" i="27" s="1"/>
  <c r="F34" i="27"/>
  <c r="F93" i="27" s="1"/>
  <c r="E34" i="27"/>
  <c r="C34" i="27"/>
  <c r="C93" i="27" s="1"/>
  <c r="B34" i="27"/>
  <c r="AN34" i="27"/>
  <c r="AN93" i="27" s="1"/>
  <c r="AK33" i="27"/>
  <c r="AH33" i="27"/>
  <c r="AE33" i="27"/>
  <c r="AB33" i="27"/>
  <c r="Y33" i="27"/>
  <c r="V33" i="27"/>
  <c r="S33" i="27"/>
  <c r="P33" i="27"/>
  <c r="M33" i="27"/>
  <c r="J33" i="27"/>
  <c r="G33" i="27"/>
  <c r="D33" i="27"/>
  <c r="AX129" i="27"/>
  <c r="AV129" i="27"/>
  <c r="AQ34" i="27"/>
  <c r="AP34" i="27"/>
  <c r="AO34" i="27"/>
  <c r="AI31" i="27"/>
  <c r="AK31" i="27" s="1"/>
  <c r="AK34" i="27" s="1"/>
  <c r="AK93" i="27" s="1"/>
  <c r="AF31" i="27"/>
  <c r="AH31" i="27" s="1"/>
  <c r="AE31" i="27"/>
  <c r="AB31" i="27"/>
  <c r="Y31" i="27"/>
  <c r="V31" i="27"/>
  <c r="S31" i="27"/>
  <c r="P31" i="27"/>
  <c r="M31" i="27"/>
  <c r="J31" i="27"/>
  <c r="G31" i="27"/>
  <c r="D31" i="27"/>
  <c r="D34" i="27" s="1"/>
  <c r="AR35" i="27"/>
  <c r="AR36" i="27" s="1"/>
  <c r="BB29" i="27"/>
  <c r="AW34" i="27"/>
  <c r="AU34" i="27"/>
  <c r="AS34" i="27"/>
  <c r="AR34" i="27"/>
  <c r="AK29" i="27"/>
  <c r="AH29" i="27"/>
  <c r="AH34" i="27" s="1"/>
  <c r="AE29" i="27"/>
  <c r="Z29" i="27"/>
  <c r="Z34" i="27" s="1"/>
  <c r="Z93" i="27" s="1"/>
  <c r="W29" i="27"/>
  <c r="Y29" i="27" s="1"/>
  <c r="Y34" i="27" s="1"/>
  <c r="V29" i="27"/>
  <c r="T29" i="27"/>
  <c r="Q29" i="27"/>
  <c r="S29" i="27" s="1"/>
  <c r="S34" i="27" s="1"/>
  <c r="N29" i="27"/>
  <c r="N34" i="27" s="1"/>
  <c r="N93" i="27" s="1"/>
  <c r="M29" i="27"/>
  <c r="M34" i="27" s="1"/>
  <c r="J29" i="27"/>
  <c r="J34" i="27" s="1"/>
  <c r="G29" i="27"/>
  <c r="D29" i="27"/>
  <c r="AX35" i="27"/>
  <c r="AX36" i="27" s="1"/>
  <c r="AW35" i="27"/>
  <c r="AW36" i="27" s="1"/>
  <c r="AS35" i="27"/>
  <c r="AS36" i="27" s="1"/>
  <c r="AP35" i="27"/>
  <c r="AP36" i="27" s="1"/>
  <c r="AO35" i="27"/>
  <c r="AO36" i="27" s="1"/>
  <c r="AK27" i="27"/>
  <c r="AH27" i="27"/>
  <c r="AE27" i="27"/>
  <c r="AB27" i="27"/>
  <c r="Y27" i="27"/>
  <c r="V27" i="27"/>
  <c r="S27" i="27"/>
  <c r="P27" i="27"/>
  <c r="M27" i="27"/>
  <c r="J27" i="27"/>
  <c r="G27" i="27"/>
  <c r="D27" i="27"/>
  <c r="AK26" i="27"/>
  <c r="AH26" i="27"/>
  <c r="AE26" i="27"/>
  <c r="AB26" i="27"/>
  <c r="Y26" i="27"/>
  <c r="V26" i="27"/>
  <c r="S26" i="27"/>
  <c r="P26" i="27"/>
  <c r="M26" i="27"/>
  <c r="J26" i="27"/>
  <c r="G26" i="27"/>
  <c r="D26" i="27"/>
  <c r="AK25" i="27"/>
  <c r="AH25" i="27"/>
  <c r="AE25" i="27"/>
  <c r="AB25" i="27"/>
  <c r="Y25" i="27"/>
  <c r="V25" i="27"/>
  <c r="S25" i="27"/>
  <c r="P25" i="27"/>
  <c r="M25" i="27"/>
  <c r="J25" i="27"/>
  <c r="G25" i="27"/>
  <c r="D25" i="27"/>
  <c r="AK24" i="27"/>
  <c r="AH24" i="27"/>
  <c r="AE24" i="27"/>
  <c r="AB24" i="27"/>
  <c r="Y24" i="27"/>
  <c r="V24" i="27"/>
  <c r="S24" i="27"/>
  <c r="P24" i="27"/>
  <c r="M24" i="27"/>
  <c r="J24" i="27"/>
  <c r="G24" i="27"/>
  <c r="D24" i="27"/>
  <c r="AK23" i="27"/>
  <c r="AH23" i="27"/>
  <c r="AE23" i="27"/>
  <c r="AB23" i="27"/>
  <c r="Y23" i="27"/>
  <c r="V23" i="27"/>
  <c r="S23" i="27"/>
  <c r="P23" i="27"/>
  <c r="M23" i="27"/>
  <c r="J23" i="27"/>
  <c r="G23" i="27"/>
  <c r="D23" i="27"/>
  <c r="AK22" i="27"/>
  <c r="AH22" i="27"/>
  <c r="AE22" i="27"/>
  <c r="AB22" i="27"/>
  <c r="Y22" i="27"/>
  <c r="V22" i="27"/>
  <c r="S22" i="27"/>
  <c r="P22" i="27"/>
  <c r="M22" i="27"/>
  <c r="J22" i="27"/>
  <c r="G22" i="27"/>
  <c r="D22" i="27"/>
  <c r="AK21" i="27"/>
  <c r="AH21" i="27"/>
  <c r="AE21" i="27"/>
  <c r="AB21" i="27"/>
  <c r="Y21" i="27"/>
  <c r="V21" i="27"/>
  <c r="S21" i="27"/>
  <c r="P21" i="27"/>
  <c r="M21" i="27"/>
  <c r="J21" i="27"/>
  <c r="G21" i="27"/>
  <c r="D21" i="27"/>
  <c r="AK20" i="27"/>
  <c r="AH20" i="27"/>
  <c r="AE20" i="27"/>
  <c r="AB20" i="27"/>
  <c r="Y20" i="27"/>
  <c r="V20" i="27"/>
  <c r="S20" i="27"/>
  <c r="P20" i="27"/>
  <c r="M20" i="27"/>
  <c r="J20" i="27"/>
  <c r="G20" i="27"/>
  <c r="D20" i="27"/>
  <c r="AK19" i="27"/>
  <c r="AH19" i="27"/>
  <c r="AE19" i="27"/>
  <c r="AB19" i="27"/>
  <c r="Y19" i="27"/>
  <c r="V19" i="27"/>
  <c r="S19" i="27"/>
  <c r="P19" i="27"/>
  <c r="M19" i="27"/>
  <c r="J19" i="27"/>
  <c r="G19" i="27"/>
  <c r="D19" i="27"/>
  <c r="AK18" i="27"/>
  <c r="AH18" i="27"/>
  <c r="AE18" i="27"/>
  <c r="AB18" i="27"/>
  <c r="Y18" i="27"/>
  <c r="V18" i="27"/>
  <c r="S18" i="27"/>
  <c r="P18" i="27"/>
  <c r="M18" i="27"/>
  <c r="J18" i="27"/>
  <c r="G18" i="27"/>
  <c r="D18" i="27"/>
  <c r="AK17" i="27"/>
  <c r="AH17" i="27"/>
  <c r="AE17" i="27"/>
  <c r="AB17" i="27"/>
  <c r="Y17" i="27"/>
  <c r="V17" i="27"/>
  <c r="S17" i="27"/>
  <c r="P17" i="27"/>
  <c r="M17" i="27"/>
  <c r="J17" i="27"/>
  <c r="G17" i="27"/>
  <c r="D17" i="27"/>
  <c r="AK15" i="27"/>
  <c r="AH15" i="27"/>
  <c r="AE15" i="27"/>
  <c r="AB15" i="27"/>
  <c r="Y15" i="27"/>
  <c r="V15" i="27"/>
  <c r="S15" i="27"/>
  <c r="P15" i="27"/>
  <c r="M15" i="27"/>
  <c r="J15" i="27"/>
  <c r="G15" i="27"/>
  <c r="D15" i="27"/>
  <c r="AK14" i="27"/>
  <c r="AH14" i="27"/>
  <c r="AE14" i="27"/>
  <c r="AB14" i="27"/>
  <c r="Y14" i="27"/>
  <c r="V14" i="27"/>
  <c r="S14" i="27"/>
  <c r="P14" i="27"/>
  <c r="M14" i="27"/>
  <c r="J14" i="27"/>
  <c r="G14" i="27"/>
  <c r="D14" i="27"/>
  <c r="AK13" i="27"/>
  <c r="AH13" i="27"/>
  <c r="AE13" i="27"/>
  <c r="AB13" i="27"/>
  <c r="Y13" i="27"/>
  <c r="V13" i="27"/>
  <c r="S13" i="27"/>
  <c r="P13" i="27"/>
  <c r="M13" i="27"/>
  <c r="J13" i="27"/>
  <c r="G13" i="27"/>
  <c r="D13" i="27"/>
  <c r="BC10" i="27"/>
  <c r="BA10" i="27"/>
  <c r="AV10" i="27"/>
  <c r="AU10" i="27"/>
  <c r="AQ10" i="27"/>
  <c r="AP10" i="27"/>
  <c r="AO10" i="27"/>
  <c r="AN10" i="27"/>
  <c r="AM10" i="27"/>
  <c r="AL10" i="27"/>
  <c r="AJ10" i="27"/>
  <c r="AI10" i="27"/>
  <c r="AG10" i="27"/>
  <c r="AF10" i="27"/>
  <c r="AE10" i="27"/>
  <c r="AD10" i="27"/>
  <c r="AC10" i="27"/>
  <c r="AA10" i="27"/>
  <c r="Z10" i="27"/>
  <c r="X10" i="27"/>
  <c r="W10" i="27"/>
  <c r="U10" i="27"/>
  <c r="T10" i="27"/>
  <c r="R10" i="27"/>
  <c r="Q10" i="27"/>
  <c r="P10" i="27"/>
  <c r="O10" i="27"/>
  <c r="N10" i="27"/>
  <c r="L10" i="27"/>
  <c r="K10" i="27"/>
  <c r="I10" i="27"/>
  <c r="H10" i="27"/>
  <c r="G10" i="27"/>
  <c r="F10" i="27"/>
  <c r="E10" i="27"/>
  <c r="AK9" i="27"/>
  <c r="AH9" i="27"/>
  <c r="AE9" i="27"/>
  <c r="AB9" i="27"/>
  <c r="Y9" i="27"/>
  <c r="V9" i="27"/>
  <c r="S9" i="27"/>
  <c r="P9" i="27"/>
  <c r="M9" i="27"/>
  <c r="J9" i="27"/>
  <c r="G9" i="27"/>
  <c r="D9" i="27"/>
  <c r="AK8" i="27"/>
  <c r="AH8" i="27"/>
  <c r="AE8" i="27"/>
  <c r="AB8" i="27"/>
  <c r="Y8" i="27"/>
  <c r="V8" i="27"/>
  <c r="S8" i="27"/>
  <c r="P8" i="27"/>
  <c r="M8" i="27"/>
  <c r="J8" i="27"/>
  <c r="G8" i="27"/>
  <c r="D8" i="27"/>
  <c r="AK7" i="27"/>
  <c r="AH7" i="27"/>
  <c r="AE7" i="27"/>
  <c r="AB7" i="27"/>
  <c r="Y7" i="27"/>
  <c r="V7" i="27"/>
  <c r="S7" i="27"/>
  <c r="P7" i="27"/>
  <c r="M7" i="27"/>
  <c r="J7" i="27"/>
  <c r="G7" i="27"/>
  <c r="D7" i="27"/>
  <c r="AK6" i="27"/>
  <c r="AH6" i="27"/>
  <c r="AE6" i="27"/>
  <c r="AB6" i="27"/>
  <c r="Y6" i="27"/>
  <c r="V6" i="27"/>
  <c r="S6" i="27"/>
  <c r="P6" i="27"/>
  <c r="M6" i="27"/>
  <c r="J6" i="27"/>
  <c r="G6" i="27"/>
  <c r="D6" i="27"/>
  <c r="AK5" i="27"/>
  <c r="AK10" i="27" s="1"/>
  <c r="AH5" i="27"/>
  <c r="AE5" i="27"/>
  <c r="AB5" i="27"/>
  <c r="Y5" i="27"/>
  <c r="V5" i="27"/>
  <c r="S5" i="27"/>
  <c r="P5" i="27"/>
  <c r="M5" i="27"/>
  <c r="M10" i="27" s="1"/>
  <c r="J5" i="27"/>
  <c r="G5" i="27"/>
  <c r="D5" i="27"/>
  <c r="BE10" i="27"/>
  <c r="BD10" i="27"/>
  <c r="BB10" i="27"/>
  <c r="AZ10" i="27"/>
  <c r="AY10" i="27"/>
  <c r="AX10" i="27"/>
  <c r="AW10" i="27"/>
  <c r="AS10" i="27"/>
  <c r="AR10" i="27"/>
  <c r="AK4" i="27"/>
  <c r="AH4" i="27"/>
  <c r="AH10" i="27" s="1"/>
  <c r="AE4" i="27"/>
  <c r="AB4" i="27"/>
  <c r="AB10" i="27" s="1"/>
  <c r="Y4" i="27"/>
  <c r="Y10" i="27" s="1"/>
  <c r="V4" i="27"/>
  <c r="S4" i="27"/>
  <c r="S10" i="27" s="1"/>
  <c r="P4" i="27"/>
  <c r="M4" i="27"/>
  <c r="J4" i="27"/>
  <c r="J10" i="27" s="1"/>
  <c r="G4" i="27"/>
  <c r="D4" i="27"/>
  <c r="D10" i="27" s="1"/>
  <c r="AU51" i="28" l="1"/>
  <c r="AU45" i="28" s="1"/>
  <c r="AT45" i="28" s="1"/>
  <c r="AY51" i="28"/>
  <c r="AY46" i="28" s="1"/>
  <c r="AW46" i="28" s="1"/>
  <c r="AX46" i="28" s="1"/>
  <c r="BZ52" i="28"/>
  <c r="BZ49" i="28" s="1"/>
  <c r="BY49" i="28" s="1"/>
  <c r="U58" i="28"/>
  <c r="U49" i="28"/>
  <c r="BC51" i="28"/>
  <c r="BB51" i="28" s="1"/>
  <c r="AX52" i="28"/>
  <c r="AV43" i="27"/>
  <c r="AV61" i="27" s="1"/>
  <c r="AV73" i="27" s="1"/>
  <c r="AV75" i="27" s="1"/>
  <c r="AV72" i="27"/>
  <c r="AT54" i="27"/>
  <c r="AV35" i="27"/>
  <c r="AV36" i="27" s="1"/>
  <c r="AU54" i="27"/>
  <c r="Y54" i="27"/>
  <c r="Y93" i="27"/>
  <c r="AQ93" i="27"/>
  <c r="V10" i="27"/>
  <c r="AT10" i="27"/>
  <c r="P29" i="27"/>
  <c r="P34" i="27" s="1"/>
  <c r="P93" i="27" s="1"/>
  <c r="AX34" i="27"/>
  <c r="AU37" i="27"/>
  <c r="AV54" i="27"/>
  <c r="D93" i="27"/>
  <c r="AB93" i="27"/>
  <c r="AT123" i="27"/>
  <c r="AO121" i="27"/>
  <c r="AF121" i="27"/>
  <c r="AH118" i="27"/>
  <c r="AH121" i="27" s="1"/>
  <c r="AB29" i="27"/>
  <c r="AB34" i="27" s="1"/>
  <c r="AQ74" i="27"/>
  <c r="AQ75" i="27" s="1"/>
  <c r="AE55" i="27"/>
  <c r="AE54" i="27" s="1"/>
  <c r="AC54" i="27"/>
  <c r="AV34" i="27"/>
  <c r="AP93" i="27"/>
  <c r="AQ35" i="27"/>
  <c r="AQ36" i="27" s="1"/>
  <c r="AR74" i="27"/>
  <c r="AR75" i="27" s="1"/>
  <c r="AN44" i="27"/>
  <c r="AN74" i="27" s="1"/>
  <c r="AN75" i="27" s="1"/>
  <c r="H54" i="27"/>
  <c r="J55" i="27"/>
  <c r="J54" i="27" s="1"/>
  <c r="J93" i="27"/>
  <c r="V93" i="27"/>
  <c r="AY35" i="27"/>
  <c r="AY36" i="27" s="1"/>
  <c r="AV37" i="27"/>
  <c r="AS74" i="27"/>
  <c r="AS75" i="27" s="1"/>
  <c r="AX49" i="27"/>
  <c r="Q34" i="27"/>
  <c r="Q93" i="27" s="1"/>
  <c r="BB72" i="27"/>
  <c r="AH55" i="27"/>
  <c r="AH54" i="27" s="1"/>
  <c r="Y116" i="27"/>
  <c r="Y121" i="27" s="1"/>
  <c r="T121" i="27"/>
  <c r="AI34" i="27"/>
  <c r="AI93" i="27" s="1"/>
  <c r="BB43" i="27"/>
  <c r="BB61" i="27" s="1"/>
  <c r="BB73" i="27" s="1"/>
  <c r="BB75" i="27" s="1"/>
  <c r="BD72" i="27"/>
  <c r="AB116" i="27"/>
  <c r="AB121" i="27" s="1"/>
  <c r="BD43" i="27"/>
  <c r="BD61" i="27" s="1"/>
  <c r="BD73" i="27" s="1"/>
  <c r="BD75" i="27" s="1"/>
  <c r="AY47" i="28" l="1"/>
  <c r="AW47" i="28" s="1"/>
  <c r="AX47" i="28" s="1"/>
  <c r="AY49" i="28"/>
  <c r="AW49" i="28" s="1"/>
  <c r="AX49" i="28" s="1"/>
  <c r="BZ50" i="28"/>
  <c r="BY50" i="28" s="1"/>
  <c r="BZ51" i="28"/>
  <c r="BY51" i="28" s="1"/>
  <c r="AW51" i="28"/>
  <c r="AX51" i="28" s="1"/>
  <c r="BZ45" i="28"/>
  <c r="BY45" i="28" s="1"/>
  <c r="BZ47" i="28"/>
  <c r="BY47" i="28" s="1"/>
  <c r="AY48" i="28"/>
  <c r="AW48" i="28" s="1"/>
  <c r="AX48" i="28" s="1"/>
  <c r="BY52" i="28"/>
  <c r="AY50" i="28"/>
  <c r="AW50" i="28" s="1"/>
  <c r="AX50" i="28" s="1"/>
  <c r="BZ46" i="28"/>
  <c r="BY46" i="28" s="1"/>
  <c r="AY45" i="28"/>
  <c r="AW45" i="28" s="1"/>
  <c r="AX45" i="28" s="1"/>
  <c r="BZ48" i="28"/>
  <c r="BY48" i="28" s="1"/>
  <c r="AU49" i="28"/>
  <c r="AT49" i="28" s="1"/>
  <c r="AU47" i="28"/>
  <c r="AT47" i="28" s="1"/>
  <c r="AU44" i="28"/>
  <c r="AT44" i="28" s="1"/>
  <c r="AU48" i="28"/>
  <c r="AT48" i="28" s="1"/>
  <c r="AU50" i="28"/>
  <c r="AT50" i="28" s="1"/>
  <c r="AT51" i="28"/>
  <c r="AU46" i="28"/>
  <c r="AT46" i="28" s="1"/>
  <c r="U48" i="28"/>
  <c r="T48" i="28" s="1"/>
  <c r="U46" i="28"/>
  <c r="T46" i="28" s="1"/>
  <c r="U47" i="28"/>
  <c r="T47" i="28" s="1"/>
  <c r="U45" i="28"/>
  <c r="T45" i="28" s="1"/>
  <c r="T49" i="28"/>
  <c r="B26" i="8" l="1"/>
  <c r="B27" i="8" s="1"/>
  <c r="B28" i="8" s="1"/>
  <c r="B29" i="8" s="1"/>
  <c r="B30" i="8" s="1"/>
  <c r="B31" i="8" s="1"/>
  <c r="B32" i="8" s="1"/>
  <c r="B33" i="8" s="1"/>
  <c r="B34" i="8" s="1"/>
  <c r="B35" i="8" s="1"/>
  <c r="B36" i="8" s="1"/>
  <c r="B37" i="8" s="1"/>
  <c r="B38" i="8" s="1"/>
  <c r="B39" i="8" s="1"/>
  <c r="B40" i="8" s="1"/>
  <c r="B41" i="8" s="1"/>
  <c r="B42" i="8" s="1"/>
  <c r="B16" i="21"/>
  <c r="B17" i="21" s="1"/>
  <c r="B18" i="21" s="1"/>
  <c r="B19" i="21" s="1"/>
  <c r="B20" i="21" s="1"/>
  <c r="B21" i="21" s="1"/>
  <c r="B22" i="21" s="1"/>
  <c r="B23" i="21" s="1"/>
  <c r="B24" i="21" s="1"/>
  <c r="B25" i="21" s="1"/>
  <c r="B26" i="21" s="1"/>
  <c r="B27" i="21" s="1"/>
  <c r="B28" i="21" s="1"/>
  <c r="B29" i="21" s="1"/>
  <c r="B30" i="21" s="1"/>
  <c r="B31" i="21" s="1"/>
  <c r="B32" i="21" s="1"/>
  <c r="B14" i="23"/>
  <c r="B15" i="23" s="1"/>
  <c r="B16" i="23" s="1"/>
  <c r="B17" i="23" s="1"/>
  <c r="B18" i="23" s="1"/>
  <c r="B19" i="23" s="1"/>
  <c r="B20" i="23" s="1"/>
  <c r="B21" i="23" s="1"/>
  <c r="B22" i="23" s="1"/>
  <c r="B23" i="23" s="1"/>
  <c r="B24" i="23" s="1"/>
  <c r="B25" i="23" s="1"/>
  <c r="B26" i="23" s="1"/>
  <c r="B27" i="23" s="1"/>
  <c r="B28" i="23" s="1"/>
  <c r="B29" i="23" s="1"/>
  <c r="B30" i="23" s="1"/>
  <c r="B15" i="22"/>
  <c r="B16" i="22" s="1"/>
  <c r="B17" i="22" s="1"/>
  <c r="B18" i="22" s="1"/>
  <c r="B19" i="22" s="1"/>
  <c r="B20" i="22" s="1"/>
  <c r="B21" i="22" s="1"/>
  <c r="B22" i="22" s="1"/>
  <c r="B23" i="22" s="1"/>
  <c r="B24" i="22" s="1"/>
  <c r="B25" i="22" s="1"/>
  <c r="B26" i="22" s="1"/>
  <c r="B27" i="22" s="1"/>
  <c r="B28" i="22" s="1"/>
  <c r="B29" i="22" s="1"/>
  <c r="B30" i="22" s="1"/>
  <c r="B31" i="22" s="1"/>
  <c r="O14" i="22" l="1"/>
  <c r="O15" i="22"/>
  <c r="O16" i="22"/>
  <c r="O17" i="22"/>
  <c r="O18" i="22"/>
  <c r="O19" i="22"/>
  <c r="O20" i="22"/>
  <c r="O21" i="22"/>
  <c r="O22" i="22"/>
  <c r="O23" i="22"/>
  <c r="O24" i="22"/>
  <c r="O25" i="22"/>
  <c r="O26" i="22"/>
  <c r="O27" i="22"/>
  <c r="O28" i="22"/>
  <c r="O29" i="22"/>
  <c r="O30" i="22"/>
  <c r="O31" i="22"/>
  <c r="G14" i="22"/>
  <c r="G15" i="22"/>
  <c r="G16" i="22"/>
  <c r="G17" i="22"/>
  <c r="G18" i="22"/>
  <c r="G19" i="22"/>
  <c r="G20" i="22"/>
  <c r="G21" i="22"/>
  <c r="G22" i="22"/>
  <c r="G23" i="22"/>
  <c r="G24" i="22"/>
  <c r="G25" i="22"/>
  <c r="G26" i="22"/>
  <c r="G27" i="22"/>
  <c r="G28" i="22"/>
  <c r="G29" i="22"/>
  <c r="G30" i="22"/>
  <c r="G31" i="22"/>
  <c r="F14" i="22"/>
  <c r="F15" i="22"/>
  <c r="F16" i="22"/>
  <c r="F17" i="22"/>
  <c r="F18" i="22"/>
  <c r="F19" i="22"/>
  <c r="F20" i="22"/>
  <c r="F21" i="22"/>
  <c r="F22" i="22"/>
  <c r="F23" i="22"/>
  <c r="F24" i="22"/>
  <c r="F25" i="22"/>
  <c r="F26" i="22"/>
  <c r="F27" i="22"/>
  <c r="F28" i="22"/>
  <c r="F29" i="22"/>
  <c r="F30" i="22"/>
  <c r="F31" i="22"/>
  <c r="H20" i="22" a="1"/>
  <c r="H20" i="22" s="1"/>
  <c r="H22" i="22" a="1"/>
  <c r="H22" i="22" s="1"/>
  <c r="H30" i="22" a="1"/>
  <c r="H30" i="22" s="1"/>
  <c r="J30" i="23"/>
  <c r="H31" i="22" s="1" a="1"/>
  <c r="H31" i="22" s="1"/>
  <c r="J29" i="23"/>
  <c r="J28" i="23"/>
  <c r="H29" i="22" s="1" a="1"/>
  <c r="H29" i="22" s="1"/>
  <c r="J27" i="23"/>
  <c r="H28" i="22" s="1" a="1"/>
  <c r="H28" i="22" s="1"/>
  <c r="J26" i="23"/>
  <c r="H27" i="22" s="1" a="1"/>
  <c r="H27" i="22" s="1"/>
  <c r="J25" i="23"/>
  <c r="H26" i="22" s="1" a="1"/>
  <c r="H26" i="22" s="1"/>
  <c r="J24" i="23"/>
  <c r="H25" i="22" s="1" a="1"/>
  <c r="H25" i="22" s="1"/>
  <c r="J23" i="23"/>
  <c r="H24" i="22" s="1" a="1"/>
  <c r="H24" i="22" s="1"/>
  <c r="J22" i="23"/>
  <c r="H23" i="22" s="1" a="1"/>
  <c r="H23" i="22" s="1"/>
  <c r="J21" i="23"/>
  <c r="J20" i="23"/>
  <c r="H21" i="22" s="1" a="1"/>
  <c r="H21" i="22" s="1"/>
  <c r="J19" i="23"/>
  <c r="J18" i="23"/>
  <c r="H19" i="22" s="1" a="1"/>
  <c r="H19" i="22" s="1"/>
  <c r="J17" i="23"/>
  <c r="H18" i="22" s="1" a="1"/>
  <c r="H18" i="22" s="1"/>
  <c r="J16" i="23"/>
  <c r="H17" i="22" s="1" a="1"/>
  <c r="H17" i="22" s="1"/>
  <c r="J15" i="23"/>
  <c r="H16" i="22" s="1" a="1"/>
  <c r="H16" i="22" s="1"/>
  <c r="J14" i="23"/>
  <c r="H15" i="22" s="1" a="1"/>
  <c r="H15" i="22" s="1"/>
  <c r="J13" i="23"/>
  <c r="H14" i="22" s="1" a="1"/>
  <c r="H14" i="22" s="1"/>
  <c r="B2" i="23"/>
  <c r="P14" i="22"/>
  <c r="Q14" i="22" s="1"/>
  <c r="P15" i="22"/>
  <c r="Q15" i="22" s="1"/>
  <c r="P16" i="22"/>
  <c r="Q16" i="22" s="1"/>
  <c r="P17" i="22"/>
  <c r="Q17" i="22" s="1"/>
  <c r="P18" i="22"/>
  <c r="Q18" i="22" s="1"/>
  <c r="P19" i="22"/>
  <c r="Q19" i="22" s="1"/>
  <c r="P20" i="22"/>
  <c r="Q20" i="22" s="1"/>
  <c r="P21" i="22"/>
  <c r="Q21" i="22" s="1"/>
  <c r="P22" i="22"/>
  <c r="Q22" i="22" s="1"/>
  <c r="P23" i="22"/>
  <c r="Q23" i="22" s="1"/>
  <c r="P24" i="22"/>
  <c r="Q24" i="22" s="1"/>
  <c r="P25" i="22"/>
  <c r="Q25" i="22" s="1"/>
  <c r="P26" i="22"/>
  <c r="Q26" i="22" s="1"/>
  <c r="P27" i="22"/>
  <c r="Q27" i="22" s="1"/>
  <c r="P28" i="22"/>
  <c r="Q28" i="22" s="1"/>
  <c r="P29" i="22"/>
  <c r="Q29" i="22" s="1"/>
  <c r="P30" i="22"/>
  <c r="Q30" i="22" s="1"/>
  <c r="P31" i="22"/>
  <c r="Q31" i="22" s="1"/>
  <c r="B2" i="22"/>
  <c r="E31" i="21" l="1"/>
  <c r="F32" i="21" s="1"/>
  <c r="G32" i="21" s="1"/>
  <c r="E30" i="21"/>
  <c r="E29" i="21"/>
  <c r="E28" i="21"/>
  <c r="E27" i="21"/>
  <c r="E26" i="21"/>
  <c r="E25" i="21"/>
  <c r="E24" i="21"/>
  <c r="E23" i="21"/>
  <c r="E22" i="21"/>
  <c r="E21" i="21"/>
  <c r="E20" i="21"/>
  <c r="E19" i="21"/>
  <c r="E18" i="21"/>
  <c r="E17" i="21"/>
  <c r="E16" i="21"/>
  <c r="E15" i="21"/>
  <c r="B1248" i="19"/>
  <c r="B1247" i="19"/>
  <c r="B1246" i="19"/>
  <c r="B1245" i="19"/>
  <c r="B1244" i="19"/>
  <c r="B1243" i="19"/>
  <c r="B1242" i="19"/>
  <c r="B1241" i="19"/>
  <c r="B1240" i="19"/>
  <c r="B1239" i="19"/>
  <c r="B1238" i="19"/>
  <c r="B1237" i="19"/>
  <c r="B1236" i="19"/>
  <c r="B1235" i="19"/>
  <c r="B1234" i="19"/>
  <c r="B1233" i="19"/>
  <c r="B1232" i="19"/>
  <c r="B1231" i="19"/>
  <c r="B1230" i="19"/>
  <c r="B1229" i="19"/>
  <c r="B1228" i="19"/>
  <c r="B1227" i="19"/>
  <c r="B1226" i="19"/>
  <c r="B1225" i="19"/>
  <c r="B1224" i="19"/>
  <c r="B1223" i="19"/>
  <c r="B1222" i="19"/>
  <c r="B1221" i="19"/>
  <c r="B1220" i="19"/>
  <c r="B1219" i="19"/>
  <c r="B1218" i="19"/>
  <c r="B1217" i="19"/>
  <c r="B1216" i="19"/>
  <c r="B1215" i="19"/>
  <c r="B1214" i="19"/>
  <c r="B1213" i="19"/>
  <c r="B1212" i="19"/>
  <c r="B1211" i="19"/>
  <c r="B1210" i="19"/>
  <c r="B1209" i="19"/>
  <c r="B1208" i="19"/>
  <c r="B1207" i="19"/>
  <c r="B1206" i="19"/>
  <c r="B1205" i="19"/>
  <c r="B1204" i="19"/>
  <c r="B1203" i="19"/>
  <c r="B1202" i="19"/>
  <c r="B1201" i="19"/>
  <c r="B1200" i="19"/>
  <c r="B1199" i="19"/>
  <c r="B1198" i="19"/>
  <c r="B1197" i="19"/>
  <c r="B1196" i="19"/>
  <c r="B1195" i="19"/>
  <c r="B1194" i="19"/>
  <c r="B1193" i="19"/>
  <c r="B1192" i="19"/>
  <c r="B1191" i="19"/>
  <c r="B1190" i="19"/>
  <c r="B1189" i="19"/>
  <c r="B1188" i="19"/>
  <c r="B1187" i="19"/>
  <c r="B1186" i="19"/>
  <c r="B1185" i="19"/>
  <c r="B1184" i="19"/>
  <c r="B1183" i="19"/>
  <c r="B1182" i="19"/>
  <c r="B1181" i="19"/>
  <c r="B1180" i="19"/>
  <c r="B1179" i="19"/>
  <c r="B1178" i="19"/>
  <c r="B1177" i="19"/>
  <c r="B1176" i="19"/>
  <c r="B1175" i="19"/>
  <c r="B1174" i="19"/>
  <c r="B1173" i="19"/>
  <c r="B1172" i="19"/>
  <c r="B1171" i="19"/>
  <c r="B1170" i="19"/>
  <c r="B1169" i="19"/>
  <c r="B1168" i="19"/>
  <c r="B1167" i="19"/>
  <c r="B1166" i="19"/>
  <c r="B1165" i="19"/>
  <c r="B1164" i="19"/>
  <c r="B1163" i="19"/>
  <c r="B1162" i="19"/>
  <c r="B1161" i="19"/>
  <c r="B1160" i="19"/>
  <c r="B1159" i="19"/>
  <c r="B1158" i="19"/>
  <c r="B1157" i="19"/>
  <c r="B1156" i="19"/>
  <c r="B1155" i="19"/>
  <c r="B1154" i="19"/>
  <c r="B1153" i="19"/>
  <c r="B1152" i="19"/>
  <c r="B1151" i="19"/>
  <c r="B1150" i="19"/>
  <c r="B1149" i="19"/>
  <c r="B1148" i="19"/>
  <c r="B1147" i="19"/>
  <c r="B1146" i="19"/>
  <c r="B1145" i="19"/>
  <c r="B1144" i="19"/>
  <c r="B1143" i="19"/>
  <c r="B1142" i="19"/>
  <c r="B1141" i="19"/>
  <c r="B1140" i="19"/>
  <c r="B1139" i="19"/>
  <c r="B1138" i="19"/>
  <c r="B1137" i="19"/>
  <c r="B1136" i="19"/>
  <c r="B1135" i="19"/>
  <c r="B1134" i="19"/>
  <c r="B1133" i="19"/>
  <c r="B1132" i="19"/>
  <c r="B1131" i="19"/>
  <c r="B1130" i="19"/>
  <c r="B1129" i="19"/>
  <c r="B1128" i="19"/>
  <c r="B1127" i="19"/>
  <c r="B1126" i="19"/>
  <c r="B1125" i="19"/>
  <c r="B1124" i="19"/>
  <c r="B1123" i="19"/>
  <c r="B1122" i="19"/>
  <c r="B1121" i="19"/>
  <c r="B1120" i="19"/>
  <c r="B1119" i="19"/>
  <c r="B1118" i="19"/>
  <c r="B1117" i="19"/>
  <c r="B1116" i="19"/>
  <c r="B1115" i="19"/>
  <c r="B1114" i="19"/>
  <c r="B1113" i="19"/>
  <c r="B1112" i="19"/>
  <c r="B1111" i="19"/>
  <c r="B1110" i="19"/>
  <c r="B1109" i="19"/>
  <c r="B1108" i="19"/>
  <c r="B1107" i="19"/>
  <c r="B1106" i="19"/>
  <c r="B1105" i="19"/>
  <c r="B1104" i="19"/>
  <c r="B1103" i="19"/>
  <c r="B1102" i="19"/>
  <c r="B1101" i="19"/>
  <c r="B1100" i="19"/>
  <c r="B1099" i="19"/>
  <c r="B1098" i="19"/>
  <c r="B1097" i="19"/>
  <c r="B1096" i="19"/>
  <c r="B1095" i="19"/>
  <c r="B1094" i="19"/>
  <c r="B1093" i="19"/>
  <c r="B1092" i="19"/>
  <c r="B1091" i="19"/>
  <c r="B1090" i="19"/>
  <c r="B1089" i="19"/>
  <c r="B1088" i="19"/>
  <c r="B1087" i="19"/>
  <c r="B1086" i="19"/>
  <c r="B1085" i="19"/>
  <c r="B1084" i="19"/>
  <c r="B1083" i="19"/>
  <c r="B1082" i="19"/>
  <c r="B1081" i="19"/>
  <c r="B1080" i="19"/>
  <c r="B1079" i="19"/>
  <c r="B1078" i="19"/>
  <c r="B1077" i="19"/>
  <c r="B1076" i="19"/>
  <c r="B1075" i="19"/>
  <c r="B1074" i="19"/>
  <c r="B1073" i="19"/>
  <c r="B1072" i="19"/>
  <c r="B1071" i="19"/>
  <c r="B1070" i="19"/>
  <c r="B1069" i="19"/>
  <c r="B1068" i="19"/>
  <c r="B1067" i="19"/>
  <c r="B1066" i="19"/>
  <c r="B1065" i="19"/>
  <c r="B1064" i="19"/>
  <c r="B1063" i="19"/>
  <c r="B1062" i="19"/>
  <c r="B1061" i="19"/>
  <c r="B1060" i="19"/>
  <c r="B1059" i="19"/>
  <c r="B1058" i="19"/>
  <c r="B1057" i="19"/>
  <c r="B1056" i="19"/>
  <c r="B1055" i="19"/>
  <c r="B1054" i="19"/>
  <c r="B1053" i="19"/>
  <c r="B1052" i="19"/>
  <c r="B1051" i="19"/>
  <c r="B1050" i="19"/>
  <c r="B1049" i="19"/>
  <c r="B1048" i="19"/>
  <c r="B1047" i="19"/>
  <c r="B1046" i="19"/>
  <c r="B1045" i="19"/>
  <c r="B1044" i="19"/>
  <c r="B1043" i="19"/>
  <c r="B1042" i="19"/>
  <c r="B1041" i="19"/>
  <c r="B1040" i="19"/>
  <c r="B1039" i="19"/>
  <c r="B1038" i="19"/>
  <c r="B1037" i="19"/>
  <c r="B1036" i="19"/>
  <c r="B1035" i="19"/>
  <c r="B1034" i="19"/>
  <c r="B1033" i="19"/>
  <c r="B1032" i="19"/>
  <c r="B1031" i="19"/>
  <c r="B1030" i="19"/>
  <c r="B1029" i="19"/>
  <c r="B1028" i="19"/>
  <c r="B1027" i="19"/>
  <c r="B1026" i="19"/>
  <c r="B1025" i="19"/>
  <c r="B1024" i="19"/>
  <c r="B1023" i="19"/>
  <c r="B1022" i="19"/>
  <c r="B1021" i="19"/>
  <c r="B1020" i="19"/>
  <c r="B1019" i="19"/>
  <c r="B1018" i="19"/>
  <c r="B1017" i="19"/>
  <c r="B1016" i="19"/>
  <c r="B1015" i="19"/>
  <c r="B1014" i="19"/>
  <c r="B1013" i="19"/>
  <c r="B1012" i="19"/>
  <c r="B1011" i="19"/>
  <c r="B1010" i="19"/>
  <c r="B1009" i="19"/>
  <c r="B1008" i="19"/>
  <c r="B1007" i="19"/>
  <c r="B1006" i="19"/>
  <c r="B1005" i="19"/>
  <c r="B1004" i="19"/>
  <c r="B1003" i="19"/>
  <c r="B1002" i="19"/>
  <c r="B1001" i="19"/>
  <c r="B1000" i="19"/>
  <c r="B999" i="19"/>
  <c r="B998" i="19"/>
  <c r="B997" i="19"/>
  <c r="B996" i="19"/>
  <c r="B995" i="19"/>
  <c r="B994" i="19"/>
  <c r="B993" i="19"/>
  <c r="B992" i="19"/>
  <c r="B991" i="19"/>
  <c r="B990" i="19"/>
  <c r="B989" i="19"/>
  <c r="B988" i="19"/>
  <c r="B987" i="19"/>
  <c r="B986" i="19"/>
  <c r="B985" i="19"/>
  <c r="B984" i="19"/>
  <c r="B983" i="19"/>
  <c r="B982" i="19"/>
  <c r="B981" i="19"/>
  <c r="B980" i="19"/>
  <c r="B979" i="19"/>
  <c r="B978" i="19"/>
  <c r="B977" i="19"/>
  <c r="B976" i="19"/>
  <c r="B975" i="19"/>
  <c r="B974" i="19"/>
  <c r="B973" i="19"/>
  <c r="B972" i="19"/>
  <c r="B971" i="19"/>
  <c r="B970" i="19"/>
  <c r="B969" i="19"/>
  <c r="B968" i="19"/>
  <c r="B967" i="19"/>
  <c r="B966" i="19"/>
  <c r="B965" i="19"/>
  <c r="B964" i="19"/>
  <c r="B963" i="19"/>
  <c r="B962" i="19"/>
  <c r="B961" i="19"/>
  <c r="B960" i="19"/>
  <c r="B959" i="19"/>
  <c r="B958" i="19"/>
  <c r="B957" i="19"/>
  <c r="B956" i="19"/>
  <c r="B955" i="19"/>
  <c r="B954" i="19"/>
  <c r="B953" i="19"/>
  <c r="B952" i="19"/>
  <c r="B951" i="19"/>
  <c r="B950" i="19"/>
  <c r="B949" i="19"/>
  <c r="B948" i="19"/>
  <c r="B947" i="19"/>
  <c r="B946" i="19"/>
  <c r="B945" i="19"/>
  <c r="B944" i="19"/>
  <c r="B943" i="19"/>
  <c r="B942" i="19"/>
  <c r="B941" i="19"/>
  <c r="B940" i="19"/>
  <c r="B939" i="19"/>
  <c r="B938" i="19"/>
  <c r="B937" i="19"/>
  <c r="B936" i="19"/>
  <c r="B935" i="19"/>
  <c r="B934" i="19"/>
  <c r="B933" i="19"/>
  <c r="B932" i="19"/>
  <c r="B931" i="19"/>
  <c r="B930" i="19"/>
  <c r="B929" i="19"/>
  <c r="B928" i="19"/>
  <c r="B927" i="19"/>
  <c r="B926" i="19"/>
  <c r="B925" i="19"/>
  <c r="B924" i="19"/>
  <c r="B923" i="19"/>
  <c r="B922" i="19"/>
  <c r="B921" i="19"/>
  <c r="B920" i="19"/>
  <c r="B919" i="19"/>
  <c r="B918" i="19"/>
  <c r="B917" i="19"/>
  <c r="B916" i="19"/>
  <c r="B915" i="19"/>
  <c r="B914" i="19"/>
  <c r="B913" i="19"/>
  <c r="B912" i="19"/>
  <c r="B911" i="19"/>
  <c r="B910" i="19"/>
  <c r="B909" i="19"/>
  <c r="B908" i="19"/>
  <c r="B907" i="19"/>
  <c r="B906" i="19"/>
  <c r="B905" i="19"/>
  <c r="B904" i="19"/>
  <c r="B903" i="19"/>
  <c r="B902" i="19"/>
  <c r="B901" i="19"/>
  <c r="B900" i="19"/>
  <c r="B899" i="19"/>
  <c r="B898" i="19"/>
  <c r="B897" i="19"/>
  <c r="B896" i="19"/>
  <c r="B895" i="19"/>
  <c r="B894" i="19"/>
  <c r="B893" i="19"/>
  <c r="B892" i="19"/>
  <c r="B891" i="19"/>
  <c r="B890" i="19"/>
  <c r="B889" i="19"/>
  <c r="B888" i="19"/>
  <c r="B887" i="19"/>
  <c r="B886" i="19"/>
  <c r="B885" i="19"/>
  <c r="B884" i="19"/>
  <c r="B883" i="19"/>
  <c r="B882" i="19"/>
  <c r="B881" i="19"/>
  <c r="B880" i="19"/>
  <c r="B879" i="19"/>
  <c r="B878" i="19"/>
  <c r="B877" i="19"/>
  <c r="B876" i="19"/>
  <c r="B875" i="19"/>
  <c r="B874" i="19"/>
  <c r="B873" i="19"/>
  <c r="B872" i="19"/>
  <c r="B871" i="19"/>
  <c r="B870" i="19"/>
  <c r="B869" i="19"/>
  <c r="B868" i="19"/>
  <c r="B867" i="19"/>
  <c r="B866" i="19"/>
  <c r="B865" i="19"/>
  <c r="B864" i="19"/>
  <c r="B863" i="19"/>
  <c r="B862" i="19"/>
  <c r="B861" i="19"/>
  <c r="B860" i="19"/>
  <c r="B859" i="19"/>
  <c r="B858" i="19"/>
  <c r="B857" i="19"/>
  <c r="B856" i="19"/>
  <c r="B855" i="19"/>
  <c r="B854" i="19"/>
  <c r="B853" i="19"/>
  <c r="B852" i="19"/>
  <c r="B851" i="19"/>
  <c r="B850" i="19"/>
  <c r="B849" i="19"/>
  <c r="B848" i="19"/>
  <c r="B847" i="19"/>
  <c r="B846" i="19"/>
  <c r="B845" i="19"/>
  <c r="B844" i="19"/>
  <c r="B843" i="19"/>
  <c r="B842" i="19"/>
  <c r="B841" i="19"/>
  <c r="B840" i="19"/>
  <c r="B839" i="19"/>
  <c r="B838" i="19"/>
  <c r="B837" i="19"/>
  <c r="B836" i="19"/>
  <c r="B835" i="19"/>
  <c r="B834" i="19"/>
  <c r="B833" i="19"/>
  <c r="B832" i="19"/>
  <c r="B831" i="19"/>
  <c r="B830" i="19"/>
  <c r="B829" i="19"/>
  <c r="B828" i="19"/>
  <c r="B827" i="19"/>
  <c r="B826" i="19"/>
  <c r="B825" i="19"/>
  <c r="B824" i="19"/>
  <c r="B823" i="19"/>
  <c r="B822" i="19"/>
  <c r="B821" i="19"/>
  <c r="B820" i="19"/>
  <c r="B819" i="19"/>
  <c r="B818" i="19"/>
  <c r="B817" i="19"/>
  <c r="B816" i="19"/>
  <c r="B815" i="19"/>
  <c r="B814" i="19"/>
  <c r="B813" i="19"/>
  <c r="B812" i="19"/>
  <c r="B811" i="19"/>
  <c r="B810" i="19"/>
  <c r="B809" i="19"/>
  <c r="B808" i="19"/>
  <c r="B807" i="19"/>
  <c r="B806" i="19"/>
  <c r="B805" i="19"/>
  <c r="B804" i="19"/>
  <c r="B803" i="19"/>
  <c r="B802" i="19"/>
  <c r="B801" i="19"/>
  <c r="B800" i="19"/>
  <c r="B799" i="19"/>
  <c r="B798" i="19"/>
  <c r="B797" i="19"/>
  <c r="B796" i="19"/>
  <c r="B795" i="19"/>
  <c r="B794" i="19"/>
  <c r="B793" i="19"/>
  <c r="B792" i="19"/>
  <c r="B791" i="19"/>
  <c r="B790" i="19"/>
  <c r="B789" i="19"/>
  <c r="B788" i="19"/>
  <c r="B787" i="19"/>
  <c r="B786" i="19"/>
  <c r="B785" i="19"/>
  <c r="B784" i="19"/>
  <c r="B783" i="19"/>
  <c r="B782" i="19"/>
  <c r="B781" i="19"/>
  <c r="B780" i="19"/>
  <c r="B779" i="19"/>
  <c r="B778" i="19"/>
  <c r="B777" i="19"/>
  <c r="B776" i="19"/>
  <c r="B775" i="19"/>
  <c r="B774" i="19"/>
  <c r="B773" i="19"/>
  <c r="B772" i="19"/>
  <c r="B771" i="19"/>
  <c r="B770" i="19"/>
  <c r="B769" i="19"/>
  <c r="B768" i="19"/>
  <c r="B767" i="19"/>
  <c r="B766" i="19"/>
  <c r="B765" i="19"/>
  <c r="B764" i="19"/>
  <c r="B763" i="19"/>
  <c r="B762" i="19"/>
  <c r="B761" i="19"/>
  <c r="B760" i="19"/>
  <c r="B759" i="19"/>
  <c r="B758" i="19"/>
  <c r="B757" i="19"/>
  <c r="B756" i="19"/>
  <c r="B755" i="19"/>
  <c r="B754" i="19"/>
  <c r="B753" i="19"/>
  <c r="B752" i="19"/>
  <c r="B751" i="19"/>
  <c r="B750" i="19"/>
  <c r="B749" i="19"/>
  <c r="B748" i="19"/>
  <c r="B747" i="19"/>
  <c r="B746" i="19"/>
  <c r="B745" i="19"/>
  <c r="B744" i="19"/>
  <c r="B743" i="19"/>
  <c r="B742" i="19"/>
  <c r="B741" i="19"/>
  <c r="B740" i="19"/>
  <c r="B739" i="19"/>
  <c r="B738" i="19"/>
  <c r="B737" i="19"/>
  <c r="B736" i="19"/>
  <c r="B735" i="19"/>
  <c r="B734" i="19"/>
  <c r="B733" i="19"/>
  <c r="B732" i="19"/>
  <c r="B731" i="19"/>
  <c r="B730" i="19"/>
  <c r="B729" i="19"/>
  <c r="B728" i="19"/>
  <c r="B727" i="19"/>
  <c r="B726" i="19"/>
  <c r="B725" i="19"/>
  <c r="B724" i="19"/>
  <c r="B723" i="19"/>
  <c r="B722" i="19"/>
  <c r="B721" i="19"/>
  <c r="B720" i="19"/>
  <c r="B719" i="19"/>
  <c r="B718" i="19"/>
  <c r="B717" i="19"/>
  <c r="B716" i="19"/>
  <c r="B715" i="19"/>
  <c r="B714" i="19"/>
  <c r="B713" i="19"/>
  <c r="B712" i="19"/>
  <c r="B711" i="19"/>
  <c r="B710" i="19"/>
  <c r="B709" i="19"/>
  <c r="B708" i="19"/>
  <c r="B707" i="19"/>
  <c r="B706" i="19"/>
  <c r="B705" i="19"/>
  <c r="B704" i="19"/>
  <c r="B703" i="19"/>
  <c r="B702" i="19"/>
  <c r="B701" i="19"/>
  <c r="B700" i="19"/>
  <c r="B699" i="19"/>
  <c r="B698" i="19"/>
  <c r="B697" i="19"/>
  <c r="B696" i="19"/>
  <c r="B695" i="19"/>
  <c r="B694" i="19"/>
  <c r="B693" i="19"/>
  <c r="B692" i="19"/>
  <c r="B691" i="19"/>
  <c r="B690" i="19"/>
  <c r="B689" i="19"/>
  <c r="B688" i="19"/>
  <c r="B687" i="19"/>
  <c r="B686" i="19"/>
  <c r="B685" i="19"/>
  <c r="B684" i="19"/>
  <c r="B683" i="19"/>
  <c r="B682" i="19"/>
  <c r="B681" i="19"/>
  <c r="B680" i="19"/>
  <c r="B679" i="19"/>
  <c r="B678" i="19"/>
  <c r="B677" i="19"/>
  <c r="B676" i="19"/>
  <c r="B675" i="19"/>
  <c r="B674" i="19"/>
  <c r="B673" i="19"/>
  <c r="B672" i="19"/>
  <c r="B671" i="19"/>
  <c r="B670" i="19"/>
  <c r="B669" i="19"/>
  <c r="B668" i="19"/>
  <c r="B667" i="19"/>
  <c r="B666" i="19"/>
  <c r="B665" i="19"/>
  <c r="B664" i="19"/>
  <c r="B663" i="19"/>
  <c r="B662" i="19"/>
  <c r="B661" i="19"/>
  <c r="B660" i="19"/>
  <c r="B659" i="19"/>
  <c r="B658" i="19"/>
  <c r="B657" i="19"/>
  <c r="B656" i="19"/>
  <c r="B655" i="19"/>
  <c r="B654" i="19"/>
  <c r="B653" i="19"/>
  <c r="B652" i="19"/>
  <c r="B651" i="19"/>
  <c r="B650" i="19"/>
  <c r="B649" i="19"/>
  <c r="B648" i="19"/>
  <c r="B647" i="19"/>
  <c r="B646" i="19"/>
  <c r="B645" i="19"/>
  <c r="B644" i="19"/>
  <c r="B643" i="19"/>
  <c r="B642" i="19"/>
  <c r="B641" i="19"/>
  <c r="B640" i="19"/>
  <c r="B639" i="19"/>
  <c r="B638" i="19"/>
  <c r="B637" i="19"/>
  <c r="B636" i="19"/>
  <c r="B635" i="19"/>
  <c r="B634" i="19"/>
  <c r="B633" i="19"/>
  <c r="B632" i="19"/>
  <c r="B631" i="19"/>
  <c r="B630" i="19"/>
  <c r="B629" i="19"/>
  <c r="B628" i="19"/>
  <c r="B627" i="19"/>
  <c r="B626" i="19"/>
  <c r="B625" i="19"/>
  <c r="B624" i="19"/>
  <c r="B623" i="19"/>
  <c r="B622" i="19"/>
  <c r="B621" i="19"/>
  <c r="B620" i="19"/>
  <c r="B619" i="19"/>
  <c r="B618" i="19"/>
  <c r="B617" i="19"/>
  <c r="B616" i="19"/>
  <c r="B615" i="19"/>
  <c r="B614" i="19"/>
  <c r="B613" i="19"/>
  <c r="B612" i="19"/>
  <c r="B611" i="19"/>
  <c r="B610" i="19"/>
  <c r="B609" i="19"/>
  <c r="B608" i="19"/>
  <c r="B607" i="19"/>
  <c r="B606" i="19"/>
  <c r="B605" i="19"/>
  <c r="B604" i="19"/>
  <c r="B603" i="19"/>
  <c r="B602" i="19"/>
  <c r="B601" i="19"/>
  <c r="B600" i="19"/>
  <c r="B599" i="19"/>
  <c r="B598" i="19"/>
  <c r="B597" i="19"/>
  <c r="B596" i="19"/>
  <c r="B595" i="19"/>
  <c r="B594" i="19"/>
  <c r="B593" i="19"/>
  <c r="B592" i="19"/>
  <c r="B591" i="19"/>
  <c r="B590" i="19"/>
  <c r="B589" i="19"/>
  <c r="B588" i="19"/>
  <c r="B587" i="19"/>
  <c r="B586" i="19"/>
  <c r="B585" i="19"/>
  <c r="B584" i="19"/>
  <c r="B583" i="19"/>
  <c r="B582" i="19"/>
  <c r="B581" i="19"/>
  <c r="B580" i="19"/>
  <c r="B579" i="19"/>
  <c r="B578" i="19"/>
  <c r="B577" i="19"/>
  <c r="B576" i="19"/>
  <c r="B575" i="19"/>
  <c r="B574" i="19"/>
  <c r="B573" i="19"/>
  <c r="B572" i="19"/>
  <c r="B571" i="19"/>
  <c r="B570" i="19"/>
  <c r="B569" i="19"/>
  <c r="B568" i="19"/>
  <c r="B567" i="19"/>
  <c r="B566" i="19"/>
  <c r="B565" i="19"/>
  <c r="B564" i="19"/>
  <c r="B563" i="19"/>
  <c r="B562" i="19"/>
  <c r="B561" i="19"/>
  <c r="B560" i="19"/>
  <c r="B559" i="19"/>
  <c r="B558" i="19"/>
  <c r="B557" i="19"/>
  <c r="B556" i="19"/>
  <c r="B555" i="19"/>
  <c r="B554" i="19"/>
  <c r="B553" i="19"/>
  <c r="B552" i="19"/>
  <c r="B551" i="19"/>
  <c r="B550" i="19"/>
  <c r="B549" i="19"/>
  <c r="B548" i="19"/>
  <c r="B547" i="19"/>
  <c r="B546" i="19"/>
  <c r="B545" i="19"/>
  <c r="B544" i="19"/>
  <c r="B543" i="19"/>
  <c r="B542" i="19"/>
  <c r="B541" i="19"/>
  <c r="B540" i="19"/>
  <c r="B539" i="19"/>
  <c r="B538" i="19"/>
  <c r="B537" i="19"/>
  <c r="B536" i="19"/>
  <c r="B535" i="19"/>
  <c r="B534" i="19"/>
  <c r="B533" i="19"/>
  <c r="B532" i="19"/>
  <c r="B531" i="19"/>
  <c r="B530" i="19"/>
  <c r="B529" i="19"/>
  <c r="B528" i="19"/>
  <c r="B527" i="19"/>
  <c r="B526" i="19"/>
  <c r="B525" i="19"/>
  <c r="B524" i="19"/>
  <c r="B523" i="19"/>
  <c r="B522" i="19"/>
  <c r="B521" i="19"/>
  <c r="B520" i="19"/>
  <c r="B519" i="19"/>
  <c r="B518" i="19"/>
  <c r="B517" i="19"/>
  <c r="B516" i="19"/>
  <c r="B515" i="19"/>
  <c r="B514" i="19"/>
  <c r="B513" i="19"/>
  <c r="B512" i="19"/>
  <c r="B511" i="19"/>
  <c r="B510" i="19"/>
  <c r="B509" i="19"/>
  <c r="B508" i="19"/>
  <c r="B507" i="19"/>
  <c r="B506" i="19"/>
  <c r="B505" i="19"/>
  <c r="B504" i="19"/>
  <c r="B503" i="19"/>
  <c r="B502" i="19"/>
  <c r="B501" i="19"/>
  <c r="B500" i="19"/>
  <c r="B499" i="19"/>
  <c r="B498" i="19"/>
  <c r="B497" i="19"/>
  <c r="B496" i="19"/>
  <c r="B495" i="19"/>
  <c r="B494" i="19"/>
  <c r="B493" i="19"/>
  <c r="B492" i="19"/>
  <c r="B491" i="19"/>
  <c r="B490" i="19"/>
  <c r="B489" i="19"/>
  <c r="B488" i="19"/>
  <c r="B487" i="19"/>
  <c r="B486" i="19"/>
  <c r="B485" i="19"/>
  <c r="B484" i="19"/>
  <c r="B483" i="19"/>
  <c r="B482" i="19"/>
  <c r="B481" i="19"/>
  <c r="B480" i="19"/>
  <c r="B479" i="19"/>
  <c r="B478" i="19"/>
  <c r="B477" i="19"/>
  <c r="B476" i="19"/>
  <c r="B475" i="19"/>
  <c r="B474" i="19"/>
  <c r="B473" i="19"/>
  <c r="B472" i="19"/>
  <c r="B471" i="19"/>
  <c r="B470" i="19"/>
  <c r="B469" i="19"/>
  <c r="B468" i="19"/>
  <c r="B467" i="19"/>
  <c r="B466" i="19"/>
  <c r="B465" i="19"/>
  <c r="B464" i="19"/>
  <c r="B463" i="19"/>
  <c r="B462" i="19"/>
  <c r="B461" i="19"/>
  <c r="B460" i="19"/>
  <c r="B459" i="19"/>
  <c r="B458" i="19"/>
  <c r="B457" i="19"/>
  <c r="B456" i="19"/>
  <c r="B455" i="19"/>
  <c r="B454" i="19"/>
  <c r="B453" i="19"/>
  <c r="B452" i="19"/>
  <c r="B451" i="19"/>
  <c r="B450" i="19"/>
  <c r="B449" i="19"/>
  <c r="B448" i="19"/>
  <c r="B447" i="19"/>
  <c r="B446" i="19"/>
  <c r="B445" i="19"/>
  <c r="B444" i="19"/>
  <c r="B443" i="19"/>
  <c r="B442" i="19"/>
  <c r="B441" i="19"/>
  <c r="B440" i="19"/>
  <c r="B439" i="19"/>
  <c r="B438" i="19"/>
  <c r="B437" i="19"/>
  <c r="B436" i="19"/>
  <c r="B435" i="19"/>
  <c r="B434" i="19"/>
  <c r="B433" i="19"/>
  <c r="B432" i="19"/>
  <c r="B431" i="19"/>
  <c r="B430" i="19"/>
  <c r="B429" i="19"/>
  <c r="B428" i="19"/>
  <c r="B427" i="19"/>
  <c r="B426" i="19"/>
  <c r="B425" i="19"/>
  <c r="B424" i="19"/>
  <c r="B423" i="19"/>
  <c r="B422" i="19"/>
  <c r="B421" i="19"/>
  <c r="B420" i="19"/>
  <c r="B419" i="19"/>
  <c r="B418" i="19"/>
  <c r="B417" i="19"/>
  <c r="B416" i="19"/>
  <c r="B415" i="19"/>
  <c r="B414" i="19"/>
  <c r="B413" i="19"/>
  <c r="B412" i="19"/>
  <c r="B411" i="19"/>
  <c r="B410" i="19"/>
  <c r="B409" i="19"/>
  <c r="B408" i="19"/>
  <c r="B407" i="19"/>
  <c r="B406" i="19"/>
  <c r="B405" i="19"/>
  <c r="B404" i="19"/>
  <c r="B403" i="19"/>
  <c r="B402" i="19"/>
  <c r="B401" i="19"/>
  <c r="B400" i="19"/>
  <c r="B399" i="19"/>
  <c r="B398" i="19"/>
  <c r="B397" i="19"/>
  <c r="B396" i="19"/>
  <c r="B395" i="19"/>
  <c r="B394" i="19"/>
  <c r="B393" i="19"/>
  <c r="B392" i="19"/>
  <c r="B391" i="19"/>
  <c r="B390" i="19"/>
  <c r="B389" i="19"/>
  <c r="B388" i="19"/>
  <c r="B387" i="19"/>
  <c r="B386" i="19"/>
  <c r="B385" i="19"/>
  <c r="B384" i="19"/>
  <c r="B383" i="19"/>
  <c r="B382" i="19"/>
  <c r="B381" i="19"/>
  <c r="B380" i="19"/>
  <c r="B379" i="19"/>
  <c r="B378" i="19"/>
  <c r="B377" i="19"/>
  <c r="B376" i="19"/>
  <c r="B375" i="19"/>
  <c r="B374" i="19"/>
  <c r="B373" i="19"/>
  <c r="B372" i="19"/>
  <c r="B371" i="19"/>
  <c r="B370" i="19"/>
  <c r="B369" i="19"/>
  <c r="B368" i="19"/>
  <c r="B367" i="19"/>
  <c r="B366" i="19"/>
  <c r="B365" i="19"/>
  <c r="B364" i="19"/>
  <c r="B363" i="19"/>
  <c r="B362" i="19"/>
  <c r="B361" i="19"/>
  <c r="B360" i="19"/>
  <c r="B359" i="19"/>
  <c r="B358" i="19"/>
  <c r="B357" i="19"/>
  <c r="B356" i="19"/>
  <c r="B355" i="19"/>
  <c r="B354" i="19"/>
  <c r="B353" i="19"/>
  <c r="B352" i="19"/>
  <c r="B351" i="19"/>
  <c r="B350" i="19"/>
  <c r="B349" i="19"/>
  <c r="B348" i="19"/>
  <c r="B347" i="19"/>
  <c r="B346" i="19"/>
  <c r="B345" i="19"/>
  <c r="B344" i="19"/>
  <c r="B343" i="19"/>
  <c r="B342" i="19"/>
  <c r="B341" i="19"/>
  <c r="B340" i="19"/>
  <c r="B339" i="19"/>
  <c r="B338" i="19"/>
  <c r="B337" i="19"/>
  <c r="B336" i="19"/>
  <c r="B335" i="19"/>
  <c r="B334" i="19"/>
  <c r="B333" i="19"/>
  <c r="B332" i="19"/>
  <c r="B331" i="19"/>
  <c r="B330" i="19"/>
  <c r="B329" i="19"/>
  <c r="B328" i="19"/>
  <c r="B327" i="19"/>
  <c r="B326" i="19"/>
  <c r="B325" i="19"/>
  <c r="B324" i="19"/>
  <c r="B323" i="19"/>
  <c r="B322" i="19"/>
  <c r="B321" i="19"/>
  <c r="B320" i="19"/>
  <c r="B319" i="19"/>
  <c r="B318" i="19"/>
  <c r="B317" i="19"/>
  <c r="B316" i="19"/>
  <c r="B315" i="19"/>
  <c r="B314" i="19"/>
  <c r="B313" i="19"/>
  <c r="B312" i="19"/>
  <c r="B311" i="19"/>
  <c r="B310" i="19"/>
  <c r="B309" i="19"/>
  <c r="B308" i="19"/>
  <c r="B307" i="19"/>
  <c r="B306" i="19"/>
  <c r="B305" i="19"/>
  <c r="B304" i="19"/>
  <c r="B303" i="19"/>
  <c r="B302" i="19"/>
  <c r="B301" i="19"/>
  <c r="B300" i="19"/>
  <c r="B299" i="19"/>
  <c r="B298" i="19"/>
  <c r="B297" i="19"/>
  <c r="B296" i="19"/>
  <c r="B295" i="19"/>
  <c r="B294" i="19"/>
  <c r="B293" i="19"/>
  <c r="B292" i="19"/>
  <c r="B291" i="19"/>
  <c r="B290" i="19"/>
  <c r="B289" i="19"/>
  <c r="B288" i="19"/>
  <c r="B287" i="19"/>
  <c r="B286" i="19"/>
  <c r="B285" i="19"/>
  <c r="B284" i="19"/>
  <c r="B283" i="19"/>
  <c r="B282" i="19"/>
  <c r="B281" i="19"/>
  <c r="B280" i="19"/>
  <c r="B279" i="19"/>
  <c r="B278" i="19"/>
  <c r="B277" i="19"/>
  <c r="B276" i="19"/>
  <c r="B275" i="19"/>
  <c r="B274" i="19"/>
  <c r="B273" i="19"/>
  <c r="B272" i="19"/>
  <c r="B271" i="19"/>
  <c r="B270" i="19"/>
  <c r="B269" i="19"/>
  <c r="B268" i="19"/>
  <c r="B267" i="19"/>
  <c r="B266" i="19"/>
  <c r="B265" i="19"/>
  <c r="B264" i="19"/>
  <c r="B263" i="19"/>
  <c r="B262" i="19"/>
  <c r="B261" i="19"/>
  <c r="B260" i="19"/>
  <c r="B259" i="19"/>
  <c r="B258" i="19"/>
  <c r="B257" i="19"/>
  <c r="B256" i="19"/>
  <c r="B255" i="19"/>
  <c r="B254" i="19"/>
  <c r="B253" i="19"/>
  <c r="B252" i="19"/>
  <c r="B251" i="19"/>
  <c r="B250" i="19"/>
  <c r="B249" i="19"/>
  <c r="B248" i="19"/>
  <c r="B247" i="19"/>
  <c r="B246" i="19"/>
  <c r="B245" i="19"/>
  <c r="B244" i="19"/>
  <c r="B243" i="19"/>
  <c r="B242" i="19"/>
  <c r="B241" i="19"/>
  <c r="B240" i="19"/>
  <c r="B239" i="19"/>
  <c r="B238" i="19"/>
  <c r="B237" i="19"/>
  <c r="B236" i="19"/>
  <c r="B235" i="19"/>
  <c r="B234" i="19"/>
  <c r="B233" i="19"/>
  <c r="B232" i="19"/>
  <c r="B231" i="19"/>
  <c r="B230" i="19"/>
  <c r="B229" i="19"/>
  <c r="B228" i="19"/>
  <c r="B227" i="19"/>
  <c r="B226" i="19"/>
  <c r="B225" i="19"/>
  <c r="B224" i="19"/>
  <c r="B223" i="19"/>
  <c r="B222" i="19"/>
  <c r="B221" i="19"/>
  <c r="B220" i="19"/>
  <c r="B219" i="19"/>
  <c r="B218" i="19"/>
  <c r="B217" i="19"/>
  <c r="B216" i="19"/>
  <c r="B215" i="19"/>
  <c r="B214" i="19"/>
  <c r="B213" i="19"/>
  <c r="B212" i="19"/>
  <c r="B211" i="19"/>
  <c r="B210" i="19"/>
  <c r="B209" i="19"/>
  <c r="B208" i="19"/>
  <c r="B207" i="19"/>
  <c r="B206" i="19"/>
  <c r="B205" i="19"/>
  <c r="B204" i="19"/>
  <c r="B203" i="19"/>
  <c r="B202" i="19"/>
  <c r="B201" i="19"/>
  <c r="B200" i="19"/>
  <c r="B199" i="19"/>
  <c r="B198" i="19"/>
  <c r="B197" i="19"/>
  <c r="B196" i="19"/>
  <c r="B195" i="19"/>
  <c r="B194" i="19"/>
  <c r="B193" i="19"/>
  <c r="B192" i="19"/>
  <c r="B191" i="19"/>
  <c r="B190" i="19"/>
  <c r="B189" i="19"/>
  <c r="B188" i="19"/>
  <c r="B187" i="19"/>
  <c r="B186" i="19"/>
  <c r="B185" i="19"/>
  <c r="B184" i="19"/>
  <c r="B183" i="19"/>
  <c r="B182" i="19"/>
  <c r="B181" i="19"/>
  <c r="B180" i="19"/>
  <c r="B179" i="19"/>
  <c r="B178" i="19"/>
  <c r="B177" i="19"/>
  <c r="B176" i="19"/>
  <c r="B175" i="19"/>
  <c r="B174" i="19"/>
  <c r="B173" i="19"/>
  <c r="B172" i="19"/>
  <c r="B171" i="19"/>
  <c r="B170" i="19"/>
  <c r="B169" i="19"/>
  <c r="B168" i="19"/>
  <c r="B167" i="19"/>
  <c r="B166" i="19"/>
  <c r="B165" i="19"/>
  <c r="B164" i="19"/>
  <c r="B163" i="19"/>
  <c r="B162" i="19"/>
  <c r="B161" i="19"/>
  <c r="B160" i="19"/>
  <c r="B159" i="19"/>
  <c r="B158" i="19"/>
  <c r="B157" i="19"/>
  <c r="B156" i="19"/>
  <c r="B155" i="19"/>
  <c r="B154" i="19"/>
  <c r="B153" i="19"/>
  <c r="B152" i="19"/>
  <c r="B151" i="19"/>
  <c r="B150" i="19"/>
  <c r="B149" i="19"/>
  <c r="B148" i="19"/>
  <c r="B147" i="19"/>
  <c r="B146" i="19"/>
  <c r="B145" i="19"/>
  <c r="B144" i="19"/>
  <c r="B143" i="19"/>
  <c r="B142" i="19"/>
  <c r="B141" i="19"/>
  <c r="B140" i="19"/>
  <c r="B139" i="19"/>
  <c r="B138" i="19"/>
  <c r="B137" i="19"/>
  <c r="B136" i="19"/>
  <c r="B135" i="19"/>
  <c r="B134" i="19"/>
  <c r="B133" i="19"/>
  <c r="B132" i="19"/>
  <c r="B131" i="19"/>
  <c r="B130" i="19"/>
  <c r="B129" i="19"/>
  <c r="B128" i="19"/>
  <c r="B127" i="19"/>
  <c r="B126" i="19"/>
  <c r="B125" i="19"/>
  <c r="B124" i="19"/>
  <c r="B123" i="19"/>
  <c r="B122" i="19"/>
  <c r="B121" i="19"/>
  <c r="B120" i="19"/>
  <c r="B119" i="19"/>
  <c r="B118" i="19"/>
  <c r="B117" i="19"/>
  <c r="B116" i="19"/>
  <c r="B115" i="19"/>
  <c r="B114" i="19"/>
  <c r="B113" i="19"/>
  <c r="B112" i="19"/>
  <c r="B111" i="19"/>
  <c r="B110" i="19"/>
  <c r="B109" i="19"/>
  <c r="B108" i="19"/>
  <c r="B107" i="19"/>
  <c r="B106" i="19"/>
  <c r="B105" i="19"/>
  <c r="B104" i="19"/>
  <c r="B103" i="19"/>
  <c r="B102" i="19"/>
  <c r="B101" i="19"/>
  <c r="B100" i="19"/>
  <c r="B99" i="19"/>
  <c r="B98" i="19"/>
  <c r="B97" i="19"/>
  <c r="B96" i="19"/>
  <c r="B95" i="19"/>
  <c r="B94" i="19"/>
  <c r="B93" i="19"/>
  <c r="B92" i="19"/>
  <c r="B91" i="19"/>
  <c r="B90" i="19"/>
  <c r="B89" i="19"/>
  <c r="B88" i="19"/>
  <c r="B87" i="19"/>
  <c r="B86" i="19"/>
  <c r="B85" i="19"/>
  <c r="B84" i="19"/>
  <c r="B83" i="19"/>
  <c r="B82" i="19"/>
  <c r="B81" i="19"/>
  <c r="B80" i="19"/>
  <c r="B79" i="19"/>
  <c r="B78" i="19"/>
  <c r="B77" i="19"/>
  <c r="B76" i="19"/>
  <c r="B75" i="19"/>
  <c r="B74" i="19"/>
  <c r="B73" i="19"/>
  <c r="B72" i="19"/>
  <c r="B71" i="19"/>
  <c r="B70" i="19"/>
  <c r="B69" i="19"/>
  <c r="B68" i="19"/>
  <c r="B67" i="19"/>
  <c r="B66" i="19"/>
  <c r="B65" i="19"/>
  <c r="B64" i="19"/>
  <c r="B63" i="19"/>
  <c r="B62" i="19"/>
  <c r="B61" i="19"/>
  <c r="B60" i="19"/>
  <c r="B59" i="19"/>
  <c r="B58" i="19"/>
  <c r="B57" i="19"/>
  <c r="B56" i="19"/>
  <c r="B55" i="19"/>
  <c r="B54" i="19"/>
  <c r="B53" i="19"/>
  <c r="B52" i="19"/>
  <c r="B51" i="19"/>
  <c r="B50" i="19"/>
  <c r="B49" i="19"/>
  <c r="B48" i="19"/>
  <c r="B47" i="19"/>
  <c r="B46" i="19"/>
  <c r="B45" i="19"/>
  <c r="B44" i="19"/>
  <c r="B43" i="19"/>
  <c r="B42" i="19"/>
  <c r="B41" i="19"/>
  <c r="B40" i="19"/>
  <c r="B39" i="19"/>
  <c r="B38" i="19"/>
  <c r="B37" i="19"/>
  <c r="B36" i="19"/>
  <c r="B35" i="19"/>
  <c r="B34" i="19"/>
  <c r="B33" i="19"/>
  <c r="B32" i="19"/>
  <c r="B31" i="19"/>
  <c r="B30" i="19"/>
  <c r="B29" i="19"/>
  <c r="B28" i="19"/>
  <c r="B27" i="19"/>
  <c r="B26" i="19"/>
  <c r="B25" i="19"/>
  <c r="B24" i="19"/>
  <c r="B23" i="19"/>
  <c r="B22" i="19"/>
  <c r="B21" i="19"/>
  <c r="B20" i="19"/>
  <c r="B19" i="19"/>
  <c r="B18" i="19"/>
  <c r="B17" i="19"/>
  <c r="B16" i="19"/>
  <c r="B15" i="19"/>
  <c r="B14" i="19"/>
  <c r="B13" i="19"/>
  <c r="B12" i="19"/>
  <c r="B11" i="19"/>
  <c r="B10" i="19"/>
  <c r="B9" i="19"/>
  <c r="B8" i="19"/>
  <c r="B7" i="19"/>
  <c r="D31" i="21"/>
  <c r="D30" i="21"/>
  <c r="D29" i="21"/>
  <c r="D28" i="21"/>
  <c r="D27" i="21"/>
  <c r="D26" i="21"/>
  <c r="D25" i="21"/>
  <c r="D24" i="21"/>
  <c r="D23" i="21"/>
  <c r="D22" i="21"/>
  <c r="D21" i="21"/>
  <c r="D20" i="21"/>
  <c r="D19" i="21"/>
  <c r="D18" i="21"/>
  <c r="D17" i="21"/>
  <c r="D16" i="21"/>
  <c r="D15" i="21"/>
  <c r="B701" i="20"/>
  <c r="B700" i="20"/>
  <c r="B699" i="20"/>
  <c r="B698" i="20"/>
  <c r="B697" i="20"/>
  <c r="B696" i="20"/>
  <c r="B695" i="20"/>
  <c r="B694" i="20"/>
  <c r="B693" i="20"/>
  <c r="B692" i="20"/>
  <c r="B691" i="20"/>
  <c r="B690" i="20"/>
  <c r="B689" i="20"/>
  <c r="B688" i="20"/>
  <c r="B687" i="20"/>
  <c r="B686" i="20"/>
  <c r="B685" i="20"/>
  <c r="B684" i="20"/>
  <c r="B683" i="20"/>
  <c r="B682" i="20"/>
  <c r="B681" i="20"/>
  <c r="B680" i="20"/>
  <c r="B679" i="20"/>
  <c r="B678" i="20"/>
  <c r="B677" i="20"/>
  <c r="B676" i="20"/>
  <c r="B675" i="20"/>
  <c r="B674" i="20"/>
  <c r="B673" i="20"/>
  <c r="B672" i="20"/>
  <c r="B671" i="20"/>
  <c r="B670" i="20"/>
  <c r="B669" i="20"/>
  <c r="B668" i="20"/>
  <c r="B667" i="20"/>
  <c r="B666" i="20"/>
  <c r="B665" i="20"/>
  <c r="B664" i="20"/>
  <c r="B663" i="20"/>
  <c r="B662" i="20"/>
  <c r="B661" i="20"/>
  <c r="B660" i="20"/>
  <c r="B659" i="20"/>
  <c r="B658" i="20"/>
  <c r="B657" i="20"/>
  <c r="B656" i="20"/>
  <c r="B655" i="20"/>
  <c r="B654" i="20"/>
  <c r="B653" i="20"/>
  <c r="B652" i="20"/>
  <c r="B651" i="20"/>
  <c r="B650" i="20"/>
  <c r="B649" i="20"/>
  <c r="B648" i="20"/>
  <c r="B647" i="20"/>
  <c r="B646" i="20"/>
  <c r="B645" i="20"/>
  <c r="B644" i="20"/>
  <c r="B643" i="20"/>
  <c r="B642" i="20"/>
  <c r="B641" i="20"/>
  <c r="B640" i="20"/>
  <c r="B639" i="20"/>
  <c r="B638" i="20"/>
  <c r="B637" i="20"/>
  <c r="B636" i="20"/>
  <c r="B635" i="20"/>
  <c r="B634" i="20"/>
  <c r="B633" i="20"/>
  <c r="B632" i="20"/>
  <c r="B631" i="20"/>
  <c r="B630" i="20"/>
  <c r="B629" i="20"/>
  <c r="B628" i="20"/>
  <c r="B627" i="20"/>
  <c r="B626" i="20"/>
  <c r="B625" i="20"/>
  <c r="B624" i="20"/>
  <c r="B623" i="20"/>
  <c r="B622" i="20"/>
  <c r="B621" i="20"/>
  <c r="B620" i="20"/>
  <c r="B619" i="20"/>
  <c r="B618" i="20"/>
  <c r="B617" i="20"/>
  <c r="B616" i="20"/>
  <c r="B615" i="20"/>
  <c r="B614" i="20"/>
  <c r="B613" i="20"/>
  <c r="B612" i="20"/>
  <c r="B611" i="20"/>
  <c r="B610" i="20"/>
  <c r="B609" i="20"/>
  <c r="B608" i="20"/>
  <c r="B607" i="20"/>
  <c r="B606" i="20"/>
  <c r="B605" i="20"/>
  <c r="B604" i="20"/>
  <c r="B603" i="20"/>
  <c r="B602" i="20"/>
  <c r="B601" i="20"/>
  <c r="B600" i="20"/>
  <c r="B599" i="20"/>
  <c r="B598" i="20"/>
  <c r="B597" i="20"/>
  <c r="B596" i="20"/>
  <c r="B595" i="20"/>
  <c r="B594" i="20"/>
  <c r="B593" i="20"/>
  <c r="B592" i="20"/>
  <c r="B591" i="20"/>
  <c r="B590" i="20"/>
  <c r="B589" i="20"/>
  <c r="B588" i="20"/>
  <c r="B587" i="20"/>
  <c r="B586" i="20"/>
  <c r="B585" i="20"/>
  <c r="B584" i="20"/>
  <c r="B583" i="20"/>
  <c r="B582" i="20"/>
  <c r="B581" i="20"/>
  <c r="B580" i="20"/>
  <c r="B579" i="20"/>
  <c r="B578" i="20"/>
  <c r="B577" i="20"/>
  <c r="B576" i="20"/>
  <c r="B575" i="20"/>
  <c r="B574" i="20"/>
  <c r="B573" i="20"/>
  <c r="B572" i="20"/>
  <c r="B571" i="20"/>
  <c r="B570" i="20"/>
  <c r="B569" i="20"/>
  <c r="B568" i="20"/>
  <c r="B567" i="20"/>
  <c r="B566" i="20"/>
  <c r="B565" i="20"/>
  <c r="B564" i="20"/>
  <c r="B563" i="20"/>
  <c r="B562" i="20"/>
  <c r="B561" i="20"/>
  <c r="B560" i="20"/>
  <c r="B559" i="20"/>
  <c r="B558" i="20"/>
  <c r="B557" i="20"/>
  <c r="B556" i="20"/>
  <c r="B555" i="20"/>
  <c r="B554" i="20"/>
  <c r="B553" i="20"/>
  <c r="B552" i="20"/>
  <c r="B551" i="20"/>
  <c r="B550" i="20"/>
  <c r="B549" i="20"/>
  <c r="B548" i="20"/>
  <c r="B547" i="20"/>
  <c r="B546" i="20"/>
  <c r="B545" i="20"/>
  <c r="B544" i="20"/>
  <c r="B543" i="20"/>
  <c r="B542" i="20"/>
  <c r="B541" i="20"/>
  <c r="B540" i="20"/>
  <c r="B539" i="20"/>
  <c r="B538" i="20"/>
  <c r="B537" i="20"/>
  <c r="B536" i="20"/>
  <c r="B535" i="20"/>
  <c r="B534" i="20"/>
  <c r="B533" i="20"/>
  <c r="B532" i="20"/>
  <c r="B531" i="20"/>
  <c r="B530" i="20"/>
  <c r="B529" i="20"/>
  <c r="B528" i="20"/>
  <c r="B527" i="20"/>
  <c r="B526" i="20"/>
  <c r="B525" i="20"/>
  <c r="B524" i="20"/>
  <c r="B523" i="20"/>
  <c r="B522" i="20"/>
  <c r="B521" i="20"/>
  <c r="B520" i="20"/>
  <c r="B519" i="20"/>
  <c r="B518" i="20"/>
  <c r="B517" i="20"/>
  <c r="B516" i="20"/>
  <c r="B515" i="20"/>
  <c r="B514" i="20"/>
  <c r="B513" i="20"/>
  <c r="B512" i="20"/>
  <c r="B511" i="20"/>
  <c r="B510" i="20"/>
  <c r="B509" i="20"/>
  <c r="B508" i="20"/>
  <c r="B507" i="20"/>
  <c r="B506" i="20"/>
  <c r="B505" i="20"/>
  <c r="B504" i="20"/>
  <c r="B503" i="20"/>
  <c r="B502" i="20"/>
  <c r="B501" i="20"/>
  <c r="B500" i="20"/>
  <c r="B499" i="20"/>
  <c r="B498" i="20"/>
  <c r="B497" i="20"/>
  <c r="B496" i="20"/>
  <c r="B495" i="20"/>
  <c r="B494" i="20"/>
  <c r="B493" i="20"/>
  <c r="B492" i="20"/>
  <c r="B491" i="20"/>
  <c r="B490" i="20"/>
  <c r="B489" i="20"/>
  <c r="B488" i="20"/>
  <c r="B487" i="20"/>
  <c r="B486" i="20"/>
  <c r="B485" i="20"/>
  <c r="B484" i="20"/>
  <c r="B483" i="20"/>
  <c r="B482" i="20"/>
  <c r="B481" i="20"/>
  <c r="B480" i="20"/>
  <c r="B479" i="20"/>
  <c r="B478" i="20"/>
  <c r="B477" i="20"/>
  <c r="B476" i="20"/>
  <c r="B475" i="20"/>
  <c r="B474" i="20"/>
  <c r="B473" i="20"/>
  <c r="B472" i="20"/>
  <c r="B471" i="20"/>
  <c r="B470" i="20"/>
  <c r="B469" i="20"/>
  <c r="B468" i="20"/>
  <c r="B467" i="20"/>
  <c r="B466" i="20"/>
  <c r="B465" i="20"/>
  <c r="B464" i="20"/>
  <c r="B463" i="20"/>
  <c r="B462" i="20"/>
  <c r="B461" i="20"/>
  <c r="B460" i="20"/>
  <c r="B459" i="20"/>
  <c r="B458" i="20"/>
  <c r="B457" i="20"/>
  <c r="B456" i="20"/>
  <c r="B455" i="20"/>
  <c r="B454" i="20"/>
  <c r="B453" i="20"/>
  <c r="B452" i="20"/>
  <c r="B451" i="20"/>
  <c r="B450" i="20"/>
  <c r="B449" i="20"/>
  <c r="B448" i="20"/>
  <c r="B447" i="20"/>
  <c r="B446" i="20"/>
  <c r="B445" i="20"/>
  <c r="B444" i="20"/>
  <c r="B443" i="20"/>
  <c r="B442" i="20"/>
  <c r="B441" i="20"/>
  <c r="B440" i="20"/>
  <c r="B439" i="20"/>
  <c r="B438" i="20"/>
  <c r="B437" i="20"/>
  <c r="B436" i="20"/>
  <c r="B435" i="20"/>
  <c r="B434" i="20"/>
  <c r="B433" i="20"/>
  <c r="B432" i="20"/>
  <c r="B431" i="20"/>
  <c r="B430" i="20"/>
  <c r="B429" i="20"/>
  <c r="B428" i="20"/>
  <c r="B427" i="20"/>
  <c r="B426" i="20"/>
  <c r="B425" i="20"/>
  <c r="B424" i="20"/>
  <c r="B423" i="20"/>
  <c r="B422" i="20"/>
  <c r="B421" i="20"/>
  <c r="B420" i="20"/>
  <c r="B419" i="20"/>
  <c r="B418" i="20"/>
  <c r="B417" i="20"/>
  <c r="B416" i="20"/>
  <c r="B415" i="20"/>
  <c r="B414" i="20"/>
  <c r="B413" i="20"/>
  <c r="B412" i="20"/>
  <c r="B411" i="20"/>
  <c r="B410" i="20"/>
  <c r="B409" i="20"/>
  <c r="B408" i="20"/>
  <c r="B407" i="20"/>
  <c r="B406" i="20"/>
  <c r="B405" i="20"/>
  <c r="B404" i="20"/>
  <c r="B403" i="20"/>
  <c r="B402" i="20"/>
  <c r="B401" i="20"/>
  <c r="B400" i="20"/>
  <c r="B399" i="20"/>
  <c r="B398" i="20"/>
  <c r="B397" i="20"/>
  <c r="B396" i="20"/>
  <c r="B395" i="20"/>
  <c r="B394" i="20"/>
  <c r="B393" i="20"/>
  <c r="B392" i="20"/>
  <c r="B391" i="20"/>
  <c r="B390" i="20"/>
  <c r="B389" i="20"/>
  <c r="B388" i="20"/>
  <c r="B387" i="20"/>
  <c r="B386" i="20"/>
  <c r="B385" i="20"/>
  <c r="B384" i="20"/>
  <c r="B383" i="20"/>
  <c r="B382" i="20"/>
  <c r="B381" i="20"/>
  <c r="B380" i="20"/>
  <c r="B379" i="20"/>
  <c r="B378" i="20"/>
  <c r="B377" i="20"/>
  <c r="B376" i="20"/>
  <c r="B375" i="20"/>
  <c r="B374" i="20"/>
  <c r="B373" i="20"/>
  <c r="B372" i="20"/>
  <c r="B371" i="20"/>
  <c r="B370" i="20"/>
  <c r="B369" i="20"/>
  <c r="B368" i="20"/>
  <c r="B367" i="20"/>
  <c r="B366" i="20"/>
  <c r="B365" i="20"/>
  <c r="B364" i="20"/>
  <c r="B363" i="20"/>
  <c r="B362" i="20"/>
  <c r="B361" i="20"/>
  <c r="B360" i="20"/>
  <c r="B359" i="20"/>
  <c r="B358" i="20"/>
  <c r="B357" i="20"/>
  <c r="B356" i="20"/>
  <c r="B355" i="20"/>
  <c r="B354" i="20"/>
  <c r="B353" i="20"/>
  <c r="B352" i="20"/>
  <c r="B351" i="20"/>
  <c r="B350" i="20"/>
  <c r="B349" i="20"/>
  <c r="B348" i="20"/>
  <c r="B347" i="20"/>
  <c r="B346" i="20"/>
  <c r="B345" i="20"/>
  <c r="B344" i="20"/>
  <c r="B343" i="20"/>
  <c r="B342" i="20"/>
  <c r="B341" i="20"/>
  <c r="B340" i="20"/>
  <c r="B339" i="20"/>
  <c r="B338" i="20"/>
  <c r="B337" i="20"/>
  <c r="B336" i="20"/>
  <c r="B335" i="20"/>
  <c r="B334" i="20"/>
  <c r="B333" i="20"/>
  <c r="B332" i="20"/>
  <c r="B331" i="20"/>
  <c r="B330" i="20"/>
  <c r="B329" i="20"/>
  <c r="B328" i="20"/>
  <c r="B327" i="20"/>
  <c r="B326" i="20"/>
  <c r="B325" i="20"/>
  <c r="B324" i="20"/>
  <c r="B323" i="20"/>
  <c r="B322" i="20"/>
  <c r="B321" i="20"/>
  <c r="B320" i="20"/>
  <c r="B319" i="20"/>
  <c r="B318" i="20"/>
  <c r="B317" i="20"/>
  <c r="B316" i="20"/>
  <c r="B315" i="20"/>
  <c r="B314" i="20"/>
  <c r="B313" i="20"/>
  <c r="B312" i="20"/>
  <c r="B311" i="20"/>
  <c r="B310" i="20"/>
  <c r="B309" i="20"/>
  <c r="B308" i="20"/>
  <c r="B307" i="20"/>
  <c r="B306" i="20"/>
  <c r="B305" i="20"/>
  <c r="B304" i="20"/>
  <c r="B303" i="20"/>
  <c r="B302" i="20"/>
  <c r="B301" i="20"/>
  <c r="B300" i="20"/>
  <c r="B299" i="20"/>
  <c r="B298" i="20"/>
  <c r="B297" i="20"/>
  <c r="B296" i="20"/>
  <c r="B295" i="20"/>
  <c r="B294" i="20"/>
  <c r="B293" i="20"/>
  <c r="B292" i="20"/>
  <c r="B291" i="20"/>
  <c r="B290" i="20"/>
  <c r="B289" i="20"/>
  <c r="B288" i="20"/>
  <c r="B287" i="20"/>
  <c r="B286" i="20"/>
  <c r="B285" i="20"/>
  <c r="B284" i="20"/>
  <c r="B283" i="20"/>
  <c r="B282" i="20"/>
  <c r="B281" i="20"/>
  <c r="B280" i="20"/>
  <c r="B279" i="20"/>
  <c r="B278" i="20"/>
  <c r="B277" i="20"/>
  <c r="B276" i="20"/>
  <c r="B275" i="20"/>
  <c r="B274" i="20"/>
  <c r="B273" i="20"/>
  <c r="B272" i="20"/>
  <c r="B271" i="20"/>
  <c r="B270" i="20"/>
  <c r="B269" i="20"/>
  <c r="B268" i="20"/>
  <c r="B267" i="20"/>
  <c r="B266" i="20"/>
  <c r="B265" i="20"/>
  <c r="B264" i="20"/>
  <c r="B263" i="20"/>
  <c r="B262" i="20"/>
  <c r="B261" i="20"/>
  <c r="B260" i="20"/>
  <c r="B259" i="20"/>
  <c r="B258" i="20"/>
  <c r="B257" i="20"/>
  <c r="B256" i="20"/>
  <c r="B255" i="20"/>
  <c r="B254" i="20"/>
  <c r="B253" i="20"/>
  <c r="B252" i="20"/>
  <c r="B251" i="20"/>
  <c r="B250" i="20"/>
  <c r="B249" i="20"/>
  <c r="B248" i="20"/>
  <c r="B247" i="20"/>
  <c r="B246" i="20"/>
  <c r="B245" i="20"/>
  <c r="B244" i="20"/>
  <c r="B243" i="20"/>
  <c r="B242" i="20"/>
  <c r="B241" i="20"/>
  <c r="B240" i="20"/>
  <c r="B239" i="20"/>
  <c r="B238" i="20"/>
  <c r="B237" i="20"/>
  <c r="B236" i="20"/>
  <c r="B235" i="20"/>
  <c r="B234" i="20"/>
  <c r="B233" i="20"/>
  <c r="B232" i="20"/>
  <c r="B231" i="20"/>
  <c r="B230" i="20"/>
  <c r="B229" i="20"/>
  <c r="B228" i="20"/>
  <c r="B227" i="20"/>
  <c r="B226" i="20"/>
  <c r="B225" i="20"/>
  <c r="B224" i="20"/>
  <c r="B223" i="20"/>
  <c r="B222" i="20"/>
  <c r="B221" i="20"/>
  <c r="B220" i="20"/>
  <c r="B219" i="20"/>
  <c r="B218" i="20"/>
  <c r="B217" i="20"/>
  <c r="B216" i="20"/>
  <c r="B215" i="20"/>
  <c r="B214" i="20"/>
  <c r="B213" i="20"/>
  <c r="B212" i="20"/>
  <c r="B211" i="20"/>
  <c r="B210" i="20"/>
  <c r="B209" i="20"/>
  <c r="B208" i="20"/>
  <c r="B207" i="20"/>
  <c r="B206" i="20"/>
  <c r="B205" i="20"/>
  <c r="B204" i="20"/>
  <c r="B203" i="20"/>
  <c r="B202" i="20"/>
  <c r="B201" i="20"/>
  <c r="B200" i="20"/>
  <c r="B199" i="20"/>
  <c r="B198" i="20"/>
  <c r="B197" i="20"/>
  <c r="B196" i="20"/>
  <c r="B195" i="20"/>
  <c r="B194" i="20"/>
  <c r="B193" i="20"/>
  <c r="B192" i="20"/>
  <c r="B191" i="20"/>
  <c r="B190" i="20"/>
  <c r="B189" i="20"/>
  <c r="B188" i="20"/>
  <c r="B187" i="20"/>
  <c r="B186" i="20"/>
  <c r="B185" i="20"/>
  <c r="B184" i="20"/>
  <c r="B183" i="20"/>
  <c r="B182" i="20"/>
  <c r="B181" i="20"/>
  <c r="B180" i="20"/>
  <c r="B179" i="20"/>
  <c r="B178" i="20"/>
  <c r="B177" i="20"/>
  <c r="B176" i="20"/>
  <c r="B175" i="20"/>
  <c r="B174" i="20"/>
  <c r="B173" i="20"/>
  <c r="B172" i="20"/>
  <c r="B171" i="20"/>
  <c r="B170" i="20"/>
  <c r="B169" i="20"/>
  <c r="B168" i="20"/>
  <c r="B167" i="20"/>
  <c r="B166" i="20"/>
  <c r="B165" i="20"/>
  <c r="B164" i="20"/>
  <c r="B163" i="20"/>
  <c r="B162" i="20"/>
  <c r="B161" i="20"/>
  <c r="B160" i="20"/>
  <c r="B159" i="20"/>
  <c r="B158" i="20"/>
  <c r="B157" i="20"/>
  <c r="B156" i="20"/>
  <c r="B155" i="20"/>
  <c r="B154" i="20"/>
  <c r="B153" i="20"/>
  <c r="B152" i="20"/>
  <c r="B151" i="20"/>
  <c r="B150" i="20"/>
  <c r="B149" i="20"/>
  <c r="B148" i="20"/>
  <c r="B147" i="20"/>
  <c r="B146" i="20"/>
  <c r="B145" i="20"/>
  <c r="B144" i="20"/>
  <c r="B143" i="20"/>
  <c r="B142" i="20"/>
  <c r="B141" i="20"/>
  <c r="B140" i="20"/>
  <c r="B139" i="20"/>
  <c r="B138" i="20"/>
  <c r="B137" i="20"/>
  <c r="B136" i="20"/>
  <c r="B135" i="20"/>
  <c r="B134" i="20"/>
  <c r="B133" i="20"/>
  <c r="B132" i="20"/>
  <c r="B131" i="20"/>
  <c r="B130" i="20"/>
  <c r="B129" i="20"/>
  <c r="B128" i="20"/>
  <c r="B127" i="20"/>
  <c r="B126" i="20"/>
  <c r="B125" i="20"/>
  <c r="B124" i="20"/>
  <c r="B123" i="20"/>
  <c r="B122" i="20"/>
  <c r="B121" i="20"/>
  <c r="B120" i="20"/>
  <c r="B119" i="20"/>
  <c r="B118" i="20"/>
  <c r="B117" i="20"/>
  <c r="B116" i="20"/>
  <c r="B115" i="20"/>
  <c r="B114" i="20"/>
  <c r="B113" i="20"/>
  <c r="B112" i="20"/>
  <c r="B111" i="20"/>
  <c r="B110" i="20"/>
  <c r="B109" i="20"/>
  <c r="B108" i="20"/>
  <c r="B107" i="20"/>
  <c r="B106" i="20"/>
  <c r="B105" i="20"/>
  <c r="B104" i="20"/>
  <c r="B103" i="20"/>
  <c r="B102" i="20"/>
  <c r="B101" i="20"/>
  <c r="B100" i="20"/>
  <c r="B99" i="20"/>
  <c r="B98" i="20"/>
  <c r="B97" i="20"/>
  <c r="B96" i="20"/>
  <c r="B95" i="20"/>
  <c r="B94" i="20"/>
  <c r="B93" i="20"/>
  <c r="B92" i="20"/>
  <c r="B91" i="20"/>
  <c r="B90" i="20"/>
  <c r="B89" i="20"/>
  <c r="B88" i="20"/>
  <c r="B87" i="20"/>
  <c r="B86" i="20"/>
  <c r="B85" i="20"/>
  <c r="B84" i="20"/>
  <c r="B83" i="20"/>
  <c r="B82" i="20"/>
  <c r="B81" i="20"/>
  <c r="B80" i="20"/>
  <c r="B79" i="20"/>
  <c r="B78" i="20"/>
  <c r="B77" i="20"/>
  <c r="B76" i="20"/>
  <c r="B75" i="20"/>
  <c r="B74" i="20"/>
  <c r="B73" i="20"/>
  <c r="B72" i="20"/>
  <c r="B71" i="20"/>
  <c r="B70" i="20"/>
  <c r="B69" i="20"/>
  <c r="B68" i="20"/>
  <c r="B67" i="20"/>
  <c r="B66" i="20"/>
  <c r="B65" i="20"/>
  <c r="B64" i="20"/>
  <c r="B63" i="20"/>
  <c r="B62" i="20"/>
  <c r="B61" i="20"/>
  <c r="B60" i="20"/>
  <c r="B59" i="20"/>
  <c r="B58" i="20"/>
  <c r="B57" i="20"/>
  <c r="B56" i="20"/>
  <c r="B55" i="20"/>
  <c r="B54" i="20"/>
  <c r="B53" i="20"/>
  <c r="B52" i="20"/>
  <c r="B51" i="20"/>
  <c r="B50" i="20"/>
  <c r="B49" i="20"/>
  <c r="B48" i="20"/>
  <c r="B47" i="20"/>
  <c r="B46" i="20"/>
  <c r="B45" i="20"/>
  <c r="B44" i="20"/>
  <c r="B43" i="20"/>
  <c r="B42" i="20"/>
  <c r="B41" i="20"/>
  <c r="B40" i="20"/>
  <c r="B39" i="20"/>
  <c r="B38" i="20"/>
  <c r="B37" i="20"/>
  <c r="B36" i="20"/>
  <c r="B35" i="20"/>
  <c r="B34" i="20"/>
  <c r="B33" i="20"/>
  <c r="B32" i="20"/>
  <c r="B31" i="20"/>
  <c r="B30" i="20"/>
  <c r="B29" i="20"/>
  <c r="B28" i="20"/>
  <c r="B27" i="20"/>
  <c r="B26" i="20"/>
  <c r="B25" i="20"/>
  <c r="B24" i="20"/>
  <c r="B23" i="20"/>
  <c r="B22" i="20"/>
  <c r="B21" i="20"/>
  <c r="B20" i="20"/>
  <c r="B19" i="20"/>
  <c r="B18" i="20"/>
  <c r="B17" i="20"/>
  <c r="B16" i="20"/>
  <c r="B15" i="20"/>
  <c r="B14" i="20"/>
  <c r="B13" i="20"/>
  <c r="B12" i="20"/>
  <c r="B2" i="21"/>
  <c r="F20" i="21" l="1"/>
  <c r="F28" i="21"/>
  <c r="F25" i="21"/>
  <c r="G25" i="21" s="1"/>
  <c r="F17" i="21"/>
  <c r="G17" i="21" s="1"/>
  <c r="F21" i="21"/>
  <c r="G21" i="21" s="1"/>
  <c r="F29" i="21"/>
  <c r="F22" i="21"/>
  <c r="G22" i="21" s="1"/>
  <c r="F30" i="21"/>
  <c r="G30" i="21" s="1"/>
  <c r="F16" i="21"/>
  <c r="G16" i="21" s="1"/>
  <c r="F24" i="21"/>
  <c r="G24" i="21" s="1"/>
  <c r="F23" i="21"/>
  <c r="G23" i="21" s="1"/>
  <c r="F31" i="21"/>
  <c r="G31" i="21" s="1"/>
  <c r="F26" i="21"/>
  <c r="G26" i="21" s="1"/>
  <c r="F19" i="21"/>
  <c r="G19" i="21" s="1"/>
  <c r="F27" i="21"/>
  <c r="G27" i="21" s="1"/>
  <c r="F18" i="21"/>
  <c r="G18" i="21" s="1"/>
  <c r="G20" i="21"/>
  <c r="G28" i="21"/>
  <c r="F15" i="21"/>
  <c r="G15" i="21" s="1"/>
  <c r="G29" i="21"/>
  <c r="B2" i="18"/>
  <c r="B7" i="18" s="1"/>
  <c r="HU13" i="18"/>
  <c r="HU16" i="18" s="1" a="1"/>
  <c r="HU16" i="18" s="1"/>
  <c r="HT13" i="18"/>
  <c r="HT16" i="18" s="1" a="1"/>
  <c r="HT16" i="18" s="1"/>
  <c r="HS13" i="18"/>
  <c r="HS16" i="18" s="1" a="1"/>
  <c r="HS16" i="18" s="1"/>
  <c r="HR13" i="18"/>
  <c r="HR16" i="18" s="1" a="1"/>
  <c r="HR16" i="18" s="1"/>
  <c r="HQ13" i="18"/>
  <c r="HQ16" i="18" s="1" a="1"/>
  <c r="HQ16" i="18" s="1"/>
  <c r="HP13" i="18"/>
  <c r="HP16" i="18" s="1" a="1"/>
  <c r="HP16" i="18" s="1"/>
  <c r="HO13" i="18"/>
  <c r="HO16" i="18" s="1" a="1"/>
  <c r="HO16" i="18" s="1"/>
  <c r="HN13" i="18"/>
  <c r="HN16" i="18" s="1" a="1"/>
  <c r="HN16" i="18" s="1"/>
  <c r="HM13" i="18"/>
  <c r="HM16" i="18" s="1" a="1"/>
  <c r="HM16" i="18" s="1"/>
  <c r="HL13" i="18"/>
  <c r="HL16" i="18" s="1" a="1"/>
  <c r="HL16" i="18" s="1"/>
  <c r="HK13" i="18"/>
  <c r="HK16" i="18" s="1" a="1"/>
  <c r="HK16" i="18" s="1"/>
  <c r="HJ13" i="18"/>
  <c r="HJ16" i="18" s="1" a="1"/>
  <c r="HJ16" i="18" s="1"/>
  <c r="HG13" i="18"/>
  <c r="HG16" i="18" s="1" a="1"/>
  <c r="HG16" i="18" s="1"/>
  <c r="HF13" i="18"/>
  <c r="HF16" i="18" s="1" a="1"/>
  <c r="HF16" i="18" s="1"/>
  <c r="HE13" i="18"/>
  <c r="HE16" i="18" s="1" a="1"/>
  <c r="HE16" i="18" s="1"/>
  <c r="HD13" i="18"/>
  <c r="HD16" i="18" s="1" a="1"/>
  <c r="HD16" i="18" s="1"/>
  <c r="HC13" i="18"/>
  <c r="HC16" i="18" s="1" a="1"/>
  <c r="HC16" i="18" s="1"/>
  <c r="HB13" i="18"/>
  <c r="HB16" i="18" s="1" a="1"/>
  <c r="HB16" i="18" s="1"/>
  <c r="HA13" i="18"/>
  <c r="HA16" i="18" s="1" a="1"/>
  <c r="HA16" i="18" s="1"/>
  <c r="GZ13" i="18"/>
  <c r="GZ16" i="18" s="1" a="1"/>
  <c r="GZ16" i="18" s="1"/>
  <c r="GY13" i="18"/>
  <c r="GY16" i="18" s="1" a="1"/>
  <c r="GY16" i="18" s="1"/>
  <c r="GX13" i="18"/>
  <c r="GX16" i="18" s="1" a="1"/>
  <c r="GX16" i="18" s="1"/>
  <c r="GW13" i="18"/>
  <c r="GW16" i="18" s="1" a="1"/>
  <c r="GW16" i="18" s="1"/>
  <c r="GV13" i="18"/>
  <c r="GV16" i="18" s="1" a="1"/>
  <c r="GV16" i="18" s="1"/>
  <c r="GU13" i="18"/>
  <c r="GU16" i="18" s="1" a="1"/>
  <c r="GU16" i="18" s="1"/>
  <c r="GT13" i="18"/>
  <c r="GT16" i="18" s="1" a="1"/>
  <c r="GT16" i="18" s="1"/>
  <c r="GS13" i="18"/>
  <c r="GS16" i="18" s="1" a="1"/>
  <c r="GS16" i="18" s="1"/>
  <c r="GR13" i="18"/>
  <c r="GR16" i="18" s="1" a="1"/>
  <c r="GR16" i="18" s="1"/>
  <c r="GQ13" i="18"/>
  <c r="GQ16" i="18" s="1" a="1"/>
  <c r="GQ16" i="18" s="1"/>
  <c r="GP13" i="18"/>
  <c r="GP16" i="18" s="1" a="1"/>
  <c r="GP16" i="18" s="1"/>
  <c r="GO13" i="18"/>
  <c r="GO16" i="18" s="1" a="1"/>
  <c r="GO16" i="18" s="1"/>
  <c r="GN13" i="18"/>
  <c r="GN16" i="18" s="1" a="1"/>
  <c r="GN16" i="18" s="1"/>
  <c r="GM13" i="18"/>
  <c r="GM16" i="18" s="1" a="1"/>
  <c r="GM16" i="18" s="1"/>
  <c r="GL13" i="18"/>
  <c r="GL16" i="18" s="1" a="1"/>
  <c r="GL16" i="18" s="1"/>
  <c r="GK13" i="18"/>
  <c r="GK16" i="18" s="1" a="1"/>
  <c r="GK16" i="18" s="1"/>
  <c r="GJ13" i="18"/>
  <c r="GJ16" i="18" s="1" a="1"/>
  <c r="GJ16" i="18" s="1"/>
  <c r="GI13" i="18"/>
  <c r="GI16" i="18" s="1" a="1"/>
  <c r="GI16" i="18" s="1"/>
  <c r="GF13" i="18"/>
  <c r="GF16" i="18" s="1" a="1"/>
  <c r="GF16" i="18" s="1"/>
  <c r="GE13" i="18"/>
  <c r="GE16" i="18" s="1" a="1"/>
  <c r="GE16" i="18" s="1"/>
  <c r="GD13" i="18"/>
  <c r="GD16" i="18" s="1" a="1"/>
  <c r="GD16" i="18" s="1"/>
  <c r="GC13" i="18"/>
  <c r="GC16" i="18" s="1" a="1"/>
  <c r="GC16" i="18" s="1"/>
  <c r="GB13" i="18"/>
  <c r="GB16" i="18" s="1" a="1"/>
  <c r="GB16" i="18" s="1"/>
  <c r="GA13" i="18"/>
  <c r="GA16" i="18" s="1" a="1"/>
  <c r="GA16" i="18" s="1"/>
  <c r="FZ13" i="18"/>
  <c r="FZ16" i="18" s="1" a="1"/>
  <c r="FZ16" i="18" s="1"/>
  <c r="FY13" i="18"/>
  <c r="FY16" i="18" s="1" a="1"/>
  <c r="FY16" i="18" s="1"/>
  <c r="FX13" i="18"/>
  <c r="FX16" i="18" s="1" a="1"/>
  <c r="FX16" i="18" s="1"/>
  <c r="FW13" i="18"/>
  <c r="FW16" i="18" s="1" a="1"/>
  <c r="FW16" i="18" s="1"/>
  <c r="FV13" i="18"/>
  <c r="FV16" i="18" s="1" a="1"/>
  <c r="FV16" i="18" s="1"/>
  <c r="FU13" i="18"/>
  <c r="FU16" i="18" s="1" a="1"/>
  <c r="FU16" i="18" s="1"/>
  <c r="FT13" i="18"/>
  <c r="FT16" i="18" s="1" a="1"/>
  <c r="FT16" i="18" s="1"/>
  <c r="FS13" i="18"/>
  <c r="FS16" i="18" s="1" a="1"/>
  <c r="FS16" i="18" s="1"/>
  <c r="FR13" i="18"/>
  <c r="FR16" i="18" s="1" a="1"/>
  <c r="FR16" i="18" s="1"/>
  <c r="FQ13" i="18"/>
  <c r="FQ16" i="18" s="1" a="1"/>
  <c r="FQ16" i="18" s="1"/>
  <c r="FP13" i="18"/>
  <c r="FP16" i="18" s="1" a="1"/>
  <c r="FP16" i="18" s="1"/>
  <c r="FO13" i="18"/>
  <c r="FO16" i="18" s="1" a="1"/>
  <c r="FO16" i="18" s="1"/>
  <c r="FN13" i="18"/>
  <c r="FN16" i="18" s="1" a="1"/>
  <c r="FN16" i="18" s="1"/>
  <c r="FM13" i="18"/>
  <c r="FM16" i="18" s="1" a="1"/>
  <c r="FM16" i="18" s="1"/>
  <c r="FL13" i="18"/>
  <c r="FL16" i="18" s="1" a="1"/>
  <c r="FL16" i="18" s="1"/>
  <c r="FK13" i="18"/>
  <c r="FK16" i="18" s="1" a="1"/>
  <c r="FK16" i="18" s="1"/>
  <c r="FJ13" i="18"/>
  <c r="FJ16" i="18" s="1" a="1"/>
  <c r="FJ16" i="18" s="1"/>
  <c r="FI13" i="18"/>
  <c r="FI16" i="18" s="1" a="1"/>
  <c r="FI16" i="18" s="1"/>
  <c r="FH13" i="18"/>
  <c r="FE13" i="18"/>
  <c r="FD13" i="18"/>
  <c r="FC13" i="18"/>
  <c r="FB13" i="18"/>
  <c r="FA13" i="18"/>
  <c r="EZ13" i="18"/>
  <c r="EY13" i="18"/>
  <c r="EY16" i="18" s="1" a="1"/>
  <c r="EY16" i="18" s="1"/>
  <c r="EX13" i="18"/>
  <c r="EW13" i="18"/>
  <c r="EV13" i="18"/>
  <c r="EU13" i="18"/>
  <c r="ET13" i="18"/>
  <c r="ES13" i="18"/>
  <c r="ER13" i="18"/>
  <c r="EQ13" i="18"/>
  <c r="EQ16" i="18" s="1" a="1"/>
  <c r="EQ16" i="18" s="1"/>
  <c r="EP13" i="18"/>
  <c r="EO13" i="18"/>
  <c r="EN13" i="18"/>
  <c r="EM13" i="18"/>
  <c r="EL13" i="18"/>
  <c r="EK13" i="18"/>
  <c r="EJ13" i="18"/>
  <c r="EI13" i="18"/>
  <c r="EI16" i="18" s="1" a="1"/>
  <c r="EI16" i="18" s="1"/>
  <c r="EH13" i="18"/>
  <c r="EG13" i="18"/>
  <c r="ED13" i="18"/>
  <c r="EC13" i="18"/>
  <c r="EB13" i="18"/>
  <c r="EA13" i="18"/>
  <c r="DZ13" i="18"/>
  <c r="DY13" i="18"/>
  <c r="DY16" i="18" s="1" a="1"/>
  <c r="DY16" i="18" s="1"/>
  <c r="DX13" i="18"/>
  <c r="DW13" i="18"/>
  <c r="DV13" i="18"/>
  <c r="DU13" i="18"/>
  <c r="DT13" i="18"/>
  <c r="DS13" i="18"/>
  <c r="DR13" i="18"/>
  <c r="DQ13" i="18"/>
  <c r="DQ16" i="18" s="1" a="1"/>
  <c r="DQ16" i="18" s="1"/>
  <c r="DP13" i="18"/>
  <c r="DO13" i="18"/>
  <c r="DN13" i="18"/>
  <c r="DM13" i="18"/>
  <c r="DL13" i="18"/>
  <c r="DK13" i="18"/>
  <c r="DJ13" i="18"/>
  <c r="DI13" i="18"/>
  <c r="DI16" i="18" s="1" a="1"/>
  <c r="DI16" i="18" s="1"/>
  <c r="DH13" i="18"/>
  <c r="DG13" i="18"/>
  <c r="DF13" i="18"/>
  <c r="DC13" i="18"/>
  <c r="DB13" i="18"/>
  <c r="DA13" i="18"/>
  <c r="CZ13" i="18"/>
  <c r="CY13" i="18"/>
  <c r="CY16" i="18" s="1" a="1"/>
  <c r="CY16" i="18" s="1"/>
  <c r="CX13" i="18"/>
  <c r="CW13" i="18"/>
  <c r="CV13" i="18"/>
  <c r="CU13" i="18"/>
  <c r="CT13" i="18"/>
  <c r="CS13" i="18"/>
  <c r="CR13" i="18"/>
  <c r="CQ13" i="18"/>
  <c r="CQ16" i="18" s="1" a="1"/>
  <c r="CQ16" i="18" s="1"/>
  <c r="CP13" i="18"/>
  <c r="CO13" i="18"/>
  <c r="CN13" i="18"/>
  <c r="CM13" i="18"/>
  <c r="CL13" i="18"/>
  <c r="CK13" i="18"/>
  <c r="CJ13" i="18"/>
  <c r="CI13" i="18"/>
  <c r="CI16" i="18" s="1" a="1"/>
  <c r="CI16" i="18" s="1"/>
  <c r="CH13" i="18"/>
  <c r="CG13" i="18"/>
  <c r="CF13" i="18"/>
  <c r="CE13" i="18"/>
  <c r="CB13" i="18"/>
  <c r="CA13" i="18"/>
  <c r="BZ13" i="18"/>
  <c r="BY13" i="18"/>
  <c r="BY16" i="18" s="1" a="1"/>
  <c r="BY16" i="18" s="1"/>
  <c r="BX13" i="18"/>
  <c r="BW13" i="18"/>
  <c r="BV13" i="18"/>
  <c r="BU13" i="18"/>
  <c r="BT13" i="18"/>
  <c r="BS13" i="18"/>
  <c r="BR13" i="18"/>
  <c r="BQ13" i="18"/>
  <c r="BQ16" i="18" s="1" a="1"/>
  <c r="BQ16" i="18" s="1"/>
  <c r="BP13" i="18"/>
  <c r="BO13" i="18"/>
  <c r="BN13" i="18"/>
  <c r="BM13" i="18"/>
  <c r="BL13" i="18"/>
  <c r="BK13" i="18"/>
  <c r="BJ13" i="18"/>
  <c r="BI13" i="18"/>
  <c r="BH13" i="18"/>
  <c r="BG13" i="18"/>
  <c r="BF13" i="18"/>
  <c r="BE13" i="18"/>
  <c r="BD13" i="18"/>
  <c r="BA13" i="18"/>
  <c r="AZ13" i="18"/>
  <c r="AY13" i="18"/>
  <c r="AX13" i="18"/>
  <c r="AW13" i="18"/>
  <c r="AV13" i="18"/>
  <c r="AU13" i="18"/>
  <c r="AT13" i="18"/>
  <c r="AS13" i="18"/>
  <c r="AR13" i="18"/>
  <c r="AQ13" i="18"/>
  <c r="AP13" i="18"/>
  <c r="AO13" i="18"/>
  <c r="AN13" i="18"/>
  <c r="AM13" i="18"/>
  <c r="AL13" i="18"/>
  <c r="AK13" i="18"/>
  <c r="AJ13" i="18"/>
  <c r="AI13" i="18"/>
  <c r="AH13" i="18"/>
  <c r="AG13" i="18"/>
  <c r="AF13" i="18"/>
  <c r="AE13" i="18"/>
  <c r="AD13" i="18"/>
  <c r="AC13" i="18"/>
  <c r="Z13" i="18"/>
  <c r="Y13" i="18"/>
  <c r="X13" i="18"/>
  <c r="W13" i="18"/>
  <c r="V13" i="18"/>
  <c r="U13" i="18"/>
  <c r="T13" i="18"/>
  <c r="S13" i="18"/>
  <c r="R13" i="18"/>
  <c r="Q13" i="18"/>
  <c r="P13" i="18"/>
  <c r="O13" i="18"/>
  <c r="N13" i="18"/>
  <c r="M13" i="18"/>
  <c r="L13" i="18"/>
  <c r="K13" i="18"/>
  <c r="J13" i="18"/>
  <c r="I13" i="18"/>
  <c r="H13" i="18"/>
  <c r="G13" i="18"/>
  <c r="F13" i="18"/>
  <c r="E13" i="18"/>
  <c r="D13" i="18"/>
  <c r="G34" i="21" l="1"/>
  <c r="FC16" i="18" a="1"/>
  <c r="FC16" i="18" s="1"/>
  <c r="EU16" i="18" a="1"/>
  <c r="EU16" i="18" s="1"/>
  <c r="EM16" i="18" a="1"/>
  <c r="EM16" i="18" s="1"/>
  <c r="EC16" i="18" a="1"/>
  <c r="EC16" i="18" s="1"/>
  <c r="DU16" i="18" a="1"/>
  <c r="DU16" i="18" s="1"/>
  <c r="DM16" i="18" a="1"/>
  <c r="DM16" i="18" s="1"/>
  <c r="DC16" i="18" a="1"/>
  <c r="DC16" i="18" s="1"/>
  <c r="CU16" i="18" a="1"/>
  <c r="CU16" i="18" s="1"/>
  <c r="CM16" i="18" a="1"/>
  <c r="CM16" i="18" s="1"/>
  <c r="CE16" i="18" a="1"/>
  <c r="CE16" i="18" s="1"/>
  <c r="BU16" i="18" a="1"/>
  <c r="BU16" i="18" s="1"/>
  <c r="BM16" i="18" a="1"/>
  <c r="BM16" i="18" s="1"/>
  <c r="BE16" i="18" a="1"/>
  <c r="BE16" i="18" s="1"/>
  <c r="AU16" i="18" a="1"/>
  <c r="AU16" i="18" s="1"/>
  <c r="AM16" i="18" a="1"/>
  <c r="AM16" i="18" s="1"/>
  <c r="AE16" i="18" a="1"/>
  <c r="AE16" i="18" s="1"/>
  <c r="U16" i="18" a="1"/>
  <c r="U16" i="18" s="1"/>
  <c r="M16" i="18" a="1"/>
  <c r="M16" i="18" s="1"/>
  <c r="E16" i="18" a="1"/>
  <c r="E16" i="18" s="1"/>
  <c r="BI16" i="18" a="1"/>
  <c r="BI16" i="18" s="1"/>
  <c r="AY16" i="18" a="1"/>
  <c r="AY16" i="18" s="1"/>
  <c r="AQ16" i="18" a="1"/>
  <c r="AQ16" i="18" s="1"/>
  <c r="AI16" i="18" a="1"/>
  <c r="AI16" i="18" s="1"/>
  <c r="Y16" i="18" a="1"/>
  <c r="Y16" i="18" s="1"/>
  <c r="Q16" i="18" a="1"/>
  <c r="Q16" i="18" s="1"/>
  <c r="I16" i="18" a="1"/>
  <c r="I16" i="18" s="1"/>
  <c r="FH16" i="18" a="1"/>
  <c r="FH16" i="18" s="1"/>
  <c r="EX16" i="18" a="1"/>
  <c r="EX16" i="18" s="1"/>
  <c r="EP16" i="18" a="1"/>
  <c r="EP16" i="18" s="1"/>
  <c r="EH16" i="18" a="1"/>
  <c r="EH16" i="18" s="1"/>
  <c r="DX16" i="18" a="1"/>
  <c r="DX16" i="18" s="1"/>
  <c r="DP16" i="18" a="1"/>
  <c r="DP16" i="18" s="1"/>
  <c r="DH16" i="18" a="1"/>
  <c r="DH16" i="18" s="1"/>
  <c r="CX16" i="18" a="1"/>
  <c r="CX16" i="18" s="1"/>
  <c r="CP16" i="18" a="1"/>
  <c r="CP16" i="18" s="1"/>
  <c r="CH16" i="18" a="1"/>
  <c r="CH16" i="18" s="1"/>
  <c r="BX16" i="18" a="1"/>
  <c r="BX16" i="18" s="1"/>
  <c r="BP16" i="18" a="1"/>
  <c r="BP16" i="18" s="1"/>
  <c r="BH16" i="18" a="1"/>
  <c r="BH16" i="18" s="1"/>
  <c r="AX16" i="18" a="1"/>
  <c r="AX16" i="18" s="1"/>
  <c r="AP16" i="18" a="1"/>
  <c r="AP16" i="18" s="1"/>
  <c r="AH16" i="18" a="1"/>
  <c r="AH16" i="18" s="1"/>
  <c r="X16" i="18" a="1"/>
  <c r="X16" i="18" s="1"/>
  <c r="P16" i="18" a="1"/>
  <c r="P16" i="18" s="1"/>
  <c r="H16" i="18" a="1"/>
  <c r="H16" i="18" s="1"/>
  <c r="FE16" i="18" a="1"/>
  <c r="FE16" i="18" s="1"/>
  <c r="EW16" i="18" a="1"/>
  <c r="EW16" i="18" s="1"/>
  <c r="EO16" i="18" a="1"/>
  <c r="EO16" i="18" s="1"/>
  <c r="EG16" i="18" a="1"/>
  <c r="EG16" i="18" s="1"/>
  <c r="DW16" i="18" a="1"/>
  <c r="DW16" i="18" s="1"/>
  <c r="DO16" i="18" a="1"/>
  <c r="DO16" i="18" s="1"/>
  <c r="DG16" i="18" a="1"/>
  <c r="DG16" i="18" s="1"/>
  <c r="CW16" i="18" a="1"/>
  <c r="CW16" i="18" s="1"/>
  <c r="CO16" i="18" a="1"/>
  <c r="CO16" i="18" s="1"/>
  <c r="CG16" i="18" a="1"/>
  <c r="CG16" i="18" s="1"/>
  <c r="BW16" i="18" a="1"/>
  <c r="BW16" i="18" s="1"/>
  <c r="BO16" i="18" a="1"/>
  <c r="BO16" i="18" s="1"/>
  <c r="BG16" i="18" a="1"/>
  <c r="BG16" i="18" s="1"/>
  <c r="AW16" i="18" a="1"/>
  <c r="AW16" i="18" s="1"/>
  <c r="AO16" i="18" a="1"/>
  <c r="AO16" i="18" s="1"/>
  <c r="AG16" i="18" a="1"/>
  <c r="AG16" i="18" s="1"/>
  <c r="W16" i="18" a="1"/>
  <c r="W16" i="18" s="1"/>
  <c r="O16" i="18" a="1"/>
  <c r="O16" i="18" s="1"/>
  <c r="G16" i="18" a="1"/>
  <c r="G16" i="18" s="1"/>
  <c r="T24" i="18"/>
  <c r="I31" i="22" s="1"/>
  <c r="FB16" i="18" a="1"/>
  <c r="FB16" i="18" s="1"/>
  <c r="ET16" i="18" a="1"/>
  <c r="ET16" i="18" s="1"/>
  <c r="EL16" i="18" a="1"/>
  <c r="EL16" i="18" s="1"/>
  <c r="EB16" i="18" a="1"/>
  <c r="EB16" i="18" s="1"/>
  <c r="DT16" i="18" a="1"/>
  <c r="DT16" i="18" s="1"/>
  <c r="DL16" i="18" a="1"/>
  <c r="DL16" i="18" s="1"/>
  <c r="DB16" i="18" a="1"/>
  <c r="DB16" i="18" s="1"/>
  <c r="CT16" i="18" a="1"/>
  <c r="CT16" i="18" s="1"/>
  <c r="CL16" i="18" a="1"/>
  <c r="CL16" i="18" s="1"/>
  <c r="CB16" i="18" a="1"/>
  <c r="CB16" i="18" s="1"/>
  <c r="BT16" i="18" a="1"/>
  <c r="BT16" i="18" s="1"/>
  <c r="BL16" i="18" a="1"/>
  <c r="BL16" i="18" s="1"/>
  <c r="BD16" i="18" a="1"/>
  <c r="BD16" i="18" s="1"/>
  <c r="AT16" i="18" a="1"/>
  <c r="AT16" i="18" s="1"/>
  <c r="AL16" i="18" a="1"/>
  <c r="AL16" i="18" s="1"/>
  <c r="AD16" i="18" a="1"/>
  <c r="AD16" i="18" s="1"/>
  <c r="T16" i="18" a="1"/>
  <c r="T16" i="18" s="1"/>
  <c r="L16" i="18" a="1"/>
  <c r="L16" i="18" s="1"/>
  <c r="D16" i="18" a="1"/>
  <c r="D16" i="18" s="1"/>
  <c r="S24" i="18"/>
  <c r="I30" i="22" s="1"/>
  <c r="FA16" i="18" a="1"/>
  <c r="FA16" i="18" s="1"/>
  <c r="ES16" i="18" a="1"/>
  <c r="ES16" i="18" s="1"/>
  <c r="EK16" i="18" a="1"/>
  <c r="EK16" i="18" s="1"/>
  <c r="EA16" i="18" a="1"/>
  <c r="EA16" i="18" s="1"/>
  <c r="DS16" i="18" a="1"/>
  <c r="DS16" i="18" s="1"/>
  <c r="DK16" i="18" a="1"/>
  <c r="DK16" i="18" s="1"/>
  <c r="DA16" i="18" a="1"/>
  <c r="DA16" i="18" s="1"/>
  <c r="CS16" i="18" a="1"/>
  <c r="CS16" i="18" s="1"/>
  <c r="CK16" i="18" a="1"/>
  <c r="CK16" i="18" s="1"/>
  <c r="CA16" i="18" a="1"/>
  <c r="CA16" i="18" s="1"/>
  <c r="BS16" i="18" a="1"/>
  <c r="BS16" i="18" s="1"/>
  <c r="BK16" i="18" a="1"/>
  <c r="BK16" i="18" s="1"/>
  <c r="BA16" i="18" a="1"/>
  <c r="BA16" i="18" s="1"/>
  <c r="AS16" i="18" a="1"/>
  <c r="AS16" i="18" s="1"/>
  <c r="AK16" i="18" a="1"/>
  <c r="AK16" i="18" s="1"/>
  <c r="AC16" i="18" a="1"/>
  <c r="AC16" i="18" s="1"/>
  <c r="S16" i="18" a="1"/>
  <c r="S16" i="18" s="1"/>
  <c r="K16" i="18" a="1"/>
  <c r="K16" i="18" s="1"/>
  <c r="R24" i="18"/>
  <c r="I29" i="22" s="1"/>
  <c r="Q24" i="18"/>
  <c r="I28" i="22" s="1"/>
  <c r="EZ16" i="18" a="1"/>
  <c r="EZ16" i="18" s="1"/>
  <c r="ER16" i="18" a="1"/>
  <c r="ER16" i="18" s="1"/>
  <c r="EJ16" i="18" a="1"/>
  <c r="EJ16" i="18" s="1"/>
  <c r="DZ16" i="18" a="1"/>
  <c r="DZ16" i="18" s="1"/>
  <c r="DR16" i="18" a="1"/>
  <c r="DR16" i="18" s="1"/>
  <c r="DJ16" i="18" a="1"/>
  <c r="DJ16" i="18" s="1"/>
  <c r="CZ16" i="18" a="1"/>
  <c r="CZ16" i="18" s="1"/>
  <c r="CR16" i="18" a="1"/>
  <c r="CR16" i="18" s="1"/>
  <c r="CJ16" i="18" a="1"/>
  <c r="CJ16" i="18" s="1"/>
  <c r="BZ16" i="18" a="1"/>
  <c r="BZ16" i="18" s="1"/>
  <c r="BR16" i="18" a="1"/>
  <c r="BR16" i="18" s="1"/>
  <c r="BJ16" i="18" a="1"/>
  <c r="BJ16" i="18" s="1"/>
  <c r="AZ16" i="18" a="1"/>
  <c r="AZ16" i="18" s="1"/>
  <c r="AR16" i="18" a="1"/>
  <c r="AR16" i="18" s="1"/>
  <c r="AJ16" i="18" a="1"/>
  <c r="AJ16" i="18" s="1"/>
  <c r="Z16" i="18" a="1"/>
  <c r="Z16" i="18" s="1"/>
  <c r="R16" i="18" a="1"/>
  <c r="R16" i="18" s="1"/>
  <c r="J16" i="18" a="1"/>
  <c r="J16" i="18" s="1"/>
  <c r="FD16" i="18" a="1"/>
  <c r="FD16" i="18" s="1"/>
  <c r="EV16" i="18" a="1"/>
  <c r="EV16" i="18" s="1"/>
  <c r="EN16" i="18" a="1"/>
  <c r="EN16" i="18" s="1"/>
  <c r="ED16" i="18" a="1"/>
  <c r="ED16" i="18" s="1"/>
  <c r="DV16" i="18" a="1"/>
  <c r="DV16" i="18" s="1"/>
  <c r="DN16" i="18" a="1"/>
  <c r="DN16" i="18" s="1"/>
  <c r="DF16" i="18" a="1"/>
  <c r="DF16" i="18" s="1"/>
  <c r="CV16" i="18" a="1"/>
  <c r="CV16" i="18" s="1"/>
  <c r="CN16" i="18" a="1"/>
  <c r="CN16" i="18" s="1"/>
  <c r="CF16" i="18" a="1"/>
  <c r="CF16" i="18" s="1"/>
  <c r="BV16" i="18" a="1"/>
  <c r="BV16" i="18" s="1"/>
  <c r="BN16" i="18" a="1"/>
  <c r="BN16" i="18" s="1"/>
  <c r="BF16" i="18" a="1"/>
  <c r="BF16" i="18" s="1"/>
  <c r="AV16" i="18" a="1"/>
  <c r="AV16" i="18" s="1"/>
  <c r="AN16" i="18" a="1"/>
  <c r="AN16" i="18" s="1"/>
  <c r="AF16" i="18" a="1"/>
  <c r="AF16" i="18" s="1"/>
  <c r="V16" i="18" a="1"/>
  <c r="V16" i="18" s="1"/>
  <c r="N16" i="18" a="1"/>
  <c r="N16" i="18" s="1"/>
  <c r="F16" i="18" a="1"/>
  <c r="F16" i="18" s="1"/>
  <c r="C311" i="16"/>
  <c r="C310" i="16"/>
  <c r="C309" i="16"/>
  <c r="C308" i="16"/>
  <c r="C307" i="16"/>
  <c r="C306" i="16"/>
  <c r="C305" i="16"/>
  <c r="C304" i="16"/>
  <c r="C303" i="16"/>
  <c r="C302" i="16"/>
  <c r="C301" i="16"/>
  <c r="C300" i="16"/>
  <c r="C299" i="16"/>
  <c r="C298" i="16"/>
  <c r="C297" i="16"/>
  <c r="C296" i="16"/>
  <c r="C295" i="16"/>
  <c r="C294" i="16"/>
  <c r="C293" i="16"/>
  <c r="C292" i="16"/>
  <c r="C291" i="16"/>
  <c r="C290" i="16"/>
  <c r="C289" i="16"/>
  <c r="C288" i="16"/>
  <c r="C287" i="16"/>
  <c r="C286" i="16"/>
  <c r="C285" i="16"/>
  <c r="C284" i="16"/>
  <c r="C283" i="16"/>
  <c r="C282" i="16"/>
  <c r="C281" i="16"/>
  <c r="C280" i="16"/>
  <c r="C279" i="16"/>
  <c r="C278" i="16"/>
  <c r="C277" i="16"/>
  <c r="C276" i="16"/>
  <c r="C275" i="16"/>
  <c r="C274" i="16"/>
  <c r="C273" i="16"/>
  <c r="C272" i="16"/>
  <c r="C271" i="16"/>
  <c r="C270" i="16"/>
  <c r="C269" i="16"/>
  <c r="C268" i="16"/>
  <c r="C267" i="16"/>
  <c r="C266" i="16"/>
  <c r="C265" i="16"/>
  <c r="C264" i="16"/>
  <c r="C263" i="16"/>
  <c r="C262" i="16"/>
  <c r="C261" i="16"/>
  <c r="C260" i="16"/>
  <c r="C259" i="16"/>
  <c r="C258" i="16"/>
  <c r="C257" i="16"/>
  <c r="C256" i="16"/>
  <c r="C255" i="16"/>
  <c r="C254" i="16"/>
  <c r="C253" i="16"/>
  <c r="C252" i="16"/>
  <c r="C251" i="16"/>
  <c r="C250" i="16"/>
  <c r="C249" i="16"/>
  <c r="C248" i="16"/>
  <c r="C247" i="16"/>
  <c r="C246" i="16"/>
  <c r="C245" i="16"/>
  <c r="C244" i="16"/>
  <c r="C243" i="16"/>
  <c r="C242" i="16"/>
  <c r="C241" i="16"/>
  <c r="C240" i="16"/>
  <c r="C239" i="16"/>
  <c r="C238" i="16"/>
  <c r="C237" i="16"/>
  <c r="C236" i="16"/>
  <c r="C235" i="16"/>
  <c r="C234" i="16"/>
  <c r="C233" i="16"/>
  <c r="C232" i="16"/>
  <c r="C231" i="16"/>
  <c r="C230" i="16"/>
  <c r="C229" i="16"/>
  <c r="C228" i="16"/>
  <c r="C227" i="16"/>
  <c r="C226" i="16"/>
  <c r="C225" i="16"/>
  <c r="C224" i="16"/>
  <c r="C223" i="16"/>
  <c r="C222" i="16"/>
  <c r="C221" i="16"/>
  <c r="C220" i="16"/>
  <c r="C219" i="16"/>
  <c r="C218" i="16"/>
  <c r="C217" i="16"/>
  <c r="C216" i="16"/>
  <c r="C215" i="16"/>
  <c r="C214" i="16"/>
  <c r="C213" i="16"/>
  <c r="C212" i="16"/>
  <c r="C211" i="16"/>
  <c r="C210" i="16"/>
  <c r="C209" i="16"/>
  <c r="C208" i="16"/>
  <c r="C207" i="16"/>
  <c r="C206" i="16"/>
  <c r="C205" i="16"/>
  <c r="C204" i="16"/>
  <c r="C203" i="16"/>
  <c r="C202" i="16"/>
  <c r="C201" i="16"/>
  <c r="C200" i="16"/>
  <c r="C199" i="16"/>
  <c r="C198" i="16"/>
  <c r="C197" i="16"/>
  <c r="C196" i="16"/>
  <c r="C195" i="16"/>
  <c r="C194" i="16"/>
  <c r="C193" i="16"/>
  <c r="C192" i="16"/>
  <c r="C191" i="16"/>
  <c r="C190" i="16"/>
  <c r="C189" i="16"/>
  <c r="C188" i="16"/>
  <c r="C187" i="16"/>
  <c r="C186" i="16"/>
  <c r="C185" i="16"/>
  <c r="C184" i="16"/>
  <c r="C183" i="16"/>
  <c r="C182" i="16"/>
  <c r="C181" i="16"/>
  <c r="C180" i="16"/>
  <c r="C179" i="16"/>
  <c r="C178" i="16"/>
  <c r="C177" i="16"/>
  <c r="C176" i="16"/>
  <c r="C175" i="16"/>
  <c r="C174" i="16"/>
  <c r="C173" i="16"/>
  <c r="C172" i="16"/>
  <c r="C171" i="16"/>
  <c r="C170" i="16"/>
  <c r="C169" i="16"/>
  <c r="C168" i="16"/>
  <c r="C167" i="16"/>
  <c r="C166" i="16"/>
  <c r="C165" i="16"/>
  <c r="C164" i="16"/>
  <c r="C163" i="16"/>
  <c r="C162" i="16"/>
  <c r="C161" i="16"/>
  <c r="C160" i="16"/>
  <c r="C159" i="16"/>
  <c r="C158" i="16"/>
  <c r="C157" i="16"/>
  <c r="C156" i="16"/>
  <c r="C155" i="16"/>
  <c r="C154" i="16"/>
  <c r="C153" i="16"/>
  <c r="C152" i="16"/>
  <c r="C151" i="16"/>
  <c r="C150" i="16"/>
  <c r="C149" i="16"/>
  <c r="C148" i="16"/>
  <c r="C147" i="16"/>
  <c r="C146" i="16"/>
  <c r="C145" i="16"/>
  <c r="C144" i="16"/>
  <c r="C143" i="16"/>
  <c r="C142" i="16"/>
  <c r="C141" i="16"/>
  <c r="C140" i="16"/>
  <c r="C139" i="16"/>
  <c r="C138" i="16"/>
  <c r="C137" i="16"/>
  <c r="C136" i="16"/>
  <c r="C135" i="16"/>
  <c r="C134" i="16"/>
  <c r="C133" i="16"/>
  <c r="C132" i="16"/>
  <c r="C131" i="16"/>
  <c r="C130" i="16"/>
  <c r="C129" i="16"/>
  <c r="C128" i="16"/>
  <c r="C127" i="16"/>
  <c r="C126" i="16"/>
  <c r="C125" i="16"/>
  <c r="C124" i="16"/>
  <c r="C123" i="16"/>
  <c r="C122" i="16"/>
  <c r="C121" i="16"/>
  <c r="C120" i="16"/>
  <c r="C119" i="16"/>
  <c r="C118" i="16"/>
  <c r="C117" i="16"/>
  <c r="C116" i="16"/>
  <c r="C115" i="16"/>
  <c r="C114" i="16"/>
  <c r="C113" i="16"/>
  <c r="C112" i="16"/>
  <c r="C111" i="16"/>
  <c r="C110" i="16"/>
  <c r="C109" i="16"/>
  <c r="C108" i="16"/>
  <c r="C107" i="16"/>
  <c r="C106" i="16"/>
  <c r="C105" i="16"/>
  <c r="C104" i="16"/>
  <c r="C103" i="16"/>
  <c r="C102" i="16"/>
  <c r="C101" i="16"/>
  <c r="C100" i="16"/>
  <c r="C99" i="16"/>
  <c r="C98" i="16"/>
  <c r="C97" i="16"/>
  <c r="C96" i="16"/>
  <c r="C95" i="16"/>
  <c r="C94" i="16"/>
  <c r="C93" i="16"/>
  <c r="C92" i="16"/>
  <c r="C91" i="16"/>
  <c r="C90" i="16"/>
  <c r="C89" i="16"/>
  <c r="C88" i="16"/>
  <c r="C87" i="16"/>
  <c r="C86" i="16"/>
  <c r="C85" i="16"/>
  <c r="C84" i="16"/>
  <c r="C83" i="16"/>
  <c r="C82" i="16"/>
  <c r="C81" i="16"/>
  <c r="C80" i="16"/>
  <c r="C79" i="16"/>
  <c r="C78" i="16"/>
  <c r="C77" i="16"/>
  <c r="C76" i="16"/>
  <c r="C75" i="16"/>
  <c r="C74" i="16"/>
  <c r="C73" i="16"/>
  <c r="C72" i="16"/>
  <c r="C71" i="16"/>
  <c r="C70" i="16"/>
  <c r="C69" i="16"/>
  <c r="C68" i="16"/>
  <c r="C67" i="16"/>
  <c r="C66" i="16"/>
  <c r="C65" i="16"/>
  <c r="C64" i="16"/>
  <c r="C63" i="16"/>
  <c r="C62" i="16"/>
  <c r="C61" i="16"/>
  <c r="C60" i="16"/>
  <c r="C59" i="16"/>
  <c r="C58" i="16"/>
  <c r="C57" i="16"/>
  <c r="C56" i="16"/>
  <c r="C55" i="16"/>
  <c r="C54" i="16"/>
  <c r="C53" i="16"/>
  <c r="C52" i="16"/>
  <c r="C51" i="16"/>
  <c r="C50" i="16"/>
  <c r="C49" i="16"/>
  <c r="C48" i="16"/>
  <c r="C47" i="16"/>
  <c r="C46" i="16"/>
  <c r="C45" i="16"/>
  <c r="C44" i="16"/>
  <c r="C43" i="16"/>
  <c r="C42" i="16"/>
  <c r="C41" i="16"/>
  <c r="C40" i="16"/>
  <c r="C39" i="16"/>
  <c r="C38" i="16"/>
  <c r="C37" i="16"/>
  <c r="C36" i="16"/>
  <c r="C35" i="16"/>
  <c r="C34" i="16"/>
  <c r="C33" i="16"/>
  <c r="C32" i="16"/>
  <c r="C31" i="16"/>
  <c r="C30" i="16"/>
  <c r="C29" i="16"/>
  <c r="C28" i="16"/>
  <c r="C27" i="16"/>
  <c r="C26" i="16"/>
  <c r="C25" i="16"/>
  <c r="C24" i="16"/>
  <c r="C23" i="16"/>
  <c r="C22" i="16"/>
  <c r="C21" i="16"/>
  <c r="C20" i="16"/>
  <c r="C19" i="16"/>
  <c r="C18" i="16"/>
  <c r="C17" i="16"/>
  <c r="C16" i="16"/>
  <c r="C15" i="16"/>
  <c r="C14" i="16"/>
  <c r="C13" i="16"/>
  <c r="C12" i="16"/>
  <c r="C11" i="16"/>
  <c r="C10" i="16"/>
  <c r="C9" i="16"/>
  <c r="C8" i="16"/>
  <c r="C7" i="16"/>
  <c r="C6" i="16"/>
  <c r="I25" i="8" a="1"/>
  <c r="I25" i="8" s="1"/>
  <c r="K25" i="8" s="1"/>
  <c r="M25" i="8" s="1"/>
  <c r="I26" i="8" a="1"/>
  <c r="I26" i="8" s="1"/>
  <c r="K26" i="8" s="1"/>
  <c r="M26" i="8" s="1"/>
  <c r="I27" i="8" a="1"/>
  <c r="I27" i="8" s="1"/>
  <c r="K27" i="8" s="1"/>
  <c r="M27" i="8" s="1"/>
  <c r="I28" i="8" a="1"/>
  <c r="I28" i="8" s="1"/>
  <c r="K28" i="8" s="1"/>
  <c r="M28" i="8" s="1"/>
  <c r="I29" i="8" a="1"/>
  <c r="I29" i="8" s="1"/>
  <c r="K29" i="8" s="1"/>
  <c r="M29" i="8" s="1"/>
  <c r="I30" i="8" a="1"/>
  <c r="I30" i="8" s="1"/>
  <c r="K30" i="8" s="1"/>
  <c r="M30" i="8" s="1"/>
  <c r="I31" i="8" a="1"/>
  <c r="I31" i="8" s="1"/>
  <c r="K31" i="8" s="1"/>
  <c r="M31" i="8" s="1"/>
  <c r="I32" i="8" a="1"/>
  <c r="I32" i="8" s="1"/>
  <c r="K32" i="8" s="1"/>
  <c r="M32" i="8" s="1"/>
  <c r="I33" i="8" a="1"/>
  <c r="I33" i="8" s="1"/>
  <c r="K33" i="8" s="1"/>
  <c r="M33" i="8" s="1"/>
  <c r="I34" i="8" a="1"/>
  <c r="I34" i="8" s="1"/>
  <c r="K34" i="8" s="1"/>
  <c r="M34" i="8" s="1"/>
  <c r="I35" i="8" a="1"/>
  <c r="I35" i="8" s="1"/>
  <c r="K35" i="8" s="1"/>
  <c r="M35" i="8" s="1"/>
  <c r="I36" i="8" a="1"/>
  <c r="I36" i="8" s="1"/>
  <c r="K36" i="8" s="1"/>
  <c r="M36" i="8" s="1"/>
  <c r="I37" i="8" a="1"/>
  <c r="I37" i="8" s="1"/>
  <c r="K37" i="8" s="1"/>
  <c r="M37" i="8" s="1"/>
  <c r="I38" i="8" a="1"/>
  <c r="I38" i="8" s="1"/>
  <c r="K38" i="8" s="1"/>
  <c r="M38" i="8" s="1"/>
  <c r="I39" i="8" a="1"/>
  <c r="I39" i="8" s="1"/>
  <c r="K39" i="8" s="1"/>
  <c r="M39" i="8" s="1"/>
  <c r="I40" i="8" a="1"/>
  <c r="I40" i="8" s="1"/>
  <c r="K40" i="8" s="1"/>
  <c r="M40" i="8" s="1"/>
  <c r="I41" i="8" a="1"/>
  <c r="I41" i="8" s="1"/>
  <c r="K41" i="8" s="1"/>
  <c r="M41" i="8" s="1"/>
  <c r="I42" i="8" a="1"/>
  <c r="I42" i="8" s="1"/>
  <c r="K42" i="8" s="1"/>
  <c r="M42" i="8" s="1"/>
  <c r="H25" i="8" a="1"/>
  <c r="H25" i="8" s="1"/>
  <c r="J25" i="8" s="1"/>
  <c r="L25" i="8" s="1"/>
  <c r="H26" i="8" a="1"/>
  <c r="H26" i="8" s="1"/>
  <c r="J26" i="8" s="1"/>
  <c r="L26" i="8" s="1"/>
  <c r="H27" i="8" a="1"/>
  <c r="H27" i="8" s="1"/>
  <c r="J27" i="8" s="1"/>
  <c r="L27" i="8" s="1"/>
  <c r="H28" i="8" a="1"/>
  <c r="H28" i="8" s="1"/>
  <c r="J28" i="8" s="1"/>
  <c r="H29" i="8" a="1"/>
  <c r="H29" i="8" s="1"/>
  <c r="J29" i="8" s="1"/>
  <c r="H30" i="8" a="1"/>
  <c r="H30" i="8" s="1"/>
  <c r="J30" i="8" s="1"/>
  <c r="L30" i="8" s="1"/>
  <c r="H31" i="8" a="1"/>
  <c r="H31" i="8" s="1"/>
  <c r="J31" i="8" s="1"/>
  <c r="L31" i="8" s="1"/>
  <c r="H32" i="8" a="1"/>
  <c r="H32" i="8" s="1"/>
  <c r="J32" i="8" s="1"/>
  <c r="L32" i="8" s="1"/>
  <c r="H33" i="8" a="1"/>
  <c r="H33" i="8" s="1"/>
  <c r="J33" i="8" s="1"/>
  <c r="H34" i="8" a="1"/>
  <c r="H34" i="8" s="1"/>
  <c r="J34" i="8" s="1"/>
  <c r="H35" i="8" a="1"/>
  <c r="H35" i="8" s="1"/>
  <c r="J35" i="8" s="1"/>
  <c r="L35" i="8" s="1"/>
  <c r="H36" i="8" a="1"/>
  <c r="H36" i="8" s="1"/>
  <c r="J36" i="8" s="1"/>
  <c r="H37" i="8" a="1"/>
  <c r="H37" i="8" s="1"/>
  <c r="J37" i="8" s="1"/>
  <c r="L37" i="8" s="1"/>
  <c r="H38" i="8" a="1"/>
  <c r="H38" i="8" s="1"/>
  <c r="J38" i="8" s="1"/>
  <c r="L38" i="8" s="1"/>
  <c r="H39" i="8" a="1"/>
  <c r="H39" i="8" s="1"/>
  <c r="J39" i="8" s="1"/>
  <c r="H40" i="8" a="1"/>
  <c r="H40" i="8" s="1"/>
  <c r="J40" i="8" s="1"/>
  <c r="H41" i="8" a="1"/>
  <c r="H41" i="8" s="1"/>
  <c r="J41" i="8" s="1"/>
  <c r="L41" i="8" s="1"/>
  <c r="H42" i="8" a="1"/>
  <c r="H42" i="8" s="1"/>
  <c r="J42" i="8" s="1"/>
  <c r="B2" i="8"/>
  <c r="N15" i="8" a="1"/>
  <c r="N15" i="8" s="1"/>
  <c r="H14" i="21" l="1"/>
  <c r="I14" i="21" s="1"/>
  <c r="H24" i="21"/>
  <c r="I24" i="21" s="1"/>
  <c r="H32" i="21"/>
  <c r="I32" i="21" s="1"/>
  <c r="H15" i="21"/>
  <c r="I15" i="21" s="1"/>
  <c r="H18" i="21"/>
  <c r="I18" i="21" s="1"/>
  <c r="H21" i="21"/>
  <c r="I20" i="23" s="1" a="1"/>
  <c r="I20" i="23" s="1"/>
  <c r="H26" i="21"/>
  <c r="I25" i="23" s="1" a="1"/>
  <c r="I25" i="23" s="1"/>
  <c r="H25" i="21"/>
  <c r="I25" i="21" s="1"/>
  <c r="H23" i="21"/>
  <c r="I22" i="23" s="1" a="1"/>
  <c r="I22" i="23" s="1"/>
  <c r="H29" i="21"/>
  <c r="J29" i="22" s="1"/>
  <c r="H19" i="21"/>
  <c r="J19" i="22" s="1"/>
  <c r="H22" i="21"/>
  <c r="I22" i="21" s="1"/>
  <c r="H20" i="21"/>
  <c r="I19" i="23" s="1" a="1"/>
  <c r="I19" i="23" s="1"/>
  <c r="H30" i="21"/>
  <c r="I29" i="23" s="1" a="1"/>
  <c r="I29" i="23" s="1"/>
  <c r="H28" i="21"/>
  <c r="I27" i="23" s="1" a="1"/>
  <c r="I27" i="23" s="1"/>
  <c r="H31" i="21"/>
  <c r="I31" i="21" s="1"/>
  <c r="H27" i="21"/>
  <c r="I27" i="21" s="1"/>
  <c r="H16" i="21"/>
  <c r="I16" i="21" s="1"/>
  <c r="H17" i="21"/>
  <c r="I16" i="23" s="1" a="1"/>
  <c r="I16" i="23" s="1"/>
  <c r="M24" i="18"/>
  <c r="I24" i="22" s="1"/>
  <c r="I24" i="18"/>
  <c r="I20" i="22" s="1"/>
  <c r="I14" i="22"/>
  <c r="K24" i="18"/>
  <c r="I22" i="22" s="1"/>
  <c r="E24" i="18"/>
  <c r="I16" i="22" s="1"/>
  <c r="G24" i="18"/>
  <c r="I18" i="22" s="1"/>
  <c r="O24" i="18"/>
  <c r="I26" i="22" s="1"/>
  <c r="H24" i="18"/>
  <c r="I19" i="22" s="1"/>
  <c r="P24" i="18"/>
  <c r="I27" i="22" s="1"/>
  <c r="N24" i="18"/>
  <c r="I25" i="22" s="1"/>
  <c r="J24" i="18"/>
  <c r="I21" i="22" s="1"/>
  <c r="D24" i="18"/>
  <c r="I15" i="22" s="1"/>
  <c r="F24" i="18"/>
  <c r="I17" i="22" s="1"/>
  <c r="L24" i="18"/>
  <c r="I23" i="22" s="1"/>
  <c r="I23" i="21"/>
  <c r="J23" i="22"/>
  <c r="L34" i="8"/>
  <c r="L29" i="8"/>
  <c r="L40" i="8"/>
  <c r="L28" i="8"/>
  <c r="L39" i="8"/>
  <c r="L33" i="8"/>
  <c r="L42" i="8"/>
  <c r="L36" i="8"/>
  <c r="J15" i="8"/>
  <c r="I29" i="21" l="1"/>
  <c r="I23" i="23" a="1"/>
  <c r="I23" i="23" s="1"/>
  <c r="J24" i="22"/>
  <c r="I19" i="21"/>
  <c r="I21" i="21"/>
  <c r="I14" i="23" a="1"/>
  <c r="I14" i="23" s="1"/>
  <c r="J15" i="22"/>
  <c r="R15" i="22" s="1"/>
  <c r="J26" i="22"/>
  <c r="R26" i="22" s="1"/>
  <c r="I13" i="23" a="1"/>
  <c r="I13" i="23" s="1"/>
  <c r="J20" i="22"/>
  <c r="R20" i="22" s="1"/>
  <c r="I18" i="23" a="1"/>
  <c r="I18" i="23" s="1"/>
  <c r="I26" i="21"/>
  <c r="I30" i="21"/>
  <c r="J25" i="22"/>
  <c r="R25" i="22" s="1"/>
  <c r="I17" i="23" a="1"/>
  <c r="I17" i="23" s="1"/>
  <c r="I24" i="23" a="1"/>
  <c r="I24" i="23" s="1"/>
  <c r="J18" i="22"/>
  <c r="R18" i="22" s="1"/>
  <c r="J21" i="22"/>
  <c r="R21" i="22" s="1"/>
  <c r="I28" i="23" a="1"/>
  <c r="I28" i="23" s="1"/>
  <c r="I20" i="21"/>
  <c r="I21" i="23" a="1"/>
  <c r="I21" i="23" s="1"/>
  <c r="I30" i="23" a="1"/>
  <c r="I30" i="23" s="1"/>
  <c r="J28" i="22"/>
  <c r="R28" i="22" s="1"/>
  <c r="J14" i="22"/>
  <c r="R14" i="22" s="1"/>
  <c r="I28" i="21"/>
  <c r="J22" i="22"/>
  <c r="R22" i="22" s="1"/>
  <c r="J31" i="22"/>
  <c r="R31" i="22" s="1"/>
  <c r="J30" i="22"/>
  <c r="R30" i="22" s="1"/>
  <c r="J17" i="22"/>
  <c r="R17" i="22" s="1"/>
  <c r="I17" i="21"/>
  <c r="J27" i="22"/>
  <c r="R27" i="22" s="1"/>
  <c r="J16" i="22"/>
  <c r="R16" i="22" s="1"/>
  <c r="I26" i="23" a="1"/>
  <c r="I26" i="23" s="1"/>
  <c r="I15" i="23" a="1"/>
  <c r="I15" i="23" s="1"/>
  <c r="K15" i="8"/>
  <c r="M15" i="8" s="1"/>
  <c r="O15" i="8" s="1"/>
  <c r="N25" i="8" s="1"/>
  <c r="N26" i="8" s="1"/>
  <c r="N27" i="8" s="1"/>
  <c r="N28" i="8" s="1"/>
  <c r="N29" i="8" s="1"/>
  <c r="N30" i="8" s="1"/>
  <c r="N31" i="8" s="1"/>
  <c r="N32" i="8" s="1"/>
  <c r="N33" i="8" s="1"/>
  <c r="N34" i="8" s="1"/>
  <c r="N35" i="8" s="1"/>
  <c r="N36" i="8" s="1"/>
  <c r="N37" i="8" s="1"/>
  <c r="N38" i="8" s="1"/>
  <c r="N39" i="8" s="1"/>
  <c r="N40" i="8" s="1"/>
  <c r="N41" i="8" s="1"/>
  <c r="N42" i="8" s="1"/>
  <c r="R24" i="22"/>
  <c r="R29" i="22"/>
  <c r="R19" i="22"/>
  <c r="R23" i="22"/>
</calcChain>
</file>

<file path=xl/sharedStrings.xml><?xml version="1.0" encoding="utf-8"?>
<sst xmlns="http://schemas.openxmlformats.org/spreadsheetml/2006/main" count="1880" uniqueCount="466">
  <si>
    <t>Year</t>
  </si>
  <si>
    <t>Company</t>
  </si>
  <si>
    <t>Additions to Distribution Plant</t>
  </si>
  <si>
    <t>ADD</t>
  </si>
  <si>
    <t>Retirements of Distribution Plant</t>
  </si>
  <si>
    <t>RET</t>
  </si>
  <si>
    <t>DISTPLANT</t>
  </si>
  <si>
    <t>TOTPLANT</t>
  </si>
  <si>
    <t>Total Net Plant</t>
  </si>
  <si>
    <t>STORPLANT</t>
  </si>
  <si>
    <t>GENPLANT</t>
  </si>
  <si>
    <t>HWt Triangularized</t>
  </si>
  <si>
    <t>Initial Capital Stock</t>
  </si>
  <si>
    <t>Region</t>
  </si>
  <si>
    <t>%DIST</t>
  </si>
  <si>
    <t>Total NEUPLANT</t>
  </si>
  <si>
    <t>DNEUPLANT</t>
  </si>
  <si>
    <t>HW TRI</t>
  </si>
  <si>
    <t>K0</t>
  </si>
  <si>
    <t>(a)</t>
  </si>
  <si>
    <t>(b)</t>
  </si>
  <si>
    <t xml:space="preserve">(c) </t>
  </si>
  <si>
    <t>(d)</t>
  </si>
  <si>
    <t>(e)</t>
  </si>
  <si>
    <t>(f)</t>
  </si>
  <si>
    <t>(g)</t>
  </si>
  <si>
    <t>(h)</t>
  </si>
  <si>
    <t>(i)</t>
  </si>
  <si>
    <t>Company Name</t>
  </si>
  <si>
    <t>North Atlantic</t>
  </si>
  <si>
    <t>(c)</t>
  </si>
  <si>
    <t>South Atlantic</t>
  </si>
  <si>
    <t>North Central</t>
  </si>
  <si>
    <t>South Central</t>
  </si>
  <si>
    <t>Plateau</t>
  </si>
  <si>
    <t>Pacific</t>
  </si>
  <si>
    <t>Handy-Whitman Index Triangularized</t>
  </si>
  <si>
    <t>Constant2</t>
  </si>
  <si>
    <t>Distribution Net Plant</t>
  </si>
  <si>
    <t>Initial Year</t>
  </si>
  <si>
    <t>Description</t>
  </si>
  <si>
    <t>Uses original method used for all other companies to calculate capital stock in each year for Enbridge</t>
  </si>
  <si>
    <t xml:space="preserve">Sources </t>
  </si>
  <si>
    <t xml:space="preserve">Initial Capital Stock </t>
  </si>
  <si>
    <t>Real Additions to Distribution Plant</t>
  </si>
  <si>
    <t>Real Retirements of Distribution Plant</t>
  </si>
  <si>
    <t>Capital Stock</t>
  </si>
  <si>
    <r>
      <t>HW</t>
    </r>
    <r>
      <rPr>
        <b/>
        <vertAlign val="subscript"/>
        <sz val="10"/>
        <rFont val="Times New Roman"/>
        <family val="1"/>
      </rPr>
      <t>t</t>
    </r>
  </si>
  <si>
    <r>
      <t>HW</t>
    </r>
    <r>
      <rPr>
        <b/>
        <vertAlign val="subscript"/>
        <sz val="10"/>
        <rFont val="Times New Roman"/>
        <family val="1"/>
      </rPr>
      <t>t-s</t>
    </r>
  </si>
  <si>
    <r>
      <t>HW</t>
    </r>
    <r>
      <rPr>
        <b/>
        <vertAlign val="subscript"/>
        <sz val="10"/>
        <rFont val="Times New Roman"/>
        <family val="1"/>
      </rPr>
      <t xml:space="preserve">t </t>
    </r>
    <r>
      <rPr>
        <b/>
        <sz val="10"/>
        <rFont val="Times New Roman"/>
        <family val="1"/>
      </rPr>
      <t>(norm)</t>
    </r>
  </si>
  <si>
    <r>
      <t>HW</t>
    </r>
    <r>
      <rPr>
        <b/>
        <vertAlign val="subscript"/>
        <sz val="10"/>
        <rFont val="Times New Roman"/>
        <family val="1"/>
      </rPr>
      <t xml:space="preserve">t-s </t>
    </r>
    <r>
      <rPr>
        <b/>
        <sz val="10"/>
        <rFont val="Times New Roman"/>
        <family val="1"/>
      </rPr>
      <t>(norm)</t>
    </r>
  </si>
  <si>
    <t>REALADD</t>
  </si>
  <si>
    <t>REALRET</t>
  </si>
  <si>
    <t>KAPITAL</t>
  </si>
  <si>
    <r>
      <t>Handy-Whitman Asset Price in Year</t>
    </r>
    <r>
      <rPr>
        <b/>
        <vertAlign val="subscript"/>
        <sz val="11"/>
        <rFont val="Calibri"/>
        <family val="2"/>
        <scheme val="minor"/>
      </rPr>
      <t>t</t>
    </r>
  </si>
  <si>
    <r>
      <t>Handy-Whitman Asset Price in Year</t>
    </r>
    <r>
      <rPr>
        <b/>
        <vertAlign val="subscript"/>
        <sz val="11"/>
        <rFont val="Calibri"/>
        <family val="2"/>
        <scheme val="minor"/>
      </rPr>
      <t>t-s</t>
    </r>
  </si>
  <si>
    <r>
      <t>Handy-Whitman Asset Price in Year</t>
    </r>
    <r>
      <rPr>
        <b/>
        <vertAlign val="subscript"/>
        <sz val="11"/>
        <rFont val="Calibri"/>
        <family val="2"/>
        <scheme val="minor"/>
      </rPr>
      <t>t</t>
    </r>
    <r>
      <rPr>
        <b/>
        <sz val="11"/>
        <rFont val="Calibri"/>
        <family val="2"/>
        <scheme val="minor"/>
      </rPr>
      <t xml:space="preserve"> (Normalized)</t>
    </r>
  </si>
  <si>
    <r>
      <t>Handy-Whitman Asset Price in Year</t>
    </r>
    <r>
      <rPr>
        <b/>
        <vertAlign val="subscript"/>
        <sz val="11"/>
        <rFont val="Calibri"/>
        <family val="2"/>
        <scheme val="minor"/>
      </rPr>
      <t>t-s</t>
    </r>
    <r>
      <rPr>
        <b/>
        <sz val="11"/>
        <rFont val="Calibri"/>
        <family val="2"/>
        <scheme val="minor"/>
      </rPr>
      <t xml:space="preserve"> (Normalized)</t>
    </r>
  </si>
  <si>
    <t>(c)/100</t>
  </si>
  <si>
    <t>(d)/100</t>
  </si>
  <si>
    <t>(a)/(e)</t>
  </si>
  <si>
    <t>(b)/(f)</t>
  </si>
  <si>
    <t>Moody's Utility Bond Index</t>
  </si>
  <si>
    <t>Moody's Utility Bond Index (BAA)</t>
  </si>
  <si>
    <t>Bloomberg Fair Value (Non-Utility Specific)</t>
  </si>
  <si>
    <t>Barclays Non-Utility Specific</t>
  </si>
  <si>
    <t>Month</t>
  </si>
  <si>
    <t>Year_Month</t>
  </si>
  <si>
    <t>AAA</t>
  </si>
  <si>
    <t>AA</t>
  </si>
  <si>
    <t>A</t>
  </si>
  <si>
    <t>BBB</t>
  </si>
  <si>
    <t>BB</t>
  </si>
  <si>
    <t>B</t>
  </si>
  <si>
    <t>D</t>
  </si>
  <si>
    <t>Rating</t>
  </si>
  <si>
    <t>Watch</t>
  </si>
  <si>
    <t>Effective</t>
  </si>
  <si>
    <t>BBB+</t>
  </si>
  <si>
    <t>A-</t>
  </si>
  <si>
    <t>*-</t>
  </si>
  <si>
    <t>Conversions</t>
  </si>
  <si>
    <t>AA+</t>
  </si>
  <si>
    <t>A+</t>
  </si>
  <si>
    <t>BBB-</t>
  </si>
  <si>
    <t>BB-</t>
  </si>
  <si>
    <t>B+</t>
  </si>
  <si>
    <t>B-</t>
  </si>
  <si>
    <t>NR</t>
  </si>
  <si>
    <t>-</t>
  </si>
  <si>
    <t>[1]</t>
  </si>
  <si>
    <t>Bond Rating</t>
  </si>
  <si>
    <t>[2]</t>
  </si>
  <si>
    <t>[3]</t>
  </si>
  <si>
    <t>Rating Modified</t>
  </si>
  <si>
    <t>Monthly Yield</t>
  </si>
  <si>
    <t>Rating/ Yield</t>
  </si>
  <si>
    <t>Average Yearly Yields</t>
  </si>
  <si>
    <t>Table 326-0020 Consumer Price Index, monthly (2002=100)(2,9)</t>
  </si>
  <si>
    <t>Survey or program details:</t>
  </si>
  <si>
    <t>Consumer Price Index - 2301</t>
  </si>
  <si>
    <t>Geography</t>
  </si>
  <si>
    <t>Canada</t>
  </si>
  <si>
    <t>Products and product groups</t>
  </si>
  <si>
    <t>All-items</t>
  </si>
  <si>
    <t>Footnotes:</t>
  </si>
  <si>
    <t>The Consumer Price Index (CPI) is not a cost-of-living index. The objective behind a cost-of-living index is to measure changes in expenditures necessary for consumers to maintain a constant standard of living. The idea is that consumers would normally switch between products as the price relationship of goods changes. If, for example, consumers get the same satisfaction from drinking tea as they do from coffee, then it is possible to substitute tea for coffee if the price of tea falls relative to the price of coffee. The cheaper of the interchangeable products may be chosen. We could compute a cost-of-living index for an individual if we had complete information about that person's taste and spending habits. To do this for a large number of people, let alone the total population of Canada, is impossible. For this reason, regularly published price indexes are based on the fixed-basket concept rather than the cost-of-living concept.</t>
  </si>
  <si>
    <t>This table replaces CANSIM table 326-0001 which was archived with the release of April 2007 data.</t>
  </si>
  <si>
    <t>The goods and services that make up the Consumer Price Index (CPI) are organized according to a hierarchical structure with the "all-items CPI" as the top level. Eight major components of goods and services make up the "all-items CPI". They are: "food", "shelter", "household operations, furnishings and equipment", "clothing and footwear", "transportation", "health and personal care", "recreation, education and reading", and "alcoholic beverages and tobacco products". These eight components are broken down into a varying number of sub-groups which are in turn broken down into other sub-groups. Indents are used to identify the components that make up each level of aggregation. For example, the eight major components appear with one indent relative to the "all-items CPI" to show that they are combined to obtain the "all-items CPI". NOTE: Some items are recombined outside the main structure of the CPI to obtain special aggregates such as "all-items excluding food and energy", "energy", "goods", "services", or "fresh fruit and vegetables". They are listed after the components of the main structure of the CPI following the last major component entitled "alcoholic beverages and tobacco products".</t>
  </si>
  <si>
    <t>Source:</t>
  </si>
  <si>
    <t>Statistics Canada. Table 326-0020 - Consumer Price Index, monthly (2002=100 unless otherwise noted)</t>
  </si>
  <si>
    <t>(accessed: July 31, 2017)</t>
  </si>
  <si>
    <t>FRED Graph Observations</t>
  </si>
  <si>
    <t>Federal Reserve Economic Data</t>
  </si>
  <si>
    <t>Link: https://fred.stlouisfed.org</t>
  </si>
  <si>
    <t>Help: https://fred.stlouisfed.org/help-faq</t>
  </si>
  <si>
    <t>Economic Research Division</t>
  </si>
  <si>
    <t>Federal Reserve Bank of St. Louis</t>
  </si>
  <si>
    <t>IRLTLT01CAM156N</t>
  </si>
  <si>
    <t>Long-Term Government Bond Yields: 10-year: Main (Including Benchmark) for Canada©, Percent, Monthly, Not Seasonally Adjusted</t>
  </si>
  <si>
    <t>Frequency: Monthly</t>
  </si>
  <si>
    <t>observation_date</t>
  </si>
  <si>
    <t>Average Yield (%)</t>
  </si>
  <si>
    <t>Average CPI</t>
  </si>
  <si>
    <t>CPI Growth Rate (%)</t>
  </si>
  <si>
    <t>Riskless Return Net of Inflation</t>
  </si>
  <si>
    <t>Expected Long Term Inflation Rate (i) (%)</t>
  </si>
  <si>
    <t>Expected Long Term Inflation (Rounded) (%)</t>
  </si>
  <si>
    <r>
      <t>(b)</t>
    </r>
    <r>
      <rPr>
        <b/>
        <vertAlign val="subscript"/>
        <sz val="10"/>
        <rFont val="Times New Roman"/>
        <family val="1"/>
      </rPr>
      <t>t</t>
    </r>
    <r>
      <rPr>
        <b/>
        <sz val="10"/>
        <rFont val="Times New Roman"/>
        <family val="1"/>
      </rPr>
      <t xml:space="preserve"> - (b)</t>
    </r>
    <r>
      <rPr>
        <b/>
        <vertAlign val="subscript"/>
        <sz val="10"/>
        <rFont val="Times New Roman"/>
        <family val="1"/>
      </rPr>
      <t>t-1</t>
    </r>
    <r>
      <rPr>
        <b/>
        <sz val="10"/>
        <rFont val="Times New Roman"/>
        <family val="1"/>
      </rPr>
      <t>/ (b)</t>
    </r>
    <r>
      <rPr>
        <b/>
        <vertAlign val="subscript"/>
        <sz val="10"/>
        <rFont val="Times New Roman"/>
        <family val="1"/>
      </rPr>
      <t>t-1</t>
    </r>
  </si>
  <si>
    <t>(a) - (c)</t>
  </si>
  <si>
    <t>(a) - avg(d)</t>
  </si>
  <si>
    <t>Average Return</t>
  </si>
  <si>
    <t>Expected Inflation (i)</t>
  </si>
  <si>
    <t>CPI Data from Statistics Canada and Canadia Bond Yield data from the Federal Reserve</t>
  </si>
  <si>
    <t>Calculated the Expected Inflation variable to be used in final calculation of capital price for Enbridge</t>
  </si>
  <si>
    <t>Statistics Canada</t>
  </si>
  <si>
    <r>
      <t>Investment Tax Credit Rate (</t>
    </r>
    <r>
      <rPr>
        <b/>
        <i/>
        <u/>
        <sz val="10"/>
        <rFont val="Times New Roman"/>
        <family val="1"/>
      </rPr>
      <t>k</t>
    </r>
    <r>
      <rPr>
        <b/>
        <u/>
        <sz val="10"/>
        <rFont val="Times New Roman"/>
        <family val="1"/>
      </rPr>
      <t>)</t>
    </r>
  </si>
  <si>
    <r>
      <t>Corporate Profits Tax Rate (</t>
    </r>
    <r>
      <rPr>
        <b/>
        <i/>
        <u/>
        <sz val="10"/>
        <rFont val="Times New Roman"/>
        <family val="1"/>
      </rPr>
      <t>u</t>
    </r>
    <r>
      <rPr>
        <b/>
        <u/>
        <sz val="10"/>
        <rFont val="Times New Roman"/>
        <family val="1"/>
      </rPr>
      <t>)</t>
    </r>
  </si>
  <si>
    <r>
      <t>Asset Lifetime (</t>
    </r>
    <r>
      <rPr>
        <b/>
        <i/>
        <u/>
        <sz val="10"/>
        <rFont val="Times New Roman"/>
        <family val="1"/>
      </rPr>
      <t>s</t>
    </r>
    <r>
      <rPr>
        <b/>
        <u/>
        <sz val="10"/>
        <rFont val="Times New Roman"/>
        <family val="1"/>
      </rPr>
      <t>)</t>
    </r>
  </si>
  <si>
    <r>
      <t>Rate of Return for Discounting Depreciation Deductions (</t>
    </r>
    <r>
      <rPr>
        <b/>
        <i/>
        <u/>
        <sz val="10"/>
        <rFont val="Times New Roman"/>
        <family val="1"/>
      </rPr>
      <t>R</t>
    </r>
    <r>
      <rPr>
        <b/>
        <u/>
        <sz val="10"/>
        <rFont val="Times New Roman"/>
        <family val="1"/>
      </rPr>
      <t xml:space="preserve">) </t>
    </r>
  </si>
  <si>
    <r>
      <t>Asset Tax Lifetime (</t>
    </r>
    <r>
      <rPr>
        <b/>
        <i/>
        <u/>
        <sz val="10"/>
        <rFont val="Times New Roman"/>
        <family val="1"/>
      </rPr>
      <t>T</t>
    </r>
    <r>
      <rPr>
        <b/>
        <u/>
        <sz val="10"/>
        <rFont val="Times New Roman"/>
        <family val="1"/>
      </rPr>
      <t>)</t>
    </r>
  </si>
  <si>
    <t>Present Value of Depreciation Deduction on New Investment (z)</t>
  </si>
  <si>
    <r>
      <t>Expected Inflation (</t>
    </r>
    <r>
      <rPr>
        <b/>
        <i/>
        <u/>
        <sz val="10"/>
        <rFont val="Times New Roman"/>
        <family val="1"/>
      </rPr>
      <t>i</t>
    </r>
    <r>
      <rPr>
        <b/>
        <u/>
        <sz val="10"/>
        <rFont val="Times New Roman"/>
        <family val="1"/>
      </rPr>
      <t>)</t>
    </r>
  </si>
  <si>
    <r>
      <t>Rate of Return (</t>
    </r>
    <r>
      <rPr>
        <b/>
        <i/>
        <u/>
        <sz val="10"/>
        <rFont val="Times New Roman"/>
        <family val="1"/>
      </rPr>
      <t>r</t>
    </r>
    <r>
      <rPr>
        <b/>
        <u/>
        <sz val="10"/>
        <rFont val="Times New Roman"/>
        <family val="1"/>
      </rPr>
      <t>)</t>
    </r>
  </si>
  <si>
    <t>k</t>
  </si>
  <si>
    <t>u</t>
  </si>
  <si>
    <t>s</t>
  </si>
  <si>
    <t>i</t>
  </si>
  <si>
    <t>r</t>
  </si>
  <si>
    <t>z</t>
  </si>
  <si>
    <t>Handy-Whitman Asset Price in Year t-1</t>
  </si>
  <si>
    <t>Handy-Whitman Asset Price in Year t-1 (Normalized)</t>
  </si>
  <si>
    <t>Capital Price</t>
  </si>
  <si>
    <r>
      <t>P</t>
    </r>
    <r>
      <rPr>
        <b/>
        <vertAlign val="subscript"/>
        <sz val="10"/>
        <rFont val="Times New Roman"/>
        <family val="1"/>
      </rPr>
      <t>A,t-1</t>
    </r>
  </si>
  <si>
    <r>
      <t>P</t>
    </r>
    <r>
      <rPr>
        <b/>
        <vertAlign val="subscript"/>
        <sz val="10"/>
        <rFont val="Times New Roman"/>
        <family val="1"/>
      </rPr>
      <t xml:space="preserve">A,t-1 </t>
    </r>
    <r>
      <rPr>
        <b/>
        <sz val="10"/>
        <rFont val="Times New Roman"/>
        <family val="1"/>
      </rPr>
      <t>Norm</t>
    </r>
  </si>
  <si>
    <t>CAPRC</t>
  </si>
  <si>
    <r>
      <t>P</t>
    </r>
    <r>
      <rPr>
        <b/>
        <vertAlign val="subscript"/>
        <sz val="10"/>
        <rFont val="Times New Roman"/>
        <family val="1"/>
      </rPr>
      <t>A,t-1</t>
    </r>
    <r>
      <rPr>
        <b/>
        <sz val="10"/>
        <rFont val="Times New Roman"/>
        <family val="1"/>
      </rPr>
      <t>/100</t>
    </r>
  </si>
  <si>
    <t>Capital Price Calculation</t>
  </si>
  <si>
    <t>All Variables</t>
  </si>
  <si>
    <t>Summarizes variables to be used in capital price calculation and calculates z variable</t>
  </si>
  <si>
    <t>UNGA CN Equity - Union Gas Limited</t>
  </si>
  <si>
    <t xml:space="preserve">S&amp;P LT Foreign Issuer Credit </t>
  </si>
  <si>
    <t xml:space="preserve"> </t>
  </si>
  <si>
    <t>*+</t>
  </si>
  <si>
    <t>Calculates the Union's average yearly bond yield</t>
  </si>
  <si>
    <t>Union Gas Limited</t>
  </si>
  <si>
    <t>Calculates Union's capital price for each year</t>
  </si>
  <si>
    <t>Canadian T2 Corporation Income Tax Guide, Expected Inflation tab, Handy-Whitman Index tab</t>
  </si>
  <si>
    <t>Data for Union 1985-2002</t>
  </si>
  <si>
    <t>UNHIDE COLUMNS FOR Union/Centra</t>
  </si>
  <si>
    <t>CENTRA</t>
  </si>
  <si>
    <t>UNION</t>
  </si>
  <si>
    <t>COMBINED</t>
  </si>
  <si>
    <t>Revenue</t>
  </si>
  <si>
    <t>Distribution Revenue</t>
  </si>
  <si>
    <t>Storage - Utility Revenue</t>
  </si>
  <si>
    <t>n/a</t>
  </si>
  <si>
    <t>Transmission</t>
  </si>
  <si>
    <t>Sales Program</t>
  </si>
  <si>
    <t>Financing Program</t>
  </si>
  <si>
    <t>u/o</t>
  </si>
  <si>
    <t>Rental Program</t>
  </si>
  <si>
    <t>Total Revenues</t>
  </si>
  <si>
    <t>Storage - Non-Utility Revenue</t>
  </si>
  <si>
    <t>Quantities</t>
  </si>
  <si>
    <t>Customers</t>
  </si>
  <si>
    <t>Volumes</t>
  </si>
  <si>
    <t>Storage demand - Utility</t>
  </si>
  <si>
    <t>Storage demand -Non-Utility</t>
  </si>
  <si>
    <t>Transmission demand</t>
  </si>
  <si>
    <t xml:space="preserve">Sales Program </t>
  </si>
  <si>
    <t xml:space="preserve">Rental Program </t>
  </si>
  <si>
    <t>Total Number of Employees - March 2017 Update</t>
  </si>
  <si>
    <t># Mgmt/Supervisory</t>
  </si>
  <si>
    <t>ab u/o</t>
  </si>
  <si>
    <t>$ Mgmt/Supervisory</t>
  </si>
  <si>
    <t># Non Union Clerical/Technical/Technical/Sales</t>
  </si>
  <si>
    <t>$ Non Union Clerical/Technical/Technical/Sales</t>
  </si>
  <si>
    <t># Unionized Clerical/Hourly</t>
  </si>
  <si>
    <t>$ Unionized Clerical/Hourly</t>
  </si>
  <si>
    <t>Total $ Salaries and Wages (gross)</t>
  </si>
  <si>
    <t>Total $ Salaries and Wages (net)</t>
  </si>
  <si>
    <t>Total Benefits (gross)</t>
  </si>
  <si>
    <t>Total Benefits (net) - March 2017 Update</t>
  </si>
  <si>
    <t>Total Pension Calendar (gross)</t>
  </si>
  <si>
    <t>Total Pension Calendar (net)</t>
  </si>
  <si>
    <t>u/o (included with benefits)</t>
  </si>
  <si>
    <t>Total  Net Labour Costs</t>
  </si>
  <si>
    <t>Total  Gross Labour Costs</t>
  </si>
  <si>
    <t>Price of Labour</t>
  </si>
  <si>
    <t xml:space="preserve">Gross Cost of Plant : Balance at Year End </t>
  </si>
  <si>
    <t>Gross Other Intangible Plant</t>
  </si>
  <si>
    <t>Gross Total Production &amp; Gathering</t>
  </si>
  <si>
    <t>Local Storage</t>
  </si>
  <si>
    <t xml:space="preserve">Gross Underground Storage </t>
  </si>
  <si>
    <t>Unregulated Underground Storage (included in row above)</t>
  </si>
  <si>
    <t>Ratio (unregulated/total)</t>
  </si>
  <si>
    <t>Ex Franchise Underground Storage</t>
  </si>
  <si>
    <t xml:space="preserve">Gross Transmission Plant </t>
  </si>
  <si>
    <t>Gross Distribution Plant *</t>
  </si>
  <si>
    <t xml:space="preserve">Gross General Plant </t>
  </si>
  <si>
    <t>Unregulated Gross General Plant (included in row above)</t>
  </si>
  <si>
    <t>Gross Line Pack Gas</t>
  </si>
  <si>
    <t>Ex franchise Gross General Plant</t>
  </si>
  <si>
    <t>Captal Leases</t>
  </si>
  <si>
    <t>Gross Contribution in Aid of Construction</t>
  </si>
  <si>
    <t xml:space="preserve">Depreciation : Balance at Year End </t>
  </si>
  <si>
    <t>Other Intangible Plant</t>
  </si>
  <si>
    <t>Total Production &amp; Gathering</t>
  </si>
  <si>
    <t>Underground Storage</t>
  </si>
  <si>
    <t>Adjusted Unregulated Underground Storage</t>
  </si>
  <si>
    <t>Transmission Plant</t>
  </si>
  <si>
    <t>Distribution Plant*</t>
  </si>
  <si>
    <t>General Plant</t>
  </si>
  <si>
    <t>Unregulated General Plant (included in row above)</t>
  </si>
  <si>
    <t>Ex franchise General Plant</t>
  </si>
  <si>
    <t>Capital Leases</t>
  </si>
  <si>
    <t>Contribution in Aid of Construction</t>
  </si>
  <si>
    <t>Net unregulated Plant (unadjusted)</t>
  </si>
  <si>
    <t>Net unregulated Plant (adjusted)</t>
  </si>
  <si>
    <t>Net ex franchise Plant</t>
  </si>
  <si>
    <t>Net ex franchise and unregulated Plant</t>
  </si>
  <si>
    <t>Total Plant Add</t>
  </si>
  <si>
    <t>CkProptax (Utility)</t>
  </si>
  <si>
    <t>Inctax (Utility)</t>
  </si>
  <si>
    <t>The annual Board Approved Rate of Return, WAROR:  Rt</t>
  </si>
  <si>
    <t xml:space="preserve">U = 10.04%
C =  9.99%
Merged =      </t>
  </si>
  <si>
    <t>Gross Utility O&amp;M (excludes compressor fuel 2003 and later))</t>
  </si>
  <si>
    <t>Net Corp O&amp;M (excludes compressor fuel 2003 and later))</t>
  </si>
  <si>
    <t>Unregulated Net Utility O&amp;M (excludes compressor fuel 2003 and later))</t>
  </si>
  <si>
    <t>Ex franchise Net Utility O&amp;M (excludes compressor fuel 2003 and later))</t>
  </si>
  <si>
    <t>Compressor Fuel - $</t>
  </si>
  <si>
    <t>Compressor Fuel - Volumes at 10*6m*3</t>
  </si>
  <si>
    <t>MATERIALS COST</t>
  </si>
  <si>
    <t>Unregulated MATERIALS COST</t>
  </si>
  <si>
    <t>Ex franchise MATERIALS COST</t>
  </si>
  <si>
    <t>Blue Shade u/o</t>
  </si>
  <si>
    <t>Orange Shade n/a</t>
  </si>
  <si>
    <t>n/a; changed from Blank (conversation with ME 4/25/03</t>
  </si>
  <si>
    <t>Blank changed to n/a (Marian R. 17/4/03)</t>
  </si>
  <si>
    <t>Filled in data</t>
  </si>
  <si>
    <t>Added 5 5 03</t>
  </si>
  <si>
    <t>Removed 05/14/03 by AC</t>
  </si>
  <si>
    <t>Added 5 7 03</t>
  </si>
  <si>
    <t>Revised for March 2017 update</t>
  </si>
  <si>
    <t>Total Number of Employees - Fall 2016 Update</t>
  </si>
  <si>
    <t>Total Benefits (net) - Fall 2016 Update</t>
  </si>
  <si>
    <t>No of employees</t>
  </si>
  <si>
    <t>Total benefits (net)</t>
  </si>
  <si>
    <t>Revised September 26</t>
  </si>
  <si>
    <t>Data Provided to PEG by Union Gas</t>
  </si>
  <si>
    <t>Description of Data</t>
  </si>
  <si>
    <t>Heating Degree Days</t>
  </si>
  <si>
    <t>Heating Degree Days -- North</t>
  </si>
  <si>
    <t>Heating Degree Days -- South</t>
  </si>
  <si>
    <t>Total Customers</t>
  </si>
  <si>
    <t>Distribution Volumes</t>
  </si>
  <si>
    <t>Utility Storage Contract Demand</t>
  </si>
  <si>
    <t>Transmission Contract Demand</t>
  </si>
  <si>
    <t>Total Throughput</t>
  </si>
  <si>
    <t>Total volumes saved due to DSM</t>
  </si>
  <si>
    <t>General Service Volumes saved due to DSM</t>
  </si>
  <si>
    <t>Contract &amp; Wholesale volumes saved due to DSM</t>
  </si>
  <si>
    <t>Utility Storage Revenue</t>
  </si>
  <si>
    <t>Transmission Revenue</t>
  </si>
  <si>
    <t>Total Revenue</t>
  </si>
  <si>
    <t>Utility Total Revenue</t>
  </si>
  <si>
    <t>Bad Debt</t>
  </si>
  <si>
    <t>Bad Debt/Utility Total Revenue</t>
  </si>
  <si>
    <t>General Service fixed charge revenue</t>
  </si>
  <si>
    <t>Rate M1 fixed charge revenue</t>
  </si>
  <si>
    <t>Rate M2 fixed charge revenue</t>
  </si>
  <si>
    <t>Rate 01 fixed charge revenue</t>
  </si>
  <si>
    <t>Rate 10 fixed charge revenue</t>
  </si>
  <si>
    <t>Rate M1 volume revenue</t>
  </si>
  <si>
    <t>Rate M2 volume revenue</t>
  </si>
  <si>
    <t>Rate 01 volume revenue</t>
  </si>
  <si>
    <t>Rate 10 volume revenue</t>
  </si>
  <si>
    <t>Contract &amp; Wholesale Fixed Charge revenue</t>
  </si>
  <si>
    <t>Contract &amp; Wholesale Volume Charge revenue</t>
  </si>
  <si>
    <t>Rate M1 Customers</t>
  </si>
  <si>
    <t>Rate M2 Customers</t>
  </si>
  <si>
    <t>Rate 01 Customers</t>
  </si>
  <si>
    <t>Rate 10 Customers</t>
  </si>
  <si>
    <t>Rate M1 Volume</t>
  </si>
  <si>
    <t>Rate M2 Volume</t>
  </si>
  <si>
    <t>Rate 01 Volume</t>
  </si>
  <si>
    <t>Rate 10 Volume</t>
  </si>
  <si>
    <t>Contract &amp; Wholesale Customers</t>
  </si>
  <si>
    <t>Contract &amp; Wholesale Volumes</t>
  </si>
  <si>
    <t>Price of Transmission to Parkway</t>
  </si>
  <si>
    <t>Price of Transmission to Kirkwall</t>
  </si>
  <si>
    <t>Net Utility O&amp;M (Total Corp)</t>
  </si>
  <si>
    <t>Net Utility O&amp;M (Regulated Utility Only)</t>
  </si>
  <si>
    <t>O&amp;M Ratio Reg. Utility/Total</t>
  </si>
  <si>
    <t>O&amp;M DSM expenditures</t>
  </si>
  <si>
    <t>Non-Labour DSM expenditures</t>
  </si>
  <si>
    <t>Labour DSM expenditures</t>
  </si>
  <si>
    <t>Non-Labour DSM expenditures/O&amp;M DSM expenditures</t>
  </si>
  <si>
    <t>Net Salaries &amp; Wages (does not include capitalized overheads)</t>
  </si>
  <si>
    <t>Cost of Compressor Fuel (Corp)</t>
  </si>
  <si>
    <t xml:space="preserve">Cost of Compressor Fuel (Regulated Utility Only) </t>
  </si>
  <si>
    <t xml:space="preserve">Cost of Compressor Fuel Ratio: Utility/Total </t>
  </si>
  <si>
    <t>Net Pensions</t>
  </si>
  <si>
    <t>Net Benefits</t>
  </si>
  <si>
    <t>Gross Plant -- Intangible Plant</t>
  </si>
  <si>
    <t>Gross Plant -- Local Storage</t>
  </si>
  <si>
    <t>Gross Plant -- Underground Storage</t>
  </si>
  <si>
    <t>Gross Plant -- Transmission</t>
  </si>
  <si>
    <t>Gross Plant -- Distribution</t>
  </si>
  <si>
    <t>Gross Plant -- General</t>
  </si>
  <si>
    <t>Gross Plant -- Rental and Leased Equipment</t>
  </si>
  <si>
    <t>Gross Plant -- Undistributed Plant</t>
  </si>
  <si>
    <t>Gross Plant -- Contribution in aid of construction</t>
  </si>
  <si>
    <t>Accumulated Depreciation -- Intangible Plant</t>
  </si>
  <si>
    <t>Accumulated Depreciation -- Local Storage</t>
  </si>
  <si>
    <t>Accumulated Depreciation -- Underground Storage</t>
  </si>
  <si>
    <t>Accumulated Depreciation -- Transmission</t>
  </si>
  <si>
    <t>Accumulated Depreciation -- Distribution</t>
  </si>
  <si>
    <t>Accumulated Depreciation -- General</t>
  </si>
  <si>
    <t>Total Plant Additions</t>
  </si>
  <si>
    <t>General Plant Additions</t>
  </si>
  <si>
    <t>Board approved annual rate of return</t>
  </si>
  <si>
    <t>Property and capital taxes total corp</t>
  </si>
  <si>
    <t>Property and capital taxes regulated utility</t>
  </si>
  <si>
    <t>Property and capital taxes ratio: utility/total</t>
  </si>
  <si>
    <t>Income taxes Utility</t>
  </si>
  <si>
    <t>Gross Plant -- Line Pack Gas</t>
  </si>
  <si>
    <t>Non-Utility Storage Revenue</t>
  </si>
  <si>
    <t>Non-Utility Storage Contract Demand</t>
  </si>
  <si>
    <t>Actual ROE (from Earnings Sharing calc'n)</t>
  </si>
  <si>
    <t>Detailed Description of Data</t>
  </si>
  <si>
    <t>id</t>
  </si>
  <si>
    <t>Provided to PEG from Union</t>
  </si>
  <si>
    <t>variable name used in code</t>
  </si>
  <si>
    <t>year</t>
  </si>
  <si>
    <t>HDDtotal</t>
  </si>
  <si>
    <t>HDDnorth</t>
  </si>
  <si>
    <t>HDDsouth</t>
  </si>
  <si>
    <t>v2_1</t>
  </si>
  <si>
    <t>v2_2</t>
  </si>
  <si>
    <t>v2_3</t>
  </si>
  <si>
    <t>v2_4</t>
  </si>
  <si>
    <t>v2_8</t>
  </si>
  <si>
    <t>ytotdsm</t>
  </si>
  <si>
    <t>ygsdsm</t>
  </si>
  <si>
    <t>ycwdsm</t>
  </si>
  <si>
    <t>v1_1</t>
  </si>
  <si>
    <t>v1_2</t>
  </si>
  <si>
    <t>v1_3</t>
  </si>
  <si>
    <t>rfixgs</t>
  </si>
  <si>
    <t>rrtm2fix</t>
  </si>
  <si>
    <t>rrt01fix</t>
  </si>
  <si>
    <t>rrt10fix</t>
  </si>
  <si>
    <t>rrtm2vol</t>
  </si>
  <si>
    <t>rrt01vol</t>
  </si>
  <si>
    <t>rrt10vol</t>
  </si>
  <si>
    <t>rfixcw</t>
  </si>
  <si>
    <t>rvolcw</t>
  </si>
  <si>
    <t>ynm2</t>
  </si>
  <si>
    <t>yn01</t>
  </si>
  <si>
    <t>yn10</t>
  </si>
  <si>
    <t>yrtm2vol</t>
  </si>
  <si>
    <t>yrt01vol</t>
  </si>
  <si>
    <t>yrt10vol</t>
  </si>
  <si>
    <t>v2_2b</t>
  </si>
  <si>
    <t>yvcw</t>
  </si>
  <si>
    <t>ptxpark</t>
  </si>
  <si>
    <t>ptxkirk</t>
  </si>
  <si>
    <t>v7_4</t>
  </si>
  <si>
    <t>v7_4a</t>
  </si>
  <si>
    <t>v3_2</t>
  </si>
  <si>
    <t>v7_4b</t>
  </si>
  <si>
    <t>v3_4</t>
  </si>
  <si>
    <t>v3_3</t>
  </si>
  <si>
    <t>v4_1</t>
  </si>
  <si>
    <t>v4_3</t>
  </si>
  <si>
    <t>v4_4</t>
  </si>
  <si>
    <t>v4_5</t>
  </si>
  <si>
    <t>v4_6</t>
  </si>
  <si>
    <t>v4_7</t>
  </si>
  <si>
    <t>v4_7a</t>
  </si>
  <si>
    <t>v4_8</t>
  </si>
  <si>
    <t>v4_9</t>
  </si>
  <si>
    <t>v5_1</t>
  </si>
  <si>
    <t>v5_3</t>
  </si>
  <si>
    <t>v5_4</t>
  </si>
  <si>
    <t>v5_5</t>
  </si>
  <si>
    <t>v5_6</t>
  </si>
  <si>
    <t>v5_7</t>
  </si>
  <si>
    <t>v6_1</t>
  </si>
  <si>
    <t>v6_0_7</t>
  </si>
  <si>
    <t>v7_3</t>
  </si>
  <si>
    <t>v7_1</t>
  </si>
  <si>
    <t>v7_2</t>
  </si>
  <si>
    <t>Union (South)</t>
  </si>
  <si>
    <t>Centra (North)</t>
  </si>
  <si>
    <t>Union Gas Limited (Merged)</t>
  </si>
  <si>
    <t>N/A</t>
  </si>
  <si>
    <t>Added March 2017 Update</t>
  </si>
  <si>
    <t>Based on 2016 DSM Plan numbers</t>
  </si>
  <si>
    <t>Summarizes relevant capital daa for Union</t>
  </si>
  <si>
    <t>From Union data tabs</t>
  </si>
  <si>
    <t>Gross Distribution Plant</t>
  </si>
  <si>
    <t>Gross Storage Plant</t>
  </si>
  <si>
    <t>Net Distribution Plant</t>
  </si>
  <si>
    <t>Depreciation- Dist Plant</t>
  </si>
  <si>
    <t>Gross Local Storage Plant</t>
  </si>
  <si>
    <t>Depreciation- Local Storage Plant</t>
  </si>
  <si>
    <t>Net Local Storage Plant</t>
  </si>
  <si>
    <t>Gross Underground Storage Plant</t>
  </si>
  <si>
    <t>Depreciation- Underground Plant</t>
  </si>
  <si>
    <t>Net Underground Storage Plant</t>
  </si>
  <si>
    <t>Gross Transmission Plant</t>
  </si>
  <si>
    <t>Depreciation- Trans Plant</t>
  </si>
  <si>
    <t>Net Transmission Plant</t>
  </si>
  <si>
    <t>Gross General Plant</t>
  </si>
  <si>
    <t>Depreciation- General Plant</t>
  </si>
  <si>
    <t>Net General Plant</t>
  </si>
  <si>
    <t>Additions</t>
  </si>
  <si>
    <t>Retirements</t>
  </si>
  <si>
    <t>Revenues</t>
  </si>
  <si>
    <t>Plant retirements</t>
  </si>
  <si>
    <t>Distribution Additions and Retirements</t>
  </si>
  <si>
    <t>Distribution Additions</t>
  </si>
  <si>
    <t>Distribution Retirements</t>
  </si>
  <si>
    <t>TRANSPLANT</t>
  </si>
  <si>
    <t>∑(a):(d)</t>
  </si>
  <si>
    <t>(f)×(g)</t>
  </si>
  <si>
    <t>(j)</t>
  </si>
  <si>
    <t>(h)/(i)</t>
  </si>
  <si>
    <t>Total Gross Plant</t>
  </si>
  <si>
    <t>% Distribution</t>
  </si>
  <si>
    <t xml:space="preserve">*Since Union is not in the United States, it does not fit into a Handy-Whitman region. The North Atlantic region is used since Union's service area is closest to that region. </t>
  </si>
  <si>
    <t>Capital Stock (1999 - 2016)</t>
  </si>
  <si>
    <t>Ratio of Dist Plant to Total Plant (Less Transmission)</t>
  </si>
  <si>
    <t>Total Dawn-Trafalgar</t>
  </si>
  <si>
    <t xml:space="preserve">Remaining </t>
  </si>
  <si>
    <t>Mainline Additions</t>
  </si>
  <si>
    <t>** Takes pro rata share of total additions and retirements (not including transmission) using proportion of distribution plant to total plant (includes storage plant as distribution).</t>
  </si>
  <si>
    <t>Union Bond Rating data and bond yield data</t>
  </si>
  <si>
    <t>AA-</t>
  </si>
  <si>
    <t>Canadian T2 Corporation Income Tax Guide, Expected Inflation tab</t>
  </si>
  <si>
    <t xml:space="preserve">Union Bond Rating data and Bond yield data. </t>
  </si>
  <si>
    <t>Union Captial Data and Handy-Whitman triangularized data</t>
  </si>
  <si>
    <t>Union Captial Data and Handy-Whitman data</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</si>
</sst>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5" formatCode="&quot;$&quot;#,##0_);\(&quot;$&quot;#,##0\)"/>
    <numFmt numFmtId="43" formatCode="_(* #,##0.00_);_(* \(#,##0.00\);_(* &quot;-&quot;??_);_(@_)"/>
    <numFmt numFmtId="164" formatCode="_(* #,##0_);_(* \(#,##0\);_(* &quot;-&quot;??_);_(@_)"/>
    <numFmt numFmtId="165" formatCode="0.000"/>
    <numFmt numFmtId="166" formatCode="0.0%"/>
    <numFmt numFmtId="167" formatCode="#,##0.0_);\(#,##0.0\)"/>
    <numFmt numFmtId="168" formatCode="#,##0.000_);\(#,##0.000\)"/>
    <numFmt numFmtId="169" formatCode="mmm\-yyyy"/>
    <numFmt numFmtId="170" formatCode="yyyy\-mm\-dd"/>
    <numFmt numFmtId="171" formatCode="&quot;[&quot;0&quot;]&quot;"/>
    <numFmt numFmtId="172" formatCode="_-&quot;$&quot;* #,##0.00_-;\-&quot;$&quot;* #,##0.00_-;_-&quot;$&quot;* &quot;-&quot;??_-;_-@_-"/>
    <numFmt numFmtId="173" formatCode="_(&quot;$&quot;* #,##0_);_(&quot;$&quot;* \(#,##0\);_(&quot;$&quot;* &quot;-&quot;??_);_(@_)"/>
    <numFmt numFmtId="174" formatCode="_-* #,##0.00_-;\-* #,##0.00_-;_-* &quot;-&quot;??_-;_-@_-"/>
    <numFmt numFmtId="175" formatCode="_-* #,##0_-;\-* #,##0_-;_-* &quot;-&quot;??_-;_-@_-"/>
    <numFmt numFmtId="176" formatCode="&quot;$&quot;#,##0"/>
    <numFmt numFmtId="177" formatCode="#,##0_ ;\-#,##0\ "/>
    <numFmt numFmtId="178" formatCode="_([$€-2]* #,##0.00_);_([$€-2]* \(#,##0.00\);_([$€-2]* &quot;-&quot;??_)"/>
    <numFmt numFmtId="179" formatCode="0.0"/>
    <numFmt numFmtId="180" formatCode="#,##0.00000"/>
    <numFmt numFmtId="181" formatCode="#,##0.0"/>
    <numFmt numFmtId="182" formatCode="_-* #,##0.0_-;\-* #,##0.0_-;_-* &quot;-&quot;??_-;_-@_-"/>
  </numFmts>
  <fonts count="41" x14ac:knownFonts="1">
    <font>
      <sz val="11"/>
      <color theme="1"/>
      <name val="Calibri"/>
      <family val="2"/>
      <scheme val="minor"/>
    </font>
    <font>
      <sz val="11"/>
      <color theme="1"/>
      <name val="Calibri"/>
      <family val="2"/>
      <scheme val="minor"/>
    </font>
    <font>
      <sz val="12"/>
      <name val="Times New Roman"/>
      <family val="1"/>
    </font>
    <font>
      <u/>
      <sz val="10"/>
      <name val="Times New Roman"/>
      <family val="1"/>
    </font>
    <font>
      <b/>
      <sz val="10"/>
      <name val="Times New Roman"/>
      <family val="1"/>
    </font>
    <font>
      <sz val="10"/>
      <color theme="1"/>
      <name val="Times New Roman"/>
      <family val="1"/>
    </font>
    <font>
      <b/>
      <sz val="10"/>
      <color theme="1"/>
      <name val="Times New Roman"/>
      <family val="1"/>
    </font>
    <font>
      <sz val="10"/>
      <name val="Arial"/>
      <family val="2"/>
    </font>
    <font>
      <sz val="10"/>
      <name val="Times New Roman"/>
      <family val="1"/>
    </font>
    <font>
      <b/>
      <sz val="11"/>
      <color theme="1"/>
      <name val="Calibri"/>
      <family val="2"/>
      <scheme val="minor"/>
    </font>
    <font>
      <b/>
      <u/>
      <sz val="10"/>
      <name val="Times New Roman"/>
      <family val="1"/>
    </font>
    <font>
      <b/>
      <sz val="11"/>
      <name val="Calibri"/>
      <family val="2"/>
      <scheme val="minor"/>
    </font>
    <font>
      <sz val="10"/>
      <color theme="1"/>
      <name val="Arial"/>
      <family val="2"/>
    </font>
    <font>
      <sz val="11"/>
      <name val="Calibri"/>
      <family val="2"/>
      <scheme val="minor"/>
    </font>
    <font>
      <b/>
      <sz val="14"/>
      <color theme="1"/>
      <name val="Calibri"/>
      <family val="2"/>
      <scheme val="minor"/>
    </font>
    <font>
      <b/>
      <sz val="12"/>
      <color theme="0"/>
      <name val="Calibri"/>
      <family val="2"/>
      <scheme val="minor"/>
    </font>
    <font>
      <sz val="12"/>
      <color theme="0"/>
      <name val="Calibri"/>
      <family val="2"/>
      <scheme val="minor"/>
    </font>
    <font>
      <b/>
      <vertAlign val="subscript"/>
      <sz val="10"/>
      <name val="Times New Roman"/>
      <family val="1"/>
    </font>
    <font>
      <b/>
      <vertAlign val="subscript"/>
      <sz val="11"/>
      <name val="Calibri"/>
      <family val="2"/>
      <scheme val="minor"/>
    </font>
    <font>
      <b/>
      <i/>
      <u/>
      <sz val="10"/>
      <name val="Times New Roman"/>
      <family val="1"/>
    </font>
    <font>
      <b/>
      <sz val="11"/>
      <name val="Times New Roman"/>
      <family val="1"/>
    </font>
    <font>
      <sz val="12"/>
      <color theme="1"/>
      <name val="Times New Roman"/>
      <family val="1"/>
    </font>
    <font>
      <b/>
      <sz val="8"/>
      <name val="Arial"/>
      <family val="2"/>
    </font>
    <font>
      <b/>
      <sz val="8"/>
      <color indexed="10"/>
      <name val="Arial"/>
      <family val="2"/>
    </font>
    <font>
      <sz val="8"/>
      <name val="Arial"/>
      <family val="2"/>
    </font>
    <font>
      <sz val="8"/>
      <color indexed="8"/>
      <name val="Arial"/>
      <family val="2"/>
    </font>
    <font>
      <sz val="8"/>
      <color indexed="10"/>
      <name val="Arial"/>
      <family val="2"/>
    </font>
    <font>
      <b/>
      <sz val="8"/>
      <color indexed="8"/>
      <name val="Arial"/>
      <family val="2"/>
    </font>
    <font>
      <sz val="7"/>
      <name val="Arial"/>
      <family val="2"/>
    </font>
    <font>
      <sz val="7"/>
      <color indexed="8"/>
      <name val="Arial"/>
      <family val="2"/>
    </font>
    <font>
      <b/>
      <sz val="7"/>
      <color indexed="10"/>
      <name val="Arial"/>
      <family val="2"/>
    </font>
    <font>
      <b/>
      <sz val="7"/>
      <color indexed="8"/>
      <name val="Arial"/>
      <family val="2"/>
    </font>
    <font>
      <sz val="8"/>
      <color indexed="12"/>
      <name val="Arial"/>
      <family val="2"/>
    </font>
    <font>
      <sz val="8"/>
      <color theme="0"/>
      <name val="Arial"/>
      <family val="2"/>
    </font>
    <font>
      <sz val="8"/>
      <color rgb="FFFF0000"/>
      <name val="Arial"/>
      <family val="2"/>
    </font>
    <font>
      <sz val="10"/>
      <color indexed="10"/>
      <name val="Arial"/>
      <family val="2"/>
    </font>
    <font>
      <b/>
      <sz val="10"/>
      <name val="Arial"/>
      <family val="2"/>
    </font>
    <font>
      <sz val="11"/>
      <color indexed="8"/>
      <name val="Cambria"/>
      <family val="2"/>
    </font>
    <font>
      <b/>
      <sz val="10"/>
      <color indexed="10"/>
      <name val="Arial"/>
      <family val="2"/>
    </font>
    <font>
      <sz val="10"/>
      <color indexed="8"/>
      <name val="Arial"/>
      <family val="2"/>
    </font>
    <font>
      <sz val="11"/>
      <color rgb="FFFF0000"/>
      <name val="Calibri"/>
      <family val="2"/>
      <scheme val="minor"/>
    </font>
  </fonts>
  <fills count="24">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theme="0"/>
        <bgColor indexed="64"/>
      </patternFill>
    </fill>
    <fill>
      <patternFill patternType="solid">
        <fgColor indexed="9"/>
        <bgColor indexed="9"/>
      </patternFill>
    </fill>
    <fill>
      <patternFill patternType="solid">
        <fgColor rgb="FF10B4DA"/>
        <bgColor indexed="64"/>
      </patternFill>
    </fill>
    <fill>
      <patternFill patternType="solid">
        <fgColor rgb="FFF2F2F2"/>
        <bgColor indexed="64"/>
      </patternFill>
    </fill>
    <fill>
      <patternFill patternType="solid">
        <fgColor rgb="FFFFFFCC"/>
        <bgColor indexed="64"/>
      </patternFill>
    </fill>
    <fill>
      <patternFill patternType="solid">
        <fgColor rgb="FFCCECFF"/>
        <bgColor indexed="64"/>
      </patternFill>
    </fill>
    <fill>
      <patternFill patternType="solid">
        <fgColor rgb="FF0059AE"/>
        <bgColor indexed="64"/>
      </patternFill>
    </fill>
    <fill>
      <patternFill patternType="solid">
        <fgColor indexed="13"/>
        <bgColor indexed="64"/>
      </patternFill>
    </fill>
    <fill>
      <patternFill patternType="solid">
        <fgColor indexed="22"/>
        <bgColor indexed="64"/>
      </patternFill>
    </fill>
    <fill>
      <patternFill patternType="solid">
        <fgColor indexed="51"/>
        <bgColor indexed="64"/>
      </patternFill>
    </fill>
    <fill>
      <patternFill patternType="solid">
        <fgColor indexed="44"/>
        <bgColor indexed="64"/>
      </patternFill>
    </fill>
    <fill>
      <patternFill patternType="solid">
        <fgColor indexed="43"/>
        <bgColor indexed="64"/>
      </patternFill>
    </fill>
    <fill>
      <patternFill patternType="solid">
        <fgColor rgb="FF92D050"/>
        <bgColor indexed="64"/>
      </patternFill>
    </fill>
    <fill>
      <patternFill patternType="solid">
        <fgColor indexed="48"/>
        <bgColor indexed="64"/>
      </patternFill>
    </fill>
    <fill>
      <patternFill patternType="solid">
        <fgColor rgb="FF00B0F0"/>
        <bgColor indexed="64"/>
      </patternFill>
    </fill>
    <fill>
      <patternFill patternType="solid">
        <fgColor indexed="52"/>
        <bgColor indexed="64"/>
      </patternFill>
    </fill>
    <fill>
      <patternFill patternType="solid">
        <fgColor indexed="42"/>
        <bgColor indexed="64"/>
      </patternFill>
    </fill>
    <fill>
      <patternFill patternType="solid">
        <fgColor indexed="45"/>
        <bgColor indexed="64"/>
      </patternFill>
    </fill>
    <fill>
      <patternFill patternType="solid">
        <fgColor indexed="11"/>
        <bgColor indexed="64"/>
      </patternFill>
    </fill>
    <fill>
      <patternFill patternType="solid">
        <fgColor rgb="FF00FF00"/>
        <bgColor indexed="64"/>
      </patternFill>
    </fill>
  </fills>
  <borders count="25">
    <border>
      <left/>
      <right/>
      <top/>
      <bottom/>
      <diagonal/>
    </border>
    <border>
      <left style="thin">
        <color auto="1"/>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double">
        <color indexed="64"/>
      </bottom>
      <diagonal/>
    </border>
    <border>
      <left/>
      <right/>
      <top style="double">
        <color indexed="64"/>
      </top>
      <bottom style="double">
        <color indexed="64"/>
      </bottom>
      <diagonal/>
    </border>
    <border>
      <left/>
      <right/>
      <top style="double">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23">
    <xf numFmtId="0" fontId="0" fillId="0" borderId="0"/>
    <xf numFmtId="0" fontId="2" fillId="0" borderId="0"/>
    <xf numFmtId="43" fontId="2" fillId="0" borderId="0" applyFont="0" applyFill="0" applyBorder="0" applyAlignment="0" applyProtection="0"/>
    <xf numFmtId="3" fontId="7" fillId="5" borderId="0" applyFont="0" applyFill="0" applyBorder="0" applyAlignment="0" applyProtection="0"/>
    <xf numFmtId="5" fontId="7" fillId="5" borderId="0" applyFont="0" applyFill="0" applyBorder="0" applyAlignment="0" applyProtection="0"/>
    <xf numFmtId="0" fontId="7" fillId="5" borderId="0" applyFont="0" applyFill="0" applyBorder="0" applyAlignment="0" applyProtection="0"/>
    <xf numFmtId="2" fontId="7" fillId="5" borderId="0" applyFont="0" applyFill="0" applyBorder="0" applyAlignment="0" applyProtection="0"/>
    <xf numFmtId="0" fontId="7" fillId="0" borderId="0"/>
    <xf numFmtId="0" fontId="8" fillId="0" borderId="0"/>
    <xf numFmtId="9" fontId="2" fillId="0" borderId="0" applyFont="0" applyFill="0" applyBorder="0" applyAlignment="0" applyProtection="0"/>
    <xf numFmtId="0" fontId="1" fillId="0" borderId="0"/>
    <xf numFmtId="0" fontId="12" fillId="0" borderId="0"/>
    <xf numFmtId="9" fontId="1" fillId="0" borderId="0" applyFont="0" applyFill="0" applyBorder="0" applyAlignment="0" applyProtection="0"/>
    <xf numFmtId="172" fontId="7" fillId="0" borderId="0" applyFont="0" applyFill="0" applyBorder="0" applyAlignment="0" applyProtection="0"/>
    <xf numFmtId="174" fontId="7" fillId="0" borderId="0" applyFont="0" applyFill="0" applyBorder="0" applyAlignment="0" applyProtection="0"/>
    <xf numFmtId="9" fontId="7" fillId="0" borderId="0" applyFont="0" applyFill="0" applyBorder="0" applyAlignment="0" applyProtection="0"/>
    <xf numFmtId="0" fontId="8" fillId="0" borderId="0"/>
    <xf numFmtId="174" fontId="37" fillId="0" borderId="0" applyFont="0" applyFill="0" applyBorder="0" applyAlignment="0" applyProtection="0"/>
    <xf numFmtId="178" fontId="7" fillId="0" borderId="0" applyFont="0" applyFill="0" applyBorder="0" applyAlignment="0" applyProtection="0"/>
    <xf numFmtId="9" fontId="7" fillId="0" borderId="0" applyFont="0" applyFill="0" applyBorder="0" applyAlignment="0" applyProtection="0"/>
    <xf numFmtId="0" fontId="1" fillId="0" borderId="0"/>
    <xf numFmtId="0" fontId="2" fillId="0" borderId="0"/>
    <xf numFmtId="174" fontId="1" fillId="0" borderId="0" applyFont="0" applyFill="0" applyBorder="0" applyAlignment="0" applyProtection="0"/>
  </cellStyleXfs>
  <cellXfs count="378">
    <xf numFmtId="0" fontId="0" fillId="0" borderId="0" xfId="0"/>
    <xf numFmtId="0" fontId="5" fillId="0" borderId="0" xfId="0" applyFont="1"/>
    <xf numFmtId="0" fontId="6" fillId="0" borderId="0" xfId="0" applyFont="1"/>
    <xf numFmtId="0" fontId="6" fillId="0" borderId="0" xfId="0" applyFont="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wrapText="1"/>
    </xf>
    <xf numFmtId="0" fontId="3" fillId="0" borderId="0" xfId="0" applyFont="1" applyFill="1" applyBorder="1" applyAlignment="1">
      <alignment horizontal="center" vertical="center" wrapText="1"/>
    </xf>
    <xf numFmtId="0" fontId="5" fillId="0" borderId="0" xfId="0" applyFont="1" applyFill="1"/>
    <xf numFmtId="1" fontId="5" fillId="0" borderId="0" xfId="0" applyNumberFormat="1" applyFont="1"/>
    <xf numFmtId="0" fontId="4" fillId="0" borderId="0" xfId="0" applyFont="1" applyFill="1" applyBorder="1" applyAlignment="1">
      <alignment horizontal="center" wrapText="1"/>
    </xf>
    <xf numFmtId="0" fontId="3" fillId="0" borderId="0" xfId="0" applyFont="1" applyFill="1" applyBorder="1" applyAlignment="1">
      <alignment horizontal="center" wrapText="1"/>
    </xf>
    <xf numFmtId="1" fontId="8" fillId="0" borderId="0" xfId="0" applyNumberFormat="1" applyFont="1" applyFill="1" applyBorder="1" applyAlignment="1">
      <alignment horizontal="center"/>
    </xf>
    <xf numFmtId="1" fontId="5" fillId="0" borderId="0" xfId="0" applyNumberFormat="1" applyFont="1" applyFill="1"/>
    <xf numFmtId="0" fontId="5" fillId="2" borderId="0" xfId="0" applyFont="1" applyFill="1"/>
    <xf numFmtId="0" fontId="4" fillId="0" borderId="2" xfId="8" applyFont="1" applyBorder="1" applyAlignment="1">
      <alignment horizontal="centerContinuous"/>
    </xf>
    <xf numFmtId="0" fontId="8" fillId="0" borderId="2" xfId="8" applyBorder="1" applyAlignment="1">
      <alignment horizontal="centerContinuous"/>
    </xf>
    <xf numFmtId="0" fontId="8" fillId="0" borderId="0" xfId="8"/>
    <xf numFmtId="0" fontId="8" fillId="0" borderId="0" xfId="8" applyFont="1" applyBorder="1" applyAlignment="1">
      <alignment horizontal="center"/>
    </xf>
    <xf numFmtId="0" fontId="8" fillId="0" borderId="0" xfId="8" applyFont="1" applyAlignment="1">
      <alignment horizontal="center"/>
    </xf>
    <xf numFmtId="0" fontId="10" fillId="0" borderId="0" xfId="8" applyFont="1" applyAlignment="1">
      <alignment horizontal="center"/>
    </xf>
    <xf numFmtId="0" fontId="8" fillId="0" borderId="0" xfId="0" applyFont="1" applyBorder="1"/>
    <xf numFmtId="0" fontId="8" fillId="0" borderId="0" xfId="8" applyAlignment="1">
      <alignment horizontal="center"/>
    </xf>
    <xf numFmtId="165" fontId="8" fillId="0" borderId="0" xfId="8" quotePrefix="1" applyNumberFormat="1" applyFont="1" applyAlignment="1">
      <alignment horizontal="center"/>
    </xf>
    <xf numFmtId="0" fontId="11" fillId="6" borderId="0" xfId="10" applyNumberFormat="1" applyFont="1" applyFill="1" applyBorder="1" applyAlignment="1">
      <alignment horizontal="left" vertical="center"/>
    </xf>
    <xf numFmtId="0" fontId="11" fillId="6" borderId="0" xfId="10" applyNumberFormat="1" applyFont="1" applyFill="1" applyBorder="1" applyAlignment="1">
      <alignment horizontal="center" vertical="center" wrapText="1"/>
    </xf>
    <xf numFmtId="0" fontId="11" fillId="6" borderId="0" xfId="10" applyNumberFormat="1" applyFont="1" applyFill="1" applyBorder="1" applyAlignment="1">
      <alignment horizontal="center" vertical="center"/>
    </xf>
    <xf numFmtId="0" fontId="9" fillId="7" borderId="0" xfId="10" applyNumberFormat="1" applyFont="1" applyFill="1" applyBorder="1" applyAlignment="1">
      <alignment horizontal="center" vertical="center"/>
    </xf>
    <xf numFmtId="167" fontId="13" fillId="8" borderId="0" xfId="11" applyNumberFormat="1" applyFont="1" applyFill="1" applyBorder="1" applyAlignment="1">
      <alignment horizontal="center" vertical="center"/>
    </xf>
    <xf numFmtId="0" fontId="14" fillId="4" borderId="0" xfId="0" applyFont="1" applyFill="1"/>
    <xf numFmtId="0" fontId="13" fillId="6" borderId="3" xfId="0" applyNumberFormat="1" applyFont="1" applyFill="1" applyBorder="1" applyAlignment="1">
      <alignment horizontal="left"/>
    </xf>
    <xf numFmtId="0" fontId="0" fillId="0" borderId="3" xfId="0" applyBorder="1"/>
    <xf numFmtId="0" fontId="15" fillId="10" borderId="0" xfId="0" applyNumberFormat="1" applyFont="1" applyFill="1" applyBorder="1" applyAlignment="1">
      <alignment horizontal="left"/>
    </xf>
    <xf numFmtId="0" fontId="16" fillId="10" borderId="0" xfId="0" applyNumberFormat="1" applyFont="1" applyFill="1" applyBorder="1" applyAlignment="1">
      <alignment horizontal="left"/>
    </xf>
    <xf numFmtId="0" fontId="9" fillId="4" borderId="2" xfId="0" applyFont="1" applyFill="1" applyBorder="1"/>
    <xf numFmtId="0" fontId="0" fillId="4" borderId="2" xfId="0" applyFill="1" applyBorder="1"/>
    <xf numFmtId="0" fontId="9" fillId="4" borderId="4" xfId="0" applyFont="1" applyFill="1" applyBorder="1"/>
    <xf numFmtId="0" fontId="0" fillId="4" borderId="4" xfId="0" applyFill="1" applyBorder="1"/>
    <xf numFmtId="37" fontId="13" fillId="8" borderId="0" xfId="11" applyNumberFormat="1" applyFont="1" applyFill="1" applyBorder="1" applyAlignment="1">
      <alignment horizontal="center" vertical="center"/>
    </xf>
    <xf numFmtId="167" fontId="13" fillId="9" borderId="0" xfId="11" applyNumberFormat="1" applyFont="1" applyFill="1" applyBorder="1" applyAlignment="1">
      <alignment horizontal="center" vertical="center"/>
    </xf>
    <xf numFmtId="168" fontId="13" fillId="8" borderId="0" xfId="11" applyNumberFormat="1" applyFont="1" applyFill="1" applyBorder="1" applyAlignment="1">
      <alignment horizontal="center" vertical="center"/>
    </xf>
    <xf numFmtId="166" fontId="13" fillId="9" borderId="0" xfId="11" applyNumberFormat="1" applyFont="1" applyFill="1" applyBorder="1" applyAlignment="1">
      <alignment horizontal="center" vertical="center"/>
    </xf>
    <xf numFmtId="2" fontId="5" fillId="0" borderId="0" xfId="0" applyNumberFormat="1" applyFont="1" applyAlignment="1">
      <alignment horizontal="center" vertical="center"/>
    </xf>
    <xf numFmtId="2" fontId="5" fillId="2" borderId="0" xfId="0" applyNumberFormat="1" applyFont="1" applyFill="1" applyAlignment="1">
      <alignment horizontal="center" vertical="center"/>
    </xf>
    <xf numFmtId="2" fontId="5" fillId="0" borderId="0" xfId="0" applyNumberFormat="1" applyFont="1" applyFill="1" applyAlignment="1">
      <alignment horizontal="center" vertical="center"/>
    </xf>
    <xf numFmtId="0" fontId="0" fillId="0" borderId="0" xfId="0" applyAlignment="1">
      <alignment vertical="center" wrapText="1"/>
    </xf>
    <xf numFmtId="14" fontId="0" fillId="0" borderId="0" xfId="0" applyNumberFormat="1" applyAlignment="1">
      <alignment horizontal="right" vertical="center" wrapText="1"/>
    </xf>
    <xf numFmtId="0" fontId="4" fillId="0" borderId="0" xfId="1" applyFont="1" applyAlignment="1"/>
    <xf numFmtId="0" fontId="4" fillId="0" borderId="0" xfId="1" applyFont="1" applyAlignment="1">
      <alignment horizontal="centerContinuous"/>
    </xf>
    <xf numFmtId="0" fontId="4" fillId="0" borderId="0" xfId="1" applyFont="1"/>
    <xf numFmtId="0" fontId="8" fillId="0" borderId="0" xfId="1" applyNumberFormat="1" applyFont="1"/>
    <xf numFmtId="0" fontId="8" fillId="0" borderId="0" xfId="1" applyFont="1"/>
    <xf numFmtId="0" fontId="2" fillId="0" borderId="0" xfId="1" quotePrefix="1"/>
    <xf numFmtId="0" fontId="5" fillId="0" borderId="0" xfId="0" applyFont="1" applyAlignment="1">
      <alignment wrapText="1"/>
    </xf>
    <xf numFmtId="39" fontId="13" fillId="8" borderId="0" xfId="11" applyNumberFormat="1" applyFont="1" applyFill="1" applyBorder="1" applyAlignment="1">
      <alignment horizontal="center" vertical="center"/>
    </xf>
    <xf numFmtId="0" fontId="11" fillId="0" borderId="0" xfId="10" applyNumberFormat="1" applyFont="1" applyFill="1" applyBorder="1" applyAlignment="1">
      <alignment horizontal="center" vertical="center" wrapText="1"/>
    </xf>
    <xf numFmtId="39" fontId="13" fillId="9" borderId="0" xfId="11" applyNumberFormat="1" applyFont="1" applyFill="1" applyBorder="1" applyAlignment="1">
      <alignment horizontal="center" vertical="center"/>
    </xf>
    <xf numFmtId="169" fontId="0" fillId="0" borderId="0" xfId="0" applyNumberFormat="1"/>
    <xf numFmtId="0" fontId="7" fillId="0" borderId="0" xfId="7"/>
    <xf numFmtId="170" fontId="7" fillId="0" borderId="0" xfId="7" applyNumberFormat="1" applyFont="1" applyFill="1" applyBorder="1" applyAlignment="1" applyProtection="1"/>
    <xf numFmtId="2" fontId="7" fillId="0" borderId="0" xfId="7" applyNumberFormat="1" applyFont="1" applyFill="1" applyBorder="1" applyAlignment="1" applyProtection="1"/>
    <xf numFmtId="1" fontId="7" fillId="0" borderId="0" xfId="7" applyNumberFormat="1" applyFont="1" applyFill="1" applyBorder="1" applyAlignment="1" applyProtection="1"/>
    <xf numFmtId="1" fontId="0" fillId="0" borderId="0" xfId="0" applyNumberFormat="1"/>
    <xf numFmtId="0" fontId="13" fillId="2" borderId="0" xfId="7" applyFont="1" applyFill="1" applyAlignment="1">
      <alignment horizontal="center" vertical="center"/>
    </xf>
    <xf numFmtId="2" fontId="13" fillId="2" borderId="0" xfId="7" applyNumberFormat="1" applyFont="1" applyFill="1" applyAlignment="1">
      <alignment horizontal="center" vertical="center"/>
    </xf>
    <xf numFmtId="0" fontId="13" fillId="6" borderId="6" xfId="0" applyNumberFormat="1" applyFont="1" applyFill="1" applyBorder="1" applyAlignment="1">
      <alignment horizontal="left"/>
    </xf>
    <xf numFmtId="0" fontId="13" fillId="6" borderId="5" xfId="0" applyNumberFormat="1" applyFont="1" applyFill="1" applyBorder="1" applyAlignment="1">
      <alignment horizontal="left"/>
    </xf>
    <xf numFmtId="166" fontId="13" fillId="8" borderId="0" xfId="11" applyNumberFormat="1" applyFont="1" applyFill="1" applyBorder="1" applyAlignment="1">
      <alignment horizontal="center" vertical="center"/>
    </xf>
    <xf numFmtId="2" fontId="13" fillId="8" borderId="0" xfId="11" applyNumberFormat="1" applyFont="1" applyFill="1" applyBorder="1" applyAlignment="1">
      <alignment horizontal="center" vertical="center"/>
    </xf>
    <xf numFmtId="1" fontId="13" fillId="8" borderId="0" xfId="11" applyNumberFormat="1" applyFont="1" applyFill="1" applyBorder="1" applyAlignment="1">
      <alignment horizontal="center" vertical="center"/>
    </xf>
    <xf numFmtId="0" fontId="13" fillId="6" borderId="4" xfId="0" applyNumberFormat="1" applyFont="1" applyFill="1" applyBorder="1" applyAlignment="1">
      <alignment horizontal="left"/>
    </xf>
    <xf numFmtId="0" fontId="0" fillId="0" borderId="5" xfId="0" applyBorder="1"/>
    <xf numFmtId="0" fontId="0" fillId="0" borderId="6" xfId="0" applyBorder="1"/>
    <xf numFmtId="0" fontId="0" fillId="0" borderId="4" xfId="0" applyBorder="1"/>
    <xf numFmtId="0" fontId="0" fillId="4" borderId="4" xfId="0" applyFont="1" applyFill="1" applyBorder="1"/>
    <xf numFmtId="171" fontId="9" fillId="7" borderId="0" xfId="10" applyNumberFormat="1" applyFont="1" applyFill="1" applyBorder="1" applyAlignment="1">
      <alignment horizontal="center" vertical="center"/>
    </xf>
    <xf numFmtId="0" fontId="9" fillId="7" borderId="0" xfId="0" applyNumberFormat="1" applyFont="1" applyFill="1" applyBorder="1" applyAlignment="1">
      <alignment horizontal="left"/>
    </xf>
    <xf numFmtId="0" fontId="13" fillId="6" borderId="0" xfId="0" applyNumberFormat="1" applyFont="1" applyFill="1" applyBorder="1" applyAlignment="1">
      <alignment horizontal="left"/>
    </xf>
    <xf numFmtId="0" fontId="13" fillId="6" borderId="0" xfId="0" applyNumberFormat="1" applyFont="1" applyFill="1" applyBorder="1" applyAlignment="1">
      <alignment horizontal="left" wrapText="1"/>
    </xf>
    <xf numFmtId="0" fontId="11" fillId="6" borderId="0" xfId="0" applyNumberFormat="1" applyFont="1" applyFill="1" applyBorder="1" applyAlignment="1">
      <alignment horizontal="left" wrapText="1"/>
    </xf>
    <xf numFmtId="0" fontId="20" fillId="6" borderId="0" xfId="10" applyNumberFormat="1" applyFont="1" applyFill="1" applyBorder="1" applyAlignment="1">
      <alignment horizontal="center" vertical="center" wrapText="1"/>
    </xf>
    <xf numFmtId="0" fontId="0" fillId="0" borderId="0" xfId="0" applyFill="1"/>
    <xf numFmtId="0" fontId="21" fillId="0" borderId="0" xfId="0" applyFont="1"/>
    <xf numFmtId="14" fontId="0" fillId="0" borderId="0" xfId="0" applyNumberFormat="1"/>
    <xf numFmtId="0" fontId="5" fillId="0" borderId="0" xfId="0" applyFont="1" applyAlignment="1">
      <alignment horizontal="left" vertical="center"/>
    </xf>
    <xf numFmtId="0" fontId="22" fillId="12" borderId="7" xfId="7" applyFont="1" applyFill="1" applyBorder="1" applyAlignment="1">
      <alignment horizontal="left" wrapText="1"/>
    </xf>
    <xf numFmtId="0" fontId="22" fillId="12" borderId="7" xfId="7" applyFont="1" applyFill="1" applyBorder="1" applyAlignment="1">
      <alignment horizontal="center" wrapText="1"/>
    </xf>
    <xf numFmtId="0" fontId="22" fillId="12" borderId="8" xfId="7" applyFont="1" applyFill="1" applyBorder="1" applyAlignment="1">
      <alignment horizontal="center" wrapText="1"/>
    </xf>
    <xf numFmtId="0" fontId="23" fillId="12" borderId="9" xfId="7" applyFont="1" applyFill="1" applyBorder="1" applyAlignment="1">
      <alignment horizontal="left" wrapText="1"/>
    </xf>
    <xf numFmtId="0" fontId="22" fillId="12" borderId="10" xfId="7" applyFont="1" applyFill="1" applyBorder="1" applyAlignment="1">
      <alignment horizontal="left" wrapText="1"/>
    </xf>
    <xf numFmtId="0" fontId="22" fillId="12" borderId="1" xfId="7" applyFont="1" applyFill="1" applyBorder="1" applyAlignment="1">
      <alignment horizontal="left" wrapText="1"/>
    </xf>
    <xf numFmtId="0" fontId="22" fillId="12" borderId="11" xfId="7" applyFont="1" applyFill="1" applyBorder="1" applyAlignment="1">
      <alignment horizontal="left" wrapText="1"/>
    </xf>
    <xf numFmtId="0" fontId="24" fillId="12" borderId="12" xfId="7" applyFont="1" applyFill="1" applyBorder="1"/>
    <xf numFmtId="0" fontId="24" fillId="12" borderId="13" xfId="7" applyFont="1" applyFill="1" applyBorder="1"/>
    <xf numFmtId="0" fontId="24" fillId="12" borderId="14" xfId="7" applyFont="1" applyFill="1" applyBorder="1"/>
    <xf numFmtId="0" fontId="25" fillId="0" borderId="13" xfId="7" applyFont="1" applyBorder="1"/>
    <xf numFmtId="173" fontId="24" fillId="0" borderId="0" xfId="13" applyNumberFormat="1" applyFont="1" applyFill="1" applyBorder="1" applyAlignment="1">
      <alignment horizontal="center" vertical="top" wrapText="1"/>
    </xf>
    <xf numFmtId="173" fontId="25" fillId="0" borderId="15" xfId="13" applyNumberFormat="1" applyFont="1" applyBorder="1" applyAlignment="1">
      <alignment horizontal="center"/>
    </xf>
    <xf numFmtId="173" fontId="25" fillId="0" borderId="15" xfId="13" applyNumberFormat="1" applyFont="1" applyFill="1" applyBorder="1" applyAlignment="1">
      <alignment horizontal="center"/>
    </xf>
    <xf numFmtId="173" fontId="24" fillId="0" borderId="0" xfId="13" applyNumberFormat="1" applyFont="1" applyFill="1" applyBorder="1" applyAlignment="1">
      <alignment vertical="top" wrapText="1"/>
    </xf>
    <xf numFmtId="173" fontId="25" fillId="11" borderId="15" xfId="13" applyNumberFormat="1" applyFont="1" applyFill="1" applyBorder="1" applyAlignment="1">
      <alignment horizontal="center"/>
    </xf>
    <xf numFmtId="0" fontId="25" fillId="3" borderId="1" xfId="7" applyFont="1" applyFill="1" applyBorder="1"/>
    <xf numFmtId="0" fontId="24" fillId="0" borderId="0" xfId="7" applyFont="1" applyFill="1" applyBorder="1" applyAlignment="1">
      <alignment horizontal="center" vertical="top"/>
    </xf>
    <xf numFmtId="173" fontId="25" fillId="0" borderId="0" xfId="13" applyNumberFormat="1" applyFont="1" applyBorder="1" applyAlignment="1">
      <alignment horizontal="center"/>
    </xf>
    <xf numFmtId="173" fontId="24" fillId="13" borderId="0" xfId="13" applyNumberFormat="1" applyFont="1" applyFill="1" applyBorder="1" applyAlignment="1">
      <alignment horizontal="center"/>
    </xf>
    <xf numFmtId="173" fontId="25" fillId="13" borderId="0" xfId="13" applyNumberFormat="1" applyFont="1" applyFill="1" applyBorder="1" applyAlignment="1">
      <alignment horizontal="center"/>
    </xf>
    <xf numFmtId="173" fontId="25" fillId="11" borderId="0" xfId="13" applyNumberFormat="1" applyFont="1" applyFill="1" applyBorder="1" applyAlignment="1">
      <alignment horizontal="center"/>
    </xf>
    <xf numFmtId="173" fontId="25" fillId="0" borderId="0" xfId="13" applyNumberFormat="1" applyFont="1" applyFill="1" applyBorder="1" applyAlignment="1">
      <alignment horizontal="center"/>
    </xf>
    <xf numFmtId="173" fontId="25" fillId="3" borderId="0" xfId="13" applyNumberFormat="1" applyFont="1" applyFill="1" applyBorder="1" applyAlignment="1">
      <alignment horizontal="center"/>
    </xf>
    <xf numFmtId="0" fontId="25" fillId="0" borderId="1" xfId="7" applyFont="1" applyBorder="1"/>
    <xf numFmtId="173" fontId="26" fillId="3" borderId="0" xfId="13" applyNumberFormat="1" applyFont="1" applyFill="1" applyBorder="1" applyAlignment="1">
      <alignment horizontal="center"/>
    </xf>
    <xf numFmtId="173" fontId="26" fillId="0" borderId="0" xfId="13" applyNumberFormat="1" applyFont="1" applyFill="1" applyBorder="1" applyAlignment="1">
      <alignment horizontal="center"/>
    </xf>
    <xf numFmtId="0" fontId="24" fillId="0" borderId="0" xfId="7" applyFont="1" applyBorder="1" applyAlignment="1">
      <alignment horizontal="center" vertical="top"/>
    </xf>
    <xf numFmtId="173" fontId="25" fillId="14" borderId="0" xfId="13" applyNumberFormat="1" applyFont="1" applyFill="1" applyBorder="1" applyAlignment="1">
      <alignment horizontal="center"/>
    </xf>
    <xf numFmtId="173" fontId="25" fillId="15" borderId="0" xfId="13" applyNumberFormat="1" applyFont="1" applyFill="1" applyBorder="1" applyAlignment="1">
      <alignment horizontal="center"/>
    </xf>
    <xf numFmtId="0" fontId="25" fillId="0" borderId="11" xfId="7" applyFont="1" applyBorder="1"/>
    <xf numFmtId="0" fontId="24" fillId="0" borderId="16" xfId="7" applyFont="1" applyBorder="1" applyAlignment="1">
      <alignment horizontal="center" vertical="top"/>
    </xf>
    <xf numFmtId="173" fontId="25" fillId="0" borderId="16" xfId="13" applyNumberFormat="1" applyFont="1" applyBorder="1" applyAlignment="1">
      <alignment horizontal="center"/>
    </xf>
    <xf numFmtId="173" fontId="25" fillId="14" borderId="16" xfId="13" applyNumberFormat="1" applyFont="1" applyFill="1" applyBorder="1" applyAlignment="1">
      <alignment horizontal="center"/>
    </xf>
    <xf numFmtId="173" fontId="25" fillId="15" borderId="16" xfId="13" applyNumberFormat="1" applyFont="1" applyFill="1" applyBorder="1" applyAlignment="1">
      <alignment horizontal="center"/>
    </xf>
    <xf numFmtId="173" fontId="25" fillId="0" borderId="16" xfId="13" applyNumberFormat="1" applyFont="1" applyFill="1" applyBorder="1" applyAlignment="1">
      <alignment horizontal="center"/>
    </xf>
    <xf numFmtId="0" fontId="27" fillId="0" borderId="11" xfId="7" applyFont="1" applyFill="1" applyBorder="1"/>
    <xf numFmtId="0" fontId="28" fillId="0" borderId="0" xfId="7" applyFont="1" applyFill="1" applyBorder="1" applyAlignment="1">
      <alignment horizontal="center" vertical="top"/>
    </xf>
    <xf numFmtId="173" fontId="29" fillId="0" borderId="16" xfId="13" applyNumberFormat="1" applyFont="1" applyFill="1" applyBorder="1" applyAlignment="1">
      <alignment horizontal="center"/>
    </xf>
    <xf numFmtId="173" fontId="30" fillId="0" borderId="16" xfId="13" applyNumberFormat="1" applyFont="1" applyFill="1" applyBorder="1" applyAlignment="1">
      <alignment horizontal="center"/>
    </xf>
    <xf numFmtId="173" fontId="31" fillId="0" borderId="16" xfId="13" applyNumberFormat="1" applyFont="1" applyFill="1" applyBorder="1" applyAlignment="1">
      <alignment horizontal="center"/>
    </xf>
    <xf numFmtId="173" fontId="27" fillId="0" borderId="16" xfId="13" applyNumberFormat="1" applyFont="1" applyFill="1" applyBorder="1" applyAlignment="1">
      <alignment horizontal="center"/>
    </xf>
    <xf numFmtId="0" fontId="25" fillId="3" borderId="11" xfId="7" applyFont="1" applyFill="1" applyBorder="1"/>
    <xf numFmtId="173" fontId="25" fillId="3" borderId="16" xfId="13" applyNumberFormat="1" applyFont="1" applyFill="1" applyBorder="1" applyAlignment="1">
      <alignment horizontal="center"/>
    </xf>
    <xf numFmtId="0" fontId="24" fillId="12" borderId="17" xfId="7" applyFont="1" applyFill="1" applyBorder="1" applyAlignment="1">
      <alignment horizontal="center"/>
    </xf>
    <xf numFmtId="164" fontId="24" fillId="0" borderId="0" xfId="14" applyNumberFormat="1" applyFont="1" applyFill="1" applyBorder="1" applyAlignment="1">
      <alignment horizontal="center" vertical="top"/>
    </xf>
    <xf numFmtId="164" fontId="25" fillId="0" borderId="0" xfId="14" applyNumberFormat="1" applyFont="1" applyBorder="1" applyAlignment="1">
      <alignment horizontal="center"/>
    </xf>
    <xf numFmtId="164" fontId="24" fillId="0" borderId="0" xfId="14" applyNumberFormat="1" applyFont="1" applyFill="1" applyBorder="1" applyAlignment="1">
      <alignment vertical="top" wrapText="1"/>
    </xf>
    <xf numFmtId="164" fontId="25" fillId="13" borderId="0" xfId="14" applyNumberFormat="1" applyFont="1" applyFill="1" applyBorder="1" applyAlignment="1">
      <alignment horizontal="center"/>
    </xf>
    <xf numFmtId="164" fontId="25" fillId="3" borderId="0" xfId="14" applyNumberFormat="1" applyFont="1" applyFill="1" applyBorder="1" applyAlignment="1">
      <alignment horizontal="center"/>
    </xf>
    <xf numFmtId="164" fontId="25" fillId="0" borderId="0" xfId="14" applyNumberFormat="1" applyFont="1" applyFill="1" applyBorder="1" applyAlignment="1">
      <alignment horizontal="center"/>
    </xf>
    <xf numFmtId="164" fontId="24" fillId="0" borderId="0" xfId="14" applyNumberFormat="1" applyFont="1" applyBorder="1" applyAlignment="1">
      <alignment horizontal="center" vertical="top"/>
    </xf>
    <xf numFmtId="173" fontId="24" fillId="0" borderId="0" xfId="13" applyNumberFormat="1" applyFont="1" applyFill="1" applyBorder="1" applyAlignment="1">
      <alignment vertical="top"/>
    </xf>
    <xf numFmtId="164" fontId="25" fillId="15" borderId="0" xfId="14" applyNumberFormat="1" applyFont="1" applyFill="1" applyBorder="1" applyAlignment="1">
      <alignment horizontal="center"/>
    </xf>
    <xf numFmtId="173" fontId="24" fillId="0" borderId="16" xfId="13" applyNumberFormat="1" applyFont="1" applyFill="1" applyBorder="1" applyAlignment="1">
      <alignment vertical="top"/>
    </xf>
    <xf numFmtId="164" fontId="25" fillId="12" borderId="17" xfId="14" applyNumberFormat="1" applyFont="1" applyFill="1" applyBorder="1" applyAlignment="1">
      <alignment horizontal="center"/>
    </xf>
    <xf numFmtId="164" fontId="25" fillId="14" borderId="17" xfId="14" applyNumberFormat="1" applyFont="1" applyFill="1" applyBorder="1" applyAlignment="1">
      <alignment horizontal="center"/>
    </xf>
    <xf numFmtId="164" fontId="25" fillId="15" borderId="17" xfId="14" applyNumberFormat="1" applyFont="1" applyFill="1" applyBorder="1" applyAlignment="1">
      <alignment horizontal="center"/>
    </xf>
    <xf numFmtId="164" fontId="25" fillId="11" borderId="17" xfId="14" applyNumberFormat="1" applyFont="1" applyFill="1" applyBorder="1" applyAlignment="1">
      <alignment horizontal="center"/>
    </xf>
    <xf numFmtId="164" fontId="25" fillId="16" borderId="17" xfId="14" applyNumberFormat="1" applyFont="1" applyFill="1" applyBorder="1" applyAlignment="1">
      <alignment horizontal="center"/>
    </xf>
    <xf numFmtId="164" fontId="25" fillId="16" borderId="18" xfId="14" applyNumberFormat="1" applyFont="1" applyFill="1" applyBorder="1" applyAlignment="1">
      <alignment horizontal="center"/>
    </xf>
    <xf numFmtId="164" fontId="27" fillId="17" borderId="0" xfId="14" applyNumberFormat="1" applyFont="1" applyFill="1" applyBorder="1" applyAlignment="1">
      <alignment horizontal="center"/>
    </xf>
    <xf numFmtId="164" fontId="25" fillId="14" borderId="0" xfId="14" applyNumberFormat="1" applyFont="1" applyFill="1" applyBorder="1" applyAlignment="1">
      <alignment horizontal="center"/>
    </xf>
    <xf numFmtId="0" fontId="24" fillId="0" borderId="0" xfId="7" applyFont="1" applyFill="1" applyBorder="1" applyAlignment="1">
      <alignment vertical="top"/>
    </xf>
    <xf numFmtId="173" fontId="24" fillId="0" borderId="0" xfId="13" applyNumberFormat="1" applyFont="1" applyFill="1" applyBorder="1" applyAlignment="1">
      <alignment horizontal="center" vertical="top"/>
    </xf>
    <xf numFmtId="164" fontId="27" fillId="0" borderId="0" xfId="14" applyNumberFormat="1" applyFont="1" applyFill="1" applyBorder="1" applyAlignment="1">
      <alignment horizontal="center"/>
    </xf>
    <xf numFmtId="0" fontId="25" fillId="0" borderId="1" xfId="7" applyFont="1" applyFill="1" applyBorder="1"/>
    <xf numFmtId="164" fontId="25" fillId="11" borderId="0" xfId="14" applyNumberFormat="1" applyFont="1" applyFill="1" applyBorder="1" applyAlignment="1">
      <alignment horizontal="center"/>
    </xf>
    <xf numFmtId="173" fontId="24" fillId="15" borderId="0" xfId="13" applyNumberFormat="1" applyFont="1" applyFill="1" applyBorder="1" applyAlignment="1">
      <alignment horizontal="center" vertical="top"/>
    </xf>
    <xf numFmtId="0" fontId="25" fillId="0" borderId="1" xfId="14" applyNumberFormat="1" applyFont="1" applyFill="1" applyBorder="1" applyAlignment="1"/>
    <xf numFmtId="0" fontId="24" fillId="0" borderId="0" xfId="7" applyFont="1" applyFill="1" applyBorder="1" applyAlignment="1">
      <alignment vertical="top" wrapText="1"/>
    </xf>
    <xf numFmtId="173" fontId="24" fillId="11" borderId="0" xfId="13" applyNumberFormat="1" applyFont="1" applyFill="1" applyBorder="1"/>
    <xf numFmtId="173" fontId="24" fillId="3" borderId="0" xfId="13" applyNumberFormat="1" applyFont="1" applyFill="1" applyBorder="1"/>
    <xf numFmtId="173" fontId="24" fillId="0" borderId="0" xfId="13" applyNumberFormat="1" applyFont="1" applyFill="1" applyBorder="1"/>
    <xf numFmtId="0" fontId="7" fillId="0" borderId="0" xfId="7" applyFill="1"/>
    <xf numFmtId="173" fontId="32" fillId="0" borderId="0" xfId="13" applyNumberFormat="1" applyFont="1" applyFill="1" applyBorder="1" applyAlignment="1">
      <alignment horizontal="center"/>
    </xf>
    <xf numFmtId="173" fontId="26" fillId="15" borderId="0" xfId="13" applyNumberFormat="1" applyFont="1" applyFill="1" applyBorder="1" applyAlignment="1">
      <alignment horizontal="center"/>
    </xf>
    <xf numFmtId="173" fontId="24" fillId="0" borderId="0" xfId="13" applyNumberFormat="1" applyFont="1" applyFill="1" applyBorder="1" applyAlignment="1">
      <alignment horizontal="center"/>
    </xf>
    <xf numFmtId="173" fontId="24" fillId="0" borderId="0" xfId="7" applyNumberFormat="1" applyFont="1"/>
    <xf numFmtId="173" fontId="24" fillId="3" borderId="0" xfId="7" applyNumberFormat="1" applyFont="1" applyFill="1"/>
    <xf numFmtId="173" fontId="24" fillId="12" borderId="17" xfId="13" applyNumberFormat="1" applyFont="1" applyFill="1" applyBorder="1" applyAlignment="1">
      <alignment horizontal="center"/>
    </xf>
    <xf numFmtId="173" fontId="24" fillId="15" borderId="0" xfId="13" applyNumberFormat="1" applyFont="1" applyFill="1" applyBorder="1" applyAlignment="1">
      <alignment horizontal="center"/>
    </xf>
    <xf numFmtId="0" fontId="25" fillId="0" borderId="0" xfId="7" applyFont="1" applyBorder="1"/>
    <xf numFmtId="173" fontId="33" fillId="0" borderId="0" xfId="13" applyNumberFormat="1" applyFont="1" applyFill="1" applyBorder="1" applyAlignment="1">
      <alignment horizontal="center"/>
    </xf>
    <xf numFmtId="10" fontId="26" fillId="0" borderId="0" xfId="13" applyNumberFormat="1" applyFont="1" applyBorder="1" applyAlignment="1">
      <alignment horizontal="center"/>
    </xf>
    <xf numFmtId="166" fontId="25" fillId="11" borderId="0" xfId="13" applyNumberFormat="1" applyFont="1" applyFill="1" applyBorder="1" applyAlignment="1">
      <alignment horizontal="center"/>
    </xf>
    <xf numFmtId="173" fontId="26" fillId="0" borderId="0" xfId="13" applyNumberFormat="1" applyFont="1" applyBorder="1" applyAlignment="1">
      <alignment horizontal="center"/>
    </xf>
    <xf numFmtId="2" fontId="7" fillId="0" borderId="0" xfId="7" applyNumberFormat="1"/>
    <xf numFmtId="173" fontId="34" fillId="0" borderId="0" xfId="7" applyNumberFormat="1" applyFont="1"/>
    <xf numFmtId="166" fontId="26" fillId="11" borderId="0" xfId="13" applyNumberFormat="1" applyFont="1" applyFill="1" applyBorder="1" applyAlignment="1">
      <alignment horizontal="center"/>
    </xf>
    <xf numFmtId="173" fontId="25" fillId="18" borderId="0" xfId="13" applyNumberFormat="1" applyFont="1" applyFill="1" applyBorder="1" applyAlignment="1">
      <alignment horizontal="center"/>
    </xf>
    <xf numFmtId="173" fontId="24" fillId="18" borderId="0" xfId="7" applyNumberFormat="1" applyFont="1" applyFill="1"/>
    <xf numFmtId="175" fontId="26" fillId="0" borderId="0" xfId="14" applyNumberFormat="1" applyFont="1" applyBorder="1" applyAlignment="1">
      <alignment horizontal="center"/>
    </xf>
    <xf numFmtId="0" fontId="24" fillId="0" borderId="0" xfId="7" applyFont="1"/>
    <xf numFmtId="164" fontId="27" fillId="19" borderId="0" xfId="14" applyNumberFormat="1" applyFont="1" applyFill="1" applyBorder="1" applyAlignment="1">
      <alignment horizontal="center"/>
    </xf>
    <xf numFmtId="173" fontId="24" fillId="15" borderId="0" xfId="7" applyNumberFormat="1" applyFont="1" applyFill="1" applyBorder="1" applyAlignment="1">
      <alignment vertical="top"/>
    </xf>
    <xf numFmtId="173" fontId="24" fillId="19" borderId="0" xfId="13" applyNumberFormat="1" applyFont="1" applyFill="1" applyBorder="1" applyAlignment="1">
      <alignment vertical="top" wrapText="1"/>
    </xf>
    <xf numFmtId="173" fontId="26" fillId="12" borderId="17" xfId="13" applyNumberFormat="1" applyFont="1" applyFill="1" applyBorder="1" applyAlignment="1">
      <alignment horizontal="center"/>
    </xf>
    <xf numFmtId="173" fontId="25" fillId="20" borderId="0" xfId="13" applyNumberFormat="1" applyFont="1" applyFill="1" applyBorder="1" applyAlignment="1">
      <alignment horizontal="center"/>
    </xf>
    <xf numFmtId="176" fontId="25" fillId="11" borderId="0" xfId="13" applyNumberFormat="1" applyFont="1" applyFill="1" applyBorder="1" applyAlignment="1">
      <alignment horizontal="right"/>
    </xf>
    <xf numFmtId="10" fontId="26" fillId="0" borderId="0" xfId="13" applyNumberFormat="1" applyFont="1" applyFill="1" applyBorder="1" applyAlignment="1">
      <alignment horizontal="center"/>
    </xf>
    <xf numFmtId="175" fontId="26" fillId="0" borderId="0" xfId="14" applyNumberFormat="1" applyFont="1" applyFill="1" applyBorder="1" applyAlignment="1">
      <alignment horizontal="center"/>
    </xf>
    <xf numFmtId="0" fontId="24" fillId="12" borderId="1" xfId="7" applyFont="1" applyFill="1" applyBorder="1"/>
    <xf numFmtId="173" fontId="24" fillId="12" borderId="0" xfId="13" applyNumberFormat="1" applyFont="1" applyFill="1" applyBorder="1" applyAlignment="1">
      <alignment horizontal="center"/>
    </xf>
    <xf numFmtId="173" fontId="26" fillId="12" borderId="0" xfId="13" applyNumberFormat="1" applyFont="1" applyFill="1" applyBorder="1" applyAlignment="1">
      <alignment horizontal="center"/>
    </xf>
    <xf numFmtId="173" fontId="26" fillId="15" borderId="0" xfId="7" applyNumberFormat="1" applyFont="1" applyFill="1" applyBorder="1" applyAlignment="1">
      <alignment vertical="top"/>
    </xf>
    <xf numFmtId="173" fontId="25" fillId="11" borderId="2" xfId="13" applyNumberFormat="1" applyFont="1" applyFill="1" applyBorder="1" applyAlignment="1">
      <alignment horizontal="center"/>
    </xf>
    <xf numFmtId="173" fontId="25" fillId="0" borderId="2" xfId="13" applyNumberFormat="1" applyFont="1" applyFill="1" applyBorder="1" applyAlignment="1">
      <alignment horizontal="center"/>
    </xf>
    <xf numFmtId="173" fontId="25" fillId="3" borderId="2" xfId="13" applyNumberFormat="1" applyFont="1" applyFill="1" applyBorder="1" applyAlignment="1">
      <alignment horizontal="center"/>
    </xf>
    <xf numFmtId="10" fontId="25" fillId="0" borderId="16" xfId="7" applyNumberFormat="1" applyFont="1" applyFill="1" applyBorder="1" applyAlignment="1">
      <alignment horizontal="center"/>
    </xf>
    <xf numFmtId="10" fontId="25" fillId="0" borderId="16" xfId="15" applyNumberFormat="1" applyFont="1" applyFill="1" applyBorder="1" applyAlignment="1">
      <alignment horizontal="center"/>
    </xf>
    <xf numFmtId="10" fontId="25" fillId="0" borderId="2" xfId="15" applyNumberFormat="1" applyFont="1" applyFill="1" applyBorder="1" applyAlignment="1">
      <alignment horizontal="center"/>
    </xf>
    <xf numFmtId="10" fontId="25" fillId="0" borderId="2" xfId="7" applyNumberFormat="1" applyFont="1" applyFill="1" applyBorder="1" applyAlignment="1">
      <alignment horizontal="center"/>
    </xf>
    <xf numFmtId="10" fontId="24" fillId="0" borderId="3" xfId="15" applyNumberFormat="1" applyFont="1" applyFill="1" applyBorder="1" applyAlignment="1">
      <alignment horizontal="right" vertical="top" wrapText="1"/>
    </xf>
    <xf numFmtId="10" fontId="24" fillId="0" borderId="3" xfId="15" applyNumberFormat="1" applyFont="1" applyFill="1" applyBorder="1" applyAlignment="1">
      <alignment horizontal="left" vertical="top" wrapText="1"/>
    </xf>
    <xf numFmtId="10" fontId="24" fillId="0" borderId="19" xfId="15" applyNumberFormat="1" applyFont="1" applyFill="1" applyBorder="1" applyAlignment="1">
      <alignment horizontal="left" vertical="top" wrapText="1"/>
    </xf>
    <xf numFmtId="0" fontId="25" fillId="0" borderId="12" xfId="16" applyFont="1" applyBorder="1"/>
    <xf numFmtId="173" fontId="25" fillId="0" borderId="17" xfId="13" applyNumberFormat="1" applyFont="1" applyFill="1" applyBorder="1" applyAlignment="1">
      <alignment horizontal="center"/>
    </xf>
    <xf numFmtId="173" fontId="25" fillId="11" borderId="16" xfId="13" applyNumberFormat="1" applyFont="1" applyFill="1" applyBorder="1" applyAlignment="1">
      <alignment horizontal="center"/>
    </xf>
    <xf numFmtId="0" fontId="7" fillId="0" borderId="17" xfId="7" applyBorder="1"/>
    <xf numFmtId="0" fontId="7" fillId="0" borderId="16" xfId="7" applyBorder="1"/>
    <xf numFmtId="0" fontId="25" fillId="0" borderId="16" xfId="16" applyFont="1" applyBorder="1"/>
    <xf numFmtId="173" fontId="25" fillId="2" borderId="16" xfId="13" applyNumberFormat="1" applyFont="1" applyFill="1" applyBorder="1" applyAlignment="1">
      <alignment horizontal="center"/>
    </xf>
    <xf numFmtId="177" fontId="7" fillId="0" borderId="0" xfId="7" applyNumberFormat="1"/>
    <xf numFmtId="177" fontId="7" fillId="0" borderId="17" xfId="7" applyNumberFormat="1" applyBorder="1"/>
    <xf numFmtId="177" fontId="25" fillId="0" borderId="16" xfId="16" applyNumberFormat="1" applyFont="1" applyBorder="1"/>
    <xf numFmtId="177" fontId="25" fillId="0" borderId="0" xfId="13" applyNumberFormat="1" applyFont="1" applyFill="1" applyBorder="1" applyAlignment="1">
      <alignment horizontal="center"/>
    </xf>
    <xf numFmtId="177" fontId="25" fillId="0" borderId="0" xfId="13" applyNumberFormat="1" applyFont="1" applyBorder="1" applyAlignment="1">
      <alignment horizontal="center"/>
    </xf>
    <xf numFmtId="177" fontId="25" fillId="0" borderId="17" xfId="13" applyNumberFormat="1" applyFont="1" applyBorder="1" applyAlignment="1">
      <alignment horizontal="center"/>
    </xf>
    <xf numFmtId="164" fontId="25" fillId="0" borderId="17" xfId="14" applyNumberFormat="1" applyFont="1" applyBorder="1" applyAlignment="1">
      <alignment horizontal="center"/>
    </xf>
    <xf numFmtId="164" fontId="25" fillId="2" borderId="17" xfId="14" applyNumberFormat="1" applyFont="1" applyFill="1" applyBorder="1" applyAlignment="1">
      <alignment horizontal="center"/>
    </xf>
    <xf numFmtId="0" fontId="25" fillId="0" borderId="0" xfId="16" applyFont="1" applyBorder="1"/>
    <xf numFmtId="0" fontId="24" fillId="0" borderId="0" xfId="16" applyFont="1" applyFill="1" applyBorder="1"/>
    <xf numFmtId="173" fontId="7" fillId="0" borderId="0" xfId="7" applyNumberFormat="1" applyFont="1"/>
    <xf numFmtId="173" fontId="7" fillId="0" borderId="0" xfId="7" applyNumberFormat="1" applyFont="1" applyFill="1"/>
    <xf numFmtId="173" fontId="35" fillId="0" borderId="0" xfId="7" applyNumberFormat="1" applyFont="1"/>
    <xf numFmtId="0" fontId="7" fillId="14" borderId="0" xfId="7" applyFill="1"/>
    <xf numFmtId="0" fontId="7" fillId="13" borderId="0" xfId="7" applyFill="1"/>
    <xf numFmtId="0" fontId="36" fillId="19" borderId="0" xfId="7" applyFont="1" applyFill="1"/>
    <xf numFmtId="0" fontId="7" fillId="20" borderId="0" xfId="7" applyFill="1"/>
    <xf numFmtId="0" fontId="7" fillId="15" borderId="0" xfId="7" applyFill="1" applyBorder="1"/>
    <xf numFmtId="0" fontId="36" fillId="21" borderId="0" xfId="7" applyFont="1" applyFill="1"/>
    <xf numFmtId="0" fontId="36" fillId="11" borderId="0" xfId="7" applyFont="1" applyFill="1"/>
    <xf numFmtId="0" fontId="7" fillId="0" borderId="0" xfId="7" applyBorder="1"/>
    <xf numFmtId="0" fontId="36" fillId="3" borderId="0" xfId="7" applyFont="1" applyFill="1"/>
    <xf numFmtId="173" fontId="7" fillId="0" borderId="0" xfId="7" applyNumberFormat="1" applyBorder="1"/>
    <xf numFmtId="173" fontId="7" fillId="0" borderId="0" xfId="7" applyNumberFormat="1"/>
    <xf numFmtId="164" fontId="25" fillId="12" borderId="18" xfId="14" applyNumberFormat="1" applyFont="1" applyFill="1" applyBorder="1" applyAlignment="1">
      <alignment horizontal="center"/>
    </xf>
    <xf numFmtId="164" fontId="7" fillId="0" borderId="0" xfId="7" applyNumberFormat="1"/>
    <xf numFmtId="0" fontId="36" fillId="0" borderId="20" xfId="7" applyFont="1" applyBorder="1"/>
    <xf numFmtId="1" fontId="7" fillId="0" borderId="20" xfId="7" applyNumberFormat="1" applyBorder="1" applyAlignment="1">
      <alignment horizontal="center"/>
    </xf>
    <xf numFmtId="0" fontId="7" fillId="23" borderId="20" xfId="7" applyFill="1" applyBorder="1"/>
    <xf numFmtId="0" fontId="7" fillId="0" borderId="20" xfId="7" applyBorder="1"/>
    <xf numFmtId="0" fontId="36" fillId="0" borderId="20" xfId="7" applyFont="1" applyBorder="1" applyAlignment="1">
      <alignment wrapText="1"/>
    </xf>
    <xf numFmtId="1" fontId="7" fillId="0" borderId="21" xfId="7" applyNumberFormat="1" applyBorder="1" applyAlignment="1">
      <alignment horizontal="center" wrapText="1"/>
    </xf>
    <xf numFmtId="1" fontId="7" fillId="0" borderId="20" xfId="7" applyNumberFormat="1" applyBorder="1" applyAlignment="1">
      <alignment horizontal="center" wrapText="1"/>
    </xf>
    <xf numFmtId="179" fontId="7" fillId="22" borderId="20" xfId="7" applyNumberFormat="1" applyFill="1" applyBorder="1" applyAlignment="1">
      <alignment horizontal="center" wrapText="1"/>
    </xf>
    <xf numFmtId="3" fontId="7" fillId="22" borderId="20" xfId="7" applyNumberFormat="1" applyFill="1" applyBorder="1" applyAlignment="1">
      <alignment horizontal="center" wrapText="1"/>
    </xf>
    <xf numFmtId="179" fontId="7" fillId="22" borderId="20" xfId="7" applyNumberFormat="1" applyFont="1" applyFill="1" applyBorder="1" applyAlignment="1">
      <alignment horizontal="center" wrapText="1"/>
    </xf>
    <xf numFmtId="3" fontId="7" fillId="22" borderId="20" xfId="7" applyNumberFormat="1" applyFont="1" applyFill="1" applyBorder="1" applyAlignment="1">
      <alignment horizontal="center" wrapText="1"/>
    </xf>
    <xf numFmtId="1" fontId="7" fillId="22" borderId="20" xfId="7" applyNumberFormat="1" applyFill="1" applyBorder="1" applyAlignment="1">
      <alignment horizontal="center" wrapText="1"/>
    </xf>
    <xf numFmtId="2" fontId="7" fillId="22" borderId="20" xfId="7" applyNumberFormat="1" applyFont="1" applyFill="1" applyBorder="1" applyAlignment="1">
      <alignment horizontal="center" wrapText="1"/>
    </xf>
    <xf numFmtId="2" fontId="7" fillId="22" borderId="20" xfId="7" applyNumberFormat="1" applyFill="1" applyBorder="1" applyAlignment="1">
      <alignment horizontal="center" wrapText="1"/>
    </xf>
    <xf numFmtId="165" fontId="7" fillId="22" borderId="20" xfId="7" applyNumberFormat="1" applyFill="1" applyBorder="1" applyAlignment="1">
      <alignment horizontal="center" wrapText="1"/>
    </xf>
    <xf numFmtId="0" fontId="7" fillId="0" borderId="20" xfId="7" applyBorder="1" applyAlignment="1">
      <alignment wrapText="1"/>
    </xf>
    <xf numFmtId="0" fontId="36" fillId="0" borderId="0" xfId="7" applyFont="1" applyBorder="1" applyAlignment="1">
      <alignment wrapText="1"/>
    </xf>
    <xf numFmtId="1" fontId="7" fillId="0" borderId="22" xfId="7" applyNumberFormat="1" applyBorder="1" applyAlignment="1">
      <alignment horizontal="center"/>
    </xf>
    <xf numFmtId="1" fontId="7" fillId="0" borderId="0" xfId="7" applyNumberFormat="1" applyBorder="1" applyAlignment="1">
      <alignment horizontal="center" wrapText="1"/>
    </xf>
    <xf numFmtId="179" fontId="7" fillId="22" borderId="0" xfId="7" applyNumberFormat="1" applyFill="1" applyBorder="1" applyAlignment="1">
      <alignment horizontal="center" wrapText="1"/>
    </xf>
    <xf numFmtId="3" fontId="7" fillId="22" borderId="0" xfId="7" applyNumberFormat="1" applyFill="1" applyBorder="1" applyAlignment="1">
      <alignment horizontal="center" wrapText="1"/>
    </xf>
    <xf numFmtId="1" fontId="7" fillId="22" borderId="0" xfId="7" applyNumberFormat="1" applyFill="1" applyBorder="1" applyAlignment="1">
      <alignment horizontal="center" wrapText="1"/>
    </xf>
    <xf numFmtId="2" fontId="7" fillId="22" borderId="0" xfId="7" applyNumberFormat="1" applyFill="1" applyBorder="1" applyAlignment="1">
      <alignment horizontal="center" wrapText="1"/>
    </xf>
    <xf numFmtId="165" fontId="7" fillId="22" borderId="0" xfId="7" applyNumberFormat="1" applyFill="1" applyBorder="1" applyAlignment="1">
      <alignment horizontal="center" wrapText="1"/>
    </xf>
    <xf numFmtId="0" fontId="7" fillId="0" borderId="0" xfId="7" applyBorder="1" applyAlignment="1">
      <alignment wrapText="1"/>
    </xf>
    <xf numFmtId="0" fontId="36" fillId="0" borderId="22" xfId="7" applyFont="1" applyBorder="1"/>
    <xf numFmtId="179" fontId="7" fillId="22" borderId="22" xfId="7" applyNumberFormat="1" applyFill="1" applyBorder="1" applyAlignment="1">
      <alignment horizontal="center"/>
    </xf>
    <xf numFmtId="3" fontId="7" fillId="22" borderId="22" xfId="7" applyNumberFormat="1" applyFill="1" applyBorder="1" applyAlignment="1">
      <alignment horizontal="center"/>
    </xf>
    <xf numFmtId="1" fontId="7" fillId="22" borderId="22" xfId="7" applyNumberFormat="1" applyFill="1" applyBorder="1" applyAlignment="1">
      <alignment horizontal="center"/>
    </xf>
    <xf numFmtId="2" fontId="7" fillId="22" borderId="22" xfId="7" applyNumberFormat="1" applyFill="1" applyBorder="1" applyAlignment="1">
      <alignment horizontal="center"/>
    </xf>
    <xf numFmtId="165" fontId="7" fillId="22" borderId="22" xfId="7" applyNumberFormat="1" applyFill="1" applyBorder="1" applyAlignment="1">
      <alignment horizontal="center"/>
    </xf>
    <xf numFmtId="0" fontId="7" fillId="0" borderId="22" xfId="7" applyBorder="1"/>
    <xf numFmtId="0" fontId="7" fillId="0" borderId="23" xfId="7" applyBorder="1"/>
    <xf numFmtId="1" fontId="7" fillId="0" borderId="19" xfId="7" applyNumberFormat="1" applyBorder="1" applyAlignment="1">
      <alignment horizontal="center"/>
    </xf>
    <xf numFmtId="179" fontId="7" fillId="0" borderId="19" xfId="7" applyNumberFormat="1" applyBorder="1" applyAlignment="1">
      <alignment horizontal="center"/>
    </xf>
    <xf numFmtId="3" fontId="7" fillId="0" borderId="19" xfId="7" applyNumberFormat="1" applyBorder="1" applyAlignment="1">
      <alignment horizontal="center"/>
    </xf>
    <xf numFmtId="2" fontId="7" fillId="0" borderId="19" xfId="7" applyNumberFormat="1" applyBorder="1" applyAlignment="1">
      <alignment horizontal="center"/>
    </xf>
    <xf numFmtId="165" fontId="7" fillId="0" borderId="19" xfId="7" applyNumberFormat="1" applyBorder="1" applyAlignment="1">
      <alignment horizontal="center"/>
    </xf>
    <xf numFmtId="0" fontId="7" fillId="0" borderId="19" xfId="7" applyBorder="1"/>
    <xf numFmtId="0" fontId="7" fillId="0" borderId="6" xfId="7" applyBorder="1"/>
    <xf numFmtId="1" fontId="7" fillId="0" borderId="3" xfId="7" applyNumberFormat="1" applyBorder="1" applyAlignment="1">
      <alignment horizontal="center"/>
    </xf>
    <xf numFmtId="179" fontId="7" fillId="0" borderId="3" xfId="7" applyNumberFormat="1" applyBorder="1" applyAlignment="1">
      <alignment horizontal="center"/>
    </xf>
    <xf numFmtId="3" fontId="7" fillId="0" borderId="3" xfId="7" applyNumberFormat="1" applyBorder="1" applyAlignment="1">
      <alignment horizontal="center"/>
    </xf>
    <xf numFmtId="2" fontId="7" fillId="0" borderId="3" xfId="7" applyNumberFormat="1" applyBorder="1" applyAlignment="1">
      <alignment horizontal="center"/>
    </xf>
    <xf numFmtId="165" fontId="7" fillId="0" borderId="3" xfId="7" applyNumberFormat="1" applyBorder="1" applyAlignment="1">
      <alignment horizontal="center"/>
    </xf>
    <xf numFmtId="0" fontId="7" fillId="0" borderId="3" xfId="7" applyBorder="1"/>
    <xf numFmtId="1" fontId="7" fillId="0" borderId="3" xfId="7" applyNumberFormat="1" applyFont="1" applyBorder="1" applyAlignment="1">
      <alignment horizontal="center"/>
    </xf>
    <xf numFmtId="3" fontId="7" fillId="0" borderId="3" xfId="7" applyNumberFormat="1" applyFill="1" applyBorder="1" applyAlignment="1">
      <alignment horizontal="center"/>
    </xf>
    <xf numFmtId="1" fontId="7" fillId="0" borderId="3" xfId="7" applyNumberFormat="1" applyFill="1" applyBorder="1" applyAlignment="1">
      <alignment horizontal="center"/>
    </xf>
    <xf numFmtId="10" fontId="38" fillId="11" borderId="3" xfId="7" applyNumberFormat="1" applyFont="1" applyFill="1" applyBorder="1" applyAlignment="1">
      <alignment horizontal="center"/>
    </xf>
    <xf numFmtId="1" fontId="36" fillId="0" borderId="3" xfId="7" applyNumberFormat="1" applyFont="1" applyBorder="1" applyAlignment="1">
      <alignment horizontal="center"/>
    </xf>
    <xf numFmtId="179" fontId="36" fillId="0" borderId="3" xfId="7" applyNumberFormat="1" applyFont="1" applyBorder="1" applyAlignment="1">
      <alignment horizontal="center"/>
    </xf>
    <xf numFmtId="3" fontId="36" fillId="0" borderId="3" xfId="7" applyNumberFormat="1" applyFont="1" applyBorder="1" applyAlignment="1">
      <alignment horizontal="center"/>
    </xf>
    <xf numFmtId="3" fontId="36" fillId="0" borderId="3" xfId="7" applyNumberFormat="1" applyFont="1" applyFill="1" applyBorder="1" applyAlignment="1">
      <alignment horizontal="center"/>
    </xf>
    <xf numFmtId="3" fontId="7" fillId="0" borderId="3" xfId="7" applyNumberFormat="1" applyFont="1" applyBorder="1" applyAlignment="1">
      <alignment horizontal="center"/>
    </xf>
    <xf numFmtId="179" fontId="7" fillId="0" borderId="3" xfId="7" applyNumberFormat="1" applyFont="1" applyBorder="1" applyAlignment="1">
      <alignment horizontal="center"/>
    </xf>
    <xf numFmtId="3" fontId="7" fillId="0" borderId="3" xfId="7" applyNumberFormat="1" applyFont="1" applyFill="1" applyBorder="1" applyAlignment="1">
      <alignment horizontal="center"/>
    </xf>
    <xf numFmtId="180" fontId="7" fillId="0" borderId="3" xfId="7" applyNumberFormat="1" applyBorder="1" applyAlignment="1">
      <alignment horizontal="center"/>
    </xf>
    <xf numFmtId="179" fontId="7" fillId="0" borderId="3" xfId="7" applyNumberFormat="1" applyFont="1" applyFill="1" applyBorder="1" applyAlignment="1">
      <alignment horizontal="center"/>
    </xf>
    <xf numFmtId="2" fontId="36" fillId="0" borderId="3" xfId="7" applyNumberFormat="1" applyFont="1" applyBorder="1" applyAlignment="1">
      <alignment horizontal="center"/>
    </xf>
    <xf numFmtId="9" fontId="35" fillId="0" borderId="3" xfId="7" applyNumberFormat="1" applyFont="1" applyBorder="1" applyAlignment="1">
      <alignment horizontal="center"/>
    </xf>
    <xf numFmtId="10" fontId="35" fillId="0" borderId="3" xfId="7" applyNumberFormat="1" applyFont="1" applyBorder="1" applyAlignment="1">
      <alignment horizontal="center"/>
    </xf>
    <xf numFmtId="3" fontId="7" fillId="11" borderId="3" xfId="7" applyNumberFormat="1" applyFont="1" applyFill="1" applyBorder="1" applyAlignment="1">
      <alignment horizontal="center"/>
    </xf>
    <xf numFmtId="165" fontId="7" fillId="0" borderId="3" xfId="7" applyNumberFormat="1" applyFont="1" applyBorder="1" applyAlignment="1">
      <alignment horizontal="center"/>
    </xf>
    <xf numFmtId="0" fontId="36" fillId="0" borderId="3" xfId="7" applyFont="1" applyBorder="1"/>
    <xf numFmtId="3" fontId="36" fillId="11" borderId="3" xfId="7" applyNumberFormat="1" applyFont="1" applyFill="1" applyBorder="1" applyAlignment="1">
      <alignment horizontal="center"/>
    </xf>
    <xf numFmtId="181" fontId="7" fillId="0" borderId="3" xfId="7" applyNumberFormat="1" applyBorder="1" applyAlignment="1">
      <alignment horizontal="center"/>
    </xf>
    <xf numFmtId="179" fontId="7" fillId="0" borderId="3" xfId="7" applyNumberFormat="1" applyFill="1" applyBorder="1" applyAlignment="1">
      <alignment horizontal="center"/>
    </xf>
    <xf numFmtId="2" fontId="7" fillId="0" borderId="3" xfId="7" applyNumberFormat="1" applyFont="1" applyBorder="1" applyAlignment="1">
      <alignment horizontal="center"/>
    </xf>
    <xf numFmtId="3" fontId="7" fillId="0" borderId="24" xfId="7" applyNumberFormat="1" applyBorder="1" applyAlignment="1">
      <alignment horizontal="center"/>
    </xf>
    <xf numFmtId="10" fontId="7" fillId="0" borderId="0" xfId="7" applyNumberFormat="1" applyBorder="1" applyAlignment="1">
      <alignment horizontal="center"/>
    </xf>
    <xf numFmtId="9" fontId="7" fillId="0" borderId="3" xfId="7" applyNumberFormat="1" applyBorder="1" applyAlignment="1">
      <alignment horizontal="center"/>
    </xf>
    <xf numFmtId="10" fontId="7" fillId="0" borderId="3" xfId="7" applyNumberFormat="1" applyBorder="1" applyAlignment="1">
      <alignment horizontal="center"/>
    </xf>
    <xf numFmtId="3" fontId="7" fillId="0" borderId="5" xfId="7" applyNumberFormat="1" applyBorder="1" applyAlignment="1">
      <alignment horizontal="center"/>
    </xf>
    <xf numFmtId="3" fontId="7" fillId="0" borderId="6" xfId="7" applyNumberFormat="1" applyBorder="1" applyAlignment="1">
      <alignment horizontal="center"/>
    </xf>
    <xf numFmtId="3" fontId="39" fillId="0" borderId="0" xfId="13" applyNumberFormat="1" applyFont="1" applyFill="1" applyBorder="1" applyAlignment="1">
      <alignment horizontal="center"/>
    </xf>
    <xf numFmtId="10" fontId="7" fillId="0" borderId="3" xfId="7" applyNumberFormat="1" applyFont="1" applyBorder="1" applyAlignment="1">
      <alignment horizontal="center"/>
    </xf>
    <xf numFmtId="3" fontId="39" fillId="0" borderId="6" xfId="7" applyNumberFormat="1" applyFont="1" applyBorder="1" applyAlignment="1">
      <alignment horizontal="center"/>
    </xf>
    <xf numFmtId="1" fontId="7" fillId="0" borderId="0" xfId="7" applyNumberFormat="1" applyAlignment="1">
      <alignment horizontal="center"/>
    </xf>
    <xf numFmtId="179" fontId="7" fillId="0" borderId="0" xfId="7" applyNumberFormat="1" applyAlignment="1">
      <alignment horizontal="center"/>
    </xf>
    <xf numFmtId="166" fontId="0" fillId="0" borderId="0" xfId="19" applyNumberFormat="1" applyFont="1" applyAlignment="1">
      <alignment horizontal="center"/>
    </xf>
    <xf numFmtId="3" fontId="7" fillId="0" borderId="0" xfId="7" applyNumberFormat="1" applyAlignment="1">
      <alignment horizontal="center"/>
    </xf>
    <xf numFmtId="3" fontId="39" fillId="0" borderId="3" xfId="7" applyNumberFormat="1" applyFont="1" applyBorder="1" applyAlignment="1">
      <alignment horizontal="center"/>
    </xf>
    <xf numFmtId="3" fontId="7" fillId="0" borderId="4" xfId="7" applyNumberFormat="1" applyBorder="1" applyAlignment="1">
      <alignment horizontal="center"/>
    </xf>
    <xf numFmtId="9" fontId="7" fillId="0" borderId="5" xfId="7" applyNumberFormat="1" applyBorder="1" applyAlignment="1">
      <alignment horizontal="center"/>
    </xf>
    <xf numFmtId="10" fontId="7" fillId="0" borderId="6" xfId="7" applyNumberFormat="1" applyBorder="1" applyAlignment="1">
      <alignment horizontal="center"/>
    </xf>
    <xf numFmtId="10" fontId="7" fillId="0" borderId="3" xfId="7" applyNumberFormat="1" applyFill="1" applyBorder="1" applyAlignment="1">
      <alignment horizontal="center"/>
    </xf>
    <xf numFmtId="181" fontId="7" fillId="0" borderId="3" xfId="7" applyNumberFormat="1" applyFill="1" applyBorder="1" applyAlignment="1">
      <alignment horizontal="center"/>
    </xf>
    <xf numFmtId="179" fontId="7" fillId="3" borderId="3" xfId="7" applyNumberFormat="1" applyFill="1" applyBorder="1" applyAlignment="1">
      <alignment horizontal="center"/>
    </xf>
    <xf numFmtId="2" fontId="7" fillId="0" borderId="0" xfId="7" applyNumberFormat="1" applyAlignment="1">
      <alignment horizontal="center"/>
    </xf>
    <xf numFmtId="2" fontId="7" fillId="0" borderId="3" xfId="7" applyNumberFormat="1" applyFont="1" applyFill="1" applyBorder="1" applyAlignment="1">
      <alignment horizontal="center"/>
    </xf>
    <xf numFmtId="3" fontId="7" fillId="2" borderId="3" xfId="7" applyNumberFormat="1" applyFill="1" applyBorder="1" applyAlignment="1">
      <alignment horizontal="center"/>
    </xf>
    <xf numFmtId="179" fontId="7" fillId="16" borderId="24" xfId="7" applyNumberFormat="1" applyFill="1" applyBorder="1" applyAlignment="1">
      <alignment horizontal="center"/>
    </xf>
    <xf numFmtId="180" fontId="7" fillId="0" borderId="24" xfId="7" applyNumberFormat="1" applyBorder="1" applyAlignment="1">
      <alignment horizontal="center"/>
    </xf>
    <xf numFmtId="179" fontId="7" fillId="0" borderId="24" xfId="7" applyNumberFormat="1" applyFill="1" applyBorder="1" applyAlignment="1">
      <alignment horizontal="center"/>
    </xf>
    <xf numFmtId="179" fontId="7" fillId="0" borderId="24" xfId="7" applyNumberFormat="1" applyBorder="1" applyAlignment="1">
      <alignment horizontal="center"/>
    </xf>
    <xf numFmtId="179" fontId="7" fillId="0" borderId="24" xfId="7" applyNumberFormat="1" applyFont="1" applyBorder="1" applyAlignment="1">
      <alignment horizontal="center"/>
    </xf>
    <xf numFmtId="179" fontId="7" fillId="0" borderId="24" xfId="7" applyNumberFormat="1" applyFont="1" applyFill="1" applyBorder="1" applyAlignment="1">
      <alignment horizontal="center"/>
    </xf>
    <xf numFmtId="3" fontId="7" fillId="0" borderId="24" xfId="7" applyNumberFormat="1" applyFont="1" applyBorder="1" applyAlignment="1">
      <alignment horizontal="center"/>
    </xf>
    <xf numFmtId="3" fontId="7" fillId="0" borderId="24" xfId="7" applyNumberFormat="1" applyFont="1" applyFill="1" applyBorder="1" applyAlignment="1">
      <alignment horizontal="center"/>
    </xf>
    <xf numFmtId="2" fontId="7" fillId="0" borderId="24" xfId="7" applyNumberFormat="1" applyFont="1" applyFill="1" applyBorder="1" applyAlignment="1">
      <alignment horizontal="center"/>
    </xf>
    <xf numFmtId="3" fontId="7" fillId="0" borderId="24" xfId="7" applyNumberFormat="1" applyFill="1" applyBorder="1" applyAlignment="1">
      <alignment horizontal="center"/>
    </xf>
    <xf numFmtId="3" fontId="7" fillId="2" borderId="24" xfId="7" applyNumberFormat="1" applyFill="1" applyBorder="1" applyAlignment="1">
      <alignment horizontal="center"/>
    </xf>
    <xf numFmtId="10" fontId="35" fillId="0" borderId="24" xfId="7" applyNumberFormat="1" applyFont="1" applyBorder="1" applyAlignment="1">
      <alignment horizontal="center"/>
    </xf>
    <xf numFmtId="179" fontId="7" fillId="16" borderId="3" xfId="7" applyNumberFormat="1" applyFill="1" applyBorder="1" applyAlignment="1">
      <alignment horizontal="center"/>
    </xf>
    <xf numFmtId="165" fontId="7" fillId="0" borderId="0" xfId="7" applyNumberFormat="1" applyAlignment="1">
      <alignment horizontal="center"/>
    </xf>
    <xf numFmtId="171" fontId="9" fillId="7" borderId="0" xfId="0" applyNumberFormat="1" applyFont="1" applyFill="1" applyBorder="1" applyAlignment="1">
      <alignment horizontal="left"/>
    </xf>
    <xf numFmtId="3" fontId="13" fillId="8" borderId="0" xfId="0" applyNumberFormat="1" applyFont="1" applyFill="1" applyBorder="1" applyAlignment="1">
      <alignment horizontal="center" vertical="center"/>
    </xf>
    <xf numFmtId="0" fontId="5" fillId="0" borderId="0" xfId="20" applyFont="1"/>
    <xf numFmtId="0" fontId="3" fillId="0" borderId="0" xfId="21" applyFont="1" applyBorder="1" applyAlignment="1">
      <alignment horizontal="center" vertical="center" wrapText="1"/>
    </xf>
    <xf numFmtId="0" fontId="6" fillId="0" borderId="0" xfId="20" applyFont="1" applyAlignment="1">
      <alignment horizontal="center" vertical="center"/>
    </xf>
    <xf numFmtId="0" fontId="5" fillId="0" borderId="0" xfId="20" applyFont="1" applyAlignment="1">
      <alignment horizontal="center" vertical="center"/>
    </xf>
    <xf numFmtId="1" fontId="5" fillId="0" borderId="0" xfId="20" applyNumberFormat="1" applyFont="1"/>
    <xf numFmtId="182" fontId="5" fillId="0" borderId="0" xfId="14" applyNumberFormat="1" applyFont="1"/>
    <xf numFmtId="3" fontId="0" fillId="9" borderId="0" xfId="0" applyNumberFormat="1" applyFont="1" applyFill="1" applyBorder="1" applyAlignment="1">
      <alignment horizontal="center" vertical="center"/>
    </xf>
    <xf numFmtId="0" fontId="5" fillId="2" borderId="0" xfId="20" applyFont="1" applyFill="1"/>
    <xf numFmtId="4" fontId="0" fillId="9" borderId="0" xfId="0" applyNumberFormat="1" applyFont="1" applyFill="1" applyBorder="1" applyAlignment="1">
      <alignment horizontal="center" vertical="center"/>
    </xf>
    <xf numFmtId="3" fontId="0" fillId="9" borderId="0" xfId="0" applyNumberFormat="1" applyFont="1" applyFill="1" applyBorder="1" applyAlignment="1">
      <alignment horizontal="center" vertical="center" wrapText="1"/>
    </xf>
    <xf numFmtId="167" fontId="13" fillId="8" borderId="0" xfId="11" applyNumberFormat="1" applyFont="1" applyFill="1" applyBorder="1" applyAlignment="1">
      <alignment horizontal="center" vertical="center" wrapText="1"/>
    </xf>
    <xf numFmtId="3" fontId="5" fillId="0" borderId="0" xfId="0" applyNumberFormat="1" applyFont="1"/>
    <xf numFmtId="0" fontId="0" fillId="0" borderId="0" xfId="10" applyNumberFormat="1" applyFont="1" applyFill="1" applyBorder="1" applyAlignment="1">
      <alignment horizontal="left" vertical="center"/>
    </xf>
    <xf numFmtId="0" fontId="7" fillId="0" borderId="0" xfId="0" applyFont="1" applyAlignment="1">
      <alignment horizontal="center"/>
    </xf>
    <xf numFmtId="0" fontId="0" fillId="0" borderId="0" xfId="0" applyAlignment="1">
      <alignment horizontal="center"/>
    </xf>
    <xf numFmtId="175" fontId="0" fillId="0" borderId="0" xfId="22" applyNumberFormat="1" applyFont="1" applyAlignment="1">
      <alignment horizontal="center"/>
    </xf>
    <xf numFmtId="0" fontId="0" fillId="0" borderId="0" xfId="0" applyAlignment="1">
      <alignment horizontal="right"/>
    </xf>
    <xf numFmtId="0" fontId="40" fillId="0" borderId="0" xfId="0" applyFont="1"/>
    <xf numFmtId="165" fontId="13" fillId="8" borderId="0" xfId="11" applyNumberFormat="1" applyFont="1" applyFill="1" applyBorder="1" applyAlignment="1">
      <alignment horizontal="center" vertical="center"/>
    </xf>
    <xf numFmtId="0" fontId="13" fillId="8" borderId="0" xfId="0" applyFont="1" applyFill="1" applyBorder="1" applyAlignment="1">
      <alignment horizontal="center" vertical="center"/>
    </xf>
    <xf numFmtId="166" fontId="13" fillId="8" borderId="0" xfId="12" applyNumberFormat="1" applyFont="1" applyFill="1" applyBorder="1" applyAlignment="1">
      <alignment horizontal="center" vertical="center"/>
    </xf>
    <xf numFmtId="165" fontId="13" fillId="8" borderId="0" xfId="0" applyNumberFormat="1" applyFont="1" applyFill="1" applyBorder="1" applyAlignment="1">
      <alignment horizontal="center" vertical="center"/>
    </xf>
    <xf numFmtId="2" fontId="13" fillId="8" borderId="0" xfId="0" applyNumberFormat="1" applyFont="1" applyFill="1" applyBorder="1" applyAlignment="1">
      <alignment horizontal="center" vertical="center"/>
    </xf>
    <xf numFmtId="39" fontId="0" fillId="0" borderId="0" xfId="0" applyNumberFormat="1"/>
    <xf numFmtId="0" fontId="6" fillId="0" borderId="0" xfId="20" applyFont="1" applyAlignment="1">
      <alignment horizontal="center"/>
    </xf>
    <xf numFmtId="0" fontId="5" fillId="0" borderId="5" xfId="0" applyFont="1" applyBorder="1"/>
    <xf numFmtId="0" fontId="5" fillId="0" borderId="4" xfId="0" applyFont="1" applyBorder="1"/>
    <xf numFmtId="169" fontId="0" fillId="0" borderId="0" xfId="0" applyNumberFormat="1" applyAlignment="1">
      <alignment vertical="top"/>
    </xf>
    <xf numFmtId="0" fontId="7" fillId="0" borderId="0" xfId="7" applyAlignment="1">
      <alignment vertical="top"/>
    </xf>
    <xf numFmtId="0" fontId="16" fillId="0" borderId="0" xfId="0" applyNumberFormat="1" applyFont="1" applyFill="1" applyBorder="1" applyAlignment="1">
      <alignment horizontal="left"/>
    </xf>
    <xf numFmtId="0" fontId="0" fillId="4" borderId="0" xfId="0" applyFill="1" applyBorder="1"/>
    <xf numFmtId="3" fontId="36" fillId="22" borderId="20" xfId="7" applyNumberFormat="1" applyFont="1" applyFill="1" applyBorder="1" applyAlignment="1">
      <alignment horizontal="center"/>
    </xf>
    <xf numFmtId="0" fontId="36" fillId="3" borderId="0" xfId="7" applyFont="1" applyFill="1" applyAlignment="1">
      <alignment horizontal="center"/>
    </xf>
    <xf numFmtId="179" fontId="36" fillId="16" borderId="0" xfId="7" applyNumberFormat="1" applyFont="1" applyFill="1" applyBorder="1" applyAlignment="1">
      <alignment horizontal="center"/>
    </xf>
    <xf numFmtId="0" fontId="0" fillId="0" borderId="0" xfId="0" applyAlignment="1">
      <alignment horizontal="left" vertical="top" wrapText="1"/>
    </xf>
    <xf numFmtId="169" fontId="0" fillId="0" borderId="0" xfId="0" applyNumberFormat="1" applyAlignment="1">
      <alignment horizontal="left" vertical="top" wrapText="1"/>
    </xf>
    <xf numFmtId="0" fontId="7" fillId="0" borderId="0" xfId="7" applyAlignment="1">
      <alignment horizontal="left" vertical="top" wrapText="1"/>
    </xf>
  </cellXfs>
  <cellStyles count="23">
    <cellStyle name="Comma 2" xfId="2"/>
    <cellStyle name="Comma 2 2" xfId="14"/>
    <cellStyle name="Comma 3" xfId="17"/>
    <cellStyle name="Comma 4" xfId="22"/>
    <cellStyle name="Comma0" xfId="3"/>
    <cellStyle name="Currency 2" xfId="13"/>
    <cellStyle name="Currency0" xfId="4"/>
    <cellStyle name="Date" xfId="5"/>
    <cellStyle name="Euro" xfId="18"/>
    <cellStyle name="Fixed" xfId="6"/>
    <cellStyle name="Normal" xfId="0" builtinId="0"/>
    <cellStyle name="Normal 10" xfId="11"/>
    <cellStyle name="Normal 103" xfId="10"/>
    <cellStyle name="Normal 2" xfId="7"/>
    <cellStyle name="Normal 3" xfId="1"/>
    <cellStyle name="Normal 3 2" xfId="20"/>
    <cellStyle name="Normal 3 2 2" xfId="21"/>
    <cellStyle name="Normal_Finresults_nc 2" xfId="16"/>
    <cellStyle name="Normal_HandyWhitman" xfId="8"/>
    <cellStyle name="Percent" xfId="12" builtinId="5"/>
    <cellStyle name="Percent 2" xfId="9"/>
    <cellStyle name="Percent 2 2" xfId="15"/>
    <cellStyle name="Percent 3" xfId="19"/>
  </cellStyles>
  <dxfs count="45">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5.xml.rels><?xml version="1.0" encoding="UTF-8" standalone="yes"?>
<Relationships xmlns="http://schemas.openxmlformats.org/package/2006/relationships"><Relationship Id="rId1" Type="http://schemas.openxmlformats.org/officeDocument/2006/relationships/image" Target="../media/image5.gif"/></Relationships>
</file>

<file path=xl/drawings/_rels/vmlDrawing1.v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4.w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85725</xdr:colOff>
          <xdr:row>12</xdr:row>
          <xdr:rowOff>19050</xdr:rowOff>
        </xdr:from>
        <xdr:to>
          <xdr:col>7</xdr:col>
          <xdr:colOff>2628900</xdr:colOff>
          <xdr:row>13</xdr:row>
          <xdr:rowOff>9525</xdr:rowOff>
        </xdr:to>
        <xdr:sp macro="" textlink="">
          <xdr:nvSpPr>
            <xdr:cNvPr id="22531" name="Object 3" hidden="1">
              <a:extLst>
                <a:ext uri="{63B3BB69-23CF-44E3-9099-C40C66FF867C}">
                  <a14:compatExt spid="_x0000_s225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104775</xdr:colOff>
          <xdr:row>12</xdr:row>
          <xdr:rowOff>28575</xdr:rowOff>
        </xdr:from>
        <xdr:to>
          <xdr:col>17</xdr:col>
          <xdr:colOff>2590800</xdr:colOff>
          <xdr:row>12</xdr:row>
          <xdr:rowOff>457200</xdr:rowOff>
        </xdr:to>
        <xdr:sp macro="" textlink="">
          <xdr:nvSpPr>
            <xdr:cNvPr id="22534" name="Object 6" hidden="1">
              <a:extLst>
                <a:ext uri="{63B3BB69-23CF-44E3-9099-C40C66FF867C}">
                  <a14:compatExt spid="_x0000_s22534"/>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76200</xdr:colOff>
          <xdr:row>11</xdr:row>
          <xdr:rowOff>19050</xdr:rowOff>
        </xdr:from>
        <xdr:to>
          <xdr:col>9</xdr:col>
          <xdr:colOff>2619375</xdr:colOff>
          <xdr:row>12</xdr:row>
          <xdr:rowOff>9525</xdr:rowOff>
        </xdr:to>
        <xdr:sp macro="" textlink="">
          <xdr:nvSpPr>
            <xdr:cNvPr id="23558" name="Object 6" hidden="1">
              <a:extLst>
                <a:ext uri="{63B3BB69-23CF-44E3-9099-C40C66FF867C}">
                  <a14:compatExt spid="_x0000_s23558"/>
                </a:ext>
              </a:extLst>
            </xdr:cNvPr>
            <xdr:cNvSpPr/>
          </xdr:nvSpPr>
          <xdr:spPr>
            <a:xfrm>
              <a:off x="0" y="0"/>
              <a:ext cx="0" cy="0"/>
            </a:xfrm>
            <a:prstGeom prst="rect">
              <a:avLst/>
            </a:prstGeom>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247650</xdr:colOff>
          <xdr:row>23</xdr:row>
          <xdr:rowOff>47625</xdr:rowOff>
        </xdr:from>
        <xdr:to>
          <xdr:col>13</xdr:col>
          <xdr:colOff>1552575</xdr:colOff>
          <xdr:row>24</xdr:row>
          <xdr:rowOff>19050</xdr:rowOff>
        </xdr:to>
        <xdr:sp macro="" textlink="">
          <xdr:nvSpPr>
            <xdr:cNvPr id="6146" name="Object 2" hidden="1">
              <a:extLst>
                <a:ext uri="{63B3BB69-23CF-44E3-9099-C40C66FF867C}">
                  <a14:compatExt spid="_x0000_s6146"/>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238125</xdr:colOff>
          <xdr:row>4</xdr:row>
          <xdr:rowOff>47625</xdr:rowOff>
        </xdr:from>
        <xdr:to>
          <xdr:col>2</xdr:col>
          <xdr:colOff>1485900</xdr:colOff>
          <xdr:row>4</xdr:row>
          <xdr:rowOff>704850</xdr:rowOff>
        </xdr:to>
        <xdr:sp macro="" textlink="">
          <xdr:nvSpPr>
            <xdr:cNvPr id="8193" name="Object 1" hidden="1">
              <a:extLst>
                <a:ext uri="{63B3BB69-23CF-44E3-9099-C40C66FF867C}">
                  <a14:compatExt spid="_x0000_s8193"/>
                </a:ext>
              </a:extLst>
            </xdr:cNvPr>
            <xdr:cNvSpPr/>
          </xdr:nvSpPr>
          <xdr:spPr>
            <a:xfrm>
              <a:off x="0" y="0"/>
              <a:ext cx="0" cy="0"/>
            </a:xfrm>
            <a:prstGeom prst="rect">
              <a:avLst/>
            </a:prstGeom>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5</xdr:col>
      <xdr:colOff>495300</xdr:colOff>
      <xdr:row>0</xdr:row>
      <xdr:rowOff>161925</xdr:rowOff>
    </xdr:from>
    <xdr:to>
      <xdr:col>17</xdr:col>
      <xdr:colOff>304800</xdr:colOff>
      <xdr:row>27</xdr:row>
      <xdr:rowOff>66675</xdr:rowOff>
    </xdr:to>
    <xdr:pic>
      <xdr:nvPicPr>
        <xdr:cNvPr id="2" name="Picture 1" descr="C:\Users\arah.joseph\AppData\Local\Temp\Bloomberg\Temp\bfmBC7F.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38725" y="161925"/>
          <a:ext cx="7010400" cy="5048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5.bin"/><Relationship Id="rId5" Type="http://schemas.openxmlformats.org/officeDocument/2006/relationships/image" Target="../media/image4.wmf"/><Relationship Id="rId4" Type="http://schemas.openxmlformats.org/officeDocument/2006/relationships/oleObject" Target="../embeddings/oleObject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w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oleObject" Target="../embeddings/oleObject2.bin"/><Relationship Id="rId5" Type="http://schemas.openxmlformats.org/officeDocument/2006/relationships/image" Target="../media/image1.wmf"/><Relationship Id="rId4" Type="http://schemas.openxmlformats.org/officeDocument/2006/relationships/oleObject" Target="../embeddings/oleObject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1.wmf"/><Relationship Id="rId4" Type="http://schemas.openxmlformats.org/officeDocument/2006/relationships/oleObject" Target="../embeddings/oleObject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7.bin"/><Relationship Id="rId5" Type="http://schemas.openxmlformats.org/officeDocument/2006/relationships/image" Target="../media/image3.wmf"/><Relationship Id="rId4" Type="http://schemas.openxmlformats.org/officeDocument/2006/relationships/oleObject" Target="../embeddings/oleObject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
  <sheetViews>
    <sheetView workbookViewId="0">
      <selection activeCell="J14" sqref="J14"/>
    </sheetView>
  </sheetViews>
  <sheetFormatPr defaultRowHeight="15" x14ac:dyDescent="0.2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BI129"/>
  <sheetViews>
    <sheetView topLeftCell="A58" workbookViewId="0">
      <selection activeCell="AN77" sqref="AN77"/>
    </sheetView>
  </sheetViews>
  <sheetFormatPr defaultColWidth="9.140625" defaultRowHeight="12.75" x14ac:dyDescent="0.2"/>
  <cols>
    <col min="1" max="1" width="43.42578125" style="57" customWidth="1"/>
    <col min="2" max="2" width="22.42578125" style="57" bestFit="1" customWidth="1"/>
    <col min="3" max="3" width="12.28515625" style="57" bestFit="1" customWidth="1"/>
    <col min="4" max="4" width="13.42578125" style="57" bestFit="1" customWidth="1"/>
    <col min="5" max="7" width="12.28515625" style="57" bestFit="1" customWidth="1"/>
    <col min="8" max="8" width="21.42578125" style="57" bestFit="1" customWidth="1"/>
    <col min="9" max="9" width="12.28515625" style="57" bestFit="1" customWidth="1"/>
    <col min="10" max="10" width="12.85546875" style="57" bestFit="1" customWidth="1"/>
    <col min="11" max="11" width="21.42578125" style="57" bestFit="1" customWidth="1"/>
    <col min="12" max="12" width="12.28515625" style="57" bestFit="1" customWidth="1"/>
    <col min="13" max="13" width="12.85546875" style="57" bestFit="1" customWidth="1"/>
    <col min="14" max="14" width="21.42578125" style="57" bestFit="1" customWidth="1"/>
    <col min="15" max="15" width="12.28515625" style="57" bestFit="1" customWidth="1"/>
    <col min="16" max="16" width="12.85546875" style="57" bestFit="1" customWidth="1"/>
    <col min="17" max="17" width="21.42578125" style="57" bestFit="1" customWidth="1"/>
    <col min="18" max="18" width="12.28515625" style="57" bestFit="1" customWidth="1"/>
    <col min="19" max="19" width="12.85546875" style="57" bestFit="1" customWidth="1"/>
    <col min="20" max="20" width="21.42578125" style="57" bestFit="1" customWidth="1"/>
    <col min="21" max="21" width="12.28515625" style="57" bestFit="1" customWidth="1"/>
    <col min="22" max="22" width="12.85546875" style="57" bestFit="1" customWidth="1"/>
    <col min="23" max="23" width="21.42578125" style="57" bestFit="1" customWidth="1"/>
    <col min="24" max="24" width="12.28515625" style="57" bestFit="1" customWidth="1"/>
    <col min="25" max="25" width="12.85546875" style="57" bestFit="1" customWidth="1"/>
    <col min="26" max="26" width="21.42578125" style="57" bestFit="1" customWidth="1"/>
    <col min="27" max="27" width="12.28515625" style="57" bestFit="1" customWidth="1"/>
    <col min="28" max="28" width="12.85546875" style="57" bestFit="1" customWidth="1"/>
    <col min="29" max="29" width="12.28515625" style="57" bestFit="1" customWidth="1"/>
    <col min="30" max="31" width="12.85546875" style="57" bestFit="1" customWidth="1"/>
    <col min="32" max="32" width="12.28515625" style="57" bestFit="1" customWidth="1"/>
    <col min="33" max="34" width="12.85546875" style="57" bestFit="1" customWidth="1"/>
    <col min="35" max="35" width="12.28515625" style="57" bestFit="1" customWidth="1"/>
    <col min="36" max="37" width="12.85546875" style="57" bestFit="1" customWidth="1"/>
    <col min="38" max="38" width="13.42578125" style="57" bestFit="1" customWidth="1"/>
    <col min="39" max="39" width="12.85546875" style="57" bestFit="1" customWidth="1"/>
    <col min="40" max="43" width="13.42578125" style="57" bestFit="1" customWidth="1"/>
    <col min="44" max="57" width="12.85546875" style="57" bestFit="1" customWidth="1"/>
    <col min="58" max="16384" width="9.140625" style="57"/>
  </cols>
  <sheetData>
    <row r="1" spans="1:57" ht="13.5" thickBot="1" x14ac:dyDescent="0.25">
      <c r="A1" s="84" t="s">
        <v>168</v>
      </c>
      <c r="B1" s="85">
        <v>1985</v>
      </c>
      <c r="C1" s="85">
        <v>1985</v>
      </c>
      <c r="D1" s="85">
        <v>1985</v>
      </c>
      <c r="E1" s="85">
        <v>1986</v>
      </c>
      <c r="F1" s="85">
        <v>1986</v>
      </c>
      <c r="G1" s="85">
        <v>1986</v>
      </c>
      <c r="H1" s="85">
        <v>1987</v>
      </c>
      <c r="I1" s="85">
        <v>1987</v>
      </c>
      <c r="J1" s="85">
        <v>1987</v>
      </c>
      <c r="K1" s="85">
        <v>1988</v>
      </c>
      <c r="L1" s="85">
        <v>1988</v>
      </c>
      <c r="M1" s="85">
        <v>1988</v>
      </c>
      <c r="N1" s="85">
        <v>1989</v>
      </c>
      <c r="O1" s="85">
        <v>1989</v>
      </c>
      <c r="P1" s="85">
        <v>1989</v>
      </c>
      <c r="Q1" s="85">
        <v>1990</v>
      </c>
      <c r="R1" s="85">
        <v>1990</v>
      </c>
      <c r="S1" s="85">
        <v>1990</v>
      </c>
      <c r="T1" s="85">
        <v>1991</v>
      </c>
      <c r="U1" s="85">
        <v>1991</v>
      </c>
      <c r="V1" s="85">
        <v>1991</v>
      </c>
      <c r="W1" s="85">
        <v>1992</v>
      </c>
      <c r="X1" s="85">
        <v>1992</v>
      </c>
      <c r="Y1" s="85">
        <v>1992</v>
      </c>
      <c r="Z1" s="85">
        <v>1993</v>
      </c>
      <c r="AA1" s="85">
        <v>1993</v>
      </c>
      <c r="AB1" s="85">
        <v>1993</v>
      </c>
      <c r="AC1" s="85">
        <v>1994</v>
      </c>
      <c r="AD1" s="85">
        <v>1994</v>
      </c>
      <c r="AE1" s="85">
        <v>1994</v>
      </c>
      <c r="AF1" s="85">
        <v>1995</v>
      </c>
      <c r="AG1" s="85">
        <v>1995</v>
      </c>
      <c r="AH1" s="85">
        <v>1995</v>
      </c>
      <c r="AI1" s="85">
        <v>1996</v>
      </c>
      <c r="AJ1" s="85">
        <v>1996</v>
      </c>
      <c r="AK1" s="85">
        <v>1996</v>
      </c>
      <c r="AL1" s="85">
        <v>1997</v>
      </c>
      <c r="AM1" s="85">
        <v>1998</v>
      </c>
      <c r="AN1" s="85">
        <v>1999</v>
      </c>
      <c r="AO1" s="85">
        <v>2000</v>
      </c>
      <c r="AP1" s="85">
        <v>2001</v>
      </c>
      <c r="AQ1" s="85">
        <v>2002</v>
      </c>
      <c r="AR1" s="85">
        <v>2003</v>
      </c>
      <c r="AS1" s="85">
        <v>2004</v>
      </c>
      <c r="AT1" s="85">
        <v>2005</v>
      </c>
      <c r="AU1" s="85">
        <v>2006</v>
      </c>
      <c r="AV1" s="85">
        <v>2007</v>
      </c>
      <c r="AW1" s="85">
        <v>2008</v>
      </c>
      <c r="AX1" s="85">
        <v>2009</v>
      </c>
      <c r="AY1" s="85">
        <v>2010</v>
      </c>
      <c r="AZ1" s="86">
        <v>2011</v>
      </c>
      <c r="BA1" s="86">
        <v>2012</v>
      </c>
      <c r="BB1" s="86">
        <v>2013</v>
      </c>
      <c r="BC1" s="86">
        <v>2014</v>
      </c>
      <c r="BD1" s="86">
        <v>2015</v>
      </c>
      <c r="BE1" s="86">
        <v>2016</v>
      </c>
    </row>
    <row r="2" spans="1:57" ht="13.5" thickBot="1" x14ac:dyDescent="0.25">
      <c r="A2" s="87" t="s">
        <v>169</v>
      </c>
      <c r="B2" s="88" t="s">
        <v>170</v>
      </c>
      <c r="C2" s="84" t="s">
        <v>171</v>
      </c>
      <c r="D2" s="84" t="s">
        <v>172</v>
      </c>
      <c r="E2" s="84" t="s">
        <v>170</v>
      </c>
      <c r="F2" s="84" t="s">
        <v>171</v>
      </c>
      <c r="G2" s="84" t="s">
        <v>172</v>
      </c>
      <c r="H2" s="84" t="s">
        <v>170</v>
      </c>
      <c r="I2" s="84" t="s">
        <v>171</v>
      </c>
      <c r="J2" s="84" t="s">
        <v>172</v>
      </c>
      <c r="K2" s="84" t="s">
        <v>170</v>
      </c>
      <c r="L2" s="84" t="s">
        <v>171</v>
      </c>
      <c r="M2" s="84" t="s">
        <v>172</v>
      </c>
      <c r="N2" s="84" t="s">
        <v>170</v>
      </c>
      <c r="O2" s="84" t="s">
        <v>171</v>
      </c>
      <c r="P2" s="84" t="s">
        <v>172</v>
      </c>
      <c r="Q2" s="84" t="s">
        <v>170</v>
      </c>
      <c r="R2" s="84" t="s">
        <v>171</v>
      </c>
      <c r="S2" s="84" t="s">
        <v>172</v>
      </c>
      <c r="T2" s="84" t="s">
        <v>170</v>
      </c>
      <c r="U2" s="84" t="s">
        <v>171</v>
      </c>
      <c r="V2" s="84" t="s">
        <v>172</v>
      </c>
      <c r="W2" s="84" t="s">
        <v>170</v>
      </c>
      <c r="X2" s="84" t="s">
        <v>171</v>
      </c>
      <c r="Y2" s="84" t="s">
        <v>172</v>
      </c>
      <c r="Z2" s="84" t="s">
        <v>170</v>
      </c>
      <c r="AA2" s="84" t="s">
        <v>171</v>
      </c>
      <c r="AB2" s="84" t="s">
        <v>172</v>
      </c>
      <c r="AC2" s="84" t="s">
        <v>170</v>
      </c>
      <c r="AD2" s="84" t="s">
        <v>171</v>
      </c>
      <c r="AE2" s="84" t="s">
        <v>172</v>
      </c>
      <c r="AF2" s="84" t="s">
        <v>170</v>
      </c>
      <c r="AG2" s="84" t="s">
        <v>171</v>
      </c>
      <c r="AH2" s="84" t="s">
        <v>172</v>
      </c>
      <c r="AI2" s="84" t="s">
        <v>170</v>
      </c>
      <c r="AJ2" s="84" t="s">
        <v>171</v>
      </c>
      <c r="AK2" s="84" t="s">
        <v>172</v>
      </c>
      <c r="AL2" s="84" t="s">
        <v>172</v>
      </c>
      <c r="AM2" s="84" t="s">
        <v>172</v>
      </c>
      <c r="AN2" s="84" t="s">
        <v>172</v>
      </c>
      <c r="AO2" s="84" t="s">
        <v>172</v>
      </c>
      <c r="AP2" s="84" t="s">
        <v>172</v>
      </c>
      <c r="AQ2" s="84" t="s">
        <v>172</v>
      </c>
      <c r="AR2" s="84" t="s">
        <v>172</v>
      </c>
      <c r="AS2" s="84" t="s">
        <v>172</v>
      </c>
      <c r="AT2" s="84" t="s">
        <v>172</v>
      </c>
      <c r="AU2" s="84" t="s">
        <v>172</v>
      </c>
      <c r="AV2" s="84" t="s">
        <v>172</v>
      </c>
      <c r="AW2" s="84" t="s">
        <v>172</v>
      </c>
      <c r="AX2" s="84" t="s">
        <v>172</v>
      </c>
      <c r="AY2" s="84" t="s">
        <v>172</v>
      </c>
      <c r="AZ2" s="89" t="s">
        <v>172</v>
      </c>
      <c r="BA2" s="89" t="s">
        <v>172</v>
      </c>
      <c r="BB2" s="89" t="s">
        <v>172</v>
      </c>
      <c r="BC2" s="89" t="s">
        <v>172</v>
      </c>
      <c r="BD2" s="89" t="s">
        <v>172</v>
      </c>
      <c r="BE2" s="90" t="s">
        <v>172</v>
      </c>
    </row>
    <row r="3" spans="1:57" ht="13.5" thickBot="1" x14ac:dyDescent="0.25">
      <c r="A3" s="91" t="s">
        <v>173</v>
      </c>
      <c r="B3" s="92"/>
      <c r="C3" s="91"/>
      <c r="D3" s="91"/>
      <c r="E3" s="91"/>
      <c r="F3" s="91"/>
      <c r="G3" s="91"/>
      <c r="H3" s="91"/>
      <c r="I3" s="91"/>
      <c r="J3" s="91"/>
      <c r="K3" s="91"/>
      <c r="L3" s="91"/>
      <c r="M3" s="91"/>
      <c r="N3" s="91"/>
      <c r="O3" s="91"/>
      <c r="P3" s="91"/>
      <c r="Q3" s="91"/>
      <c r="R3" s="91"/>
      <c r="S3" s="91"/>
      <c r="T3" s="91"/>
      <c r="U3" s="91"/>
      <c r="V3" s="91"/>
      <c r="W3" s="91"/>
      <c r="X3" s="91"/>
      <c r="Y3" s="91"/>
      <c r="Z3" s="91"/>
      <c r="AA3" s="91"/>
      <c r="AB3" s="91"/>
      <c r="AC3" s="93"/>
      <c r="AD3" s="91"/>
      <c r="AE3" s="91"/>
      <c r="AF3" s="91"/>
      <c r="AG3" s="91"/>
      <c r="AH3" s="91"/>
      <c r="AI3" s="93"/>
      <c r="AJ3" s="91"/>
      <c r="AK3" s="91"/>
      <c r="AL3" s="91"/>
      <c r="AM3" s="91"/>
      <c r="AN3" s="91"/>
      <c r="AO3" s="91"/>
      <c r="AP3" s="91"/>
      <c r="AQ3" s="91"/>
      <c r="AR3" s="91"/>
      <c r="AS3" s="91"/>
      <c r="AT3" s="91"/>
      <c r="AU3" s="91"/>
      <c r="AV3" s="91"/>
      <c r="AW3" s="91"/>
      <c r="AX3" s="91"/>
      <c r="AY3" s="91"/>
      <c r="AZ3" s="91"/>
      <c r="BA3" s="91"/>
      <c r="BB3" s="91"/>
      <c r="BC3" s="91"/>
      <c r="BD3" s="91"/>
      <c r="BE3" s="91"/>
    </row>
    <row r="4" spans="1:57" x14ac:dyDescent="0.2">
      <c r="A4" s="94" t="s">
        <v>174</v>
      </c>
      <c r="B4" s="95">
        <v>81803700</v>
      </c>
      <c r="C4" s="96">
        <v>256775000</v>
      </c>
      <c r="D4" s="96">
        <f>SUM(B4:C4)</f>
        <v>338578700</v>
      </c>
      <c r="E4" s="96">
        <v>92877200</v>
      </c>
      <c r="F4" s="96">
        <v>260575000</v>
      </c>
      <c r="G4" s="96">
        <f>SUM(E4:F4)</f>
        <v>353452200</v>
      </c>
      <c r="H4" s="96">
        <v>97159000</v>
      </c>
      <c r="I4" s="96">
        <v>266275000</v>
      </c>
      <c r="J4" s="96">
        <f>SUM(H4:I4)</f>
        <v>363434000</v>
      </c>
      <c r="K4" s="96">
        <v>117074600</v>
      </c>
      <c r="L4" s="96">
        <v>265100000</v>
      </c>
      <c r="M4" s="96">
        <f>SUM(K4:L4)</f>
        <v>382174600</v>
      </c>
      <c r="N4" s="96">
        <v>117783600</v>
      </c>
      <c r="O4" s="96">
        <v>280450000</v>
      </c>
      <c r="P4" s="96">
        <f>SUM(N4:O4)</f>
        <v>398233600</v>
      </c>
      <c r="Q4" s="96">
        <v>124391100</v>
      </c>
      <c r="R4" s="96">
        <v>284775000</v>
      </c>
      <c r="S4" s="96">
        <f>SUM(Q4:R4)</f>
        <v>409166100</v>
      </c>
      <c r="T4" s="96">
        <v>129595000</v>
      </c>
      <c r="U4" s="96">
        <v>303600000</v>
      </c>
      <c r="V4" s="96">
        <f>SUM(T4:U4)</f>
        <v>433195000</v>
      </c>
      <c r="W4" s="96">
        <v>149713200</v>
      </c>
      <c r="X4" s="96">
        <v>338875000</v>
      </c>
      <c r="Y4" s="96">
        <f>SUM(W4:X4)</f>
        <v>488588200</v>
      </c>
      <c r="Z4" s="96">
        <v>148587800</v>
      </c>
      <c r="AA4" s="96">
        <v>374525000</v>
      </c>
      <c r="AB4" s="96">
        <f>SUM(Z4:AA4)</f>
        <v>523112800</v>
      </c>
      <c r="AC4" s="97">
        <v>159074900</v>
      </c>
      <c r="AD4" s="96">
        <v>362350000</v>
      </c>
      <c r="AE4" s="97">
        <f>SUM(AC4:AD4)</f>
        <v>521424900</v>
      </c>
      <c r="AF4" s="96">
        <v>170294000</v>
      </c>
      <c r="AG4" s="96">
        <v>409400000</v>
      </c>
      <c r="AH4" s="96">
        <f>SUM(AF4:AG4)</f>
        <v>579694000</v>
      </c>
      <c r="AI4" s="98">
        <v>179123905</v>
      </c>
      <c r="AJ4" s="97">
        <v>435500000</v>
      </c>
      <c r="AK4" s="97">
        <f>SUM(AI4:AJ4)</f>
        <v>614623905</v>
      </c>
      <c r="AL4" s="96">
        <v>635500000</v>
      </c>
      <c r="AM4" s="96">
        <v>563600000</v>
      </c>
      <c r="AN4" s="96">
        <v>569200000</v>
      </c>
      <c r="AO4" s="96">
        <v>605300000</v>
      </c>
      <c r="AP4" s="99">
        <v>583985024</v>
      </c>
      <c r="AQ4" s="99">
        <v>630557000</v>
      </c>
      <c r="AR4" s="96">
        <v>641357000</v>
      </c>
      <c r="AS4" s="96">
        <v>649210000</v>
      </c>
      <c r="AT4" s="96">
        <v>639497000</v>
      </c>
      <c r="AU4" s="96">
        <v>606314345</v>
      </c>
      <c r="AV4" s="96">
        <v>655138588</v>
      </c>
      <c r="AW4" s="96">
        <v>675257375</v>
      </c>
      <c r="AX4" s="96">
        <v>658265302</v>
      </c>
      <c r="AY4" s="96">
        <v>699528483</v>
      </c>
      <c r="AZ4" s="96">
        <v>713187740.61000013</v>
      </c>
      <c r="BA4" s="96">
        <v>726695507.09000015</v>
      </c>
      <c r="BB4" s="96">
        <v>758043990.24257302</v>
      </c>
      <c r="BC4" s="96">
        <v>765977650.765028</v>
      </c>
      <c r="BD4" s="96">
        <v>781143131.74000001</v>
      </c>
      <c r="BE4" s="97">
        <v>794228500.63016009</v>
      </c>
    </row>
    <row r="5" spans="1:57" x14ac:dyDescent="0.2">
      <c r="A5" s="100" t="s">
        <v>175</v>
      </c>
      <c r="B5" s="101" t="s">
        <v>176</v>
      </c>
      <c r="C5" s="102">
        <v>6020384.25</v>
      </c>
      <c r="D5" s="103">
        <f>SUM(B5:C5)</f>
        <v>6020384.25</v>
      </c>
      <c r="E5" s="102" t="s">
        <v>176</v>
      </c>
      <c r="F5" s="102">
        <v>9207100.75</v>
      </c>
      <c r="G5" s="104">
        <f>SUM(E5:F5)</f>
        <v>9207100.75</v>
      </c>
      <c r="H5" s="102" t="s">
        <v>176</v>
      </c>
      <c r="I5" s="102">
        <v>10305486</v>
      </c>
      <c r="J5" s="104">
        <f>SUM(H5:I5)</f>
        <v>10305486</v>
      </c>
      <c r="K5" s="102" t="s">
        <v>176</v>
      </c>
      <c r="L5" s="102">
        <v>14436132</v>
      </c>
      <c r="M5" s="104">
        <f>SUM(K5:L5)</f>
        <v>14436132</v>
      </c>
      <c r="N5" s="102" t="s">
        <v>176</v>
      </c>
      <c r="O5" s="102">
        <v>16390871</v>
      </c>
      <c r="P5" s="104">
        <f>SUM(N5:O5)</f>
        <v>16390871</v>
      </c>
      <c r="Q5" s="102" t="s">
        <v>176</v>
      </c>
      <c r="R5" s="102">
        <v>16805651</v>
      </c>
      <c r="S5" s="104">
        <f>SUM(Q5:R5)</f>
        <v>16805651</v>
      </c>
      <c r="T5" s="102" t="s">
        <v>176</v>
      </c>
      <c r="U5" s="102">
        <v>17482808.75</v>
      </c>
      <c r="V5" s="104">
        <f>SUM(T5:U5)</f>
        <v>17482808.75</v>
      </c>
      <c r="W5" s="102" t="s">
        <v>176</v>
      </c>
      <c r="X5" s="102">
        <v>19710721.25</v>
      </c>
      <c r="Y5" s="104">
        <f>SUM(W5:X5)</f>
        <v>19710721.25</v>
      </c>
      <c r="Z5" s="102" t="s">
        <v>176</v>
      </c>
      <c r="AA5" s="102">
        <v>23453576.75</v>
      </c>
      <c r="AB5" s="104">
        <f>SUM(Z5:AA5)</f>
        <v>23453576.75</v>
      </c>
      <c r="AC5" s="102" t="s">
        <v>176</v>
      </c>
      <c r="AD5" s="102">
        <v>24321577.25</v>
      </c>
      <c r="AE5" s="104">
        <f>SUM(AC5:AD5)</f>
        <v>24321577.25</v>
      </c>
      <c r="AF5" s="102" t="s">
        <v>176</v>
      </c>
      <c r="AG5" s="102">
        <v>24642000</v>
      </c>
      <c r="AH5" s="104">
        <f>SUM(AF5:AG5)</f>
        <v>24642000</v>
      </c>
      <c r="AI5" s="102" t="s">
        <v>176</v>
      </c>
      <c r="AJ5" s="102">
        <v>25269800</v>
      </c>
      <c r="AK5" s="104">
        <f>SUM(AI5:AJ5)</f>
        <v>25269800</v>
      </c>
      <c r="AL5" s="102">
        <v>25600000</v>
      </c>
      <c r="AM5" s="102">
        <v>28300000</v>
      </c>
      <c r="AN5" s="102">
        <v>23010000</v>
      </c>
      <c r="AO5" s="105">
        <v>29150000</v>
      </c>
      <c r="AP5" s="105">
        <v>34666000</v>
      </c>
      <c r="AQ5" s="105">
        <v>53176000</v>
      </c>
      <c r="AR5" s="106">
        <v>47208000</v>
      </c>
      <c r="AS5" s="106">
        <v>47766000</v>
      </c>
      <c r="AT5" s="106">
        <v>49799000</v>
      </c>
      <c r="AU5" s="107">
        <v>0</v>
      </c>
      <c r="AV5" s="107">
        <v>0</v>
      </c>
      <c r="AW5" s="107">
        <v>0</v>
      </c>
      <c r="AX5" s="107">
        <v>0</v>
      </c>
      <c r="AY5" s="107">
        <v>0</v>
      </c>
      <c r="AZ5" s="107">
        <v>0</v>
      </c>
      <c r="BA5" s="107">
        <v>0</v>
      </c>
      <c r="BB5" s="107">
        <v>8844000</v>
      </c>
      <c r="BC5" s="107">
        <v>7783000</v>
      </c>
      <c r="BD5" s="107">
        <v>7368000</v>
      </c>
      <c r="BE5" s="107">
        <v>8503000</v>
      </c>
    </row>
    <row r="6" spans="1:57" x14ac:dyDescent="0.2">
      <c r="A6" s="108" t="s">
        <v>177</v>
      </c>
      <c r="B6" s="101" t="s">
        <v>176</v>
      </c>
      <c r="C6" s="102">
        <v>28547115.75</v>
      </c>
      <c r="D6" s="104">
        <f t="shared" ref="D6:D82" si="0">SUM(B6:C6)</f>
        <v>28547115.75</v>
      </c>
      <c r="E6" s="102" t="s">
        <v>176</v>
      </c>
      <c r="F6" s="102">
        <v>44608649.25</v>
      </c>
      <c r="G6" s="104">
        <f t="shared" ref="G6:G82" si="1">SUM(E6:F6)</f>
        <v>44608649.25</v>
      </c>
      <c r="H6" s="102" t="s">
        <v>176</v>
      </c>
      <c r="I6" s="102">
        <v>54433014</v>
      </c>
      <c r="J6" s="104">
        <f t="shared" ref="J6:J82" si="2">SUM(H6:I6)</f>
        <v>54433014</v>
      </c>
      <c r="K6" s="102" t="s">
        <v>176</v>
      </c>
      <c r="L6" s="102">
        <v>59256618</v>
      </c>
      <c r="M6" s="104">
        <f t="shared" ref="M6:M82" si="3">SUM(K6:L6)</f>
        <v>59256618</v>
      </c>
      <c r="N6" s="102" t="s">
        <v>176</v>
      </c>
      <c r="O6" s="102">
        <v>63049879</v>
      </c>
      <c r="P6" s="104">
        <f t="shared" ref="P6:P82" si="4">SUM(N6:O6)</f>
        <v>63049879</v>
      </c>
      <c r="Q6" s="102" t="s">
        <v>176</v>
      </c>
      <c r="R6" s="102">
        <v>78547349</v>
      </c>
      <c r="S6" s="104">
        <f t="shared" ref="S6:S82" si="5">SUM(Q6:R6)</f>
        <v>78547349</v>
      </c>
      <c r="T6" s="102" t="s">
        <v>176</v>
      </c>
      <c r="U6" s="102">
        <v>105978941.25</v>
      </c>
      <c r="V6" s="104">
        <f t="shared" ref="V6:V82" si="6">SUM(T6:U6)</f>
        <v>105978941.25</v>
      </c>
      <c r="W6" s="102" t="s">
        <v>176</v>
      </c>
      <c r="X6" s="102">
        <v>119064278.75</v>
      </c>
      <c r="Y6" s="104">
        <f t="shared" ref="Y6:Y82" si="7">SUM(W6:X6)</f>
        <v>119064278.75</v>
      </c>
      <c r="Z6" s="102" t="s">
        <v>176</v>
      </c>
      <c r="AA6" s="102">
        <v>130896423.25</v>
      </c>
      <c r="AB6" s="104">
        <f t="shared" ref="AB6:AB82" si="8">SUM(Z6:AA6)</f>
        <v>130896423.25</v>
      </c>
      <c r="AC6" s="102" t="s">
        <v>176</v>
      </c>
      <c r="AD6" s="102">
        <v>136703422.75</v>
      </c>
      <c r="AE6" s="104">
        <f t="shared" ref="AE6:AE82" si="9">SUM(AC6:AD6)</f>
        <v>136703422.75</v>
      </c>
      <c r="AF6" s="102" t="s">
        <v>176</v>
      </c>
      <c r="AG6" s="102">
        <v>124158000</v>
      </c>
      <c r="AH6" s="104">
        <f t="shared" ref="AH6:AH82" si="10">SUM(AF6:AG6)</f>
        <v>124158000</v>
      </c>
      <c r="AI6" s="102" t="s">
        <v>176</v>
      </c>
      <c r="AJ6" s="102">
        <v>131730200</v>
      </c>
      <c r="AK6" s="104">
        <f t="shared" ref="AK6:AK82" si="11">SUM(AI6:AJ6)</f>
        <v>131730200</v>
      </c>
      <c r="AL6" s="102">
        <v>126900000</v>
      </c>
      <c r="AM6" s="102">
        <v>122600000</v>
      </c>
      <c r="AN6" s="102">
        <v>117719000</v>
      </c>
      <c r="AO6" s="105">
        <v>121985000</v>
      </c>
      <c r="AP6" s="105">
        <v>116559000</v>
      </c>
      <c r="AQ6" s="105">
        <v>126066000</v>
      </c>
      <c r="AR6" s="106">
        <v>121892000</v>
      </c>
      <c r="AS6" s="106">
        <v>122986000</v>
      </c>
      <c r="AT6" s="106">
        <v>122518000</v>
      </c>
      <c r="AU6" s="106">
        <v>121649000</v>
      </c>
      <c r="AV6" s="106">
        <v>126271000</v>
      </c>
      <c r="AW6" s="106">
        <v>165087000</v>
      </c>
      <c r="AX6" s="106">
        <v>177325000</v>
      </c>
      <c r="AY6" s="106">
        <v>183331000</v>
      </c>
      <c r="AZ6" s="109">
        <v>193605000</v>
      </c>
      <c r="BA6" s="109">
        <v>210188000</v>
      </c>
      <c r="BB6" s="109">
        <v>160108000</v>
      </c>
      <c r="BC6" s="109">
        <v>151373000</v>
      </c>
      <c r="BD6" s="109">
        <v>156244000</v>
      </c>
      <c r="BE6" s="110">
        <v>182647000</v>
      </c>
    </row>
    <row r="7" spans="1:57" x14ac:dyDescent="0.2">
      <c r="A7" s="108" t="s">
        <v>178</v>
      </c>
      <c r="B7" s="111" t="s">
        <v>176</v>
      </c>
      <c r="C7" s="102">
        <v>16957800</v>
      </c>
      <c r="D7" s="104">
        <f t="shared" si="0"/>
        <v>16957800</v>
      </c>
      <c r="E7" s="102" t="s">
        <v>176</v>
      </c>
      <c r="F7" s="102">
        <v>23248350</v>
      </c>
      <c r="G7" s="104">
        <f t="shared" si="1"/>
        <v>23248350</v>
      </c>
      <c r="H7" s="102" t="s">
        <v>176</v>
      </c>
      <c r="I7" s="102">
        <v>29245000</v>
      </c>
      <c r="J7" s="104">
        <f t="shared" si="2"/>
        <v>29245000</v>
      </c>
      <c r="K7" s="102" t="s">
        <v>176</v>
      </c>
      <c r="L7" s="102">
        <v>34388250</v>
      </c>
      <c r="M7" s="104">
        <f t="shared" si="3"/>
        <v>34388250</v>
      </c>
      <c r="N7" s="102" t="s">
        <v>176</v>
      </c>
      <c r="O7" s="102">
        <v>32460000</v>
      </c>
      <c r="P7" s="104">
        <f t="shared" si="4"/>
        <v>32460000</v>
      </c>
      <c r="Q7" s="102" t="s">
        <v>176</v>
      </c>
      <c r="R7" s="102">
        <v>34586000</v>
      </c>
      <c r="S7" s="104">
        <f t="shared" si="5"/>
        <v>34586000</v>
      </c>
      <c r="T7" s="102" t="s">
        <v>176</v>
      </c>
      <c r="U7" s="102">
        <v>26423250</v>
      </c>
      <c r="V7" s="104">
        <f t="shared" si="6"/>
        <v>26423250</v>
      </c>
      <c r="W7" s="102" t="s">
        <v>176</v>
      </c>
      <c r="X7" s="102">
        <v>22218750</v>
      </c>
      <c r="Y7" s="104">
        <f t="shared" si="7"/>
        <v>22218750</v>
      </c>
      <c r="Z7" s="102" t="s">
        <v>176</v>
      </c>
      <c r="AA7" s="102">
        <v>21989250</v>
      </c>
      <c r="AB7" s="104">
        <f t="shared" si="8"/>
        <v>21989250</v>
      </c>
      <c r="AC7" s="102" t="s">
        <v>176</v>
      </c>
      <c r="AD7" s="102">
        <v>23509750</v>
      </c>
      <c r="AE7" s="104">
        <f t="shared" si="9"/>
        <v>23509750</v>
      </c>
      <c r="AF7" s="102" t="s">
        <v>176</v>
      </c>
      <c r="AG7" s="102">
        <v>26420000</v>
      </c>
      <c r="AH7" s="104">
        <f t="shared" si="10"/>
        <v>26420000</v>
      </c>
      <c r="AI7" s="102" t="s">
        <v>176</v>
      </c>
      <c r="AJ7" s="102">
        <v>25345000</v>
      </c>
      <c r="AK7" s="104">
        <f t="shared" si="11"/>
        <v>25345000</v>
      </c>
      <c r="AL7" s="102">
        <v>29432000</v>
      </c>
      <c r="AM7" s="102">
        <v>27559000</v>
      </c>
      <c r="AN7" s="102" t="s">
        <v>176</v>
      </c>
      <c r="AO7" s="102" t="s">
        <v>176</v>
      </c>
      <c r="AP7" s="102" t="s">
        <v>176</v>
      </c>
      <c r="AQ7" s="102" t="s">
        <v>176</v>
      </c>
      <c r="AR7" s="102" t="s">
        <v>176</v>
      </c>
      <c r="AS7" s="102" t="s">
        <v>176</v>
      </c>
      <c r="AT7" s="102" t="s">
        <v>176</v>
      </c>
      <c r="AU7" s="102" t="s">
        <v>176</v>
      </c>
      <c r="AV7" s="102" t="s">
        <v>176</v>
      </c>
      <c r="AW7" s="102" t="s">
        <v>176</v>
      </c>
      <c r="AX7" s="102" t="s">
        <v>176</v>
      </c>
      <c r="AY7" s="102" t="s">
        <v>176</v>
      </c>
      <c r="AZ7" s="102" t="s">
        <v>176</v>
      </c>
      <c r="BA7" s="102" t="s">
        <v>176</v>
      </c>
      <c r="BB7" s="102" t="s">
        <v>176</v>
      </c>
      <c r="BC7" s="102" t="s">
        <v>176</v>
      </c>
      <c r="BD7" s="102" t="s">
        <v>176</v>
      </c>
      <c r="BE7" s="102" t="s">
        <v>176</v>
      </c>
    </row>
    <row r="8" spans="1:57" x14ac:dyDescent="0.2">
      <c r="A8" s="108" t="s">
        <v>179</v>
      </c>
      <c r="B8" s="111" t="s">
        <v>180</v>
      </c>
      <c r="C8" s="102">
        <v>1621275</v>
      </c>
      <c r="D8" s="112">
        <f t="shared" si="0"/>
        <v>1621275</v>
      </c>
      <c r="E8" s="102" t="s">
        <v>180</v>
      </c>
      <c r="F8" s="102">
        <v>2222675</v>
      </c>
      <c r="G8" s="106">
        <f t="shared" si="1"/>
        <v>2222675</v>
      </c>
      <c r="H8" s="113">
        <v>4970647.6021741629</v>
      </c>
      <c r="I8" s="102">
        <v>2940500</v>
      </c>
      <c r="J8" s="113">
        <f t="shared" si="2"/>
        <v>7911147.6021741629</v>
      </c>
      <c r="K8" s="113">
        <v>8906716.9235204402</v>
      </c>
      <c r="L8" s="102">
        <v>4313000</v>
      </c>
      <c r="M8" s="113">
        <f t="shared" si="3"/>
        <v>13219716.92352044</v>
      </c>
      <c r="N8" s="102">
        <v>11898000</v>
      </c>
      <c r="O8" s="102">
        <v>5849500</v>
      </c>
      <c r="P8" s="102">
        <f t="shared" si="4"/>
        <v>17747500</v>
      </c>
      <c r="Q8" s="102">
        <v>13249000</v>
      </c>
      <c r="R8" s="102">
        <v>6469750</v>
      </c>
      <c r="S8" s="102">
        <f t="shared" si="5"/>
        <v>19718750</v>
      </c>
      <c r="T8" s="102">
        <v>14725000</v>
      </c>
      <c r="U8" s="102">
        <v>6548750</v>
      </c>
      <c r="V8" s="102">
        <f t="shared" si="6"/>
        <v>21273750</v>
      </c>
      <c r="W8" s="102">
        <v>16107000</v>
      </c>
      <c r="X8" s="102">
        <v>6184500</v>
      </c>
      <c r="Y8" s="102">
        <f t="shared" si="7"/>
        <v>22291500</v>
      </c>
      <c r="Z8" s="102">
        <v>17548000</v>
      </c>
      <c r="AA8" s="102">
        <v>6806250</v>
      </c>
      <c r="AB8" s="102">
        <f t="shared" si="8"/>
        <v>24354250</v>
      </c>
      <c r="AC8" s="106">
        <v>14845677</v>
      </c>
      <c r="AD8" s="106">
        <v>7763500</v>
      </c>
      <c r="AE8" s="106">
        <f t="shared" si="9"/>
        <v>22609177</v>
      </c>
      <c r="AF8" s="98">
        <v>19236002</v>
      </c>
      <c r="AG8" s="102">
        <v>8951000</v>
      </c>
      <c r="AH8" s="106">
        <f t="shared" si="10"/>
        <v>28187002</v>
      </c>
      <c r="AI8" s="98">
        <v>27200619</v>
      </c>
      <c r="AJ8" s="106">
        <v>10763000</v>
      </c>
      <c r="AK8" s="106">
        <f t="shared" si="11"/>
        <v>37963619</v>
      </c>
      <c r="AL8" s="102">
        <v>16233000</v>
      </c>
      <c r="AM8" s="102">
        <v>17539000</v>
      </c>
      <c r="AN8" s="102" t="s">
        <v>176</v>
      </c>
      <c r="AO8" s="102" t="s">
        <v>176</v>
      </c>
      <c r="AP8" s="102" t="s">
        <v>176</v>
      </c>
      <c r="AQ8" s="102" t="s">
        <v>176</v>
      </c>
      <c r="AR8" s="102" t="s">
        <v>176</v>
      </c>
      <c r="AS8" s="102" t="s">
        <v>176</v>
      </c>
      <c r="AT8" s="102" t="s">
        <v>176</v>
      </c>
      <c r="AU8" s="102" t="s">
        <v>176</v>
      </c>
      <c r="AV8" s="102" t="s">
        <v>176</v>
      </c>
      <c r="AW8" s="102" t="s">
        <v>176</v>
      </c>
      <c r="AX8" s="102" t="s">
        <v>176</v>
      </c>
      <c r="AY8" s="102" t="s">
        <v>176</v>
      </c>
      <c r="AZ8" s="102" t="s">
        <v>176</v>
      </c>
      <c r="BA8" s="102" t="s">
        <v>176</v>
      </c>
      <c r="BB8" s="102" t="s">
        <v>176</v>
      </c>
      <c r="BC8" s="102" t="s">
        <v>176</v>
      </c>
      <c r="BD8" s="102" t="s">
        <v>176</v>
      </c>
      <c r="BE8" s="102" t="s">
        <v>176</v>
      </c>
    </row>
    <row r="9" spans="1:57" ht="13.5" thickBot="1" x14ac:dyDescent="0.25">
      <c r="A9" s="114" t="s">
        <v>181</v>
      </c>
      <c r="B9" s="115" t="s">
        <v>180</v>
      </c>
      <c r="C9" s="116">
        <v>9770925</v>
      </c>
      <c r="D9" s="117">
        <f t="shared" si="0"/>
        <v>9770925</v>
      </c>
      <c r="E9" s="116">
        <v>7258000</v>
      </c>
      <c r="F9" s="116">
        <v>15077725</v>
      </c>
      <c r="G9" s="116">
        <f t="shared" si="1"/>
        <v>22335725</v>
      </c>
      <c r="H9" s="118">
        <v>15596372.180033617</v>
      </c>
      <c r="I9" s="116">
        <v>17576750</v>
      </c>
      <c r="J9" s="118">
        <f t="shared" si="2"/>
        <v>33173122.180033617</v>
      </c>
      <c r="K9" s="116">
        <v>8852700</v>
      </c>
      <c r="L9" s="116">
        <v>19493750</v>
      </c>
      <c r="M9" s="116">
        <f t="shared" si="3"/>
        <v>28346450</v>
      </c>
      <c r="N9" s="116">
        <v>9744500</v>
      </c>
      <c r="O9" s="116">
        <v>21299750</v>
      </c>
      <c r="P9" s="116">
        <f t="shared" si="4"/>
        <v>31044250</v>
      </c>
      <c r="Q9" s="116">
        <v>10811400</v>
      </c>
      <c r="R9" s="116">
        <v>23816250</v>
      </c>
      <c r="S9" s="116">
        <f t="shared" si="5"/>
        <v>34627650</v>
      </c>
      <c r="T9" s="116">
        <v>12219200</v>
      </c>
      <c r="U9" s="116">
        <v>26980250</v>
      </c>
      <c r="V9" s="116">
        <f t="shared" si="6"/>
        <v>39199450</v>
      </c>
      <c r="W9" s="116">
        <v>13725100</v>
      </c>
      <c r="X9" s="116">
        <v>31400000</v>
      </c>
      <c r="Y9" s="116">
        <f t="shared" si="7"/>
        <v>45125100</v>
      </c>
      <c r="Z9" s="116">
        <v>15583400</v>
      </c>
      <c r="AA9" s="116">
        <v>36325500</v>
      </c>
      <c r="AB9" s="116">
        <f t="shared" si="8"/>
        <v>51908900</v>
      </c>
      <c r="AC9" s="119">
        <v>17980403</v>
      </c>
      <c r="AD9" s="119">
        <v>39392000</v>
      </c>
      <c r="AE9" s="119">
        <f t="shared" si="9"/>
        <v>57372403</v>
      </c>
      <c r="AF9" s="119">
        <v>20732904</v>
      </c>
      <c r="AG9" s="116">
        <v>45246000</v>
      </c>
      <c r="AH9" s="119">
        <f t="shared" si="10"/>
        <v>65978904</v>
      </c>
      <c r="AI9" s="118">
        <v>23220614.202360429</v>
      </c>
      <c r="AJ9" s="116">
        <v>50675000</v>
      </c>
      <c r="AK9" s="118">
        <f t="shared" si="11"/>
        <v>73895614.202360421</v>
      </c>
      <c r="AL9" s="116">
        <v>90644000</v>
      </c>
      <c r="AM9" s="116">
        <v>94718000</v>
      </c>
      <c r="AN9" s="116" t="s">
        <v>176</v>
      </c>
      <c r="AO9" s="116" t="s">
        <v>176</v>
      </c>
      <c r="AP9" s="116" t="s">
        <v>176</v>
      </c>
      <c r="AQ9" s="116" t="s">
        <v>176</v>
      </c>
      <c r="AR9" s="116" t="s">
        <v>176</v>
      </c>
      <c r="AS9" s="116" t="s">
        <v>176</v>
      </c>
      <c r="AT9" s="116" t="s">
        <v>176</v>
      </c>
      <c r="AU9" s="116" t="s">
        <v>176</v>
      </c>
      <c r="AV9" s="116" t="s">
        <v>176</v>
      </c>
      <c r="AW9" s="116" t="s">
        <v>176</v>
      </c>
      <c r="AX9" s="116" t="s">
        <v>176</v>
      </c>
      <c r="AY9" s="116" t="s">
        <v>176</v>
      </c>
      <c r="AZ9" s="116" t="s">
        <v>176</v>
      </c>
      <c r="BA9" s="116" t="s">
        <v>176</v>
      </c>
      <c r="BB9" s="116" t="s">
        <v>176</v>
      </c>
      <c r="BC9" s="116" t="s">
        <v>176</v>
      </c>
      <c r="BD9" s="116" t="s">
        <v>176</v>
      </c>
      <c r="BE9" s="116" t="s">
        <v>176</v>
      </c>
    </row>
    <row r="10" spans="1:57" ht="13.5" thickBot="1" x14ac:dyDescent="0.25">
      <c r="A10" s="120" t="s">
        <v>182</v>
      </c>
      <c r="B10" s="121"/>
      <c r="C10" s="122"/>
      <c r="D10" s="123">
        <f t="shared" ref="D10:BE10" si="12">SUM(D4:D9)</f>
        <v>401496200</v>
      </c>
      <c r="E10" s="124">
        <f t="shared" si="12"/>
        <v>100135200</v>
      </c>
      <c r="F10" s="124">
        <f t="shared" si="12"/>
        <v>354939500</v>
      </c>
      <c r="G10" s="123">
        <f t="shared" si="12"/>
        <v>455074700</v>
      </c>
      <c r="H10" s="124">
        <f t="shared" si="12"/>
        <v>117726019.78220779</v>
      </c>
      <c r="I10" s="124">
        <f t="shared" si="12"/>
        <v>380775750</v>
      </c>
      <c r="J10" s="123">
        <f t="shared" si="12"/>
        <v>498501769.78220779</v>
      </c>
      <c r="K10" s="124">
        <f t="shared" si="12"/>
        <v>134834016.92352045</v>
      </c>
      <c r="L10" s="124">
        <f t="shared" si="12"/>
        <v>396987750</v>
      </c>
      <c r="M10" s="123">
        <f t="shared" si="12"/>
        <v>531821766.92352045</v>
      </c>
      <c r="N10" s="124">
        <f t="shared" si="12"/>
        <v>139426100</v>
      </c>
      <c r="O10" s="124">
        <f t="shared" si="12"/>
        <v>419500000</v>
      </c>
      <c r="P10" s="124">
        <f t="shared" si="12"/>
        <v>558926100</v>
      </c>
      <c r="Q10" s="124">
        <f t="shared" si="12"/>
        <v>148451500</v>
      </c>
      <c r="R10" s="124">
        <f t="shared" si="12"/>
        <v>445000000</v>
      </c>
      <c r="S10" s="124">
        <f t="shared" si="12"/>
        <v>593451500</v>
      </c>
      <c r="T10" s="124">
        <f t="shared" si="12"/>
        <v>156539200</v>
      </c>
      <c r="U10" s="124">
        <f t="shared" si="12"/>
        <v>487014000</v>
      </c>
      <c r="V10" s="124">
        <f t="shared" si="12"/>
        <v>643553200</v>
      </c>
      <c r="W10" s="124">
        <f t="shared" si="12"/>
        <v>179545300</v>
      </c>
      <c r="X10" s="124">
        <f t="shared" si="12"/>
        <v>537453250</v>
      </c>
      <c r="Y10" s="124">
        <f t="shared" si="12"/>
        <v>716998550</v>
      </c>
      <c r="Z10" s="124">
        <f t="shared" si="12"/>
        <v>181719200</v>
      </c>
      <c r="AA10" s="124">
        <f t="shared" si="12"/>
        <v>593996000</v>
      </c>
      <c r="AB10" s="124">
        <f t="shared" si="12"/>
        <v>775715200</v>
      </c>
      <c r="AC10" s="124">
        <f t="shared" si="12"/>
        <v>191900980</v>
      </c>
      <c r="AD10" s="124">
        <f t="shared" si="12"/>
        <v>594040250</v>
      </c>
      <c r="AE10" s="124">
        <f t="shared" si="12"/>
        <v>785941230</v>
      </c>
      <c r="AF10" s="124">
        <f t="shared" si="12"/>
        <v>210262906</v>
      </c>
      <c r="AG10" s="124">
        <f t="shared" si="12"/>
        <v>638817000</v>
      </c>
      <c r="AH10" s="124">
        <f t="shared" si="12"/>
        <v>849079906</v>
      </c>
      <c r="AI10" s="124">
        <f t="shared" si="12"/>
        <v>229545138.20236042</v>
      </c>
      <c r="AJ10" s="124">
        <f t="shared" si="12"/>
        <v>679283000</v>
      </c>
      <c r="AK10" s="123">
        <f t="shared" si="12"/>
        <v>908828138.20236039</v>
      </c>
      <c r="AL10" s="124">
        <f t="shared" si="12"/>
        <v>924309000</v>
      </c>
      <c r="AM10" s="124">
        <f t="shared" si="12"/>
        <v>854316000</v>
      </c>
      <c r="AN10" s="124">
        <f t="shared" si="12"/>
        <v>709929000</v>
      </c>
      <c r="AO10" s="124">
        <f t="shared" si="12"/>
        <v>756435000</v>
      </c>
      <c r="AP10" s="124">
        <f t="shared" si="12"/>
        <v>735210024</v>
      </c>
      <c r="AQ10" s="124">
        <f t="shared" si="12"/>
        <v>809799000</v>
      </c>
      <c r="AR10" s="124">
        <f t="shared" si="12"/>
        <v>810457000</v>
      </c>
      <c r="AS10" s="124">
        <f t="shared" si="12"/>
        <v>819962000</v>
      </c>
      <c r="AT10" s="124">
        <f t="shared" si="12"/>
        <v>811814000</v>
      </c>
      <c r="AU10" s="125">
        <f t="shared" si="12"/>
        <v>727963345</v>
      </c>
      <c r="AV10" s="125">
        <f t="shared" si="12"/>
        <v>781409588</v>
      </c>
      <c r="AW10" s="125">
        <f t="shared" si="12"/>
        <v>840344375</v>
      </c>
      <c r="AX10" s="125">
        <f t="shared" si="12"/>
        <v>835590302</v>
      </c>
      <c r="AY10" s="125">
        <f t="shared" si="12"/>
        <v>882859483</v>
      </c>
      <c r="AZ10" s="125">
        <f t="shared" si="12"/>
        <v>906792740.61000013</v>
      </c>
      <c r="BA10" s="125">
        <f t="shared" si="12"/>
        <v>936883507.09000015</v>
      </c>
      <c r="BB10" s="125">
        <f t="shared" si="12"/>
        <v>926995990.24257302</v>
      </c>
      <c r="BC10" s="125">
        <f t="shared" si="12"/>
        <v>925133650.765028</v>
      </c>
      <c r="BD10" s="125">
        <f t="shared" si="12"/>
        <v>944755131.74000001</v>
      </c>
      <c r="BE10" s="125">
        <f t="shared" si="12"/>
        <v>985378500.63016009</v>
      </c>
    </row>
    <row r="11" spans="1:57" ht="13.5" thickBot="1" x14ac:dyDescent="0.25">
      <c r="A11" s="126" t="s">
        <v>183</v>
      </c>
      <c r="B11" s="121"/>
      <c r="C11" s="122"/>
      <c r="D11" s="123"/>
      <c r="E11" s="124"/>
      <c r="F11" s="124"/>
      <c r="G11" s="123"/>
      <c r="H11" s="124"/>
      <c r="I11" s="124"/>
      <c r="J11" s="123"/>
      <c r="K11" s="124"/>
      <c r="L11" s="124"/>
      <c r="M11" s="123"/>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3"/>
      <c r="AL11" s="124"/>
      <c r="AM11" s="124"/>
      <c r="AN11" s="124"/>
      <c r="AO11" s="124"/>
      <c r="AP11" s="124"/>
      <c r="AQ11" s="124"/>
      <c r="AR11" s="124"/>
      <c r="AS11" s="124"/>
      <c r="AT11" s="124"/>
      <c r="AU11" s="127">
        <v>69641000</v>
      </c>
      <c r="AV11" s="127">
        <v>86492000</v>
      </c>
      <c r="AW11" s="127">
        <v>78230000</v>
      </c>
      <c r="AX11" s="127">
        <v>119909000</v>
      </c>
      <c r="AY11" s="127">
        <v>123904000</v>
      </c>
      <c r="AZ11" s="127">
        <v>116314000</v>
      </c>
      <c r="BA11" s="127">
        <v>111225000</v>
      </c>
      <c r="BB11" s="127">
        <v>81828000</v>
      </c>
      <c r="BC11" s="127">
        <v>74546000</v>
      </c>
      <c r="BD11" s="127">
        <v>75794000</v>
      </c>
      <c r="BE11" s="107">
        <v>87095000</v>
      </c>
    </row>
    <row r="12" spans="1:57" ht="13.5" thickBot="1" x14ac:dyDescent="0.25">
      <c r="A12" s="91" t="s">
        <v>184</v>
      </c>
      <c r="B12" s="128"/>
      <c r="C12" s="128"/>
      <c r="D12" s="128"/>
      <c r="E12" s="128"/>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8"/>
      <c r="AY12" s="128"/>
      <c r="AZ12" s="128"/>
      <c r="BA12" s="128"/>
      <c r="BB12" s="128"/>
      <c r="BC12" s="128"/>
      <c r="BD12" s="128"/>
      <c r="BE12" s="128"/>
    </row>
    <row r="13" spans="1:57" x14ac:dyDescent="0.2">
      <c r="A13" s="108" t="s">
        <v>185</v>
      </c>
      <c r="B13" s="129">
        <v>149465</v>
      </c>
      <c r="C13" s="130">
        <v>388683</v>
      </c>
      <c r="D13" s="130">
        <f t="shared" si="0"/>
        <v>538148</v>
      </c>
      <c r="E13" s="130">
        <v>154312</v>
      </c>
      <c r="F13" s="130">
        <v>530623.5</v>
      </c>
      <c r="G13" s="130">
        <f t="shared" si="1"/>
        <v>684935.5</v>
      </c>
      <c r="H13" s="130">
        <v>159354</v>
      </c>
      <c r="I13" s="130">
        <v>548891.25</v>
      </c>
      <c r="J13" s="130">
        <f t="shared" si="2"/>
        <v>708245.25</v>
      </c>
      <c r="K13" s="130">
        <v>167684</v>
      </c>
      <c r="L13" s="130">
        <v>568895.25</v>
      </c>
      <c r="M13" s="130">
        <f t="shared" si="3"/>
        <v>736579.25</v>
      </c>
      <c r="N13" s="130">
        <v>175056</v>
      </c>
      <c r="O13" s="130">
        <v>590374.25</v>
      </c>
      <c r="P13" s="130">
        <f t="shared" si="4"/>
        <v>765430.25</v>
      </c>
      <c r="Q13" s="130">
        <v>182522</v>
      </c>
      <c r="R13" s="130">
        <v>609100.25</v>
      </c>
      <c r="S13" s="130">
        <f t="shared" si="5"/>
        <v>791622.25</v>
      </c>
      <c r="T13" s="130">
        <v>190086</v>
      </c>
      <c r="U13" s="130">
        <v>627786.25</v>
      </c>
      <c r="V13" s="130">
        <f t="shared" si="6"/>
        <v>817872.25</v>
      </c>
      <c r="W13" s="130">
        <v>201180</v>
      </c>
      <c r="X13" s="130">
        <v>650550.75</v>
      </c>
      <c r="Y13" s="130">
        <f t="shared" si="7"/>
        <v>851730.75</v>
      </c>
      <c r="Z13" s="130">
        <v>214309</v>
      </c>
      <c r="AA13" s="130">
        <v>677626</v>
      </c>
      <c r="AB13" s="130">
        <f t="shared" si="8"/>
        <v>891935</v>
      </c>
      <c r="AC13" s="130">
        <v>226137</v>
      </c>
      <c r="AD13" s="130">
        <v>705186.5</v>
      </c>
      <c r="AE13" s="130">
        <f t="shared" si="9"/>
        <v>931323.5</v>
      </c>
      <c r="AF13" s="130">
        <v>236585</v>
      </c>
      <c r="AG13" s="130">
        <v>728471</v>
      </c>
      <c r="AH13" s="130">
        <f t="shared" si="10"/>
        <v>965056</v>
      </c>
      <c r="AI13" s="131">
        <v>246740</v>
      </c>
      <c r="AJ13" s="130">
        <v>755256</v>
      </c>
      <c r="AK13" s="130">
        <f t="shared" si="11"/>
        <v>1001996</v>
      </c>
      <c r="AL13" s="130">
        <v>1040624</v>
      </c>
      <c r="AM13" s="130">
        <v>1075203</v>
      </c>
      <c r="AN13" s="130">
        <v>1103636</v>
      </c>
      <c r="AO13" s="130">
        <v>1123523</v>
      </c>
      <c r="AP13" s="130">
        <v>1146376</v>
      </c>
      <c r="AQ13" s="130">
        <v>1171277</v>
      </c>
      <c r="AR13" s="130">
        <v>1195115</v>
      </c>
      <c r="AS13" s="130">
        <v>1224276</v>
      </c>
      <c r="AT13" s="130">
        <v>1248510</v>
      </c>
      <c r="AU13" s="130">
        <v>1267900</v>
      </c>
      <c r="AV13" s="130">
        <v>1289360</v>
      </c>
      <c r="AW13" s="130">
        <v>1309430</v>
      </c>
      <c r="AX13" s="130">
        <v>1325043</v>
      </c>
      <c r="AY13" s="130">
        <v>1343795</v>
      </c>
      <c r="AZ13" s="130">
        <v>1360056</v>
      </c>
      <c r="BA13" s="130">
        <v>1378953</v>
      </c>
      <c r="BB13" s="130">
        <v>1398680</v>
      </c>
      <c r="BC13" s="130">
        <v>1419499</v>
      </c>
      <c r="BD13" s="130">
        <v>1436924</v>
      </c>
      <c r="BE13" s="130">
        <v>1458720</v>
      </c>
    </row>
    <row r="14" spans="1:57" x14ac:dyDescent="0.2">
      <c r="A14" s="108" t="s">
        <v>186</v>
      </c>
      <c r="B14" s="129">
        <v>3166</v>
      </c>
      <c r="C14" s="130">
        <v>5720.25</v>
      </c>
      <c r="D14" s="130">
        <f t="shared" si="0"/>
        <v>8886.25</v>
      </c>
      <c r="E14" s="130">
        <v>3054</v>
      </c>
      <c r="F14" s="130">
        <v>7349.5</v>
      </c>
      <c r="G14" s="130">
        <f t="shared" si="1"/>
        <v>10403.5</v>
      </c>
      <c r="H14" s="130">
        <v>3138</v>
      </c>
      <c r="I14" s="130">
        <v>7545.75</v>
      </c>
      <c r="J14" s="130">
        <f t="shared" si="2"/>
        <v>10683.75</v>
      </c>
      <c r="K14" s="130">
        <v>3390</v>
      </c>
      <c r="L14" s="130">
        <v>7929.25</v>
      </c>
      <c r="M14" s="130">
        <f t="shared" si="3"/>
        <v>11319.25</v>
      </c>
      <c r="N14" s="130">
        <v>3567</v>
      </c>
      <c r="O14" s="130">
        <v>8181.75</v>
      </c>
      <c r="P14" s="130">
        <f t="shared" si="4"/>
        <v>11748.75</v>
      </c>
      <c r="Q14" s="130">
        <v>3428</v>
      </c>
      <c r="R14" s="130">
        <v>7822.25</v>
      </c>
      <c r="S14" s="130">
        <f t="shared" si="5"/>
        <v>11250.25</v>
      </c>
      <c r="T14" s="130">
        <v>3590</v>
      </c>
      <c r="U14" s="130">
        <v>7772</v>
      </c>
      <c r="V14" s="130">
        <f t="shared" si="6"/>
        <v>11362</v>
      </c>
      <c r="W14" s="130">
        <v>3893</v>
      </c>
      <c r="X14" s="130">
        <v>8123.5</v>
      </c>
      <c r="Y14" s="130">
        <f t="shared" si="7"/>
        <v>12016.5</v>
      </c>
      <c r="Z14" s="130">
        <v>3930</v>
      </c>
      <c r="AA14" s="130">
        <v>8333.75</v>
      </c>
      <c r="AB14" s="130">
        <f t="shared" si="8"/>
        <v>12263.75</v>
      </c>
      <c r="AC14" s="130">
        <v>3963</v>
      </c>
      <c r="AD14" s="130">
        <v>8198.5</v>
      </c>
      <c r="AE14" s="130">
        <f t="shared" si="9"/>
        <v>12161.5</v>
      </c>
      <c r="AF14" s="130">
        <v>4576</v>
      </c>
      <c r="AG14" s="130">
        <v>8757</v>
      </c>
      <c r="AH14" s="130">
        <f t="shared" si="10"/>
        <v>13333</v>
      </c>
      <c r="AI14" s="131">
        <v>4665</v>
      </c>
      <c r="AJ14" s="130">
        <v>9078</v>
      </c>
      <c r="AK14" s="130">
        <f t="shared" si="11"/>
        <v>13743</v>
      </c>
      <c r="AL14" s="130">
        <v>14476</v>
      </c>
      <c r="AM14" s="130">
        <v>13274</v>
      </c>
      <c r="AN14" s="130">
        <v>14602</v>
      </c>
      <c r="AO14" s="130">
        <v>14933</v>
      </c>
      <c r="AP14" s="130">
        <v>13896</v>
      </c>
      <c r="AQ14" s="130">
        <v>14918</v>
      </c>
      <c r="AR14" s="130">
        <v>14827</v>
      </c>
      <c r="AS14" s="130">
        <v>14450</v>
      </c>
      <c r="AT14" s="130">
        <v>14198</v>
      </c>
      <c r="AU14" s="130">
        <v>13207</v>
      </c>
      <c r="AV14" s="130">
        <v>13878</v>
      </c>
      <c r="AW14" s="130">
        <v>13844</v>
      </c>
      <c r="AX14" s="130">
        <v>12849</v>
      </c>
      <c r="AY14" s="130">
        <v>13314</v>
      </c>
      <c r="AZ14" s="130">
        <v>14137.126042974969</v>
      </c>
      <c r="BA14" s="130">
        <v>13900.751781950001</v>
      </c>
      <c r="BB14" s="130">
        <v>14545.276747628999</v>
      </c>
      <c r="BC14" s="130">
        <v>14747.083425552999</v>
      </c>
      <c r="BD14" s="130">
        <v>13879.410539304999</v>
      </c>
      <c r="BE14" s="130">
        <v>13375.152611127001</v>
      </c>
    </row>
    <row r="15" spans="1:57" x14ac:dyDescent="0.2">
      <c r="A15" s="100" t="s">
        <v>187</v>
      </c>
      <c r="B15" s="111" t="s">
        <v>176</v>
      </c>
      <c r="C15" s="130">
        <v>750.75</v>
      </c>
      <c r="D15" s="132">
        <f t="shared" si="0"/>
        <v>750.75</v>
      </c>
      <c r="E15" s="111" t="s">
        <v>176</v>
      </c>
      <c r="F15" s="130">
        <v>1059.5</v>
      </c>
      <c r="G15" s="132">
        <f t="shared" si="1"/>
        <v>1059.5</v>
      </c>
      <c r="H15" s="111" t="s">
        <v>176</v>
      </c>
      <c r="I15" s="130">
        <v>1320.5</v>
      </c>
      <c r="J15" s="132">
        <f t="shared" si="2"/>
        <v>1320.5</v>
      </c>
      <c r="K15" s="111" t="s">
        <v>176</v>
      </c>
      <c r="L15" s="130">
        <v>1384.5</v>
      </c>
      <c r="M15" s="132">
        <f t="shared" si="3"/>
        <v>1384.5</v>
      </c>
      <c r="N15" s="111" t="s">
        <v>176</v>
      </c>
      <c r="O15" s="130">
        <v>1383.5</v>
      </c>
      <c r="P15" s="132">
        <f t="shared" si="4"/>
        <v>1383.5</v>
      </c>
      <c r="Q15" s="111" t="s">
        <v>176</v>
      </c>
      <c r="R15" s="130">
        <v>1380.5</v>
      </c>
      <c r="S15" s="132">
        <f t="shared" si="5"/>
        <v>1380.5</v>
      </c>
      <c r="T15" s="111" t="s">
        <v>176</v>
      </c>
      <c r="U15" s="130">
        <v>1590.5</v>
      </c>
      <c r="V15" s="132">
        <f t="shared" si="6"/>
        <v>1590.5</v>
      </c>
      <c r="W15" s="111" t="s">
        <v>176</v>
      </c>
      <c r="X15" s="130">
        <v>1754</v>
      </c>
      <c r="Y15" s="132">
        <f t="shared" si="7"/>
        <v>1754</v>
      </c>
      <c r="Z15" s="111" t="s">
        <v>176</v>
      </c>
      <c r="AA15" s="130">
        <v>1611</v>
      </c>
      <c r="AB15" s="132">
        <f t="shared" si="8"/>
        <v>1611</v>
      </c>
      <c r="AC15" s="111" t="s">
        <v>176</v>
      </c>
      <c r="AD15" s="130">
        <v>1553</v>
      </c>
      <c r="AE15" s="132">
        <f t="shared" si="9"/>
        <v>1553</v>
      </c>
      <c r="AF15" s="111" t="s">
        <v>176</v>
      </c>
      <c r="AG15" s="130">
        <v>1559</v>
      </c>
      <c r="AH15" s="132">
        <f t="shared" si="10"/>
        <v>1559</v>
      </c>
      <c r="AI15" s="111" t="s">
        <v>176</v>
      </c>
      <c r="AJ15" s="130">
        <v>1568</v>
      </c>
      <c r="AK15" s="132">
        <f t="shared" si="11"/>
        <v>1568</v>
      </c>
      <c r="AL15" s="130">
        <v>1455</v>
      </c>
      <c r="AM15" s="130">
        <v>1494</v>
      </c>
      <c r="AN15" s="130">
        <v>1569</v>
      </c>
      <c r="AO15" s="130">
        <v>1766</v>
      </c>
      <c r="AP15" s="130">
        <v>1786</v>
      </c>
      <c r="AQ15" s="130">
        <v>1870</v>
      </c>
      <c r="AR15" s="130">
        <v>1821</v>
      </c>
      <c r="AS15" s="130">
        <v>1911.4758876523581</v>
      </c>
      <c r="AT15" s="130">
        <v>1759.3248542660308</v>
      </c>
      <c r="AU15" s="133"/>
      <c r="AV15" s="133"/>
      <c r="AW15" s="133"/>
      <c r="AX15" s="133"/>
      <c r="AY15" s="133"/>
      <c r="AZ15" s="133"/>
      <c r="BA15" s="133"/>
      <c r="BB15" s="133">
        <v>226</v>
      </c>
      <c r="BC15" s="133">
        <v>167</v>
      </c>
      <c r="BD15" s="133">
        <v>130</v>
      </c>
      <c r="BE15" s="133">
        <v>165</v>
      </c>
    </row>
    <row r="16" spans="1:57" x14ac:dyDescent="0.2">
      <c r="A16" s="100" t="s">
        <v>188</v>
      </c>
      <c r="B16" s="111"/>
      <c r="C16" s="130"/>
      <c r="D16" s="132"/>
      <c r="E16" s="111"/>
      <c r="F16" s="130"/>
      <c r="G16" s="132"/>
      <c r="H16" s="111"/>
      <c r="I16" s="130"/>
      <c r="J16" s="132"/>
      <c r="K16" s="111"/>
      <c r="L16" s="130"/>
      <c r="M16" s="132"/>
      <c r="N16" s="111"/>
      <c r="O16" s="130"/>
      <c r="P16" s="132"/>
      <c r="Q16" s="111"/>
      <c r="R16" s="130"/>
      <c r="S16" s="132"/>
      <c r="T16" s="111"/>
      <c r="U16" s="130"/>
      <c r="V16" s="132"/>
      <c r="W16" s="111"/>
      <c r="X16" s="130"/>
      <c r="Y16" s="132"/>
      <c r="Z16" s="111"/>
      <c r="AA16" s="130"/>
      <c r="AB16" s="132"/>
      <c r="AC16" s="111"/>
      <c r="AD16" s="130"/>
      <c r="AE16" s="132"/>
      <c r="AF16" s="111"/>
      <c r="AG16" s="130"/>
      <c r="AH16" s="132"/>
      <c r="AI16" s="111"/>
      <c r="AJ16" s="130"/>
      <c r="AK16" s="132"/>
      <c r="AL16" s="130"/>
      <c r="AM16" s="130"/>
      <c r="AN16" s="130"/>
      <c r="AO16" s="130"/>
      <c r="AP16" s="130"/>
      <c r="AQ16" s="130"/>
      <c r="AR16" s="130"/>
      <c r="AS16" s="130"/>
      <c r="AT16" s="130"/>
      <c r="AU16" s="133">
        <v>1840</v>
      </c>
      <c r="AV16" s="133">
        <v>1942</v>
      </c>
      <c r="AW16" s="133">
        <v>2067</v>
      </c>
      <c r="AX16" s="133">
        <v>2215</v>
      </c>
      <c r="AY16" s="133">
        <v>2650</v>
      </c>
      <c r="AZ16" s="133">
        <v>2676</v>
      </c>
      <c r="BA16" s="133">
        <v>2603</v>
      </c>
      <c r="BB16" s="133">
        <v>2700</v>
      </c>
      <c r="BC16" s="133">
        <v>2924</v>
      </c>
      <c r="BD16" s="133">
        <v>2679</v>
      </c>
      <c r="BE16" s="133">
        <v>2796</v>
      </c>
    </row>
    <row r="17" spans="1:57" x14ac:dyDescent="0.2">
      <c r="A17" s="108" t="s">
        <v>189</v>
      </c>
      <c r="B17" s="111" t="s">
        <v>176</v>
      </c>
      <c r="C17" s="130">
        <v>39</v>
      </c>
      <c r="D17" s="132">
        <f t="shared" si="0"/>
        <v>39</v>
      </c>
      <c r="E17" s="111" t="s">
        <v>176</v>
      </c>
      <c r="F17" s="130">
        <v>53.5</v>
      </c>
      <c r="G17" s="132">
        <f t="shared" si="1"/>
        <v>53.5</v>
      </c>
      <c r="H17" s="111" t="s">
        <v>176</v>
      </c>
      <c r="I17" s="130">
        <v>58.5</v>
      </c>
      <c r="J17" s="132">
        <f t="shared" si="2"/>
        <v>58.5</v>
      </c>
      <c r="K17" s="111" t="s">
        <v>176</v>
      </c>
      <c r="L17" s="130">
        <v>63.75</v>
      </c>
      <c r="M17" s="132">
        <f t="shared" si="3"/>
        <v>63.75</v>
      </c>
      <c r="N17" s="111" t="s">
        <v>176</v>
      </c>
      <c r="O17" s="130">
        <v>70.25</v>
      </c>
      <c r="P17" s="132">
        <f t="shared" si="4"/>
        <v>70.25</v>
      </c>
      <c r="Q17" s="111" t="s">
        <v>176</v>
      </c>
      <c r="R17" s="130">
        <v>80.25</v>
      </c>
      <c r="S17" s="132">
        <f t="shared" si="5"/>
        <v>80.25</v>
      </c>
      <c r="T17" s="111" t="s">
        <v>176</v>
      </c>
      <c r="U17" s="130">
        <v>83.75</v>
      </c>
      <c r="V17" s="132">
        <f t="shared" si="6"/>
        <v>83.75</v>
      </c>
      <c r="W17" s="111" t="s">
        <v>176</v>
      </c>
      <c r="X17" s="130">
        <v>84.75</v>
      </c>
      <c r="Y17" s="132">
        <f t="shared" si="7"/>
        <v>84.75</v>
      </c>
      <c r="Z17" s="111" t="s">
        <v>176</v>
      </c>
      <c r="AA17" s="130">
        <v>88</v>
      </c>
      <c r="AB17" s="132">
        <f t="shared" si="8"/>
        <v>88</v>
      </c>
      <c r="AC17" s="111" t="s">
        <v>176</v>
      </c>
      <c r="AD17" s="130">
        <v>89</v>
      </c>
      <c r="AE17" s="132">
        <f t="shared" si="9"/>
        <v>89</v>
      </c>
      <c r="AF17" s="111" t="s">
        <v>176</v>
      </c>
      <c r="AG17" s="130">
        <v>90</v>
      </c>
      <c r="AH17" s="132">
        <f t="shared" si="10"/>
        <v>90</v>
      </c>
      <c r="AI17" s="111" t="s">
        <v>176</v>
      </c>
      <c r="AJ17" s="130">
        <v>93</v>
      </c>
      <c r="AK17" s="132">
        <f t="shared" si="11"/>
        <v>93</v>
      </c>
      <c r="AL17" s="130">
        <v>89</v>
      </c>
      <c r="AM17" s="130">
        <v>97</v>
      </c>
      <c r="AN17" s="130">
        <v>99</v>
      </c>
      <c r="AO17" s="130">
        <v>98</v>
      </c>
      <c r="AP17" s="130">
        <v>106</v>
      </c>
      <c r="AQ17" s="130">
        <v>108</v>
      </c>
      <c r="AR17" s="130">
        <v>110.16006889242183</v>
      </c>
      <c r="AS17" s="130">
        <v>111.13982511923687</v>
      </c>
      <c r="AT17" s="130">
        <v>109.01653418124006</v>
      </c>
      <c r="AU17" s="130">
        <v>141</v>
      </c>
      <c r="AV17" s="130">
        <v>151</v>
      </c>
      <c r="AW17" s="130">
        <v>151</v>
      </c>
      <c r="AX17" s="130">
        <v>158</v>
      </c>
      <c r="AY17" s="130">
        <v>164</v>
      </c>
      <c r="AZ17" s="133">
        <v>153</v>
      </c>
      <c r="BA17" s="133">
        <v>156</v>
      </c>
      <c r="BB17" s="133">
        <v>154</v>
      </c>
      <c r="BC17" s="133">
        <v>151</v>
      </c>
      <c r="BD17" s="133">
        <v>157</v>
      </c>
      <c r="BE17" s="134">
        <v>169</v>
      </c>
    </row>
    <row r="18" spans="1:57" x14ac:dyDescent="0.2">
      <c r="A18" s="108" t="s">
        <v>190</v>
      </c>
      <c r="B18" s="111" t="s">
        <v>176</v>
      </c>
      <c r="C18" s="130">
        <v>7221.75</v>
      </c>
      <c r="D18" s="132">
        <f t="shared" si="0"/>
        <v>7221.75</v>
      </c>
      <c r="E18" s="130" t="s">
        <v>176</v>
      </c>
      <c r="F18" s="130">
        <v>9698</v>
      </c>
      <c r="G18" s="132">
        <f t="shared" si="1"/>
        <v>9698</v>
      </c>
      <c r="H18" s="130" t="s">
        <v>176</v>
      </c>
      <c r="I18" s="130">
        <v>11818</v>
      </c>
      <c r="J18" s="132">
        <f t="shared" si="2"/>
        <v>11818</v>
      </c>
      <c r="K18" s="130" t="s">
        <v>176</v>
      </c>
      <c r="L18" s="130">
        <v>13492.75</v>
      </c>
      <c r="M18" s="132">
        <f t="shared" si="3"/>
        <v>13492.75</v>
      </c>
      <c r="N18" s="130" t="s">
        <v>176</v>
      </c>
      <c r="O18" s="130">
        <v>12322.5</v>
      </c>
      <c r="P18" s="132">
        <f t="shared" si="4"/>
        <v>12322.5</v>
      </c>
      <c r="Q18" s="130" t="s">
        <v>176</v>
      </c>
      <c r="R18" s="130">
        <v>10122.25</v>
      </c>
      <c r="S18" s="132">
        <f t="shared" si="5"/>
        <v>10122.25</v>
      </c>
      <c r="T18" s="130" t="s">
        <v>176</v>
      </c>
      <c r="U18" s="130">
        <v>8710.5</v>
      </c>
      <c r="V18" s="132">
        <f t="shared" si="6"/>
        <v>8710.5</v>
      </c>
      <c r="W18" s="130" t="s">
        <v>176</v>
      </c>
      <c r="X18" s="130">
        <v>8078</v>
      </c>
      <c r="Y18" s="132">
        <f t="shared" si="7"/>
        <v>8078</v>
      </c>
      <c r="Z18" s="130" t="s">
        <v>176</v>
      </c>
      <c r="AA18" s="130">
        <v>7774.25</v>
      </c>
      <c r="AB18" s="132">
        <f t="shared" si="8"/>
        <v>7774.25</v>
      </c>
      <c r="AC18" s="130" t="s">
        <v>176</v>
      </c>
      <c r="AD18" s="130">
        <v>7712</v>
      </c>
      <c r="AE18" s="132">
        <f t="shared" si="9"/>
        <v>7712</v>
      </c>
      <c r="AF18" s="130" t="s">
        <v>176</v>
      </c>
      <c r="AG18" s="130">
        <v>9032</v>
      </c>
      <c r="AH18" s="132">
        <f t="shared" si="10"/>
        <v>9032</v>
      </c>
      <c r="AI18" s="130" t="s">
        <v>176</v>
      </c>
      <c r="AJ18" s="130">
        <v>8448</v>
      </c>
      <c r="AK18" s="132">
        <f t="shared" si="11"/>
        <v>8448</v>
      </c>
      <c r="AL18" s="130">
        <v>9694.33465085639</v>
      </c>
      <c r="AM18" s="130">
        <v>8943.2556449048225</v>
      </c>
      <c r="AN18" s="130" t="s">
        <v>176</v>
      </c>
      <c r="AO18" s="130" t="s">
        <v>176</v>
      </c>
      <c r="AP18" s="130" t="s">
        <v>176</v>
      </c>
      <c r="AQ18" s="130" t="s">
        <v>176</v>
      </c>
      <c r="AR18" s="130" t="s">
        <v>176</v>
      </c>
      <c r="AS18" s="130" t="s">
        <v>176</v>
      </c>
      <c r="AT18" s="130" t="s">
        <v>176</v>
      </c>
      <c r="AU18" s="130" t="s">
        <v>176</v>
      </c>
      <c r="AV18" s="130" t="s">
        <v>176</v>
      </c>
      <c r="AW18" s="130" t="s">
        <v>176</v>
      </c>
      <c r="AX18" s="130" t="s">
        <v>176</v>
      </c>
      <c r="AY18" s="130" t="s">
        <v>176</v>
      </c>
      <c r="AZ18" s="130" t="s">
        <v>176</v>
      </c>
      <c r="BA18" s="130" t="s">
        <v>176</v>
      </c>
      <c r="BB18" s="130" t="s">
        <v>176</v>
      </c>
      <c r="BC18" s="130" t="s">
        <v>176</v>
      </c>
      <c r="BD18" s="130" t="s">
        <v>176</v>
      </c>
      <c r="BE18" s="130" t="s">
        <v>176</v>
      </c>
    </row>
    <row r="19" spans="1:57" x14ac:dyDescent="0.2">
      <c r="A19" s="108" t="s">
        <v>179</v>
      </c>
      <c r="B19" s="135">
        <v>3028</v>
      </c>
      <c r="C19" s="130">
        <v>23591.25</v>
      </c>
      <c r="D19" s="130">
        <f t="shared" si="0"/>
        <v>26619.25</v>
      </c>
      <c r="E19" s="130">
        <v>3685</v>
      </c>
      <c r="F19" s="130">
        <v>31093.5</v>
      </c>
      <c r="G19" s="130">
        <f t="shared" si="1"/>
        <v>34778.5</v>
      </c>
      <c r="H19" s="130">
        <v>2363</v>
      </c>
      <c r="I19" s="130">
        <v>38995</v>
      </c>
      <c r="J19" s="130">
        <f t="shared" si="2"/>
        <v>41358</v>
      </c>
      <c r="K19" s="130">
        <v>3974</v>
      </c>
      <c r="L19" s="130">
        <v>53681.75</v>
      </c>
      <c r="M19" s="130">
        <f t="shared" si="3"/>
        <v>57655.75</v>
      </c>
      <c r="N19" s="130">
        <v>5008</v>
      </c>
      <c r="O19" s="130">
        <v>68682.5</v>
      </c>
      <c r="P19" s="130">
        <f t="shared" si="4"/>
        <v>73690.5</v>
      </c>
      <c r="Q19" s="130">
        <v>5522</v>
      </c>
      <c r="R19" s="130">
        <v>71880.75</v>
      </c>
      <c r="S19" s="130">
        <f t="shared" si="5"/>
        <v>77402.75</v>
      </c>
      <c r="T19" s="130">
        <v>5282</v>
      </c>
      <c r="U19" s="130">
        <v>70979.5</v>
      </c>
      <c r="V19" s="130">
        <f t="shared" si="6"/>
        <v>76261.5</v>
      </c>
      <c r="W19" s="130">
        <v>6363</v>
      </c>
      <c r="X19" s="130">
        <v>65714.25</v>
      </c>
      <c r="Y19" s="130">
        <f t="shared" si="7"/>
        <v>72077.25</v>
      </c>
      <c r="Z19" s="130">
        <v>8792</v>
      </c>
      <c r="AA19" s="130">
        <v>71836.75</v>
      </c>
      <c r="AB19" s="130">
        <f t="shared" si="8"/>
        <v>80628.75</v>
      </c>
      <c r="AC19" s="136">
        <v>8731</v>
      </c>
      <c r="AD19" s="130">
        <v>74435</v>
      </c>
      <c r="AE19" s="134">
        <f t="shared" si="9"/>
        <v>83166</v>
      </c>
      <c r="AF19" s="137">
        <v>12052.477287798996</v>
      </c>
      <c r="AG19" s="130">
        <v>91430</v>
      </c>
      <c r="AH19" s="137">
        <f t="shared" si="10"/>
        <v>103482.477287799</v>
      </c>
      <c r="AI19" s="137">
        <v>16684.881743293528</v>
      </c>
      <c r="AJ19" s="130">
        <v>107630</v>
      </c>
      <c r="AK19" s="137">
        <f t="shared" si="11"/>
        <v>124314.88174329353</v>
      </c>
      <c r="AL19" s="130">
        <v>158216.37426900584</v>
      </c>
      <c r="AM19" s="130">
        <v>168585.22594015169</v>
      </c>
      <c r="AN19" s="130" t="s">
        <v>176</v>
      </c>
      <c r="AO19" s="130" t="s">
        <v>176</v>
      </c>
      <c r="AP19" s="130" t="s">
        <v>176</v>
      </c>
      <c r="AQ19" s="130" t="s">
        <v>176</v>
      </c>
      <c r="AR19" s="130" t="s">
        <v>176</v>
      </c>
      <c r="AS19" s="130" t="s">
        <v>176</v>
      </c>
      <c r="AT19" s="130" t="s">
        <v>176</v>
      </c>
      <c r="AU19" s="130" t="s">
        <v>176</v>
      </c>
      <c r="AV19" s="130" t="s">
        <v>176</v>
      </c>
      <c r="AW19" s="130" t="s">
        <v>176</v>
      </c>
      <c r="AX19" s="130" t="s">
        <v>176</v>
      </c>
      <c r="AY19" s="130" t="s">
        <v>176</v>
      </c>
      <c r="AZ19" s="130" t="s">
        <v>176</v>
      </c>
      <c r="BA19" s="130" t="s">
        <v>176</v>
      </c>
      <c r="BB19" s="130" t="s">
        <v>176</v>
      </c>
      <c r="BC19" s="130" t="s">
        <v>176</v>
      </c>
      <c r="BD19" s="130" t="s">
        <v>176</v>
      </c>
      <c r="BE19" s="130" t="s">
        <v>176</v>
      </c>
    </row>
    <row r="20" spans="1:57" ht="13.5" thickBot="1" x14ac:dyDescent="0.25">
      <c r="A20" s="108" t="s">
        <v>191</v>
      </c>
      <c r="B20" s="135">
        <v>9615</v>
      </c>
      <c r="C20" s="130">
        <v>140387.25</v>
      </c>
      <c r="D20" s="130">
        <f t="shared" si="0"/>
        <v>150002.25</v>
      </c>
      <c r="E20" s="130">
        <v>8855</v>
      </c>
      <c r="F20" s="130">
        <v>216634</v>
      </c>
      <c r="G20" s="130">
        <f t="shared" si="1"/>
        <v>225489</v>
      </c>
      <c r="H20" s="130">
        <v>8033</v>
      </c>
      <c r="I20" s="130">
        <v>252539.75</v>
      </c>
      <c r="J20" s="130">
        <f t="shared" si="2"/>
        <v>260572.75</v>
      </c>
      <c r="K20" s="130">
        <v>7596</v>
      </c>
      <c r="L20" s="130">
        <v>280082.75</v>
      </c>
      <c r="M20" s="130">
        <f t="shared" si="3"/>
        <v>287678.75</v>
      </c>
      <c r="N20" s="130">
        <v>7336</v>
      </c>
      <c r="O20" s="130">
        <v>306030.75</v>
      </c>
      <c r="P20" s="130">
        <f t="shared" si="4"/>
        <v>313366.75</v>
      </c>
      <c r="Q20" s="130">
        <v>8868</v>
      </c>
      <c r="R20" s="130">
        <v>335530.75</v>
      </c>
      <c r="S20" s="130">
        <f t="shared" si="5"/>
        <v>344398.75</v>
      </c>
      <c r="T20" s="130">
        <v>9869</v>
      </c>
      <c r="U20" s="130">
        <v>351119.25</v>
      </c>
      <c r="V20" s="130">
        <f t="shared" si="6"/>
        <v>360988.25</v>
      </c>
      <c r="W20" s="130">
        <v>13721</v>
      </c>
      <c r="X20" s="130">
        <v>388055.25</v>
      </c>
      <c r="Y20" s="130">
        <f t="shared" si="7"/>
        <v>401776.25</v>
      </c>
      <c r="Z20" s="130">
        <v>16186</v>
      </c>
      <c r="AA20" s="130">
        <v>436502</v>
      </c>
      <c r="AB20" s="130">
        <f t="shared" si="8"/>
        <v>452688</v>
      </c>
      <c r="AC20" s="138">
        <v>13894</v>
      </c>
      <c r="AD20" s="130">
        <v>448841</v>
      </c>
      <c r="AE20" s="134">
        <f t="shared" si="9"/>
        <v>462735</v>
      </c>
      <c r="AF20" s="130">
        <v>15150</v>
      </c>
      <c r="AG20" s="130">
        <v>531056</v>
      </c>
      <c r="AH20" s="130">
        <f t="shared" si="10"/>
        <v>546206</v>
      </c>
      <c r="AI20" s="137">
        <v>14602.632019975295</v>
      </c>
      <c r="AJ20" s="130">
        <v>511869</v>
      </c>
      <c r="AK20" s="137">
        <f t="shared" si="11"/>
        <v>526471.63201997534</v>
      </c>
      <c r="AL20" s="130">
        <v>915595.95959595963</v>
      </c>
      <c r="AM20" s="130">
        <v>956747.47474747477</v>
      </c>
      <c r="AN20" s="130" t="s">
        <v>176</v>
      </c>
      <c r="AO20" s="130" t="s">
        <v>176</v>
      </c>
      <c r="AP20" s="130" t="s">
        <v>176</v>
      </c>
      <c r="AQ20" s="130" t="s">
        <v>176</v>
      </c>
      <c r="AR20" s="130" t="s">
        <v>176</v>
      </c>
      <c r="AS20" s="130" t="s">
        <v>176</v>
      </c>
      <c r="AT20" s="130" t="s">
        <v>176</v>
      </c>
      <c r="AU20" s="130" t="s">
        <v>176</v>
      </c>
      <c r="AV20" s="130" t="s">
        <v>176</v>
      </c>
      <c r="AW20" s="130" t="s">
        <v>176</v>
      </c>
      <c r="AX20" s="130" t="s">
        <v>176</v>
      </c>
      <c r="AY20" s="134" t="s">
        <v>176</v>
      </c>
      <c r="AZ20" s="130" t="s">
        <v>176</v>
      </c>
      <c r="BA20" s="130" t="s">
        <v>176</v>
      </c>
      <c r="BB20" s="130" t="s">
        <v>176</v>
      </c>
      <c r="BC20" s="130" t="s">
        <v>176</v>
      </c>
      <c r="BD20" s="130" t="s">
        <v>176</v>
      </c>
      <c r="BE20" s="130" t="s">
        <v>176</v>
      </c>
    </row>
    <row r="21" spans="1:57" ht="13.5" thickBot="1" x14ac:dyDescent="0.25">
      <c r="A21" s="91" t="s">
        <v>192</v>
      </c>
      <c r="B21" s="128" t="s">
        <v>180</v>
      </c>
      <c r="C21" s="139">
        <v>1692</v>
      </c>
      <c r="D21" s="140">
        <f t="shared" si="0"/>
        <v>1692</v>
      </c>
      <c r="E21" s="139" t="s">
        <v>180</v>
      </c>
      <c r="F21" s="139">
        <v>2256</v>
      </c>
      <c r="G21" s="140">
        <f t="shared" si="1"/>
        <v>2256</v>
      </c>
      <c r="H21" s="139">
        <v>672</v>
      </c>
      <c r="I21" s="139">
        <v>2268</v>
      </c>
      <c r="J21" s="139">
        <f t="shared" si="2"/>
        <v>2940</v>
      </c>
      <c r="K21" s="139">
        <v>701</v>
      </c>
      <c r="L21" s="139">
        <v>2302.75</v>
      </c>
      <c r="M21" s="139">
        <f t="shared" si="3"/>
        <v>3003.75</v>
      </c>
      <c r="N21" s="139">
        <v>745</v>
      </c>
      <c r="O21" s="139">
        <v>2376</v>
      </c>
      <c r="P21" s="139">
        <f t="shared" si="4"/>
        <v>3121</v>
      </c>
      <c r="Q21" s="139">
        <v>767</v>
      </c>
      <c r="R21" s="139">
        <v>2430</v>
      </c>
      <c r="S21" s="139">
        <f t="shared" si="5"/>
        <v>3197</v>
      </c>
      <c r="T21" s="139">
        <v>780</v>
      </c>
      <c r="U21" s="139">
        <v>2455.25</v>
      </c>
      <c r="V21" s="139">
        <f t="shared" si="6"/>
        <v>3235.25</v>
      </c>
      <c r="W21" s="139">
        <v>786</v>
      </c>
      <c r="X21" s="139">
        <v>2484.75</v>
      </c>
      <c r="Y21" s="139">
        <f t="shared" si="7"/>
        <v>3270.75</v>
      </c>
      <c r="Z21" s="139">
        <v>796</v>
      </c>
      <c r="AA21" s="139">
        <v>2545.5</v>
      </c>
      <c r="AB21" s="139">
        <f t="shared" si="8"/>
        <v>3341.5</v>
      </c>
      <c r="AC21" s="141">
        <v>749.88956142828079</v>
      </c>
      <c r="AD21" s="139">
        <v>2591.5</v>
      </c>
      <c r="AE21" s="141">
        <f t="shared" si="9"/>
        <v>3341.389561428281</v>
      </c>
      <c r="AF21" s="139">
        <v>741</v>
      </c>
      <c r="AG21" s="139">
        <v>2601</v>
      </c>
      <c r="AH21" s="139">
        <f t="shared" si="10"/>
        <v>3342</v>
      </c>
      <c r="AI21" s="139">
        <v>759</v>
      </c>
      <c r="AJ21" s="139">
        <v>2613</v>
      </c>
      <c r="AK21" s="139">
        <f t="shared" si="11"/>
        <v>3372</v>
      </c>
      <c r="AL21" s="139">
        <v>3072</v>
      </c>
      <c r="AM21" s="139">
        <v>2958</v>
      </c>
      <c r="AN21" s="139">
        <v>2199</v>
      </c>
      <c r="AO21" s="142">
        <v>2441</v>
      </c>
      <c r="AP21" s="142">
        <v>2374</v>
      </c>
      <c r="AQ21" s="142">
        <v>2215</v>
      </c>
      <c r="AR21" s="139">
        <v>2189</v>
      </c>
      <c r="AS21" s="139">
        <v>2095</v>
      </c>
      <c r="AT21" s="139">
        <v>2094</v>
      </c>
      <c r="AU21" s="139">
        <v>2099</v>
      </c>
      <c r="AV21" s="143">
        <v>2147</v>
      </c>
      <c r="AW21" s="143">
        <v>2201</v>
      </c>
      <c r="AX21" s="143">
        <v>2183</v>
      </c>
      <c r="AY21" s="143">
        <v>2211</v>
      </c>
      <c r="AZ21" s="143">
        <v>2219</v>
      </c>
      <c r="BA21" s="143">
        <v>2184</v>
      </c>
      <c r="BB21" s="143">
        <v>2182</v>
      </c>
      <c r="BC21" s="143">
        <v>2221</v>
      </c>
      <c r="BD21" s="143">
        <v>2254</v>
      </c>
      <c r="BE21" s="144">
        <v>2272</v>
      </c>
    </row>
    <row r="22" spans="1:57" x14ac:dyDescent="0.2">
      <c r="A22" s="108" t="s">
        <v>193</v>
      </c>
      <c r="B22" s="101" t="s">
        <v>180</v>
      </c>
      <c r="C22" s="145" t="s">
        <v>194</v>
      </c>
      <c r="D22" s="146">
        <f t="shared" si="0"/>
        <v>0</v>
      </c>
      <c r="E22" s="130" t="s">
        <v>180</v>
      </c>
      <c r="F22" s="130">
        <v>428.25</v>
      </c>
      <c r="G22" s="146">
        <f t="shared" si="1"/>
        <v>428.25</v>
      </c>
      <c r="H22" s="130" t="s">
        <v>180</v>
      </c>
      <c r="I22" s="130">
        <v>590.5</v>
      </c>
      <c r="J22" s="146">
        <f>SUM(H22:I22)</f>
        <v>590.5</v>
      </c>
      <c r="K22" s="130">
        <v>266</v>
      </c>
      <c r="L22" s="130">
        <v>608.25</v>
      </c>
      <c r="M22" s="130">
        <f t="shared" si="3"/>
        <v>874.25</v>
      </c>
      <c r="N22" s="130">
        <v>298</v>
      </c>
      <c r="O22" s="130">
        <v>645</v>
      </c>
      <c r="P22" s="130">
        <f t="shared" si="4"/>
        <v>943</v>
      </c>
      <c r="Q22" s="130">
        <v>333</v>
      </c>
      <c r="R22" s="130">
        <v>672.5</v>
      </c>
      <c r="S22" s="130">
        <f t="shared" si="5"/>
        <v>1005.5</v>
      </c>
      <c r="T22" s="130">
        <v>338</v>
      </c>
      <c r="U22" s="130">
        <v>693.75</v>
      </c>
      <c r="V22" s="130">
        <f t="shared" si="6"/>
        <v>1031.75</v>
      </c>
      <c r="W22" s="130">
        <v>338</v>
      </c>
      <c r="X22" s="130">
        <v>711.75</v>
      </c>
      <c r="Y22" s="130">
        <f t="shared" si="7"/>
        <v>1049.75</v>
      </c>
      <c r="Z22" s="130">
        <v>340</v>
      </c>
      <c r="AA22" s="130">
        <v>777.5</v>
      </c>
      <c r="AB22" s="130">
        <f t="shared" si="8"/>
        <v>1117.5</v>
      </c>
      <c r="AC22" s="130" t="s">
        <v>180</v>
      </c>
      <c r="AD22" s="130">
        <v>808.5</v>
      </c>
      <c r="AE22" s="146">
        <f t="shared" si="9"/>
        <v>808.5</v>
      </c>
      <c r="AF22" s="147">
        <v>228</v>
      </c>
      <c r="AG22" s="130">
        <v>812</v>
      </c>
      <c r="AH22" s="134">
        <f t="shared" si="10"/>
        <v>1040</v>
      </c>
      <c r="AI22" s="147">
        <v>241</v>
      </c>
      <c r="AJ22" s="130">
        <v>816</v>
      </c>
      <c r="AK22" s="134">
        <f t="shared" si="11"/>
        <v>1057</v>
      </c>
      <c r="AL22" s="130">
        <v>920</v>
      </c>
      <c r="AM22" s="130">
        <v>902</v>
      </c>
      <c r="AN22" s="130">
        <v>807</v>
      </c>
      <c r="AO22" s="130">
        <v>848</v>
      </c>
      <c r="AP22" s="130">
        <v>865</v>
      </c>
      <c r="AQ22" s="130" t="s">
        <v>176</v>
      </c>
      <c r="AR22" s="130" t="s">
        <v>176</v>
      </c>
      <c r="AS22" s="130" t="s">
        <v>176</v>
      </c>
      <c r="AT22" s="130" t="s">
        <v>176</v>
      </c>
      <c r="AU22" s="130" t="s">
        <v>176</v>
      </c>
      <c r="AV22" s="130" t="s">
        <v>176</v>
      </c>
      <c r="AW22" s="130" t="s">
        <v>176</v>
      </c>
      <c r="AX22" s="130" t="s">
        <v>176</v>
      </c>
      <c r="AY22" s="130" t="s">
        <v>176</v>
      </c>
      <c r="AZ22" s="134" t="s">
        <v>176</v>
      </c>
      <c r="BA22" s="134" t="s">
        <v>176</v>
      </c>
      <c r="BB22" s="134" t="s">
        <v>176</v>
      </c>
      <c r="BC22" s="134" t="s">
        <v>176</v>
      </c>
      <c r="BD22" s="134" t="s">
        <v>176</v>
      </c>
      <c r="BE22" s="134" t="s">
        <v>176</v>
      </c>
    </row>
    <row r="23" spans="1:57" x14ac:dyDescent="0.2">
      <c r="A23" s="108" t="s">
        <v>195</v>
      </c>
      <c r="B23" s="101" t="s">
        <v>180</v>
      </c>
      <c r="C23" s="145" t="s">
        <v>194</v>
      </c>
      <c r="D23" s="146">
        <f t="shared" si="0"/>
        <v>0</v>
      </c>
      <c r="E23" s="101" t="s">
        <v>180</v>
      </c>
      <c r="F23" s="145" t="s">
        <v>194</v>
      </c>
      <c r="G23" s="146">
        <f t="shared" si="1"/>
        <v>0</v>
      </c>
      <c r="H23" s="130" t="s">
        <v>180</v>
      </c>
      <c r="I23" s="145" t="s">
        <v>194</v>
      </c>
      <c r="J23" s="146">
        <f t="shared" si="2"/>
        <v>0</v>
      </c>
      <c r="K23" s="148">
        <v>12233396</v>
      </c>
      <c r="L23" s="145" t="s">
        <v>194</v>
      </c>
      <c r="M23" s="134">
        <f t="shared" si="3"/>
        <v>12233396</v>
      </c>
      <c r="N23" s="148">
        <v>14223912</v>
      </c>
      <c r="O23" s="145" t="s">
        <v>194</v>
      </c>
      <c r="P23" s="134">
        <f t="shared" si="4"/>
        <v>14223912</v>
      </c>
      <c r="Q23" s="148">
        <v>16595670</v>
      </c>
      <c r="R23" s="145" t="s">
        <v>194</v>
      </c>
      <c r="S23" s="134">
        <f t="shared" si="5"/>
        <v>16595670</v>
      </c>
      <c r="T23" s="148">
        <v>17471792</v>
      </c>
      <c r="U23" s="145" t="s">
        <v>194</v>
      </c>
      <c r="V23" s="134">
        <f t="shared" si="6"/>
        <v>17471792</v>
      </c>
      <c r="W23" s="148">
        <v>18175824</v>
      </c>
      <c r="X23" s="145" t="s">
        <v>194</v>
      </c>
      <c r="Y23" s="134">
        <f t="shared" si="7"/>
        <v>18175824</v>
      </c>
      <c r="Z23" s="148">
        <v>18675640</v>
      </c>
      <c r="AA23" s="145" t="s">
        <v>194</v>
      </c>
      <c r="AB23" s="134">
        <f t="shared" si="8"/>
        <v>18675640</v>
      </c>
      <c r="AC23" s="130" t="s">
        <v>180</v>
      </c>
      <c r="AD23" s="145" t="s">
        <v>194</v>
      </c>
      <c r="AE23" s="146">
        <f t="shared" si="9"/>
        <v>0</v>
      </c>
      <c r="AF23" s="136">
        <v>13925529</v>
      </c>
      <c r="AG23" s="145" t="s">
        <v>194</v>
      </c>
      <c r="AH23" s="134">
        <f t="shared" si="10"/>
        <v>13925529</v>
      </c>
      <c r="AI23" s="136">
        <v>14326645</v>
      </c>
      <c r="AJ23" s="145" t="s">
        <v>194</v>
      </c>
      <c r="AK23" s="134">
        <f t="shared" si="11"/>
        <v>14326645</v>
      </c>
      <c r="AL23" s="145" t="s">
        <v>194</v>
      </c>
      <c r="AM23" s="145" t="s">
        <v>194</v>
      </c>
      <c r="AN23" s="145" t="s">
        <v>194</v>
      </c>
      <c r="AO23" s="145" t="s">
        <v>194</v>
      </c>
      <c r="AP23" s="145" t="s">
        <v>194</v>
      </c>
      <c r="AQ23" s="145" t="s">
        <v>194</v>
      </c>
      <c r="AR23" s="145" t="s">
        <v>194</v>
      </c>
      <c r="AS23" s="145" t="s">
        <v>194</v>
      </c>
      <c r="AT23" s="145" t="s">
        <v>194</v>
      </c>
      <c r="AU23" s="145" t="s">
        <v>194</v>
      </c>
      <c r="AV23" s="145" t="s">
        <v>194</v>
      </c>
      <c r="AW23" s="145" t="s">
        <v>194</v>
      </c>
      <c r="AX23" s="145" t="s">
        <v>194</v>
      </c>
      <c r="AY23" s="145" t="s">
        <v>194</v>
      </c>
      <c r="AZ23" s="149" t="s">
        <v>194</v>
      </c>
      <c r="BA23" s="149" t="s">
        <v>194</v>
      </c>
      <c r="BB23" s="149" t="s">
        <v>194</v>
      </c>
      <c r="BC23" s="149" t="s">
        <v>194</v>
      </c>
      <c r="BD23" s="149" t="s">
        <v>194</v>
      </c>
      <c r="BE23" s="149" t="s">
        <v>194</v>
      </c>
    </row>
    <row r="24" spans="1:57" x14ac:dyDescent="0.2">
      <c r="A24" s="108" t="s">
        <v>196</v>
      </c>
      <c r="B24" s="101" t="s">
        <v>180</v>
      </c>
      <c r="C24" s="145" t="s">
        <v>194</v>
      </c>
      <c r="D24" s="146">
        <f t="shared" si="0"/>
        <v>0</v>
      </c>
      <c r="E24" s="130" t="s">
        <v>180</v>
      </c>
      <c r="F24" s="130">
        <v>577.5</v>
      </c>
      <c r="G24" s="146">
        <f t="shared" si="1"/>
        <v>577.5</v>
      </c>
      <c r="H24" s="101">
        <v>415</v>
      </c>
      <c r="I24" s="130">
        <v>764.75</v>
      </c>
      <c r="J24" s="134">
        <f>SUM(H24:I24)</f>
        <v>1179.75</v>
      </c>
      <c r="K24" s="130">
        <v>173</v>
      </c>
      <c r="L24" s="130">
        <v>772</v>
      </c>
      <c r="M24" s="130">
        <f t="shared" si="3"/>
        <v>945</v>
      </c>
      <c r="N24" s="130">
        <v>171</v>
      </c>
      <c r="O24" s="130">
        <v>793.75</v>
      </c>
      <c r="P24" s="134">
        <f t="shared" si="4"/>
        <v>964.75</v>
      </c>
      <c r="Q24" s="130">
        <v>152</v>
      </c>
      <c r="R24" s="130">
        <v>818</v>
      </c>
      <c r="S24" s="134">
        <f t="shared" si="5"/>
        <v>970</v>
      </c>
      <c r="T24" s="130">
        <v>158</v>
      </c>
      <c r="U24" s="130">
        <v>824</v>
      </c>
      <c r="V24" s="134">
        <f t="shared" si="6"/>
        <v>982</v>
      </c>
      <c r="W24" s="130">
        <v>165</v>
      </c>
      <c r="X24" s="130">
        <v>833</v>
      </c>
      <c r="Y24" s="134">
        <f t="shared" si="7"/>
        <v>998</v>
      </c>
      <c r="Z24" s="130">
        <v>144</v>
      </c>
      <c r="AA24" s="130">
        <v>828.5</v>
      </c>
      <c r="AB24" s="134">
        <f t="shared" si="8"/>
        <v>972.5</v>
      </c>
      <c r="AC24" s="130" t="s">
        <v>180</v>
      </c>
      <c r="AD24" s="130">
        <v>835</v>
      </c>
      <c r="AE24" s="146">
        <f t="shared" si="9"/>
        <v>835</v>
      </c>
      <c r="AF24" s="147">
        <v>189</v>
      </c>
      <c r="AG24" s="130">
        <v>838</v>
      </c>
      <c r="AH24" s="134">
        <f t="shared" si="10"/>
        <v>1027</v>
      </c>
      <c r="AI24" s="147">
        <v>189</v>
      </c>
      <c r="AJ24" s="130">
        <v>833</v>
      </c>
      <c r="AK24" s="134">
        <f t="shared" si="11"/>
        <v>1022</v>
      </c>
      <c r="AL24" s="130">
        <v>914</v>
      </c>
      <c r="AM24" s="130">
        <v>759</v>
      </c>
      <c r="AN24" s="130">
        <v>472</v>
      </c>
      <c r="AO24" s="130">
        <v>525</v>
      </c>
      <c r="AP24" s="130">
        <v>867</v>
      </c>
      <c r="AQ24" s="130" t="s">
        <v>176</v>
      </c>
      <c r="AR24" s="130" t="s">
        <v>176</v>
      </c>
      <c r="AS24" s="130" t="s">
        <v>176</v>
      </c>
      <c r="AT24" s="130" t="s">
        <v>176</v>
      </c>
      <c r="AU24" s="130" t="s">
        <v>176</v>
      </c>
      <c r="AV24" s="130" t="s">
        <v>176</v>
      </c>
      <c r="AW24" s="130" t="s">
        <v>176</v>
      </c>
      <c r="AX24" s="130" t="s">
        <v>176</v>
      </c>
      <c r="AY24" s="130" t="s">
        <v>176</v>
      </c>
      <c r="AZ24" s="134" t="s">
        <v>176</v>
      </c>
      <c r="BA24" s="134" t="s">
        <v>176</v>
      </c>
      <c r="BB24" s="134" t="s">
        <v>176</v>
      </c>
      <c r="BC24" s="134" t="s">
        <v>176</v>
      </c>
      <c r="BD24" s="134" t="s">
        <v>176</v>
      </c>
      <c r="BE24" s="134" t="s">
        <v>176</v>
      </c>
    </row>
    <row r="25" spans="1:57" x14ac:dyDescent="0.2">
      <c r="A25" s="108" t="s">
        <v>197</v>
      </c>
      <c r="B25" s="101" t="s">
        <v>180</v>
      </c>
      <c r="C25" s="145" t="s">
        <v>194</v>
      </c>
      <c r="D25" s="146">
        <f t="shared" si="0"/>
        <v>0</v>
      </c>
      <c r="E25" s="101" t="s">
        <v>180</v>
      </c>
      <c r="F25" s="145" t="s">
        <v>194</v>
      </c>
      <c r="G25" s="146">
        <f t="shared" si="1"/>
        <v>0</v>
      </c>
      <c r="H25" s="134" t="s">
        <v>180</v>
      </c>
      <c r="I25" s="145" t="s">
        <v>194</v>
      </c>
      <c r="J25" s="146">
        <f t="shared" si="2"/>
        <v>0</v>
      </c>
      <c r="K25" s="148">
        <v>4224141</v>
      </c>
      <c r="L25" s="145" t="s">
        <v>194</v>
      </c>
      <c r="M25" s="134">
        <f t="shared" si="3"/>
        <v>4224141</v>
      </c>
      <c r="N25" s="148">
        <v>4425822</v>
      </c>
      <c r="O25" s="145" t="s">
        <v>194</v>
      </c>
      <c r="P25" s="134">
        <f t="shared" si="4"/>
        <v>4425822</v>
      </c>
      <c r="Q25" s="148">
        <v>4084544</v>
      </c>
      <c r="R25" s="145" t="s">
        <v>194</v>
      </c>
      <c r="S25" s="134">
        <f t="shared" si="5"/>
        <v>4084544</v>
      </c>
      <c r="T25" s="148">
        <v>4606016</v>
      </c>
      <c r="U25" s="145" t="s">
        <v>194</v>
      </c>
      <c r="V25" s="134">
        <f t="shared" si="6"/>
        <v>4606016</v>
      </c>
      <c r="W25" s="148">
        <v>5124570</v>
      </c>
      <c r="X25" s="145" t="s">
        <v>194</v>
      </c>
      <c r="Y25" s="134">
        <f t="shared" si="7"/>
        <v>5124570</v>
      </c>
      <c r="Z25" s="148">
        <v>4665024</v>
      </c>
      <c r="AA25" s="145" t="s">
        <v>194</v>
      </c>
      <c r="AB25" s="134">
        <f t="shared" si="8"/>
        <v>4665024</v>
      </c>
      <c r="AC25" s="130" t="s">
        <v>180</v>
      </c>
      <c r="AD25" s="145" t="s">
        <v>194</v>
      </c>
      <c r="AE25" s="146">
        <f t="shared" si="9"/>
        <v>0</v>
      </c>
      <c r="AF25" s="136">
        <v>7247523</v>
      </c>
      <c r="AG25" s="145" t="s">
        <v>194</v>
      </c>
      <c r="AH25" s="134">
        <f t="shared" si="10"/>
        <v>7247523</v>
      </c>
      <c r="AI25" s="136">
        <v>6967905</v>
      </c>
      <c r="AJ25" s="145" t="s">
        <v>194</v>
      </c>
      <c r="AK25" s="134">
        <f t="shared" si="11"/>
        <v>6967905</v>
      </c>
      <c r="AL25" s="145" t="s">
        <v>194</v>
      </c>
      <c r="AM25" s="145" t="s">
        <v>194</v>
      </c>
      <c r="AN25" s="145" t="s">
        <v>194</v>
      </c>
      <c r="AO25" s="145" t="s">
        <v>194</v>
      </c>
      <c r="AP25" s="145" t="s">
        <v>194</v>
      </c>
      <c r="AQ25" s="145" t="s">
        <v>194</v>
      </c>
      <c r="AR25" s="145" t="s">
        <v>194</v>
      </c>
      <c r="AS25" s="145" t="s">
        <v>194</v>
      </c>
      <c r="AT25" s="145" t="s">
        <v>194</v>
      </c>
      <c r="AU25" s="145" t="s">
        <v>194</v>
      </c>
      <c r="AV25" s="145" t="s">
        <v>194</v>
      </c>
      <c r="AW25" s="145" t="s">
        <v>194</v>
      </c>
      <c r="AX25" s="145" t="s">
        <v>194</v>
      </c>
      <c r="AY25" s="145" t="s">
        <v>194</v>
      </c>
      <c r="AZ25" s="149" t="s">
        <v>194</v>
      </c>
      <c r="BA25" s="149" t="s">
        <v>194</v>
      </c>
      <c r="BB25" s="149" t="s">
        <v>194</v>
      </c>
      <c r="BC25" s="149" t="s">
        <v>194</v>
      </c>
      <c r="BD25" s="149" t="s">
        <v>194</v>
      </c>
      <c r="BE25" s="149" t="s">
        <v>194</v>
      </c>
    </row>
    <row r="26" spans="1:57" x14ac:dyDescent="0.2">
      <c r="A26" s="150" t="s">
        <v>198</v>
      </c>
      <c r="B26" s="101" t="s">
        <v>180</v>
      </c>
      <c r="C26" s="145" t="s">
        <v>194</v>
      </c>
      <c r="D26" s="146">
        <f t="shared" si="0"/>
        <v>0</v>
      </c>
      <c r="E26" s="130" t="s">
        <v>180</v>
      </c>
      <c r="F26" s="130">
        <v>686.25</v>
      </c>
      <c r="G26" s="146">
        <f t="shared" si="1"/>
        <v>686.25</v>
      </c>
      <c r="H26" s="134">
        <v>257</v>
      </c>
      <c r="I26" s="130">
        <v>912.75</v>
      </c>
      <c r="J26" s="134">
        <f t="shared" si="2"/>
        <v>1169.75</v>
      </c>
      <c r="K26" s="130">
        <v>262</v>
      </c>
      <c r="L26" s="130">
        <v>922.5</v>
      </c>
      <c r="M26" s="130">
        <f t="shared" si="3"/>
        <v>1184.5</v>
      </c>
      <c r="N26" s="130">
        <v>276</v>
      </c>
      <c r="O26" s="130">
        <v>937.25</v>
      </c>
      <c r="P26" s="134">
        <f t="shared" si="4"/>
        <v>1213.25</v>
      </c>
      <c r="Q26" s="130">
        <v>282</v>
      </c>
      <c r="R26" s="130">
        <v>939.5</v>
      </c>
      <c r="S26" s="134">
        <f t="shared" si="5"/>
        <v>1221.5</v>
      </c>
      <c r="T26" s="130">
        <v>284</v>
      </c>
      <c r="U26" s="130">
        <v>937.5</v>
      </c>
      <c r="V26" s="134">
        <f t="shared" si="6"/>
        <v>1221.5</v>
      </c>
      <c r="W26" s="130">
        <v>283</v>
      </c>
      <c r="X26" s="130">
        <v>940</v>
      </c>
      <c r="Y26" s="134">
        <f t="shared" si="7"/>
        <v>1223</v>
      </c>
      <c r="Z26" s="130">
        <v>312</v>
      </c>
      <c r="AA26" s="130">
        <v>939.5</v>
      </c>
      <c r="AB26" s="134">
        <f t="shared" si="8"/>
        <v>1251.5</v>
      </c>
      <c r="AC26" s="130" t="s">
        <v>180</v>
      </c>
      <c r="AD26" s="130">
        <v>948</v>
      </c>
      <c r="AE26" s="146">
        <f t="shared" si="9"/>
        <v>948</v>
      </c>
      <c r="AF26" s="147">
        <v>342</v>
      </c>
      <c r="AG26" s="130">
        <v>951</v>
      </c>
      <c r="AH26" s="134">
        <f t="shared" si="10"/>
        <v>1293</v>
      </c>
      <c r="AI26" s="147">
        <v>311</v>
      </c>
      <c r="AJ26" s="130">
        <v>964</v>
      </c>
      <c r="AK26" s="134">
        <f t="shared" si="11"/>
        <v>1275</v>
      </c>
      <c r="AL26" s="130">
        <v>1238</v>
      </c>
      <c r="AM26" s="130">
        <v>1297</v>
      </c>
      <c r="AN26" s="130">
        <v>920</v>
      </c>
      <c r="AO26" s="130">
        <v>902</v>
      </c>
      <c r="AP26" s="130">
        <v>514</v>
      </c>
      <c r="AQ26" s="130" t="s">
        <v>176</v>
      </c>
      <c r="AR26" s="130" t="s">
        <v>176</v>
      </c>
      <c r="AS26" s="130" t="s">
        <v>176</v>
      </c>
      <c r="AT26" s="130" t="s">
        <v>176</v>
      </c>
      <c r="AU26" s="130" t="s">
        <v>176</v>
      </c>
      <c r="AV26" s="130" t="s">
        <v>176</v>
      </c>
      <c r="AW26" s="130" t="s">
        <v>176</v>
      </c>
      <c r="AX26" s="130" t="s">
        <v>176</v>
      </c>
      <c r="AY26" s="130" t="s">
        <v>176</v>
      </c>
      <c r="AZ26" s="134" t="s">
        <v>176</v>
      </c>
      <c r="BA26" s="134" t="s">
        <v>176</v>
      </c>
      <c r="BB26" s="134" t="s">
        <v>176</v>
      </c>
      <c r="BC26" s="134" t="s">
        <v>176</v>
      </c>
      <c r="BD26" s="134" t="s">
        <v>176</v>
      </c>
      <c r="BE26" s="134" t="s">
        <v>176</v>
      </c>
    </row>
    <row r="27" spans="1:57" x14ac:dyDescent="0.2">
      <c r="A27" s="150" t="s">
        <v>199</v>
      </c>
      <c r="B27" s="101" t="s">
        <v>180</v>
      </c>
      <c r="C27" s="145" t="s">
        <v>194</v>
      </c>
      <c r="D27" s="146">
        <f t="shared" si="0"/>
        <v>0</v>
      </c>
      <c r="E27" s="101" t="s">
        <v>180</v>
      </c>
      <c r="F27" s="145" t="s">
        <v>194</v>
      </c>
      <c r="G27" s="146">
        <f t="shared" si="1"/>
        <v>0</v>
      </c>
      <c r="H27" s="101" t="s">
        <v>180</v>
      </c>
      <c r="I27" s="145" t="s">
        <v>194</v>
      </c>
      <c r="J27" s="146">
        <f t="shared" si="2"/>
        <v>0</v>
      </c>
      <c r="K27" s="148">
        <v>6804463</v>
      </c>
      <c r="L27" s="145" t="s">
        <v>194</v>
      </c>
      <c r="M27" s="134">
        <f t="shared" si="3"/>
        <v>6804463</v>
      </c>
      <c r="N27" s="148">
        <v>6725666</v>
      </c>
      <c r="O27" s="145" t="s">
        <v>194</v>
      </c>
      <c r="P27" s="134">
        <f t="shared" si="4"/>
        <v>6725666</v>
      </c>
      <c r="Q27" s="148">
        <v>6843386</v>
      </c>
      <c r="R27" s="145" t="s">
        <v>194</v>
      </c>
      <c r="S27" s="134">
        <f t="shared" si="5"/>
        <v>6843386</v>
      </c>
      <c r="T27" s="148">
        <v>7915092</v>
      </c>
      <c r="U27" s="145" t="s">
        <v>194</v>
      </c>
      <c r="V27" s="134">
        <f t="shared" si="6"/>
        <v>7915092</v>
      </c>
      <c r="W27" s="148">
        <v>8918306</v>
      </c>
      <c r="X27" s="145" t="s">
        <v>194</v>
      </c>
      <c r="Y27" s="134">
        <f t="shared" si="7"/>
        <v>8918306</v>
      </c>
      <c r="Z27" s="148">
        <v>14805636</v>
      </c>
      <c r="AA27" s="145" t="s">
        <v>194</v>
      </c>
      <c r="AB27" s="134">
        <f t="shared" si="8"/>
        <v>14805636</v>
      </c>
      <c r="AC27" s="130" t="s">
        <v>180</v>
      </c>
      <c r="AD27" s="145" t="s">
        <v>194</v>
      </c>
      <c r="AE27" s="146">
        <f t="shared" si="9"/>
        <v>0</v>
      </c>
      <c r="AF27" s="136">
        <v>13882608</v>
      </c>
      <c r="AG27" s="145" t="s">
        <v>194</v>
      </c>
      <c r="AH27" s="134">
        <f t="shared" si="10"/>
        <v>13882608</v>
      </c>
      <c r="AI27" s="136">
        <v>12383894</v>
      </c>
      <c r="AJ27" s="145" t="s">
        <v>194</v>
      </c>
      <c r="AK27" s="134">
        <f t="shared" si="11"/>
        <v>12383894</v>
      </c>
      <c r="AL27" s="145" t="s">
        <v>194</v>
      </c>
      <c r="AM27" s="145" t="s">
        <v>194</v>
      </c>
      <c r="AN27" s="145" t="s">
        <v>194</v>
      </c>
      <c r="AO27" s="145" t="s">
        <v>194</v>
      </c>
      <c r="AP27" s="145" t="s">
        <v>194</v>
      </c>
      <c r="AQ27" s="145" t="s">
        <v>194</v>
      </c>
      <c r="AR27" s="145" t="s">
        <v>194</v>
      </c>
      <c r="AS27" s="145" t="s">
        <v>194</v>
      </c>
      <c r="AT27" s="145" t="s">
        <v>194</v>
      </c>
      <c r="AU27" s="145" t="s">
        <v>194</v>
      </c>
      <c r="AV27" s="145" t="s">
        <v>194</v>
      </c>
      <c r="AW27" s="145" t="s">
        <v>194</v>
      </c>
      <c r="AX27" s="145" t="s">
        <v>194</v>
      </c>
      <c r="AY27" s="145" t="s">
        <v>194</v>
      </c>
      <c r="AZ27" s="149" t="s">
        <v>194</v>
      </c>
      <c r="BA27" s="149" t="s">
        <v>194</v>
      </c>
      <c r="BB27" s="149" t="s">
        <v>194</v>
      </c>
      <c r="BC27" s="149" t="s">
        <v>194</v>
      </c>
      <c r="BD27" s="149" t="s">
        <v>194</v>
      </c>
      <c r="BE27" s="149" t="s">
        <v>194</v>
      </c>
    </row>
    <row r="28" spans="1:57" x14ac:dyDescent="0.2">
      <c r="A28" s="150" t="s">
        <v>200</v>
      </c>
      <c r="B28" s="101"/>
      <c r="C28" s="145"/>
      <c r="D28" s="146"/>
      <c r="E28" s="101"/>
      <c r="F28" s="145"/>
      <c r="G28" s="146"/>
      <c r="H28" s="101"/>
      <c r="I28" s="145"/>
      <c r="J28" s="146"/>
      <c r="K28" s="148"/>
      <c r="L28" s="145"/>
      <c r="M28" s="134"/>
      <c r="N28" s="148"/>
      <c r="O28" s="145"/>
      <c r="P28" s="134"/>
      <c r="Q28" s="148"/>
      <c r="R28" s="145"/>
      <c r="S28" s="134"/>
      <c r="T28" s="148"/>
      <c r="U28" s="145"/>
      <c r="V28" s="134"/>
      <c r="W28" s="148"/>
      <c r="X28" s="145"/>
      <c r="Y28" s="134"/>
      <c r="Z28" s="148"/>
      <c r="AA28" s="145"/>
      <c r="AB28" s="134"/>
      <c r="AC28" s="130"/>
      <c r="AD28" s="145"/>
      <c r="AE28" s="146"/>
      <c r="AF28" s="136"/>
      <c r="AG28" s="145"/>
      <c r="AH28" s="134"/>
      <c r="AI28" s="136"/>
      <c r="AJ28" s="145"/>
      <c r="AK28" s="134"/>
      <c r="AL28" s="145"/>
      <c r="AM28" s="145"/>
      <c r="AN28" s="130" t="s">
        <v>176</v>
      </c>
      <c r="AO28" s="151">
        <v>144817935.19</v>
      </c>
      <c r="AP28" s="151">
        <v>146153193.03999999</v>
      </c>
      <c r="AQ28" s="151">
        <v>151437728.49000001</v>
      </c>
      <c r="AR28" s="134">
        <v>149838460.18000001</v>
      </c>
      <c r="AS28" s="134">
        <v>141144120.96000001</v>
      </c>
      <c r="AT28" s="134">
        <v>147304961.44</v>
      </c>
      <c r="AU28" s="134">
        <v>151041845.83000001</v>
      </c>
      <c r="AV28" s="134">
        <v>164371179</v>
      </c>
      <c r="AW28" s="134">
        <v>172274463</v>
      </c>
      <c r="AX28" s="134">
        <v>175065693</v>
      </c>
      <c r="AY28" s="134">
        <v>183249056</v>
      </c>
      <c r="AZ28" s="134">
        <v>191836774.61000001</v>
      </c>
      <c r="BA28" s="134">
        <v>183418220.05000001</v>
      </c>
      <c r="BB28" s="134">
        <v>201762194</v>
      </c>
      <c r="BC28" s="134">
        <v>211064765</v>
      </c>
      <c r="BD28" s="134">
        <v>210164241</v>
      </c>
      <c r="BE28" s="134">
        <v>209762719</v>
      </c>
    </row>
    <row r="29" spans="1:57" x14ac:dyDescent="0.2">
      <c r="A29" s="150" t="s">
        <v>201</v>
      </c>
      <c r="B29" s="101" t="s">
        <v>180</v>
      </c>
      <c r="C29" s="145" t="s">
        <v>194</v>
      </c>
      <c r="D29" s="112">
        <f t="shared" si="0"/>
        <v>0</v>
      </c>
      <c r="E29" s="101" t="s">
        <v>180</v>
      </c>
      <c r="F29" s="102">
        <v>62040000</v>
      </c>
      <c r="G29" s="112">
        <f t="shared" si="1"/>
        <v>62040000</v>
      </c>
      <c r="H29" s="152">
        <v>20700292.225677896</v>
      </c>
      <c r="I29" s="102">
        <v>67586400.000000015</v>
      </c>
      <c r="J29" s="113">
        <f t="shared" si="2"/>
        <v>88286692.225677907</v>
      </c>
      <c r="K29" s="148">
        <v>23262000</v>
      </c>
      <c r="L29" s="102">
        <v>75530200</v>
      </c>
      <c r="M29" s="102">
        <f t="shared" si="3"/>
        <v>98792200</v>
      </c>
      <c r="N29" s="130">
        <f>N23+N25+N27</f>
        <v>25375400</v>
      </c>
      <c r="O29" s="102">
        <v>81496799.999999985</v>
      </c>
      <c r="P29" s="102">
        <f t="shared" si="4"/>
        <v>106872199.99999999</v>
      </c>
      <c r="Q29" s="130">
        <f>Q23+Q25+Q27</f>
        <v>27523600</v>
      </c>
      <c r="R29" s="102">
        <v>88938000</v>
      </c>
      <c r="S29" s="102">
        <f t="shared" si="5"/>
        <v>116461600</v>
      </c>
      <c r="T29" s="130">
        <f>T23+T25+T27</f>
        <v>29992900</v>
      </c>
      <c r="U29" s="102">
        <v>97227900.000000015</v>
      </c>
      <c r="V29" s="102">
        <f t="shared" si="6"/>
        <v>127220800.00000001</v>
      </c>
      <c r="W29" s="130">
        <f>W23+W25+W27</f>
        <v>32218700</v>
      </c>
      <c r="X29" s="102">
        <v>107092725</v>
      </c>
      <c r="Y29" s="102">
        <f t="shared" si="7"/>
        <v>139311425</v>
      </c>
      <c r="Z29" s="130">
        <f>Z23+Z25+Z27</f>
        <v>38146300</v>
      </c>
      <c r="AA29" s="102">
        <v>115820250</v>
      </c>
      <c r="AB29" s="102">
        <f t="shared" si="8"/>
        <v>153966550</v>
      </c>
      <c r="AC29" s="136">
        <v>35403128</v>
      </c>
      <c r="AD29" s="102">
        <v>119209000</v>
      </c>
      <c r="AE29" s="106">
        <f t="shared" si="9"/>
        <v>154612128</v>
      </c>
      <c r="AF29" s="136">
        <v>33678444</v>
      </c>
      <c r="AG29" s="102">
        <v>123027299.99999999</v>
      </c>
      <c r="AH29" s="106">
        <f t="shared" si="10"/>
        <v>156705744</v>
      </c>
      <c r="AI29" s="136">
        <v>35055659</v>
      </c>
      <c r="AJ29" s="102">
        <v>125946600</v>
      </c>
      <c r="AK29" s="106">
        <f t="shared" si="11"/>
        <v>161002259</v>
      </c>
      <c r="AL29" s="102">
        <v>155163000</v>
      </c>
      <c r="AM29" s="102">
        <v>153697680</v>
      </c>
      <c r="AN29" s="105">
        <v>131100000</v>
      </c>
      <c r="AO29" s="105">
        <v>116304800</v>
      </c>
      <c r="AP29" s="105">
        <v>118136600</v>
      </c>
      <c r="AQ29" s="105">
        <v>124852000</v>
      </c>
      <c r="AR29" s="105">
        <v>124479851.01000001</v>
      </c>
      <c r="AS29" s="105">
        <v>119901600.31</v>
      </c>
      <c r="AT29" s="105">
        <v>125270687.03999999</v>
      </c>
      <c r="AU29" s="105">
        <v>127568698</v>
      </c>
      <c r="AV29" s="105">
        <v>134012106</v>
      </c>
      <c r="AW29" s="105">
        <v>136519136</v>
      </c>
      <c r="AX29" s="105">
        <v>140506286</v>
      </c>
      <c r="AY29" s="105">
        <v>149887624</v>
      </c>
      <c r="AZ29" s="106">
        <v>155457795.16</v>
      </c>
      <c r="BA29" s="134">
        <v>147369897.43000001</v>
      </c>
      <c r="BB29" s="134">
        <f>170056498.58-7548288.17</f>
        <v>162508210.41000003</v>
      </c>
      <c r="BC29" s="134">
        <v>166198515</v>
      </c>
      <c r="BD29" s="134">
        <v>161060140</v>
      </c>
      <c r="BE29" s="134">
        <v>157566272</v>
      </c>
    </row>
    <row r="30" spans="1:57" x14ac:dyDescent="0.2">
      <c r="A30" s="153" t="s">
        <v>202</v>
      </c>
      <c r="B30" s="101"/>
      <c r="C30" s="145"/>
      <c r="D30" s="112"/>
      <c r="E30" s="101"/>
      <c r="F30" s="102"/>
      <c r="G30" s="112"/>
      <c r="H30" s="152"/>
      <c r="I30" s="102"/>
      <c r="J30" s="113"/>
      <c r="K30" s="148"/>
      <c r="L30" s="102"/>
      <c r="M30" s="102"/>
      <c r="N30" s="130"/>
      <c r="O30" s="102"/>
      <c r="P30" s="102"/>
      <c r="Q30" s="130"/>
      <c r="R30" s="102"/>
      <c r="S30" s="102"/>
      <c r="T30" s="130"/>
      <c r="U30" s="102"/>
      <c r="V30" s="102"/>
      <c r="W30" s="130"/>
      <c r="X30" s="102"/>
      <c r="Y30" s="102"/>
      <c r="Z30" s="130"/>
      <c r="AA30" s="102"/>
      <c r="AB30" s="102"/>
      <c r="AC30" s="136"/>
      <c r="AD30" s="102"/>
      <c r="AE30" s="106"/>
      <c r="AF30" s="136"/>
      <c r="AG30" s="102"/>
      <c r="AH30" s="106"/>
      <c r="AI30" s="136"/>
      <c r="AJ30" s="102"/>
      <c r="AK30" s="106"/>
      <c r="AL30" s="102"/>
      <c r="AM30" s="102"/>
      <c r="AN30" s="130" t="s">
        <v>176</v>
      </c>
      <c r="AO30" s="105">
        <v>26850808.307581194</v>
      </c>
      <c r="AP30" s="105">
        <v>26956582.25471</v>
      </c>
      <c r="AQ30" s="105">
        <v>25458625.402590804</v>
      </c>
      <c r="AR30" s="106">
        <v>27411752</v>
      </c>
      <c r="AS30" s="106">
        <v>29615227</v>
      </c>
      <c r="AT30" s="106">
        <v>31982555</v>
      </c>
      <c r="AU30" s="106">
        <v>33841982</v>
      </c>
      <c r="AV30" s="106">
        <v>26764542</v>
      </c>
      <c r="AW30" s="106">
        <v>27966000</v>
      </c>
      <c r="AX30" s="106">
        <v>26950200</v>
      </c>
      <c r="AY30" s="106">
        <v>31281200</v>
      </c>
      <c r="AZ30" s="106">
        <v>32878247.209999993</v>
      </c>
      <c r="BA30" s="134">
        <v>33911448.32</v>
      </c>
      <c r="BB30" s="134">
        <v>33445411</v>
      </c>
      <c r="BC30" s="134">
        <v>35445090</v>
      </c>
      <c r="BD30" s="134">
        <v>34591838</v>
      </c>
      <c r="BE30" s="134">
        <v>34861423</v>
      </c>
    </row>
    <row r="31" spans="1:57" x14ac:dyDescent="0.2">
      <c r="A31" s="153" t="s">
        <v>203</v>
      </c>
      <c r="B31" s="101" t="s">
        <v>180</v>
      </c>
      <c r="C31" s="102">
        <v>7477444.897846194</v>
      </c>
      <c r="D31" s="112">
        <f t="shared" si="0"/>
        <v>7477444.897846194</v>
      </c>
      <c r="E31" s="102" t="s">
        <v>180</v>
      </c>
      <c r="F31" s="102">
        <v>10933179.260903582</v>
      </c>
      <c r="G31" s="112">
        <f t="shared" si="1"/>
        <v>10933179.260903582</v>
      </c>
      <c r="H31" s="102">
        <v>3793300</v>
      </c>
      <c r="I31" s="102">
        <v>12341603.518033259</v>
      </c>
      <c r="J31" s="102">
        <f t="shared" si="2"/>
        <v>16134903.518033259</v>
      </c>
      <c r="K31" s="102">
        <v>4938400</v>
      </c>
      <c r="L31" s="102">
        <v>13931462.547312399</v>
      </c>
      <c r="M31" s="102">
        <f t="shared" si="3"/>
        <v>18869862.547312401</v>
      </c>
      <c r="N31" s="102">
        <v>3788000</v>
      </c>
      <c r="O31" s="102">
        <v>16888500</v>
      </c>
      <c r="P31" s="130">
        <f t="shared" si="4"/>
        <v>20676500</v>
      </c>
      <c r="Q31" s="102">
        <v>5633500</v>
      </c>
      <c r="R31" s="102">
        <v>19446599.999999996</v>
      </c>
      <c r="S31" s="130">
        <f t="shared" si="5"/>
        <v>25080099.999999996</v>
      </c>
      <c r="T31" s="102">
        <v>6542100</v>
      </c>
      <c r="U31" s="102">
        <v>22531550</v>
      </c>
      <c r="V31" s="130">
        <f t="shared" si="6"/>
        <v>29073650</v>
      </c>
      <c r="W31" s="102">
        <v>8815800</v>
      </c>
      <c r="X31" s="102">
        <v>25848825</v>
      </c>
      <c r="Y31" s="102">
        <f t="shared" si="7"/>
        <v>34664625</v>
      </c>
      <c r="Z31" s="102">
        <v>9858900</v>
      </c>
      <c r="AA31" s="102">
        <v>27813525</v>
      </c>
      <c r="AB31" s="102">
        <f t="shared" si="8"/>
        <v>37672425</v>
      </c>
      <c r="AC31" s="136">
        <v>9668900</v>
      </c>
      <c r="AD31" s="102">
        <v>29872024.999999996</v>
      </c>
      <c r="AE31" s="106">
        <f t="shared" si="9"/>
        <v>39540925</v>
      </c>
      <c r="AF31" s="136">
        <f>11070500-2731811</f>
        <v>8338689</v>
      </c>
      <c r="AG31" s="102">
        <v>30431699.999999996</v>
      </c>
      <c r="AH31" s="134">
        <f t="shared" si="10"/>
        <v>38770389</v>
      </c>
      <c r="AI31" s="136">
        <f>10677900-2606471</f>
        <v>8071429</v>
      </c>
      <c r="AJ31" s="102">
        <v>31878600</v>
      </c>
      <c r="AK31" s="106">
        <f t="shared" si="11"/>
        <v>39950029</v>
      </c>
      <c r="AL31" s="102">
        <v>36866000</v>
      </c>
      <c r="AM31" s="102">
        <v>33799000</v>
      </c>
      <c r="AN31" s="105">
        <v>16500000</v>
      </c>
      <c r="AO31" s="105">
        <v>21509600</v>
      </c>
      <c r="AP31" s="105">
        <v>21598100</v>
      </c>
      <c r="AQ31" s="105">
        <v>20396800</v>
      </c>
      <c r="AR31" s="105">
        <v>21962770.960000001</v>
      </c>
      <c r="AS31" s="105">
        <v>25831317.530000001</v>
      </c>
      <c r="AT31" s="105">
        <v>27798112.799999997</v>
      </c>
      <c r="AU31" s="105">
        <v>29447270.790000003</v>
      </c>
      <c r="AV31" s="106">
        <v>20872782</v>
      </c>
      <c r="AW31" s="106">
        <v>21833240</v>
      </c>
      <c r="AX31" s="106">
        <v>21276545</v>
      </c>
      <c r="AY31" s="107">
        <v>24624264</v>
      </c>
      <c r="AZ31" s="106">
        <v>26012953.959999993</v>
      </c>
      <c r="BA31" s="134">
        <v>27009969.390000001</v>
      </c>
      <c r="BB31" s="134">
        <v>24992718</v>
      </c>
      <c r="BC31" s="134">
        <v>26194325</v>
      </c>
      <c r="BD31" s="134">
        <v>24463096</v>
      </c>
      <c r="BE31" s="134">
        <v>23971858</v>
      </c>
    </row>
    <row r="32" spans="1:57" x14ac:dyDescent="0.2">
      <c r="A32" s="108" t="s">
        <v>204</v>
      </c>
      <c r="B32" s="101"/>
      <c r="C32" s="102"/>
      <c r="D32" s="112"/>
      <c r="E32" s="102"/>
      <c r="F32" s="102"/>
      <c r="G32" s="112"/>
      <c r="H32" s="102"/>
      <c r="I32" s="102"/>
      <c r="J32" s="102"/>
      <c r="K32" s="102"/>
      <c r="L32" s="102"/>
      <c r="M32" s="102"/>
      <c r="N32" s="102"/>
      <c r="O32" s="102"/>
      <c r="P32" s="130"/>
      <c r="Q32" s="102"/>
      <c r="R32" s="102"/>
      <c r="S32" s="130"/>
      <c r="T32" s="102"/>
      <c r="U32" s="102"/>
      <c r="V32" s="130"/>
      <c r="W32" s="102"/>
      <c r="X32" s="102"/>
      <c r="Y32" s="102"/>
      <c r="Z32" s="102"/>
      <c r="AA32" s="102"/>
      <c r="AB32" s="102"/>
      <c r="AC32" s="136"/>
      <c r="AD32" s="102"/>
      <c r="AE32" s="106"/>
      <c r="AF32" s="136"/>
      <c r="AG32" s="102"/>
      <c r="AH32" s="134"/>
      <c r="AI32" s="136"/>
      <c r="AJ32" s="102"/>
      <c r="AK32" s="106"/>
      <c r="AL32" s="102"/>
      <c r="AM32" s="102"/>
      <c r="AN32" s="130" t="s">
        <v>176</v>
      </c>
      <c r="AO32" s="105">
        <v>9861707.5924188029</v>
      </c>
      <c r="AP32" s="105">
        <v>5491638.7052900018</v>
      </c>
      <c r="AQ32" s="105">
        <v>5991204.5974091953</v>
      </c>
      <c r="AR32" s="106">
        <v>11490933</v>
      </c>
      <c r="AS32" s="106">
        <v>19948019</v>
      </c>
      <c r="AT32" s="106">
        <v>22911022</v>
      </c>
      <c r="AU32" s="106">
        <v>27491365</v>
      </c>
      <c r="AV32" s="106">
        <v>29600000</v>
      </c>
      <c r="AW32" s="106">
        <v>23400000</v>
      </c>
      <c r="AX32" s="106">
        <v>25968800</v>
      </c>
      <c r="AY32" s="106">
        <v>39579800</v>
      </c>
      <c r="AZ32" s="106">
        <v>48300534.010000005</v>
      </c>
      <c r="BA32" s="134">
        <v>49979909.18</v>
      </c>
      <c r="BB32" s="134">
        <v>43048945</v>
      </c>
      <c r="BC32" s="134">
        <v>31042447</v>
      </c>
      <c r="BD32" s="134">
        <v>33347545</v>
      </c>
      <c r="BE32" s="134">
        <v>28636644</v>
      </c>
    </row>
    <row r="33" spans="1:61" ht="23.25" thickBot="1" x14ac:dyDescent="0.25">
      <c r="A33" s="114" t="s">
        <v>205</v>
      </c>
      <c r="B33" s="101" t="s">
        <v>180</v>
      </c>
      <c r="C33" s="102">
        <v>1054938.9843682095</v>
      </c>
      <c r="D33" s="112">
        <f t="shared" si="0"/>
        <v>1054938.9843682095</v>
      </c>
      <c r="E33" s="102" t="s">
        <v>180</v>
      </c>
      <c r="F33" s="102">
        <v>1560874.7820576604</v>
      </c>
      <c r="G33" s="112">
        <f t="shared" si="1"/>
        <v>1560874.7820576604</v>
      </c>
      <c r="H33" s="102" t="s">
        <v>206</v>
      </c>
      <c r="I33" s="102">
        <v>1789159.5888116413</v>
      </c>
      <c r="J33" s="106">
        <f t="shared" si="2"/>
        <v>1789159.5888116413</v>
      </c>
      <c r="K33" s="102" t="s">
        <v>206</v>
      </c>
      <c r="L33" s="102">
        <v>2112100.75</v>
      </c>
      <c r="M33" s="106">
        <f t="shared" si="3"/>
        <v>2112100.75</v>
      </c>
      <c r="N33" s="102" t="s">
        <v>206</v>
      </c>
      <c r="O33" s="102">
        <v>2802719.4375</v>
      </c>
      <c r="P33" s="106">
        <f t="shared" si="4"/>
        <v>2802719.4375</v>
      </c>
      <c r="Q33" s="102" t="s">
        <v>206</v>
      </c>
      <c r="R33" s="102">
        <v>3840367.1875</v>
      </c>
      <c r="S33" s="106">
        <f t="shared" si="5"/>
        <v>3840367.1875</v>
      </c>
      <c r="T33" s="102" t="s">
        <v>206</v>
      </c>
      <c r="U33" s="102">
        <v>4737730.875</v>
      </c>
      <c r="V33" s="106">
        <f t="shared" si="6"/>
        <v>4737730.875</v>
      </c>
      <c r="W33" s="102" t="s">
        <v>206</v>
      </c>
      <c r="X33" s="102">
        <v>5527478.125</v>
      </c>
      <c r="Y33" s="106">
        <f t="shared" si="7"/>
        <v>5527478.125</v>
      </c>
      <c r="Z33" s="102" t="s">
        <v>206</v>
      </c>
      <c r="AA33" s="102">
        <v>4658529.5625</v>
      </c>
      <c r="AB33" s="106">
        <f t="shared" si="8"/>
        <v>4658529.5625</v>
      </c>
      <c r="AC33" s="154" t="s">
        <v>206</v>
      </c>
      <c r="AD33" s="102">
        <v>4508071.125</v>
      </c>
      <c r="AE33" s="112">
        <f t="shared" si="9"/>
        <v>4508071.125</v>
      </c>
      <c r="AF33" s="136">
        <v>2731811</v>
      </c>
      <c r="AG33" s="102">
        <v>4576083</v>
      </c>
      <c r="AH33" s="106">
        <f t="shared" si="10"/>
        <v>7307894</v>
      </c>
      <c r="AI33" s="136">
        <v>2606471</v>
      </c>
      <c r="AJ33" s="102">
        <v>5129000</v>
      </c>
      <c r="AK33" s="106">
        <f t="shared" si="11"/>
        <v>7735471</v>
      </c>
      <c r="AL33" s="102">
        <v>7374596.5999999996</v>
      </c>
      <c r="AM33" s="102">
        <v>5897000</v>
      </c>
      <c r="AN33" s="155">
        <v>-102000</v>
      </c>
      <c r="AO33" s="155">
        <v>7900000</v>
      </c>
      <c r="AP33" s="155">
        <v>4400000</v>
      </c>
      <c r="AQ33" s="155">
        <v>4800000</v>
      </c>
      <c r="AR33" s="155">
        <v>9192746.4000000004</v>
      </c>
      <c r="AS33" s="155">
        <v>17354776.530000001</v>
      </c>
      <c r="AT33" s="155">
        <v>19932589.140000001</v>
      </c>
      <c r="AU33" s="155">
        <v>23917487.550000001</v>
      </c>
      <c r="AV33" s="155">
        <v>23084061</v>
      </c>
      <c r="AW33" s="155">
        <v>18240600</v>
      </c>
      <c r="AX33" s="155">
        <v>20489400</v>
      </c>
      <c r="AY33" s="156">
        <v>33494486</v>
      </c>
      <c r="AZ33" s="157">
        <v>40157964.660000004</v>
      </c>
      <c r="BA33" s="134">
        <v>41779275.57</v>
      </c>
      <c r="BB33" s="134">
        <v>33654832</v>
      </c>
      <c r="BC33" s="134">
        <v>23621706</v>
      </c>
      <c r="BD33" s="134">
        <v>24400787</v>
      </c>
      <c r="BE33" s="134">
        <v>19948927</v>
      </c>
      <c r="BI33" s="158"/>
    </row>
    <row r="34" spans="1:61" ht="13.5" thickBot="1" x14ac:dyDescent="0.25">
      <c r="A34" s="120" t="s">
        <v>207</v>
      </c>
      <c r="B34" s="159">
        <f>SUM(B29:B33)</f>
        <v>0</v>
      </c>
      <c r="C34" s="159">
        <f>SUM(C29:C33)</f>
        <v>8532383.8822144028</v>
      </c>
      <c r="D34" s="110">
        <f t="shared" ref="D34:AM34" si="13">SUM(D29:D33)</f>
        <v>8532383.8822144028</v>
      </c>
      <c r="E34" s="159">
        <f t="shared" si="13"/>
        <v>0</v>
      </c>
      <c r="F34" s="159">
        <f t="shared" si="13"/>
        <v>74534054.04296124</v>
      </c>
      <c r="G34" s="110">
        <f t="shared" si="13"/>
        <v>74534054.04296124</v>
      </c>
      <c r="H34" s="159">
        <f t="shared" si="13"/>
        <v>24493592.225677896</v>
      </c>
      <c r="I34" s="159">
        <f t="shared" si="13"/>
        <v>81717163.106844902</v>
      </c>
      <c r="J34" s="160">
        <f t="shared" si="13"/>
        <v>106210755.33252281</v>
      </c>
      <c r="K34" s="106">
        <f t="shared" si="13"/>
        <v>28200400</v>
      </c>
      <c r="L34" s="106">
        <f t="shared" si="13"/>
        <v>91573763.297312394</v>
      </c>
      <c r="M34" s="106">
        <f t="shared" si="13"/>
        <v>119774163.29731241</v>
      </c>
      <c r="N34" s="106">
        <f t="shared" si="13"/>
        <v>29163400</v>
      </c>
      <c r="O34" s="106">
        <f t="shared" si="13"/>
        <v>101188019.43749999</v>
      </c>
      <c r="P34" s="106">
        <f t="shared" si="13"/>
        <v>130351419.43749999</v>
      </c>
      <c r="Q34" s="106">
        <f t="shared" si="13"/>
        <v>33157100</v>
      </c>
      <c r="R34" s="106">
        <f t="shared" si="13"/>
        <v>112224967.1875</v>
      </c>
      <c r="S34" s="106">
        <f t="shared" si="13"/>
        <v>145382067.1875</v>
      </c>
      <c r="T34" s="106">
        <f t="shared" si="13"/>
        <v>36535000</v>
      </c>
      <c r="U34" s="106">
        <f t="shared" si="13"/>
        <v>124497180.87500001</v>
      </c>
      <c r="V34" s="106">
        <f t="shared" si="13"/>
        <v>161032180.875</v>
      </c>
      <c r="W34" s="106">
        <f t="shared" si="13"/>
        <v>41034500</v>
      </c>
      <c r="X34" s="106">
        <f t="shared" si="13"/>
        <v>138469028.125</v>
      </c>
      <c r="Y34" s="106">
        <f t="shared" si="13"/>
        <v>179503528.125</v>
      </c>
      <c r="Z34" s="106">
        <f t="shared" si="13"/>
        <v>48005200</v>
      </c>
      <c r="AA34" s="106">
        <f t="shared" si="13"/>
        <v>148292304.5625</v>
      </c>
      <c r="AB34" s="106">
        <f t="shared" si="13"/>
        <v>196297504.5625</v>
      </c>
      <c r="AC34" s="106">
        <f t="shared" si="13"/>
        <v>45072028</v>
      </c>
      <c r="AD34" s="106">
        <f t="shared" si="13"/>
        <v>153589096.125</v>
      </c>
      <c r="AE34" s="161">
        <f t="shared" si="13"/>
        <v>198661124.125</v>
      </c>
      <c r="AF34" s="161">
        <f t="shared" si="13"/>
        <v>44748944</v>
      </c>
      <c r="AG34" s="161">
        <f t="shared" si="13"/>
        <v>158035082.99999997</v>
      </c>
      <c r="AH34" s="161">
        <f t="shared" si="13"/>
        <v>202784027</v>
      </c>
      <c r="AI34" s="161">
        <f t="shared" si="13"/>
        <v>45733559</v>
      </c>
      <c r="AJ34" s="161">
        <f t="shared" si="13"/>
        <v>162954200</v>
      </c>
      <c r="AK34" s="161">
        <f t="shared" si="13"/>
        <v>208687759</v>
      </c>
      <c r="AL34" s="106">
        <f t="shared" si="13"/>
        <v>199403596.59999999</v>
      </c>
      <c r="AM34" s="106">
        <f t="shared" si="13"/>
        <v>193393680</v>
      </c>
      <c r="AN34" s="162">
        <f t="shared" ref="AN34:AY34" si="14">AN29+AN31+AN33</f>
        <v>147498000</v>
      </c>
      <c r="AO34" s="162">
        <f t="shared" si="14"/>
        <v>145714400</v>
      </c>
      <c r="AP34" s="162">
        <f t="shared" si="14"/>
        <v>144134700</v>
      </c>
      <c r="AQ34" s="162">
        <f t="shared" si="14"/>
        <v>150048800</v>
      </c>
      <c r="AR34" s="162">
        <f t="shared" si="14"/>
        <v>155635368.37</v>
      </c>
      <c r="AS34" s="162">
        <f t="shared" si="14"/>
        <v>163087694.37</v>
      </c>
      <c r="AT34" s="162">
        <f t="shared" si="14"/>
        <v>173001388.97999996</v>
      </c>
      <c r="AU34" s="162">
        <f t="shared" si="14"/>
        <v>180933456.34</v>
      </c>
      <c r="AV34" s="162">
        <f t="shared" si="14"/>
        <v>177968949</v>
      </c>
      <c r="AW34" s="162">
        <f t="shared" si="14"/>
        <v>176592976</v>
      </c>
      <c r="AX34" s="162">
        <f t="shared" si="14"/>
        <v>182272231</v>
      </c>
      <c r="AY34" s="162">
        <f t="shared" si="14"/>
        <v>208006374</v>
      </c>
      <c r="AZ34" s="162">
        <f>AZ29+AZ31+AZ33</f>
        <v>221628713.78</v>
      </c>
      <c r="BA34" s="162">
        <f>BA29+BA31+BA33</f>
        <v>216159142.38999999</v>
      </c>
      <c r="BB34" s="162">
        <f t="shared" ref="BB34:BD34" si="15">BB29+BB31+BB33</f>
        <v>221155760.41000003</v>
      </c>
      <c r="BC34" s="162">
        <f t="shared" si="15"/>
        <v>216014546</v>
      </c>
      <c r="BD34" s="162">
        <f t="shared" si="15"/>
        <v>209924023</v>
      </c>
      <c r="BE34" s="162">
        <v>201487057</v>
      </c>
    </row>
    <row r="35" spans="1:61" ht="13.5" thickBot="1" x14ac:dyDescent="0.25">
      <c r="A35" s="120" t="s">
        <v>208</v>
      </c>
      <c r="B35" s="159"/>
      <c r="C35" s="159"/>
      <c r="D35" s="110"/>
      <c r="E35" s="159"/>
      <c r="F35" s="159"/>
      <c r="G35" s="110"/>
      <c r="H35" s="159"/>
      <c r="I35" s="159"/>
      <c r="J35" s="160"/>
      <c r="K35" s="106"/>
      <c r="L35" s="106"/>
      <c r="M35" s="106"/>
      <c r="N35" s="106"/>
      <c r="O35" s="106"/>
      <c r="P35" s="106"/>
      <c r="Q35" s="106"/>
      <c r="R35" s="106"/>
      <c r="S35" s="106"/>
      <c r="T35" s="106"/>
      <c r="U35" s="106"/>
      <c r="V35" s="106"/>
      <c r="W35" s="106"/>
      <c r="X35" s="106"/>
      <c r="Y35" s="106"/>
      <c r="Z35" s="106"/>
      <c r="AA35" s="106"/>
      <c r="AB35" s="106"/>
      <c r="AC35" s="106"/>
      <c r="AD35" s="106"/>
      <c r="AE35" s="161"/>
      <c r="AF35" s="161"/>
      <c r="AG35" s="161"/>
      <c r="AH35" s="161"/>
      <c r="AI35" s="161"/>
      <c r="AJ35" s="161"/>
      <c r="AK35" s="161"/>
      <c r="AL35" s="106"/>
      <c r="AM35" s="106"/>
      <c r="AN35" s="162"/>
      <c r="AO35" s="162">
        <f t="shared" ref="AO35:AY35" si="16">AO28+AO30+AO32</f>
        <v>181530451.08999997</v>
      </c>
      <c r="AP35" s="162">
        <f t="shared" si="16"/>
        <v>178601413.99999997</v>
      </c>
      <c r="AQ35" s="162">
        <f t="shared" si="16"/>
        <v>182887558.49000001</v>
      </c>
      <c r="AR35" s="162">
        <f t="shared" si="16"/>
        <v>188741145.18000001</v>
      </c>
      <c r="AS35" s="162">
        <f t="shared" si="16"/>
        <v>190707366.96000001</v>
      </c>
      <c r="AT35" s="162">
        <f t="shared" si="16"/>
        <v>202198538.44</v>
      </c>
      <c r="AU35" s="162">
        <f t="shared" si="16"/>
        <v>212375192.83000001</v>
      </c>
      <c r="AV35" s="162">
        <f t="shared" si="16"/>
        <v>220735721</v>
      </c>
      <c r="AW35" s="162">
        <f t="shared" si="16"/>
        <v>223640463</v>
      </c>
      <c r="AX35" s="162">
        <f t="shared" si="16"/>
        <v>227984693</v>
      </c>
      <c r="AY35" s="162">
        <f t="shared" si="16"/>
        <v>254110056</v>
      </c>
      <c r="AZ35" s="162">
        <f>AZ28+AZ30+AZ32</f>
        <v>273015555.82999998</v>
      </c>
      <c r="BA35" s="162">
        <f>BA28+BA30+BA32</f>
        <v>267309577.55000001</v>
      </c>
      <c r="BB35" s="162">
        <f t="shared" ref="BB35:BD35" si="17">BB28+BB30+BB32</f>
        <v>278256550</v>
      </c>
      <c r="BC35" s="162">
        <f t="shared" si="17"/>
        <v>277552302</v>
      </c>
      <c r="BD35" s="162">
        <f t="shared" si="17"/>
        <v>278103624</v>
      </c>
      <c r="BE35" s="162">
        <v>273260786</v>
      </c>
    </row>
    <row r="36" spans="1:61" ht="13.5" thickBot="1" x14ac:dyDescent="0.25">
      <c r="A36" s="120" t="s">
        <v>209</v>
      </c>
      <c r="B36" s="159"/>
      <c r="C36" s="159"/>
      <c r="D36" s="110"/>
      <c r="E36" s="159"/>
      <c r="F36" s="159"/>
      <c r="G36" s="110"/>
      <c r="H36" s="159"/>
      <c r="I36" s="159"/>
      <c r="J36" s="160"/>
      <c r="K36" s="106"/>
      <c r="L36" s="106"/>
      <c r="M36" s="106"/>
      <c r="N36" s="106"/>
      <c r="O36" s="106"/>
      <c r="P36" s="106"/>
      <c r="Q36" s="106"/>
      <c r="R36" s="106"/>
      <c r="S36" s="106"/>
      <c r="T36" s="106"/>
      <c r="U36" s="106"/>
      <c r="V36" s="106"/>
      <c r="W36" s="106"/>
      <c r="X36" s="106"/>
      <c r="Y36" s="106"/>
      <c r="Z36" s="106"/>
      <c r="AA36" s="106"/>
      <c r="AB36" s="106"/>
      <c r="AC36" s="106"/>
      <c r="AD36" s="106"/>
      <c r="AE36" s="161"/>
      <c r="AF36" s="161"/>
      <c r="AG36" s="161"/>
      <c r="AH36" s="161"/>
      <c r="AI36" s="161"/>
      <c r="AJ36" s="161"/>
      <c r="AK36" s="161"/>
      <c r="AL36" s="106"/>
      <c r="AM36" s="106"/>
      <c r="AN36" s="162"/>
      <c r="AO36" s="162">
        <f t="shared" ref="AO36:BD36" si="18">AO35/AO21</f>
        <v>74367.24747644407</v>
      </c>
      <c r="AP36" s="162">
        <f t="shared" si="18"/>
        <v>75232.272114574545</v>
      </c>
      <c r="AQ36" s="162">
        <f t="shared" si="18"/>
        <v>82567.746496613996</v>
      </c>
      <c r="AR36" s="162">
        <f t="shared" si="18"/>
        <v>86222.542338967571</v>
      </c>
      <c r="AS36" s="162">
        <f t="shared" si="18"/>
        <v>91029.769431980909</v>
      </c>
      <c r="AT36" s="162">
        <f t="shared" si="18"/>
        <v>96560.90660936007</v>
      </c>
      <c r="AU36" s="162">
        <f t="shared" si="18"/>
        <v>101179.22478799429</v>
      </c>
      <c r="AV36" s="163">
        <f t="shared" si="18"/>
        <v>102811.23474615742</v>
      </c>
      <c r="AW36" s="163">
        <f t="shared" si="18"/>
        <v>101608.57019536574</v>
      </c>
      <c r="AX36" s="163">
        <f t="shared" si="18"/>
        <v>104436.41456710949</v>
      </c>
      <c r="AY36" s="163">
        <f t="shared" si="18"/>
        <v>114929.92130257802</v>
      </c>
      <c r="AZ36" s="163">
        <f t="shared" si="18"/>
        <v>123035.40145561063</v>
      </c>
      <c r="BA36" s="163">
        <f t="shared" si="18"/>
        <v>122394.49521520147</v>
      </c>
      <c r="BB36" s="163">
        <f t="shared" si="18"/>
        <v>127523.62511457379</v>
      </c>
      <c r="BC36" s="163">
        <f t="shared" si="18"/>
        <v>124967.26789734354</v>
      </c>
      <c r="BD36" s="163">
        <f t="shared" si="18"/>
        <v>123382.264418811</v>
      </c>
      <c r="BE36" s="163">
        <v>120273.23327464789</v>
      </c>
    </row>
    <row r="37" spans="1:61" ht="13.5" thickBot="1" x14ac:dyDescent="0.25">
      <c r="A37" s="91" t="s">
        <v>210</v>
      </c>
      <c r="B37" s="164">
        <v>409503500</v>
      </c>
      <c r="C37" s="164"/>
      <c r="D37" s="164">
        <f t="shared" si="0"/>
        <v>409503500</v>
      </c>
      <c r="E37" s="164">
        <v>423009000</v>
      </c>
      <c r="F37" s="164"/>
      <c r="G37" s="164">
        <f t="shared" si="1"/>
        <v>423009000</v>
      </c>
      <c r="H37" s="164">
        <v>513011000</v>
      </c>
      <c r="I37" s="164"/>
      <c r="J37" s="164">
        <f t="shared" si="2"/>
        <v>513011000</v>
      </c>
      <c r="K37" s="164">
        <v>493587500</v>
      </c>
      <c r="L37" s="164"/>
      <c r="M37" s="164">
        <f t="shared" si="3"/>
        <v>493587500</v>
      </c>
      <c r="N37" s="164">
        <v>528306800</v>
      </c>
      <c r="O37" s="164"/>
      <c r="P37" s="164">
        <f t="shared" si="4"/>
        <v>528306800</v>
      </c>
      <c r="Q37" s="164">
        <v>583611500</v>
      </c>
      <c r="R37" s="164"/>
      <c r="S37" s="164">
        <f t="shared" si="5"/>
        <v>583611500</v>
      </c>
      <c r="T37" s="164">
        <v>627543500</v>
      </c>
      <c r="U37" s="164"/>
      <c r="V37" s="164">
        <f t="shared" si="6"/>
        <v>627543500</v>
      </c>
      <c r="W37" s="164">
        <v>671038000</v>
      </c>
      <c r="X37" s="164"/>
      <c r="Y37" s="164">
        <f t="shared" si="7"/>
        <v>671038000</v>
      </c>
      <c r="Z37" s="164">
        <v>745968200</v>
      </c>
      <c r="AA37" s="164"/>
      <c r="AB37" s="164">
        <f t="shared" si="8"/>
        <v>745968200</v>
      </c>
      <c r="AC37" s="164">
        <v>805588000</v>
      </c>
      <c r="AD37" s="164"/>
      <c r="AE37" s="164">
        <f t="shared" si="9"/>
        <v>805588000</v>
      </c>
      <c r="AF37" s="164">
        <v>875331000</v>
      </c>
      <c r="AG37" s="164"/>
      <c r="AH37" s="164">
        <f t="shared" si="10"/>
        <v>875331000</v>
      </c>
      <c r="AI37" s="164">
        <v>953436077.67999995</v>
      </c>
      <c r="AJ37" s="164"/>
      <c r="AK37" s="164">
        <f t="shared" si="11"/>
        <v>953436077.67999995</v>
      </c>
      <c r="AL37" s="164"/>
      <c r="AM37" s="164"/>
      <c r="AN37" s="164">
        <f xml:space="preserve"> AN38+AN39+AN40+AN41+AN45+AN46+AN47+AN53</f>
        <v>4096293902.8099995</v>
      </c>
      <c r="AO37" s="164">
        <f t="shared" ref="AO37:BD37" si="19" xml:space="preserve"> AO38+AO39+AO40+AO41+AO45+AO46+AO47+AO53</f>
        <v>4252987957.8900003</v>
      </c>
      <c r="AP37" s="164">
        <f t="shared" si="19"/>
        <v>4436583678.6300001</v>
      </c>
      <c r="AQ37" s="164">
        <f t="shared" si="19"/>
        <v>4578411098.8900003</v>
      </c>
      <c r="AR37" s="164">
        <f t="shared" si="19"/>
        <v>4685298004.2599993</v>
      </c>
      <c r="AS37" s="164">
        <f t="shared" si="19"/>
        <v>4786443972.6199999</v>
      </c>
      <c r="AT37" s="164">
        <f t="shared" si="19"/>
        <v>4916697223.8500004</v>
      </c>
      <c r="AU37" s="164">
        <f t="shared" si="19"/>
        <v>5243339864.6200008</v>
      </c>
      <c r="AV37" s="164">
        <f t="shared" si="19"/>
        <v>5461700485.5200005</v>
      </c>
      <c r="AW37" s="164">
        <f t="shared" si="19"/>
        <v>5836801051.6000004</v>
      </c>
      <c r="AX37" s="164">
        <f t="shared" si="19"/>
        <v>6084012433.25</v>
      </c>
      <c r="AY37" s="164">
        <f t="shared" si="19"/>
        <v>6227669098.3699989</v>
      </c>
      <c r="AZ37" s="164">
        <f t="shared" si="19"/>
        <v>6471688518.46</v>
      </c>
      <c r="BA37" s="164">
        <f t="shared" si="19"/>
        <v>6645381075.4400005</v>
      </c>
      <c r="BB37" s="164">
        <f t="shared" si="19"/>
        <v>6897946252.6400003</v>
      </c>
      <c r="BC37" s="164">
        <f t="shared" si="19"/>
        <v>7228382170.4599991</v>
      </c>
      <c r="BD37" s="164">
        <f t="shared" si="19"/>
        <v>7873964265.6899996</v>
      </c>
      <c r="BE37" s="164">
        <f xml:space="preserve"> BE38+BE39+BE40+BE41+BE45+BE46+BE47+BE53+BE50</f>
        <v>8683773953.5900021</v>
      </c>
    </row>
    <row r="38" spans="1:61" x14ac:dyDescent="0.2">
      <c r="A38" s="94" t="s">
        <v>211</v>
      </c>
      <c r="B38" s="148">
        <v>9544900</v>
      </c>
      <c r="C38" s="102">
        <v>215850.1225</v>
      </c>
      <c r="D38" s="102">
        <f t="shared" si="0"/>
        <v>9760750.1225000005</v>
      </c>
      <c r="E38" s="102">
        <v>9563300</v>
      </c>
      <c r="F38" s="102">
        <v>215850</v>
      </c>
      <c r="G38" s="102">
        <f t="shared" si="1"/>
        <v>9779150</v>
      </c>
      <c r="H38" s="165">
        <f>0.5*(E38+K38)</f>
        <v>9578750</v>
      </c>
      <c r="I38" s="102">
        <v>215850</v>
      </c>
      <c r="J38" s="113">
        <f t="shared" si="2"/>
        <v>9794600</v>
      </c>
      <c r="K38" s="102">
        <v>9594200</v>
      </c>
      <c r="L38" s="102">
        <v>215850</v>
      </c>
      <c r="M38" s="102">
        <f t="shared" si="3"/>
        <v>9810050</v>
      </c>
      <c r="N38" s="102">
        <v>9608200</v>
      </c>
      <c r="O38" s="102">
        <v>215850</v>
      </c>
      <c r="P38" s="102">
        <f t="shared" si="4"/>
        <v>9824050</v>
      </c>
      <c r="Q38" s="102">
        <v>9612500</v>
      </c>
      <c r="R38" s="102">
        <v>215850</v>
      </c>
      <c r="S38" s="102">
        <f t="shared" si="5"/>
        <v>9828350</v>
      </c>
      <c r="T38" s="102">
        <v>9619700</v>
      </c>
      <c r="U38" s="102">
        <v>215850</v>
      </c>
      <c r="V38" s="102">
        <f t="shared" si="6"/>
        <v>9835550</v>
      </c>
      <c r="W38" s="102">
        <v>9621700</v>
      </c>
      <c r="X38" s="102">
        <v>215850</v>
      </c>
      <c r="Y38" s="102">
        <f t="shared" si="7"/>
        <v>9837550</v>
      </c>
      <c r="Z38" s="102">
        <v>9621700</v>
      </c>
      <c r="AA38" s="102">
        <v>215850</v>
      </c>
      <c r="AB38" s="102">
        <f t="shared" si="8"/>
        <v>9837550</v>
      </c>
      <c r="AC38" s="113">
        <f>0.5*(Z38+AI38)</f>
        <v>9887415.8900000006</v>
      </c>
      <c r="AD38" s="102">
        <v>232101</v>
      </c>
      <c r="AE38" s="113">
        <f t="shared" si="9"/>
        <v>10119516.890000001</v>
      </c>
      <c r="AF38" s="113">
        <f>0.5*(Z38+AI38)</f>
        <v>9887415.8900000006</v>
      </c>
      <c r="AG38" s="106">
        <v>237518</v>
      </c>
      <c r="AH38" s="113">
        <f t="shared" si="10"/>
        <v>10124933.890000001</v>
      </c>
      <c r="AI38" s="102">
        <v>10153131.779999999</v>
      </c>
      <c r="AJ38" s="102">
        <v>237592</v>
      </c>
      <c r="AK38" s="102">
        <f t="shared" si="11"/>
        <v>10390723.779999999</v>
      </c>
      <c r="AL38" s="102">
        <v>10390724.470000001</v>
      </c>
      <c r="AM38" s="102">
        <v>10423220.470000001</v>
      </c>
      <c r="AN38" s="102">
        <v>10423220.220000001</v>
      </c>
      <c r="AO38" s="102">
        <v>11081883.609999999</v>
      </c>
      <c r="AP38" s="102">
        <v>11265883.609999999</v>
      </c>
      <c r="AQ38" s="102">
        <v>11468883.609999999</v>
      </c>
      <c r="AR38" s="102">
        <v>11457417.34</v>
      </c>
      <c r="AS38" s="102">
        <v>11460685.52</v>
      </c>
      <c r="AT38" s="102">
        <v>11472152.149999999</v>
      </c>
      <c r="AU38" s="102">
        <v>11472152.149999999</v>
      </c>
      <c r="AV38" s="102">
        <v>11472152.149999999</v>
      </c>
      <c r="AW38" s="102">
        <v>11472152.149999999</v>
      </c>
      <c r="AX38" s="102">
        <v>7691696.4000000004</v>
      </c>
      <c r="AY38" s="102">
        <v>7691696.4000000004</v>
      </c>
      <c r="AZ38" s="102">
        <v>7691696</v>
      </c>
      <c r="BA38" s="102">
        <v>7691696</v>
      </c>
      <c r="BB38" s="102">
        <v>7615503.8600000003</v>
      </c>
      <c r="BC38" s="102">
        <v>7593759.4900000002</v>
      </c>
      <c r="BD38" s="102">
        <v>7572843.9000000004</v>
      </c>
      <c r="BE38" s="106">
        <v>7542856.6900000004</v>
      </c>
    </row>
    <row r="39" spans="1:61" x14ac:dyDescent="0.2">
      <c r="A39" s="166" t="s">
        <v>212</v>
      </c>
      <c r="B39" s="111" t="s">
        <v>176</v>
      </c>
      <c r="C39" s="102">
        <v>8044078</v>
      </c>
      <c r="D39" s="103">
        <f>SUM(B39:C39)</f>
        <v>8044078</v>
      </c>
      <c r="E39" s="102" t="s">
        <v>176</v>
      </c>
      <c r="F39" s="102">
        <v>8505566.5</v>
      </c>
      <c r="G39" s="104">
        <f t="shared" si="1"/>
        <v>8505566.5</v>
      </c>
      <c r="H39" s="102" t="s">
        <v>176</v>
      </c>
      <c r="I39" s="102">
        <v>6949574.25</v>
      </c>
      <c r="J39" s="104">
        <f t="shared" si="2"/>
        <v>6949574.25</v>
      </c>
      <c r="K39" s="102" t="s">
        <v>176</v>
      </c>
      <c r="L39" s="102">
        <v>6358838.25</v>
      </c>
      <c r="M39" s="104">
        <f t="shared" si="3"/>
        <v>6358838.25</v>
      </c>
      <c r="N39" s="102" t="s">
        <v>176</v>
      </c>
      <c r="O39" s="102">
        <v>6348534.5</v>
      </c>
      <c r="P39" s="104">
        <f t="shared" si="4"/>
        <v>6348534.5</v>
      </c>
      <c r="Q39" s="102" t="s">
        <v>176</v>
      </c>
      <c r="R39" s="102">
        <v>3920133</v>
      </c>
      <c r="S39" s="104">
        <f t="shared" si="5"/>
        <v>3920133</v>
      </c>
      <c r="T39" s="102" t="s">
        <v>176</v>
      </c>
      <c r="U39" s="102">
        <v>3098717.25</v>
      </c>
      <c r="V39" s="104">
        <f t="shared" si="6"/>
        <v>3098717.25</v>
      </c>
      <c r="W39" s="102" t="s">
        <v>176</v>
      </c>
      <c r="X39" s="102">
        <v>1519797.25</v>
      </c>
      <c r="Y39" s="104">
        <f t="shared" si="7"/>
        <v>1519797.25</v>
      </c>
      <c r="Z39" s="102" t="s">
        <v>176</v>
      </c>
      <c r="AA39" s="102">
        <v>1029596</v>
      </c>
      <c r="AB39" s="104">
        <f t="shared" si="8"/>
        <v>1029596</v>
      </c>
      <c r="AC39" s="102" t="s">
        <v>176</v>
      </c>
      <c r="AD39" s="102">
        <v>1352875.25</v>
      </c>
      <c r="AE39" s="104">
        <f t="shared" si="9"/>
        <v>1352875.25</v>
      </c>
      <c r="AF39" s="102" t="s">
        <v>176</v>
      </c>
      <c r="AG39" s="102">
        <v>1456879</v>
      </c>
      <c r="AH39" s="104">
        <f t="shared" si="10"/>
        <v>1456879</v>
      </c>
      <c r="AI39" s="102" t="s">
        <v>176</v>
      </c>
      <c r="AJ39" s="102">
        <v>1441238</v>
      </c>
      <c r="AK39" s="104">
        <f t="shared" si="11"/>
        <v>1441238</v>
      </c>
      <c r="AL39" s="102">
        <v>1450728.49</v>
      </c>
      <c r="AM39" s="102">
        <v>1453651.43</v>
      </c>
      <c r="AN39" s="102">
        <v>1452585.35</v>
      </c>
      <c r="AO39" s="102">
        <v>1424556.15</v>
      </c>
      <c r="AP39" s="102">
        <v>1424556</v>
      </c>
      <c r="AQ39" s="102">
        <v>1394556.15</v>
      </c>
      <c r="AR39" s="102">
        <v>1394743.12</v>
      </c>
      <c r="AS39" s="102">
        <v>0</v>
      </c>
      <c r="AT39" s="102">
        <v>0</v>
      </c>
      <c r="AU39" s="102">
        <v>0</v>
      </c>
      <c r="AV39" s="102">
        <v>0</v>
      </c>
      <c r="AW39" s="102">
        <v>0</v>
      </c>
      <c r="AX39" s="102">
        <v>0</v>
      </c>
      <c r="AY39" s="102">
        <v>0</v>
      </c>
      <c r="AZ39" s="102">
        <v>0</v>
      </c>
      <c r="BA39" s="102">
        <v>0</v>
      </c>
      <c r="BB39" s="167">
        <v>0</v>
      </c>
      <c r="BC39" s="167">
        <v>0</v>
      </c>
      <c r="BD39" s="167">
        <v>0</v>
      </c>
      <c r="BE39" s="162">
        <v>0</v>
      </c>
    </row>
    <row r="40" spans="1:61" x14ac:dyDescent="0.2">
      <c r="A40" s="166" t="s">
        <v>213</v>
      </c>
      <c r="B40" s="148">
        <v>6320500</v>
      </c>
      <c r="C40" s="102" t="s">
        <v>176</v>
      </c>
      <c r="D40" s="104">
        <f t="shared" si="0"/>
        <v>6320500</v>
      </c>
      <c r="E40" s="102">
        <v>6416400</v>
      </c>
      <c r="F40" s="102" t="s">
        <v>176</v>
      </c>
      <c r="G40" s="104">
        <f t="shared" si="1"/>
        <v>6416400</v>
      </c>
      <c r="H40" s="102">
        <v>6419600</v>
      </c>
      <c r="I40" s="102" t="s">
        <v>176</v>
      </c>
      <c r="J40" s="104">
        <f t="shared" si="2"/>
        <v>6419600</v>
      </c>
      <c r="K40" s="102">
        <v>6429200</v>
      </c>
      <c r="L40" s="102" t="s">
        <v>176</v>
      </c>
      <c r="M40" s="104">
        <f t="shared" si="3"/>
        <v>6429200</v>
      </c>
      <c r="N40" s="102">
        <v>6429200</v>
      </c>
      <c r="O40" s="102" t="s">
        <v>176</v>
      </c>
      <c r="P40" s="104">
        <f t="shared" si="4"/>
        <v>6429200</v>
      </c>
      <c r="Q40" s="102">
        <v>6429200</v>
      </c>
      <c r="R40" s="102" t="s">
        <v>176</v>
      </c>
      <c r="S40" s="104">
        <f t="shared" si="5"/>
        <v>6429200</v>
      </c>
      <c r="T40" s="102">
        <v>6502900</v>
      </c>
      <c r="U40" s="102" t="s">
        <v>176</v>
      </c>
      <c r="V40" s="104">
        <f t="shared" si="6"/>
        <v>6502900</v>
      </c>
      <c r="W40" s="102">
        <v>6502900</v>
      </c>
      <c r="X40" s="102" t="s">
        <v>176</v>
      </c>
      <c r="Y40" s="104">
        <f t="shared" si="7"/>
        <v>6502900</v>
      </c>
      <c r="Z40" s="102">
        <v>6502900</v>
      </c>
      <c r="AA40" s="102" t="s">
        <v>176</v>
      </c>
      <c r="AB40" s="104">
        <f t="shared" si="8"/>
        <v>6502900</v>
      </c>
      <c r="AC40" s="102">
        <v>6503000</v>
      </c>
      <c r="AD40" s="102" t="s">
        <v>176</v>
      </c>
      <c r="AE40" s="104">
        <f t="shared" si="9"/>
        <v>6503000</v>
      </c>
      <c r="AF40" s="102">
        <v>6503000</v>
      </c>
      <c r="AG40" s="102" t="s">
        <v>176</v>
      </c>
      <c r="AH40" s="104">
        <f t="shared" si="10"/>
        <v>6503000</v>
      </c>
      <c r="AI40" s="102">
        <v>6502481.3700000001</v>
      </c>
      <c r="AJ40" s="102" t="s">
        <v>176</v>
      </c>
      <c r="AK40" s="104">
        <f t="shared" si="11"/>
        <v>6502481.3700000001</v>
      </c>
      <c r="AL40" s="102">
        <v>6502481</v>
      </c>
      <c r="AM40" s="102">
        <v>7973075</v>
      </c>
      <c r="AN40" s="102">
        <v>10041189.43</v>
      </c>
      <c r="AO40" s="102">
        <v>10177021.74</v>
      </c>
      <c r="AP40" s="102">
        <v>10926021.74</v>
      </c>
      <c r="AQ40" s="102">
        <v>12163021.74</v>
      </c>
      <c r="AR40" s="102">
        <v>12195908.43</v>
      </c>
      <c r="AS40" s="102">
        <v>12242617.82</v>
      </c>
      <c r="AT40" s="102">
        <v>12424346.48</v>
      </c>
      <c r="AU40" s="102">
        <v>14502816.949999999</v>
      </c>
      <c r="AV40" s="102">
        <v>14721045.65</v>
      </c>
      <c r="AW40" s="102">
        <v>14745985.189999999</v>
      </c>
      <c r="AX40" s="102">
        <v>15771527.470000001</v>
      </c>
      <c r="AY40" s="102">
        <v>17255907.640000001</v>
      </c>
      <c r="AZ40" s="102">
        <v>17891676.110000003</v>
      </c>
      <c r="BA40" s="102">
        <v>19248168.430000003</v>
      </c>
      <c r="BB40" s="102">
        <f>22389362.32+1141500.16</f>
        <v>23530862.48</v>
      </c>
      <c r="BC40" s="102">
        <f>24360581+1257718</f>
        <v>25618299</v>
      </c>
      <c r="BD40" s="102">
        <f>24807700.64+1535926.85</f>
        <v>26343627.490000002</v>
      </c>
      <c r="BE40" s="162">
        <f>26237364.12+1554057.85</f>
        <v>27791421.970000003</v>
      </c>
    </row>
    <row r="41" spans="1:61" x14ac:dyDescent="0.2">
      <c r="A41" s="166" t="s">
        <v>214</v>
      </c>
      <c r="B41" s="101" t="s">
        <v>176</v>
      </c>
      <c r="C41" s="102">
        <v>102445713</v>
      </c>
      <c r="D41" s="104">
        <f t="shared" si="0"/>
        <v>102445713</v>
      </c>
      <c r="E41" s="102" t="s">
        <v>176</v>
      </c>
      <c r="F41" s="102">
        <v>109217482.5</v>
      </c>
      <c r="G41" s="104">
        <f t="shared" si="1"/>
        <v>109217482.5</v>
      </c>
      <c r="H41" s="102" t="s">
        <v>176</v>
      </c>
      <c r="I41" s="102">
        <v>116714697.25</v>
      </c>
      <c r="J41" s="104">
        <f t="shared" si="2"/>
        <v>116714697.25</v>
      </c>
      <c r="K41" s="102" t="s">
        <v>176</v>
      </c>
      <c r="L41" s="102">
        <v>166371689.5</v>
      </c>
      <c r="M41" s="104">
        <f t="shared" si="3"/>
        <v>166371689.5</v>
      </c>
      <c r="N41" s="102" t="s">
        <v>176</v>
      </c>
      <c r="O41" s="102">
        <v>191714708.5</v>
      </c>
      <c r="P41" s="104">
        <f t="shared" si="4"/>
        <v>191714708.5</v>
      </c>
      <c r="Q41" s="102">
        <v>17179500</v>
      </c>
      <c r="R41" s="102">
        <v>247254946.25</v>
      </c>
      <c r="S41" s="102">
        <f t="shared" si="5"/>
        <v>264434446.25</v>
      </c>
      <c r="T41" s="102">
        <v>17586400</v>
      </c>
      <c r="U41" s="102">
        <v>279897797.25</v>
      </c>
      <c r="V41" s="102">
        <f t="shared" si="6"/>
        <v>297484197.25</v>
      </c>
      <c r="W41" s="102">
        <v>17715300</v>
      </c>
      <c r="X41" s="102">
        <v>333425697</v>
      </c>
      <c r="Y41" s="102">
        <f t="shared" si="7"/>
        <v>351140997</v>
      </c>
      <c r="Z41" s="102">
        <v>17879300</v>
      </c>
      <c r="AA41" s="102">
        <v>371474827.75</v>
      </c>
      <c r="AB41" s="102">
        <f t="shared" si="8"/>
        <v>389354127.75</v>
      </c>
      <c r="AC41" s="102">
        <v>17879000</v>
      </c>
      <c r="AD41" s="102">
        <v>396799538.75</v>
      </c>
      <c r="AE41" s="102">
        <f t="shared" si="9"/>
        <v>414678538.75</v>
      </c>
      <c r="AF41" s="102">
        <v>17879000</v>
      </c>
      <c r="AG41" s="102">
        <v>409060060</v>
      </c>
      <c r="AH41" s="102">
        <f t="shared" si="10"/>
        <v>426939060</v>
      </c>
      <c r="AI41" s="102">
        <v>19359311.469999999</v>
      </c>
      <c r="AJ41" s="102">
        <v>415575653</v>
      </c>
      <c r="AK41" s="102">
        <f t="shared" si="11"/>
        <v>434934964.47000003</v>
      </c>
      <c r="AL41" s="102">
        <v>467796538.80000001</v>
      </c>
      <c r="AM41" s="102">
        <v>473731019.08999997</v>
      </c>
      <c r="AN41" s="102">
        <v>490387565.84999996</v>
      </c>
      <c r="AO41" s="102">
        <v>538127959.34000003</v>
      </c>
      <c r="AP41" s="102">
        <v>562158959.34000003</v>
      </c>
      <c r="AQ41" s="102">
        <v>571033959.34000003</v>
      </c>
      <c r="AR41" s="102">
        <v>574880267.95999992</v>
      </c>
      <c r="AS41" s="102">
        <v>577283824.08000004</v>
      </c>
      <c r="AT41" s="102">
        <v>584274327.95000005</v>
      </c>
      <c r="AU41" s="102">
        <v>639423492.40999997</v>
      </c>
      <c r="AV41" s="102">
        <v>646449203.54999995</v>
      </c>
      <c r="AW41" s="102">
        <v>697608642.10000002</v>
      </c>
      <c r="AX41" s="102">
        <v>784115711.50999999</v>
      </c>
      <c r="AY41" s="102">
        <v>789711188.66999996</v>
      </c>
      <c r="AZ41" s="102">
        <v>840665425.35000002</v>
      </c>
      <c r="BA41" s="102">
        <v>847007037.17999995</v>
      </c>
      <c r="BB41" s="102">
        <f>848691483.72-810799+10899184.72</f>
        <v>858779869.44000006</v>
      </c>
      <c r="BC41" s="102">
        <f>858413694-810799+12243668</f>
        <v>869846563</v>
      </c>
      <c r="BD41" s="102">
        <f>916046073.47-810799+12593846.61</f>
        <v>927829121.08000004</v>
      </c>
      <c r="BE41" s="162">
        <f>950698041.25-810799+12666293.22</f>
        <v>962553535.47000003</v>
      </c>
    </row>
    <row r="42" spans="1:61" x14ac:dyDescent="0.2">
      <c r="A42" s="166" t="s">
        <v>215</v>
      </c>
      <c r="B42" s="101"/>
      <c r="C42" s="102"/>
      <c r="D42" s="104"/>
      <c r="E42" s="102"/>
      <c r="F42" s="102"/>
      <c r="G42" s="104"/>
      <c r="H42" s="102"/>
      <c r="I42" s="102"/>
      <c r="J42" s="104"/>
      <c r="K42" s="102"/>
      <c r="L42" s="102"/>
      <c r="M42" s="104"/>
      <c r="N42" s="102"/>
      <c r="O42" s="102"/>
      <c r="P42" s="104"/>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5">
        <v>174957008</v>
      </c>
      <c r="AW42" s="105">
        <v>221806814.81</v>
      </c>
      <c r="AX42" s="105">
        <v>303485699.49000001</v>
      </c>
      <c r="AY42" s="105">
        <v>305645488.63</v>
      </c>
      <c r="AZ42" s="102">
        <v>323112433.04000002</v>
      </c>
      <c r="BA42" s="102">
        <v>322783767.62</v>
      </c>
      <c r="BB42" s="102">
        <f>328990591.2-305346.91</f>
        <v>328685244.28999996</v>
      </c>
      <c r="BC42" s="102">
        <f>337024254.45-305346.91</f>
        <v>336718907.53999996</v>
      </c>
      <c r="BD42" s="102">
        <f>391326148.79-305346.91</f>
        <v>391020801.88</v>
      </c>
      <c r="BE42" s="162">
        <f>395303832.78-305346.91</f>
        <v>394998485.86999995</v>
      </c>
    </row>
    <row r="43" spans="1:61" x14ac:dyDescent="0.2">
      <c r="A43" s="166" t="s">
        <v>216</v>
      </c>
      <c r="B43" s="101"/>
      <c r="C43" s="102"/>
      <c r="D43" s="104"/>
      <c r="E43" s="102"/>
      <c r="F43" s="102"/>
      <c r="G43" s="104"/>
      <c r="H43" s="102"/>
      <c r="I43" s="102"/>
      <c r="J43" s="104"/>
      <c r="K43" s="102"/>
      <c r="L43" s="102"/>
      <c r="M43" s="104"/>
      <c r="N43" s="102"/>
      <c r="O43" s="102"/>
      <c r="P43" s="104"/>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2"/>
      <c r="AN43" s="168">
        <v>0.27</v>
      </c>
      <c r="AO43" s="168">
        <v>0.27</v>
      </c>
      <c r="AP43" s="168">
        <v>0.27</v>
      </c>
      <c r="AQ43" s="168">
        <v>0.27</v>
      </c>
      <c r="AR43" s="168">
        <v>0.27</v>
      </c>
      <c r="AS43" s="168">
        <v>0.27</v>
      </c>
      <c r="AT43" s="168">
        <v>0.27</v>
      </c>
      <c r="AU43" s="168">
        <v>0.27</v>
      </c>
      <c r="AV43" s="169">
        <f t="shared" ref="AV43:BE43" si="20">AV42/AV41</f>
        <v>0.27064308694204753</v>
      </c>
      <c r="AW43" s="169">
        <f t="shared" si="20"/>
        <v>0.31795307773467157</v>
      </c>
      <c r="AX43" s="169">
        <f t="shared" si="20"/>
        <v>0.38704198249715799</v>
      </c>
      <c r="AY43" s="169">
        <f t="shared" si="20"/>
        <v>0.38703451719451504</v>
      </c>
      <c r="AZ43" s="169">
        <f t="shared" si="20"/>
        <v>0.38435318415227604</v>
      </c>
      <c r="BA43" s="169">
        <f t="shared" si="20"/>
        <v>0.38108746852289055</v>
      </c>
      <c r="BB43" s="169">
        <f t="shared" si="20"/>
        <v>0.38273515249528567</v>
      </c>
      <c r="BC43" s="169">
        <f t="shared" si="20"/>
        <v>0.38710149796844107</v>
      </c>
      <c r="BD43" s="169">
        <f t="shared" si="20"/>
        <v>0.42143622461951707</v>
      </c>
      <c r="BE43" s="169">
        <f t="shared" si="20"/>
        <v>0.41036521223427669</v>
      </c>
    </row>
    <row r="44" spans="1:61" x14ac:dyDescent="0.2">
      <c r="A44" s="166" t="s">
        <v>217</v>
      </c>
      <c r="B44" s="101"/>
      <c r="C44" s="102"/>
      <c r="D44" s="104"/>
      <c r="E44" s="102"/>
      <c r="F44" s="102"/>
      <c r="G44" s="104"/>
      <c r="H44" s="102"/>
      <c r="I44" s="102"/>
      <c r="J44" s="104"/>
      <c r="K44" s="102"/>
      <c r="L44" s="102"/>
      <c r="M44" s="104"/>
      <c r="N44" s="102"/>
      <c r="O44" s="102"/>
      <c r="P44" s="104"/>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70">
        <f t="shared" ref="AN44:AT44" si="21">AN43*AN41</f>
        <v>132404642.77949999</v>
      </c>
      <c r="AO44" s="170">
        <f t="shared" si="21"/>
        <v>145294549.02180001</v>
      </c>
      <c r="AP44" s="170">
        <f t="shared" si="21"/>
        <v>151782919.02180001</v>
      </c>
      <c r="AQ44" s="170">
        <f t="shared" si="21"/>
        <v>154179169.02180001</v>
      </c>
      <c r="AR44" s="170">
        <f t="shared" si="21"/>
        <v>155217672.34919998</v>
      </c>
      <c r="AS44" s="170">
        <f t="shared" si="21"/>
        <v>155866632.50160003</v>
      </c>
      <c r="AT44" s="170">
        <f t="shared" si="21"/>
        <v>157754068.54650003</v>
      </c>
      <c r="AU44" s="170">
        <f>AU43*AU41</f>
        <v>172644342.95070001</v>
      </c>
      <c r="AV44" s="169"/>
      <c r="AW44" s="169"/>
      <c r="AX44" s="169"/>
      <c r="AY44" s="169"/>
      <c r="AZ44" s="171"/>
      <c r="BE44" s="162"/>
    </row>
    <row r="45" spans="1:61" x14ac:dyDescent="0.2">
      <c r="A45" s="166" t="s">
        <v>218</v>
      </c>
      <c r="B45" s="101" t="s">
        <v>176</v>
      </c>
      <c r="C45" s="102">
        <v>266620085</v>
      </c>
      <c r="D45" s="104">
        <f t="shared" si="0"/>
        <v>266620085</v>
      </c>
      <c r="E45" s="102" t="s">
        <v>176</v>
      </c>
      <c r="F45" s="102">
        <v>287736510.25</v>
      </c>
      <c r="G45" s="104">
        <f t="shared" si="1"/>
        <v>287736510.25</v>
      </c>
      <c r="H45" s="102" t="s">
        <v>176</v>
      </c>
      <c r="I45" s="102">
        <v>298021716</v>
      </c>
      <c r="J45" s="104">
        <f t="shared" si="2"/>
        <v>298021716</v>
      </c>
      <c r="K45" s="102" t="s">
        <v>176</v>
      </c>
      <c r="L45" s="102">
        <v>368381557</v>
      </c>
      <c r="M45" s="104">
        <f t="shared" si="3"/>
        <v>368381557</v>
      </c>
      <c r="N45" s="102" t="s">
        <v>176</v>
      </c>
      <c r="O45" s="102">
        <v>436493677.5</v>
      </c>
      <c r="P45" s="104">
        <f t="shared" si="4"/>
        <v>436493677.5</v>
      </c>
      <c r="Q45" s="102" t="s">
        <v>176</v>
      </c>
      <c r="R45" s="102">
        <v>535194417.25</v>
      </c>
      <c r="S45" s="104">
        <f t="shared" si="5"/>
        <v>535194417.25</v>
      </c>
      <c r="T45" s="102" t="s">
        <v>176</v>
      </c>
      <c r="U45" s="102">
        <v>656096986</v>
      </c>
      <c r="V45" s="104">
        <f t="shared" si="6"/>
        <v>656096986</v>
      </c>
      <c r="W45" s="102" t="s">
        <v>176</v>
      </c>
      <c r="X45" s="102">
        <v>699804655.75</v>
      </c>
      <c r="Y45" s="104">
        <f t="shared" si="7"/>
        <v>699804655.75</v>
      </c>
      <c r="Z45" s="102" t="s">
        <v>176</v>
      </c>
      <c r="AA45" s="102">
        <v>735418318.5</v>
      </c>
      <c r="AB45" s="104">
        <f t="shared" si="8"/>
        <v>735418318.5</v>
      </c>
      <c r="AC45" s="102" t="s">
        <v>176</v>
      </c>
      <c r="AD45" s="102">
        <v>783055205</v>
      </c>
      <c r="AE45" s="104">
        <f t="shared" si="9"/>
        <v>783055205</v>
      </c>
      <c r="AF45" s="102" t="s">
        <v>176</v>
      </c>
      <c r="AG45" s="102">
        <v>835778185</v>
      </c>
      <c r="AH45" s="104">
        <f t="shared" si="10"/>
        <v>835778185</v>
      </c>
      <c r="AI45" s="102" t="s">
        <v>176</v>
      </c>
      <c r="AJ45" s="102">
        <v>887419731</v>
      </c>
      <c r="AK45" s="104">
        <f t="shared" si="11"/>
        <v>887419731</v>
      </c>
      <c r="AL45" s="102">
        <v>899116422.42000008</v>
      </c>
      <c r="AM45" s="102">
        <v>917374848.56000006</v>
      </c>
      <c r="AN45" s="102">
        <v>978968520.25999987</v>
      </c>
      <c r="AO45" s="102">
        <v>995149807.90999997</v>
      </c>
      <c r="AP45" s="102">
        <v>1045951807.91</v>
      </c>
      <c r="AQ45" s="102">
        <v>1106308807.9100001</v>
      </c>
      <c r="AR45" s="102">
        <v>1105423120.8299999</v>
      </c>
      <c r="AS45" s="102">
        <v>1122963915.1899998</v>
      </c>
      <c r="AT45" s="102">
        <v>1130377317.4599998</v>
      </c>
      <c r="AU45" s="102">
        <v>1265822399.0200002</v>
      </c>
      <c r="AV45" s="102">
        <v>1364615102.3500001</v>
      </c>
      <c r="AW45" s="102">
        <v>1544645601.4599998</v>
      </c>
      <c r="AX45" s="102">
        <v>1586432560.72</v>
      </c>
      <c r="AY45" s="102">
        <v>1608013048.45</v>
      </c>
      <c r="AZ45" s="102">
        <v>1679559170.71</v>
      </c>
      <c r="BA45" s="102">
        <v>1691905852.54</v>
      </c>
      <c r="BB45" s="102">
        <f>1736899892.63-8570670.96+35629725</f>
        <v>1763958946.6700001</v>
      </c>
      <c r="BC45" s="102">
        <f>1848476246-8589496.96+62233773</f>
        <v>1902120522.04</v>
      </c>
      <c r="BD45" s="102">
        <f>2214377589.13-9583267.01+89149626.66-1425</f>
        <v>2293942523.7799997</v>
      </c>
      <c r="BE45" s="162">
        <f>2742563557.09-10285615.66+110898287.09+2108415.71</f>
        <v>2845284644.2300005</v>
      </c>
    </row>
    <row r="46" spans="1:61" x14ac:dyDescent="0.2">
      <c r="A46" s="166" t="s">
        <v>219</v>
      </c>
      <c r="B46" s="148">
        <v>372237600</v>
      </c>
      <c r="C46" s="102">
        <v>552904671.75</v>
      </c>
      <c r="D46" s="102">
        <f t="shared" si="0"/>
        <v>925142271.75</v>
      </c>
      <c r="E46" s="102">
        <v>403503100</v>
      </c>
      <c r="F46" s="102">
        <v>588448725.25</v>
      </c>
      <c r="G46" s="102">
        <f t="shared" si="1"/>
        <v>991951825.25</v>
      </c>
      <c r="H46" s="102">
        <v>435722800</v>
      </c>
      <c r="I46" s="102">
        <v>627324184.5</v>
      </c>
      <c r="J46" s="102">
        <f t="shared" si="2"/>
        <v>1063046984.5</v>
      </c>
      <c r="K46" s="102">
        <v>458736400</v>
      </c>
      <c r="L46" s="102">
        <v>671578603.75</v>
      </c>
      <c r="M46" s="102">
        <f t="shared" si="3"/>
        <v>1130315003.75</v>
      </c>
      <c r="N46" s="102">
        <v>483691300</v>
      </c>
      <c r="O46" s="102">
        <v>720825682</v>
      </c>
      <c r="P46" s="102">
        <f t="shared" si="4"/>
        <v>1204516982</v>
      </c>
      <c r="Q46" s="102">
        <v>509551200</v>
      </c>
      <c r="R46" s="102">
        <v>774094332</v>
      </c>
      <c r="S46" s="102">
        <f t="shared" si="5"/>
        <v>1283645532</v>
      </c>
      <c r="T46" s="102">
        <v>534893600</v>
      </c>
      <c r="U46" s="102">
        <v>832600663.5</v>
      </c>
      <c r="V46" s="102">
        <f t="shared" si="6"/>
        <v>1367494263.5</v>
      </c>
      <c r="W46" s="102">
        <v>571670800</v>
      </c>
      <c r="X46" s="102">
        <v>898647970</v>
      </c>
      <c r="Y46" s="102">
        <f t="shared" si="7"/>
        <v>1470318770</v>
      </c>
      <c r="Z46" s="102">
        <v>625765700</v>
      </c>
      <c r="AA46" s="102">
        <v>977625856.75</v>
      </c>
      <c r="AB46" s="102">
        <f t="shared" si="8"/>
        <v>1603391556.75</v>
      </c>
      <c r="AC46" s="102">
        <v>676364000</v>
      </c>
      <c r="AD46" s="102">
        <v>1079108226.25</v>
      </c>
      <c r="AE46" s="102">
        <f t="shared" si="9"/>
        <v>1755472226.25</v>
      </c>
      <c r="AF46" s="102">
        <v>727517000</v>
      </c>
      <c r="AG46" s="102">
        <v>1197017813</v>
      </c>
      <c r="AH46" s="102">
        <f t="shared" si="10"/>
        <v>1924534813</v>
      </c>
      <c r="AI46" s="102">
        <v>796410376.05999994</v>
      </c>
      <c r="AJ46" s="102">
        <v>1276774932</v>
      </c>
      <c r="AK46" s="102">
        <f t="shared" si="11"/>
        <v>2073185308.0599999</v>
      </c>
      <c r="AL46" s="102">
        <v>2224279437.8699999</v>
      </c>
      <c r="AM46" s="102">
        <v>2384916402.1900001</v>
      </c>
      <c r="AN46" s="102">
        <v>2493140274.9499998</v>
      </c>
      <c r="AO46" s="105">
        <v>2599400991.3400002</v>
      </c>
      <c r="AP46" s="105">
        <v>2700473712.23</v>
      </c>
      <c r="AQ46" s="102">
        <v>2806591132.3400002</v>
      </c>
      <c r="AR46" s="102">
        <v>2753707198.0899997</v>
      </c>
      <c r="AS46" s="102">
        <v>2845384191.7700005</v>
      </c>
      <c r="AT46" s="102">
        <v>2952843290.6300001</v>
      </c>
      <c r="AU46" s="102">
        <v>3073398911.75</v>
      </c>
      <c r="AV46" s="102">
        <v>3161508374.3499999</v>
      </c>
      <c r="AW46" s="102">
        <v>3299078429.2900004</v>
      </c>
      <c r="AX46" s="102">
        <v>3440392837.4200001</v>
      </c>
      <c r="AY46" s="102">
        <v>3549212776.2199998</v>
      </c>
      <c r="AZ46" s="102">
        <v>3671884386.4000001</v>
      </c>
      <c r="BA46" s="102">
        <v>3814635278.9400001</v>
      </c>
      <c r="BB46" s="102">
        <f>3893568714.62-76286191.99+103531233.76+49616596.18</f>
        <v>3970430352.5700002</v>
      </c>
      <c r="BC46" s="102">
        <f>4036297134.35-87889599.03+128816173.69+57709568.48</f>
        <v>4134933277.4899998</v>
      </c>
      <c r="BD46" s="102">
        <f>4188288703.97-106138916.06+150825688.58+75231490.44</f>
        <v>4308206966.9299994</v>
      </c>
      <c r="BE46" s="162">
        <f>4380945642.26-132255621.12+177312785.3+99430298.27+7865189.5</f>
        <v>4533298294.210001</v>
      </c>
    </row>
    <row r="47" spans="1:61" x14ac:dyDescent="0.2">
      <c r="A47" s="108" t="s">
        <v>220</v>
      </c>
      <c r="B47" s="148">
        <v>56126500</v>
      </c>
      <c r="C47" s="102">
        <v>148745274</v>
      </c>
      <c r="D47" s="102">
        <f t="shared" si="0"/>
        <v>204871774</v>
      </c>
      <c r="E47" s="102">
        <v>62658300</v>
      </c>
      <c r="F47" s="102">
        <v>170197951</v>
      </c>
      <c r="G47" s="102">
        <f t="shared" si="1"/>
        <v>232856251</v>
      </c>
      <c r="H47" s="102">
        <v>70868600</v>
      </c>
      <c r="I47" s="102">
        <v>194767404.75</v>
      </c>
      <c r="J47" s="102">
        <f t="shared" si="2"/>
        <v>265636004.75</v>
      </c>
      <c r="K47" s="102">
        <v>81088600</v>
      </c>
      <c r="L47" s="102">
        <v>220859329</v>
      </c>
      <c r="M47" s="102">
        <f t="shared" si="3"/>
        <v>301947929</v>
      </c>
      <c r="N47" s="102">
        <v>90742200</v>
      </c>
      <c r="O47" s="102">
        <v>257769945.25</v>
      </c>
      <c r="P47" s="102">
        <f t="shared" si="4"/>
        <v>348512145.25</v>
      </c>
      <c r="Q47" s="102">
        <v>102497000</v>
      </c>
      <c r="R47" s="102">
        <v>286901517.75</v>
      </c>
      <c r="S47" s="102">
        <f t="shared" si="5"/>
        <v>389398517.75</v>
      </c>
      <c r="T47" s="102">
        <v>122853100</v>
      </c>
      <c r="U47" s="102">
        <v>325266573.25</v>
      </c>
      <c r="V47" s="102">
        <f t="shared" si="6"/>
        <v>448119673.25</v>
      </c>
      <c r="W47" s="102">
        <v>128823400</v>
      </c>
      <c r="X47" s="102">
        <v>363973520.25</v>
      </c>
      <c r="Y47" s="102">
        <f>SUM(W47:X47)</f>
        <v>492796920.25</v>
      </c>
      <c r="Z47" s="102">
        <v>150155900</v>
      </c>
      <c r="AA47" s="102">
        <v>396783090.25</v>
      </c>
      <c r="AB47" s="102">
        <f t="shared" si="8"/>
        <v>546938990.25</v>
      </c>
      <c r="AC47" s="102">
        <v>171839000</v>
      </c>
      <c r="AD47" s="102">
        <v>447526787.25</v>
      </c>
      <c r="AE47" s="102">
        <f t="shared" si="9"/>
        <v>619365787.25</v>
      </c>
      <c r="AF47" s="102">
        <v>190345000</v>
      </c>
      <c r="AG47" s="102">
        <v>503638366</v>
      </c>
      <c r="AH47" s="102">
        <f t="shared" si="10"/>
        <v>693983366</v>
      </c>
      <c r="AI47" s="102">
        <v>195605409.59999999</v>
      </c>
      <c r="AJ47" s="102">
        <v>563401081</v>
      </c>
      <c r="AK47" s="102">
        <f t="shared" si="11"/>
        <v>759006490.60000002</v>
      </c>
      <c r="AL47" s="102">
        <v>792961229.42900002</v>
      </c>
      <c r="AM47" s="102">
        <v>849398685.68900001</v>
      </c>
      <c r="AN47" s="102">
        <v>258850947.42999995</v>
      </c>
      <c r="AO47" s="102">
        <v>250857000</v>
      </c>
      <c r="AP47" s="102">
        <v>262717000</v>
      </c>
      <c r="AQ47" s="102">
        <v>231700000</v>
      </c>
      <c r="AR47" s="102">
        <v>230246713.69</v>
      </c>
      <c r="AS47" s="102">
        <v>218145749.23999998</v>
      </c>
      <c r="AT47" s="102">
        <v>226342800.18000001</v>
      </c>
      <c r="AU47" s="102">
        <v>238720092.34000003</v>
      </c>
      <c r="AV47" s="102">
        <v>262934607.47</v>
      </c>
      <c r="AW47" s="102">
        <v>269250241.40999997</v>
      </c>
      <c r="AX47" s="102">
        <v>249608099.72999999</v>
      </c>
      <c r="AY47" s="102">
        <v>255784480.99000001</v>
      </c>
      <c r="AZ47" s="102">
        <v>253996163.88999999</v>
      </c>
      <c r="BA47" s="102">
        <v>264893042.34999999</v>
      </c>
      <c r="BB47" s="102">
        <f>257314668.83+16316048.79</f>
        <v>273630717.62</v>
      </c>
      <c r="BC47" s="102">
        <f>265458458.9+22811290.54</f>
        <v>288269749.44</v>
      </c>
      <c r="BD47" s="102">
        <f>281000960.95+29068221.56</f>
        <v>310069182.50999999</v>
      </c>
      <c r="BE47" s="162">
        <f>265045560.06+35002386.96</f>
        <v>300047947.01999998</v>
      </c>
    </row>
    <row r="48" spans="1:61" x14ac:dyDescent="0.2">
      <c r="A48" s="108" t="s">
        <v>221</v>
      </c>
      <c r="B48" s="148"/>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2"/>
      <c r="AC48" s="102"/>
      <c r="AD48" s="102"/>
      <c r="AE48" s="102"/>
      <c r="AF48" s="102"/>
      <c r="AG48" s="102"/>
      <c r="AH48" s="102"/>
      <c r="AI48" s="102"/>
      <c r="AJ48" s="102"/>
      <c r="AK48" s="102"/>
      <c r="AL48" s="102"/>
      <c r="AM48" s="102"/>
      <c r="AN48" s="102"/>
      <c r="AO48" s="102"/>
      <c r="AP48" s="102"/>
      <c r="AQ48" s="102"/>
      <c r="AR48" s="102"/>
      <c r="AS48" s="102"/>
      <c r="AT48" s="102"/>
      <c r="AU48" s="102"/>
      <c r="AV48" s="105">
        <v>8687688</v>
      </c>
      <c r="AW48" s="105">
        <v>8849191</v>
      </c>
      <c r="AX48" s="105">
        <v>8137424</v>
      </c>
      <c r="AY48" s="105">
        <v>8259911</v>
      </c>
      <c r="AZ48" s="102">
        <v>8185085</v>
      </c>
      <c r="BA48" s="170">
        <v>12368268.710000001</v>
      </c>
      <c r="BB48" s="170">
        <v>12818901.689999999</v>
      </c>
      <c r="BC48" s="170">
        <v>13294422.550000001</v>
      </c>
      <c r="BD48" s="170">
        <v>14199487.279999999</v>
      </c>
      <c r="BE48" s="172">
        <v>10271748.640000001</v>
      </c>
    </row>
    <row r="49" spans="1:57" x14ac:dyDescent="0.2">
      <c r="A49" s="166" t="s">
        <v>216</v>
      </c>
      <c r="B49" s="148"/>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68">
        <v>3.3000000000000002E-2</v>
      </c>
      <c r="AO49" s="168">
        <v>3.3000000000000002E-2</v>
      </c>
      <c r="AP49" s="168">
        <v>3.3000000000000002E-2</v>
      </c>
      <c r="AQ49" s="168">
        <v>3.3000000000000002E-2</v>
      </c>
      <c r="AR49" s="168">
        <v>3.3000000000000002E-2</v>
      </c>
      <c r="AS49" s="168">
        <v>3.3000000000000002E-2</v>
      </c>
      <c r="AT49" s="168">
        <v>3.3000000000000002E-2</v>
      </c>
      <c r="AU49" s="168">
        <v>3.3000000000000002E-2</v>
      </c>
      <c r="AV49" s="169">
        <f t="shared" ref="AV49:BE49" si="22">AV48/AV47</f>
        <v>3.3041249623221386E-2</v>
      </c>
      <c r="AW49" s="169">
        <f t="shared" si="22"/>
        <v>3.2866046669666388E-2</v>
      </c>
      <c r="AX49" s="169">
        <f t="shared" si="22"/>
        <v>3.2600801050936316E-2</v>
      </c>
      <c r="AY49" s="169">
        <f t="shared" si="22"/>
        <v>3.2292463436524609E-2</v>
      </c>
      <c r="AZ49" s="169">
        <f t="shared" si="22"/>
        <v>3.2225230785551451E-2</v>
      </c>
      <c r="BA49" s="173">
        <f t="shared" si="22"/>
        <v>4.6691557468912133E-2</v>
      </c>
      <c r="BB49" s="173">
        <f t="shared" si="22"/>
        <v>4.6847451198085262E-2</v>
      </c>
      <c r="BC49" s="173">
        <f t="shared" si="22"/>
        <v>4.611799391308341E-2</v>
      </c>
      <c r="BD49" s="173">
        <f t="shared" si="22"/>
        <v>4.5794577729575091E-2</v>
      </c>
      <c r="BE49" s="173">
        <f t="shared" si="22"/>
        <v>3.4233690788476975E-2</v>
      </c>
    </row>
    <row r="50" spans="1:57" x14ac:dyDescent="0.2">
      <c r="A50" s="166" t="s">
        <v>222</v>
      </c>
      <c r="B50" s="148"/>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68"/>
      <c r="AO50" s="168"/>
      <c r="AP50" s="168"/>
      <c r="AQ50" s="168"/>
      <c r="AR50" s="168"/>
      <c r="AS50" s="168"/>
      <c r="AT50" s="168"/>
      <c r="AU50" s="168"/>
      <c r="AV50" s="169"/>
      <c r="AW50" s="169"/>
      <c r="AX50" s="169"/>
      <c r="AY50" s="169"/>
      <c r="AZ50" s="169"/>
      <c r="BA50" s="173"/>
      <c r="BB50" s="174">
        <v>6752209.7999999998</v>
      </c>
      <c r="BC50" s="174">
        <v>6806016.2999999998</v>
      </c>
      <c r="BD50" s="174">
        <v>7071240.2999999998</v>
      </c>
      <c r="BE50" s="175">
        <v>7255254</v>
      </c>
    </row>
    <row r="51" spans="1:57" x14ac:dyDescent="0.2">
      <c r="A51" s="166" t="s">
        <v>223</v>
      </c>
      <c r="B51" s="148"/>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76">
        <f t="shared" ref="AN51:AT51" si="23">AN49*AN47</f>
        <v>8542081.2651899979</v>
      </c>
      <c r="AO51" s="176">
        <f t="shared" si="23"/>
        <v>8278281</v>
      </c>
      <c r="AP51" s="176">
        <f t="shared" si="23"/>
        <v>8669661</v>
      </c>
      <c r="AQ51" s="176">
        <f t="shared" si="23"/>
        <v>7646100</v>
      </c>
      <c r="AR51" s="176">
        <f t="shared" si="23"/>
        <v>7598141.5517700007</v>
      </c>
      <c r="AS51" s="176">
        <f t="shared" si="23"/>
        <v>7198809.7249199999</v>
      </c>
      <c r="AT51" s="176">
        <f t="shared" si="23"/>
        <v>7469312.4059400009</v>
      </c>
      <c r="AU51" s="176">
        <f>AU49*AU47</f>
        <v>7877763.0472200019</v>
      </c>
      <c r="AV51" s="169"/>
      <c r="AW51" s="169"/>
      <c r="AX51" s="169"/>
      <c r="AY51" s="169"/>
      <c r="AZ51" s="171"/>
      <c r="BE51" s="177"/>
    </row>
    <row r="52" spans="1:57" x14ac:dyDescent="0.2">
      <c r="A52" s="108" t="s">
        <v>224</v>
      </c>
      <c r="B52" s="106">
        <v>3383600</v>
      </c>
      <c r="C52" s="178" t="s">
        <v>176</v>
      </c>
      <c r="D52" s="104">
        <f t="shared" si="0"/>
        <v>3383600</v>
      </c>
      <c r="E52" s="106">
        <v>4072200</v>
      </c>
      <c r="F52" s="178" t="s">
        <v>176</v>
      </c>
      <c r="G52" s="104">
        <f t="shared" si="1"/>
        <v>4072200</v>
      </c>
      <c r="H52" s="179">
        <f>AVERAGE(E52,K52)</f>
        <v>4575500</v>
      </c>
      <c r="I52" s="178" t="s">
        <v>176</v>
      </c>
      <c r="J52" s="104">
        <f t="shared" si="2"/>
        <v>4575500</v>
      </c>
      <c r="K52" s="106">
        <v>5078800</v>
      </c>
      <c r="L52" s="178" t="s">
        <v>176</v>
      </c>
      <c r="M52" s="104">
        <f t="shared" si="3"/>
        <v>5078800</v>
      </c>
      <c r="N52" s="106">
        <v>5453100</v>
      </c>
      <c r="O52" s="178" t="s">
        <v>176</v>
      </c>
      <c r="P52" s="104">
        <f t="shared" si="4"/>
        <v>5453100</v>
      </c>
      <c r="Q52" s="106">
        <v>6090500</v>
      </c>
      <c r="R52" s="178" t="s">
        <v>176</v>
      </c>
      <c r="S52" s="104">
        <f t="shared" si="5"/>
        <v>6090500</v>
      </c>
      <c r="T52" s="106">
        <v>7831200</v>
      </c>
      <c r="U52" s="178" t="s">
        <v>176</v>
      </c>
      <c r="V52" s="104">
        <f t="shared" si="6"/>
        <v>7831200</v>
      </c>
      <c r="W52" s="106">
        <v>8536400</v>
      </c>
      <c r="X52" s="178" t="s">
        <v>176</v>
      </c>
      <c r="Y52" s="104">
        <f>SUM(W52:X52)</f>
        <v>8536400</v>
      </c>
      <c r="Z52" s="106">
        <v>8422900</v>
      </c>
      <c r="AA52" s="178" t="s">
        <v>176</v>
      </c>
      <c r="AB52" s="104">
        <f t="shared" si="8"/>
        <v>8422900</v>
      </c>
      <c r="AC52" s="106">
        <v>6703000</v>
      </c>
      <c r="AD52" s="178" t="s">
        <v>176</v>
      </c>
      <c r="AE52" s="104">
        <f t="shared" si="9"/>
        <v>6703000</v>
      </c>
      <c r="AF52" s="106">
        <v>7235000</v>
      </c>
      <c r="AG52" s="178" t="s">
        <v>176</v>
      </c>
      <c r="AH52" s="104">
        <f t="shared" si="10"/>
        <v>7235000</v>
      </c>
      <c r="AI52" s="180" t="s">
        <v>176</v>
      </c>
      <c r="AJ52" s="178" t="s">
        <v>176</v>
      </c>
      <c r="AK52" s="104">
        <f t="shared" si="11"/>
        <v>0</v>
      </c>
      <c r="AL52" s="178" t="s">
        <v>176</v>
      </c>
      <c r="AM52" s="178" t="s">
        <v>176</v>
      </c>
      <c r="AN52" s="178" t="s">
        <v>176</v>
      </c>
      <c r="AO52" s="178" t="s">
        <v>176</v>
      </c>
      <c r="AP52" s="178" t="s">
        <v>176</v>
      </c>
      <c r="AQ52" s="178" t="s">
        <v>176</v>
      </c>
      <c r="AR52" s="178" t="s">
        <v>176</v>
      </c>
      <c r="AS52" s="178" t="s">
        <v>176</v>
      </c>
      <c r="AT52" s="178" t="s">
        <v>176</v>
      </c>
      <c r="AU52" s="178" t="s">
        <v>176</v>
      </c>
      <c r="AV52" s="178" t="s">
        <v>176</v>
      </c>
      <c r="AW52" s="178" t="s">
        <v>176</v>
      </c>
      <c r="AX52" s="178" t="s">
        <v>176</v>
      </c>
      <c r="AY52" s="178" t="s">
        <v>176</v>
      </c>
      <c r="AZ52" s="178" t="s">
        <v>176</v>
      </c>
      <c r="BA52" s="178" t="s">
        <v>176</v>
      </c>
      <c r="BB52" s="178" t="s">
        <v>176</v>
      </c>
      <c r="BC52" s="178" t="s">
        <v>176</v>
      </c>
      <c r="BD52" s="178" t="s">
        <v>176</v>
      </c>
      <c r="BE52" s="178" t="s">
        <v>176</v>
      </c>
    </row>
    <row r="53" spans="1:57" ht="13.5" thickBot="1" x14ac:dyDescent="0.25">
      <c r="A53" s="114" t="s">
        <v>225</v>
      </c>
      <c r="B53" s="148">
        <v>-38109600</v>
      </c>
      <c r="C53" s="102">
        <v>-30297381.75</v>
      </c>
      <c r="D53" s="102">
        <f t="shared" si="0"/>
        <v>-68406981.75</v>
      </c>
      <c r="E53" s="102">
        <v>-63204300</v>
      </c>
      <c r="F53" s="102">
        <v>-31871944.25</v>
      </c>
      <c r="G53" s="102">
        <f t="shared" si="1"/>
        <v>-95076244.25</v>
      </c>
      <c r="H53" s="102" t="s">
        <v>180</v>
      </c>
      <c r="I53" s="102">
        <v>-32801879.5</v>
      </c>
      <c r="J53" s="112">
        <f t="shared" si="2"/>
        <v>-32801879.5</v>
      </c>
      <c r="K53" s="102">
        <v>-67339700</v>
      </c>
      <c r="L53" s="102">
        <v>-33372996</v>
      </c>
      <c r="M53" s="102">
        <f t="shared" si="3"/>
        <v>-100712696</v>
      </c>
      <c r="N53" s="102">
        <v>-67617200</v>
      </c>
      <c r="O53" s="102">
        <v>-33997172.5</v>
      </c>
      <c r="P53" s="102">
        <f t="shared" si="4"/>
        <v>-101614372.5</v>
      </c>
      <c r="Q53" s="102">
        <v>-67748400</v>
      </c>
      <c r="R53" s="102">
        <v>-34996471</v>
      </c>
      <c r="S53" s="102">
        <f t="shared" si="5"/>
        <v>-102744871</v>
      </c>
      <c r="T53" s="102">
        <v>-71743400</v>
      </c>
      <c r="U53" s="102">
        <v>-36149355.5</v>
      </c>
      <c r="V53" s="102">
        <f t="shared" si="6"/>
        <v>-107892755.5</v>
      </c>
      <c r="W53" s="102">
        <v>-71832500</v>
      </c>
      <c r="X53" s="102">
        <v>-37225854.25</v>
      </c>
      <c r="Y53" s="102">
        <f t="shared" si="7"/>
        <v>-109058354.25</v>
      </c>
      <c r="Z53" s="102">
        <v>-72380200</v>
      </c>
      <c r="AA53" s="102">
        <v>-39309488.25</v>
      </c>
      <c r="AB53" s="102">
        <f t="shared" si="8"/>
        <v>-111689688.25</v>
      </c>
      <c r="AC53" s="102">
        <v>-73700000</v>
      </c>
      <c r="AD53" s="102">
        <v>-42210972</v>
      </c>
      <c r="AE53" s="102">
        <f t="shared" si="9"/>
        <v>-115910972</v>
      </c>
      <c r="AF53" s="102">
        <v>-74148000</v>
      </c>
      <c r="AG53" s="102">
        <v>-49352319</v>
      </c>
      <c r="AH53" s="102">
        <f t="shared" si="10"/>
        <v>-123500319</v>
      </c>
      <c r="AI53" s="102">
        <v>-74594632.599999994</v>
      </c>
      <c r="AJ53" s="102">
        <v>-53799543.100000001</v>
      </c>
      <c r="AK53" s="102">
        <f t="shared" si="11"/>
        <v>-128394175.69999999</v>
      </c>
      <c r="AL53" s="102">
        <v>-133817265.69</v>
      </c>
      <c r="AM53" s="102">
        <v>-139944986.06</v>
      </c>
      <c r="AN53" s="102">
        <v>-146970400.67999998</v>
      </c>
      <c r="AO53" s="102">
        <v>-153231262.19999999</v>
      </c>
      <c r="AP53" s="102">
        <v>-158334262.19999999</v>
      </c>
      <c r="AQ53" s="102">
        <v>-162249262.19999999</v>
      </c>
      <c r="AR53" s="102">
        <v>-4007365.1999999834</v>
      </c>
      <c r="AS53" s="102">
        <v>-1037011</v>
      </c>
      <c r="AT53" s="102">
        <v>-1037011</v>
      </c>
      <c r="AU53" s="102">
        <v>0</v>
      </c>
      <c r="AV53" s="102">
        <v>0</v>
      </c>
      <c r="AW53" s="102">
        <v>0</v>
      </c>
      <c r="AX53" s="102">
        <v>0</v>
      </c>
      <c r="AY53" s="102">
        <v>0</v>
      </c>
      <c r="AZ53" s="102">
        <v>0</v>
      </c>
      <c r="BA53" s="102">
        <v>0</v>
      </c>
      <c r="BB53" s="102">
        <v>0</v>
      </c>
      <c r="BC53" s="102">
        <v>0</v>
      </c>
      <c r="BD53" s="102">
        <v>0</v>
      </c>
      <c r="BE53" s="116">
        <v>0</v>
      </c>
    </row>
    <row r="54" spans="1:57" ht="13.5" thickBot="1" x14ac:dyDescent="0.25">
      <c r="A54" s="91" t="s">
        <v>226</v>
      </c>
      <c r="B54" s="164">
        <f t="shared" ref="B54:AM54" si="24">SUM(B55:B69)</f>
        <v>77068100</v>
      </c>
      <c r="C54" s="181">
        <f t="shared" si="24"/>
        <v>232367620.08000004</v>
      </c>
      <c r="D54" s="164">
        <f t="shared" si="24"/>
        <v>309435720.08000004</v>
      </c>
      <c r="E54" s="164">
        <f t="shared" si="24"/>
        <v>86440900</v>
      </c>
      <c r="F54" s="181">
        <f t="shared" si="24"/>
        <v>262684053.19500005</v>
      </c>
      <c r="G54" s="164">
        <f t="shared" si="24"/>
        <v>349124953.19500005</v>
      </c>
      <c r="H54" s="164">
        <f t="shared" si="24"/>
        <v>105999150</v>
      </c>
      <c r="I54" s="181">
        <f t="shared" si="24"/>
        <v>297014276.77250004</v>
      </c>
      <c r="J54" s="164">
        <f t="shared" si="24"/>
        <v>403013426.77250004</v>
      </c>
      <c r="K54" s="164">
        <f t="shared" si="24"/>
        <v>118858000</v>
      </c>
      <c r="L54" s="181">
        <f t="shared" si="24"/>
        <v>335921203.14250004</v>
      </c>
      <c r="M54" s="164">
        <f t="shared" si="24"/>
        <v>454779203.14250004</v>
      </c>
      <c r="N54" s="164">
        <f t="shared" si="24"/>
        <v>130643300</v>
      </c>
      <c r="O54" s="181">
        <f t="shared" si="24"/>
        <v>379303731.98250008</v>
      </c>
      <c r="P54" s="164">
        <f t="shared" si="24"/>
        <v>509947031.98250008</v>
      </c>
      <c r="Q54" s="164">
        <f t="shared" si="24"/>
        <v>142641600</v>
      </c>
      <c r="R54" s="181">
        <f t="shared" si="24"/>
        <v>420747632.17000008</v>
      </c>
      <c r="S54" s="164">
        <f t="shared" si="24"/>
        <v>563389232.17000008</v>
      </c>
      <c r="T54" s="164">
        <f t="shared" si="24"/>
        <v>160066200</v>
      </c>
      <c r="U54" s="181">
        <f t="shared" si="24"/>
        <v>475543358.82250005</v>
      </c>
      <c r="V54" s="164">
        <f t="shared" si="24"/>
        <v>635609558.82249999</v>
      </c>
      <c r="W54" s="164">
        <f t="shared" si="24"/>
        <v>172028900</v>
      </c>
      <c r="X54" s="181">
        <f t="shared" si="24"/>
        <v>520968096.7700001</v>
      </c>
      <c r="Y54" s="164">
        <f t="shared" si="24"/>
        <v>692996996.7700001</v>
      </c>
      <c r="Z54" s="164">
        <f t="shared" si="24"/>
        <v>188341000</v>
      </c>
      <c r="AA54" s="181">
        <f t="shared" si="24"/>
        <v>566085419.45000017</v>
      </c>
      <c r="AB54" s="164">
        <f t="shared" si="24"/>
        <v>754426419.45000017</v>
      </c>
      <c r="AC54" s="164">
        <f t="shared" si="24"/>
        <v>205643146.93000001</v>
      </c>
      <c r="AD54" s="181">
        <f t="shared" si="24"/>
        <v>637844559.9325</v>
      </c>
      <c r="AE54" s="164">
        <f t="shared" si="24"/>
        <v>843487706.86250007</v>
      </c>
      <c r="AF54" s="164">
        <f t="shared" si="24"/>
        <v>224998146.93000001</v>
      </c>
      <c r="AG54" s="181">
        <f t="shared" si="24"/>
        <v>724436669.1500001</v>
      </c>
      <c r="AH54" s="164">
        <f t="shared" si="24"/>
        <v>949434816.08000016</v>
      </c>
      <c r="AI54" s="164">
        <f t="shared" si="24"/>
        <v>248020944.33999997</v>
      </c>
      <c r="AJ54" s="181">
        <f t="shared" si="24"/>
        <v>814403412.87000024</v>
      </c>
      <c r="AK54" s="164">
        <f t="shared" si="24"/>
        <v>1062424357.2100003</v>
      </c>
      <c r="AL54" s="164">
        <f t="shared" si="24"/>
        <v>1158608492.3499999</v>
      </c>
      <c r="AM54" s="164">
        <f t="shared" si="24"/>
        <v>1294429648.48</v>
      </c>
      <c r="AN54" s="164">
        <f>AN55+AN56+AN57+AN58+AN63+AN64+AN65+AN70</f>
        <v>1186254618.5700002</v>
      </c>
      <c r="AO54" s="164">
        <f t="shared" ref="AO54:BD54" si="25">AO55+AO56+AO57+AO58+AO63+AO64+AO65+AO70</f>
        <v>1283555605.3600001</v>
      </c>
      <c r="AP54" s="164">
        <f t="shared" si="25"/>
        <v>1404238605.3600001</v>
      </c>
      <c r="AQ54" s="164">
        <f t="shared" si="25"/>
        <v>1499515105.3600001</v>
      </c>
      <c r="AR54" s="164">
        <f t="shared" si="25"/>
        <v>1629373841.2290001</v>
      </c>
      <c r="AS54" s="164">
        <f t="shared" si="25"/>
        <v>1745903884.5000002</v>
      </c>
      <c r="AT54" s="164">
        <f t="shared" si="25"/>
        <v>1853549928.3400002</v>
      </c>
      <c r="AU54" s="164">
        <f t="shared" si="25"/>
        <v>1983222869.77</v>
      </c>
      <c r="AV54" s="164">
        <f t="shared" si="25"/>
        <v>2110962627.7200003</v>
      </c>
      <c r="AW54" s="164">
        <f t="shared" si="25"/>
        <v>2250893922.2600002</v>
      </c>
      <c r="AX54" s="164">
        <f t="shared" si="25"/>
        <v>2351288006.6700001</v>
      </c>
      <c r="AY54" s="164">
        <f t="shared" si="25"/>
        <v>2483774770.3600001</v>
      </c>
      <c r="AZ54" s="164">
        <f t="shared" si="25"/>
        <v>2626354058.3400002</v>
      </c>
      <c r="BA54" s="164">
        <f t="shared" si="25"/>
        <v>2767862130.4899998</v>
      </c>
      <c r="BB54" s="164">
        <f t="shared" si="25"/>
        <v>2878695361.04</v>
      </c>
      <c r="BC54" s="164">
        <f t="shared" si="25"/>
        <v>3026434146.4400001</v>
      </c>
      <c r="BD54" s="164">
        <f t="shared" si="25"/>
        <v>3191750481.71</v>
      </c>
      <c r="BE54" s="164">
        <f>BE55+BE56+BE57+BE58+BE63+BE64+BE65+BE70</f>
        <v>3366941640.6999998</v>
      </c>
    </row>
    <row r="55" spans="1:57" x14ac:dyDescent="0.2">
      <c r="A55" s="94" t="s">
        <v>227</v>
      </c>
      <c r="B55" s="148">
        <v>4838700</v>
      </c>
      <c r="C55" s="102">
        <v>110392.32000000001</v>
      </c>
      <c r="D55" s="102">
        <f t="shared" si="0"/>
        <v>4949092.32</v>
      </c>
      <c r="E55" s="102">
        <v>5145900</v>
      </c>
      <c r="F55" s="102">
        <v>115788.32</v>
      </c>
      <c r="G55" s="102">
        <f t="shared" si="1"/>
        <v>5261688.32</v>
      </c>
      <c r="H55" s="165">
        <f>0.5*(E55+K55)</f>
        <v>5461350</v>
      </c>
      <c r="I55" s="102">
        <v>121184.32000000001</v>
      </c>
      <c r="J55" s="113">
        <f t="shared" si="2"/>
        <v>5582534.3200000003</v>
      </c>
      <c r="K55" s="102">
        <v>5776800</v>
      </c>
      <c r="L55" s="102">
        <v>126580.32</v>
      </c>
      <c r="M55" s="102">
        <f t="shared" si="3"/>
        <v>5903380.3200000003</v>
      </c>
      <c r="N55" s="102">
        <v>5923000</v>
      </c>
      <c r="O55" s="102">
        <v>133644.32</v>
      </c>
      <c r="P55" s="102">
        <f t="shared" si="4"/>
        <v>6056644.3200000003</v>
      </c>
      <c r="Q55" s="102">
        <v>6084400</v>
      </c>
      <c r="R55" s="102">
        <v>141264.32000000001</v>
      </c>
      <c r="S55" s="102">
        <f t="shared" si="5"/>
        <v>6225664.3200000003</v>
      </c>
      <c r="T55" s="102">
        <v>6241300</v>
      </c>
      <c r="U55" s="102">
        <v>148884.32</v>
      </c>
      <c r="V55" s="102">
        <f t="shared" si="6"/>
        <v>6390184.3200000003</v>
      </c>
      <c r="W55" s="102">
        <v>6307800</v>
      </c>
      <c r="X55" s="102">
        <v>156504.32000000001</v>
      </c>
      <c r="Y55" s="102">
        <f t="shared" si="7"/>
        <v>6464304.3200000003</v>
      </c>
      <c r="Z55" s="102">
        <v>6519500</v>
      </c>
      <c r="AA55" s="102">
        <v>160388.57</v>
      </c>
      <c r="AB55" s="102">
        <f t="shared" si="8"/>
        <v>6679888.5700000003</v>
      </c>
      <c r="AC55" s="113">
        <f>0.5*(Z55+AI55)</f>
        <v>6825146.9299999997</v>
      </c>
      <c r="AD55" s="102">
        <v>166217.07999999999</v>
      </c>
      <c r="AE55" s="113">
        <f t="shared" si="9"/>
        <v>6991364.0099999998</v>
      </c>
      <c r="AF55" s="113">
        <f>0.5*(Z55+AI55)</f>
        <v>6825146.9299999997</v>
      </c>
      <c r="AG55" s="102">
        <v>173355.32</v>
      </c>
      <c r="AH55" s="165">
        <f t="shared" si="10"/>
        <v>6998502.25</v>
      </c>
      <c r="AI55" s="102">
        <v>7130793.8600000003</v>
      </c>
      <c r="AJ55" s="102">
        <v>180577.32</v>
      </c>
      <c r="AK55" s="102">
        <f t="shared" si="11"/>
        <v>7311371.1800000006</v>
      </c>
      <c r="AL55" s="102">
        <v>7465325.1299999999</v>
      </c>
      <c r="AM55" s="102">
        <v>7424256</v>
      </c>
      <c r="AN55" s="102">
        <v>7490623.0599999996</v>
      </c>
      <c r="AO55" s="102">
        <v>7654388.9299999997</v>
      </c>
      <c r="AP55" s="102">
        <v>7830388.9299999997</v>
      </c>
      <c r="AQ55" s="102">
        <v>8015388.9299999997</v>
      </c>
      <c r="AR55" s="102">
        <v>8201174.5599999996</v>
      </c>
      <c r="AS55" s="102">
        <v>8246503.7399999993</v>
      </c>
      <c r="AT55" s="102">
        <v>8470773.3699999992</v>
      </c>
      <c r="AU55" s="102">
        <v>8695332.3699999992</v>
      </c>
      <c r="AV55" s="102">
        <v>8919871.3699999992</v>
      </c>
      <c r="AW55" s="102">
        <v>9143974.3699999992</v>
      </c>
      <c r="AX55" s="102">
        <v>5568364.6199999992</v>
      </c>
      <c r="AY55" s="102">
        <v>5749487.6200000001</v>
      </c>
      <c r="AZ55" s="102">
        <v>5934354.6200000001</v>
      </c>
      <c r="BA55" s="102">
        <v>6119222</v>
      </c>
      <c r="BB55" s="102">
        <v>6240295.8600000003</v>
      </c>
      <c r="BC55" s="102">
        <v>6404358.4900000002</v>
      </c>
      <c r="BD55" s="102">
        <v>6568474.9000000004</v>
      </c>
      <c r="BE55" s="162">
        <v>6722133.6900000004</v>
      </c>
    </row>
    <row r="56" spans="1:57" x14ac:dyDescent="0.2">
      <c r="A56" s="108" t="s">
        <v>228</v>
      </c>
      <c r="B56" s="101" t="s">
        <v>176</v>
      </c>
      <c r="C56" s="102">
        <v>2122805.415</v>
      </c>
      <c r="D56" s="104">
        <f t="shared" si="0"/>
        <v>2122805.415</v>
      </c>
      <c r="E56" s="102" t="s">
        <v>176</v>
      </c>
      <c r="F56" s="102">
        <v>2352685.2774999999</v>
      </c>
      <c r="G56" s="104">
        <f t="shared" si="1"/>
        <v>2352685.2774999999</v>
      </c>
      <c r="H56" s="102" t="s">
        <v>176</v>
      </c>
      <c r="I56" s="102">
        <v>2208136.6925000004</v>
      </c>
      <c r="J56" s="104">
        <f t="shared" si="2"/>
        <v>2208136.6925000004</v>
      </c>
      <c r="K56" s="102" t="s">
        <v>176</v>
      </c>
      <c r="L56" s="102">
        <v>2265015.77</v>
      </c>
      <c r="M56" s="104">
        <f t="shared" si="3"/>
        <v>2265015.77</v>
      </c>
      <c r="N56" s="102" t="s">
        <v>176</v>
      </c>
      <c r="O56" s="102">
        <v>2475931.7675000001</v>
      </c>
      <c r="P56" s="104">
        <f t="shared" si="4"/>
        <v>2475931.7675000001</v>
      </c>
      <c r="Q56" s="102" t="s">
        <v>176</v>
      </c>
      <c r="R56" s="102">
        <v>1078963.9624999999</v>
      </c>
      <c r="S56" s="104">
        <f t="shared" si="5"/>
        <v>1078963.9624999999</v>
      </c>
      <c r="T56" s="102" t="s">
        <v>176</v>
      </c>
      <c r="U56" s="102">
        <v>273179.66500000004</v>
      </c>
      <c r="V56" s="104">
        <f t="shared" si="6"/>
        <v>273179.66500000004</v>
      </c>
      <c r="W56" s="102" t="s">
        <v>176</v>
      </c>
      <c r="X56" s="102">
        <v>172699.87</v>
      </c>
      <c r="Y56" s="104">
        <f t="shared" si="7"/>
        <v>172699.87</v>
      </c>
      <c r="Z56" s="102" t="s">
        <v>176</v>
      </c>
      <c r="AA56" s="102">
        <v>252871.3</v>
      </c>
      <c r="AB56" s="104">
        <f t="shared" si="8"/>
        <v>252871.3</v>
      </c>
      <c r="AC56" s="102" t="s">
        <v>176</v>
      </c>
      <c r="AD56" s="102">
        <v>320109.45</v>
      </c>
      <c r="AE56" s="104">
        <f t="shared" si="9"/>
        <v>320109.45</v>
      </c>
      <c r="AF56" s="102" t="s">
        <v>176</v>
      </c>
      <c r="AG56" s="102">
        <v>379123.8</v>
      </c>
      <c r="AH56" s="104">
        <f t="shared" si="10"/>
        <v>379123.8</v>
      </c>
      <c r="AI56" s="102" t="s">
        <v>176</v>
      </c>
      <c r="AJ56" s="102">
        <v>434740.62</v>
      </c>
      <c r="AK56" s="104">
        <f t="shared" si="11"/>
        <v>434740.62</v>
      </c>
      <c r="AL56" s="102">
        <v>494631.72</v>
      </c>
      <c r="AM56" s="102">
        <v>554691.63</v>
      </c>
      <c r="AN56" s="102">
        <v>749501.29</v>
      </c>
      <c r="AO56" s="102">
        <v>654354.96</v>
      </c>
      <c r="AP56" s="102">
        <v>704354.96</v>
      </c>
      <c r="AQ56" s="102">
        <v>730854.96</v>
      </c>
      <c r="AR56" s="102">
        <v>781386.68</v>
      </c>
      <c r="AS56" s="102">
        <v>0</v>
      </c>
      <c r="AT56" s="102">
        <v>0</v>
      </c>
      <c r="AU56" s="102">
        <v>0</v>
      </c>
      <c r="AV56" s="102">
        <v>0</v>
      </c>
      <c r="AW56" s="102">
        <v>0</v>
      </c>
      <c r="AX56" s="102">
        <v>0</v>
      </c>
      <c r="AY56" s="102">
        <v>0</v>
      </c>
      <c r="AZ56" s="102">
        <v>0</v>
      </c>
      <c r="BA56" s="102">
        <v>0</v>
      </c>
      <c r="BB56" s="102">
        <v>0</v>
      </c>
      <c r="BC56" s="102">
        <v>0</v>
      </c>
      <c r="BD56" s="102">
        <v>0</v>
      </c>
      <c r="BE56" s="162"/>
    </row>
    <row r="57" spans="1:57" x14ac:dyDescent="0.2">
      <c r="A57" s="108" t="s">
        <v>213</v>
      </c>
      <c r="B57" s="148">
        <v>2123100</v>
      </c>
      <c r="C57" s="182" t="s">
        <v>176</v>
      </c>
      <c r="D57" s="104">
        <f t="shared" si="0"/>
        <v>2123100</v>
      </c>
      <c r="E57" s="102">
        <v>2311600</v>
      </c>
      <c r="F57" s="182" t="s">
        <v>176</v>
      </c>
      <c r="G57" s="104">
        <f t="shared" si="1"/>
        <v>2311600</v>
      </c>
      <c r="H57" s="102">
        <v>2502900</v>
      </c>
      <c r="I57" s="182" t="s">
        <v>176</v>
      </c>
      <c r="J57" s="104">
        <f t="shared" si="2"/>
        <v>2502900</v>
      </c>
      <c r="K57" s="102">
        <v>2716500</v>
      </c>
      <c r="L57" s="182" t="s">
        <v>176</v>
      </c>
      <c r="M57" s="104">
        <f t="shared" si="3"/>
        <v>2716500</v>
      </c>
      <c r="N57" s="102">
        <v>2930500</v>
      </c>
      <c r="O57" s="182" t="s">
        <v>176</v>
      </c>
      <c r="P57" s="104">
        <f t="shared" si="4"/>
        <v>2930500</v>
      </c>
      <c r="Q57" s="102">
        <v>3144400</v>
      </c>
      <c r="R57" s="182" t="s">
        <v>176</v>
      </c>
      <c r="S57" s="104">
        <f t="shared" si="5"/>
        <v>3144400</v>
      </c>
      <c r="T57" s="102">
        <v>3370600</v>
      </c>
      <c r="U57" s="182" t="s">
        <v>176</v>
      </c>
      <c r="V57" s="104">
        <f t="shared" si="6"/>
        <v>3370600</v>
      </c>
      <c r="W57" s="102">
        <v>3597200</v>
      </c>
      <c r="X57" s="182" t="s">
        <v>176</v>
      </c>
      <c r="Y57" s="104">
        <f t="shared" si="7"/>
        <v>3597200</v>
      </c>
      <c r="Z57" s="102">
        <v>3823800</v>
      </c>
      <c r="AA57" s="182" t="s">
        <v>176</v>
      </c>
      <c r="AB57" s="104">
        <f t="shared" si="8"/>
        <v>3823800</v>
      </c>
      <c r="AC57" s="102">
        <v>4050000</v>
      </c>
      <c r="AD57" s="182" t="s">
        <v>176</v>
      </c>
      <c r="AE57" s="104">
        <f t="shared" si="9"/>
        <v>4050000</v>
      </c>
      <c r="AF57" s="102">
        <v>4324000</v>
      </c>
      <c r="AG57" s="182" t="s">
        <v>176</v>
      </c>
      <c r="AH57" s="104">
        <f t="shared" si="10"/>
        <v>4324000</v>
      </c>
      <c r="AI57" s="102">
        <v>4597758.7300000004</v>
      </c>
      <c r="AJ57" s="182" t="s">
        <v>176</v>
      </c>
      <c r="AK57" s="104">
        <f t="shared" si="11"/>
        <v>4597758.7300000004</v>
      </c>
      <c r="AL57" s="102">
        <v>4871450</v>
      </c>
      <c r="AM57" s="102">
        <v>5145142</v>
      </c>
      <c r="AN57" s="102">
        <v>2935187.55</v>
      </c>
      <c r="AO57" s="102">
        <v>3325950.89</v>
      </c>
      <c r="AP57" s="102">
        <v>3733950.89</v>
      </c>
      <c r="AQ57" s="102">
        <v>4177950.89</v>
      </c>
      <c r="AR57" s="102">
        <v>4644998.7300000004</v>
      </c>
      <c r="AS57" s="102">
        <v>11781479.120000001</v>
      </c>
      <c r="AT57" s="102">
        <v>12182293.780000001</v>
      </c>
      <c r="AU57" s="102">
        <v>12330097.25</v>
      </c>
      <c r="AV57" s="102">
        <v>12812351.949999999</v>
      </c>
      <c r="AW57" s="102">
        <v>13295451.49</v>
      </c>
      <c r="AX57" s="102">
        <v>14600710.77</v>
      </c>
      <c r="AY57" s="102">
        <v>14987522.939999999</v>
      </c>
      <c r="AZ57" s="102">
        <v>15426776.41</v>
      </c>
      <c r="BA57" s="102">
        <v>15926668.76</v>
      </c>
      <c r="BB57" s="102">
        <f>10885572.62+75710.16</f>
        <v>10961282.779999999</v>
      </c>
      <c r="BC57" s="102">
        <f>11433676.37+115693.25</f>
        <v>11549369.619999999</v>
      </c>
      <c r="BD57" s="102">
        <f>12230785.94+162255.85</f>
        <v>12393041.789999999</v>
      </c>
      <c r="BE57" s="162">
        <f>13053995.42+213751.85</f>
        <v>13267747.27</v>
      </c>
    </row>
    <row r="58" spans="1:57" x14ac:dyDescent="0.2">
      <c r="A58" s="108" t="s">
        <v>229</v>
      </c>
      <c r="B58" s="101" t="s">
        <v>176</v>
      </c>
      <c r="C58" s="102">
        <v>16415511.960000001</v>
      </c>
      <c r="D58" s="104">
        <f t="shared" si="0"/>
        <v>16415511.960000001</v>
      </c>
      <c r="E58" s="102" t="s">
        <v>176</v>
      </c>
      <c r="F58" s="102">
        <v>18593394.502500001</v>
      </c>
      <c r="G58" s="104">
        <f t="shared" si="1"/>
        <v>18593394.502500001</v>
      </c>
      <c r="H58" s="102" t="s">
        <v>176</v>
      </c>
      <c r="I58" s="102">
        <v>20836431.375</v>
      </c>
      <c r="J58" s="104">
        <f t="shared" si="2"/>
        <v>20836431.375</v>
      </c>
      <c r="K58" s="102" t="s">
        <v>176</v>
      </c>
      <c r="L58" s="102">
        <v>23826913.800000004</v>
      </c>
      <c r="M58" s="104">
        <f t="shared" si="3"/>
        <v>23826913.800000004</v>
      </c>
      <c r="N58" s="102" t="s">
        <v>176</v>
      </c>
      <c r="O58" s="102">
        <v>27949053.965000007</v>
      </c>
      <c r="P58" s="104">
        <f t="shared" si="4"/>
        <v>27949053.965000007</v>
      </c>
      <c r="Q58" s="102">
        <v>125100</v>
      </c>
      <c r="R58" s="102">
        <v>32314373.985000007</v>
      </c>
      <c r="S58" s="102">
        <f t="shared" si="5"/>
        <v>32439473.985000007</v>
      </c>
      <c r="T58" s="102">
        <v>471200</v>
      </c>
      <c r="U58" s="102">
        <v>38034466.642500006</v>
      </c>
      <c r="V58" s="102">
        <f t="shared" si="6"/>
        <v>38505666.642500006</v>
      </c>
      <c r="W58" s="102">
        <v>853000</v>
      </c>
      <c r="X58" s="102">
        <v>44981248.20000001</v>
      </c>
      <c r="Y58" s="102">
        <f t="shared" si="7"/>
        <v>45834248.20000001</v>
      </c>
      <c r="Z58" s="102">
        <v>1214100</v>
      </c>
      <c r="AA58" s="102">
        <v>54205550.032500014</v>
      </c>
      <c r="AB58" s="102">
        <f t="shared" si="8"/>
        <v>55419650.032500014</v>
      </c>
      <c r="AC58" s="102">
        <v>1581000</v>
      </c>
      <c r="AD58" s="102">
        <v>63919956.387500003</v>
      </c>
      <c r="AE58" s="102">
        <f t="shared" si="9"/>
        <v>65500956.387500003</v>
      </c>
      <c r="AF58" s="102">
        <v>2013000</v>
      </c>
      <c r="AG58" s="102">
        <v>73991435.850000024</v>
      </c>
      <c r="AH58" s="102">
        <f t="shared" si="10"/>
        <v>76004435.850000024</v>
      </c>
      <c r="AI58" s="102">
        <v>2445389.29</v>
      </c>
      <c r="AJ58" s="102">
        <v>85137589.850000039</v>
      </c>
      <c r="AK58" s="102">
        <f t="shared" si="11"/>
        <v>87582979.140000045</v>
      </c>
      <c r="AL58" s="102">
        <v>99274074.109999999</v>
      </c>
      <c r="AM58" s="102">
        <v>110460275.42</v>
      </c>
      <c r="AN58" s="102">
        <v>124012275.95999999</v>
      </c>
      <c r="AO58" s="102">
        <v>137213895.90000001</v>
      </c>
      <c r="AP58" s="102">
        <v>152856895.90000001</v>
      </c>
      <c r="AQ58" s="102">
        <v>169132895.90000001</v>
      </c>
      <c r="AR58" s="102">
        <v>187995974.89999998</v>
      </c>
      <c r="AS58" s="102">
        <v>202811274.47</v>
      </c>
      <c r="AT58" s="102">
        <v>218487569.33999997</v>
      </c>
      <c r="AU58" s="102">
        <v>234203159.05000001</v>
      </c>
      <c r="AV58" s="102">
        <v>249126339.94999999</v>
      </c>
      <c r="AW58" s="102">
        <v>264733278.5</v>
      </c>
      <c r="AX58" s="102">
        <v>275336108.83999997</v>
      </c>
      <c r="AY58" s="102">
        <v>283654485.48000002</v>
      </c>
      <c r="AZ58" s="102">
        <v>304300620.49000001</v>
      </c>
      <c r="BA58" s="102">
        <v>318595878.58999997</v>
      </c>
      <c r="BB58" s="102">
        <f>342211040.15-74403+723946.24</f>
        <v>342860583.38999999</v>
      </c>
      <c r="BC58" s="102">
        <f>361825459.48-97979+1054534.12</f>
        <v>362782014.60000002</v>
      </c>
      <c r="BD58" s="102">
        <f>384428225.9-121555+1409326.64+7606584.97</f>
        <v>393322582.50999999</v>
      </c>
      <c r="BE58" s="162">
        <f>409114000.81-145131+1770158.24</f>
        <v>410739028.05000001</v>
      </c>
    </row>
    <row r="59" spans="1:57" x14ac:dyDescent="0.2">
      <c r="A59" s="166" t="s">
        <v>215</v>
      </c>
      <c r="B59" s="101"/>
      <c r="C59" s="102"/>
      <c r="D59" s="104"/>
      <c r="E59" s="102"/>
      <c r="F59" s="102"/>
      <c r="G59" s="104"/>
      <c r="H59" s="102"/>
      <c r="I59" s="102"/>
      <c r="J59" s="104"/>
      <c r="K59" s="102"/>
      <c r="L59" s="102"/>
      <c r="M59" s="104"/>
      <c r="N59" s="102"/>
      <c r="O59" s="102"/>
      <c r="P59" s="104"/>
      <c r="Q59" s="102"/>
      <c r="R59" s="102"/>
      <c r="S59" s="102"/>
      <c r="T59" s="102"/>
      <c r="U59" s="102"/>
      <c r="V59" s="102"/>
      <c r="W59" s="102"/>
      <c r="X59" s="102"/>
      <c r="Y59" s="102"/>
      <c r="Z59" s="102"/>
      <c r="AA59" s="102"/>
      <c r="AB59" s="102"/>
      <c r="AC59" s="102"/>
      <c r="AD59" s="102"/>
      <c r="AE59" s="102"/>
      <c r="AF59" s="102"/>
      <c r="AG59" s="102"/>
      <c r="AH59" s="102"/>
      <c r="AI59" s="102"/>
      <c r="AJ59" s="102"/>
      <c r="AK59" s="102"/>
      <c r="AL59" s="102"/>
      <c r="AM59" s="102"/>
      <c r="AN59" s="102"/>
      <c r="AO59" s="102"/>
      <c r="AP59" s="102"/>
      <c r="AQ59" s="102"/>
      <c r="AR59" s="102"/>
      <c r="AS59" s="102"/>
      <c r="AT59" s="102"/>
      <c r="AU59" s="102"/>
      <c r="AV59" s="105">
        <v>54386531</v>
      </c>
      <c r="AW59" s="105">
        <v>58515210.810000002</v>
      </c>
      <c r="AX59" s="105">
        <v>64226046.419999994</v>
      </c>
      <c r="AY59" s="105">
        <v>69653375.040000007</v>
      </c>
      <c r="AZ59" s="102">
        <v>77279970.629999995</v>
      </c>
      <c r="BA59" s="102">
        <v>83204797.75999999</v>
      </c>
      <c r="BB59" s="102">
        <f>91108408.72-25957.91</f>
        <v>91082450.810000002</v>
      </c>
      <c r="BC59" s="102">
        <f>99963745-33813.91</f>
        <v>99929931.090000004</v>
      </c>
      <c r="BD59" s="102">
        <f>109563482.5-41669.91+7606584.97</f>
        <v>117128397.56</v>
      </c>
      <c r="BE59" s="162">
        <f>125906975.52-49525.91</f>
        <v>125857449.61</v>
      </c>
    </row>
    <row r="60" spans="1:57" x14ac:dyDescent="0.2">
      <c r="A60" s="166" t="s">
        <v>216</v>
      </c>
      <c r="B60" s="101"/>
      <c r="C60" s="102"/>
      <c r="D60" s="104"/>
      <c r="E60" s="102"/>
      <c r="F60" s="102"/>
      <c r="G60" s="104"/>
      <c r="H60" s="102"/>
      <c r="I60" s="102"/>
      <c r="J60" s="104"/>
      <c r="K60" s="102"/>
      <c r="L60" s="102"/>
      <c r="M60" s="104"/>
      <c r="N60" s="102"/>
      <c r="O60" s="102"/>
      <c r="P60" s="104"/>
      <c r="Q60" s="102"/>
      <c r="R60" s="102"/>
      <c r="S60" s="102"/>
      <c r="T60" s="102"/>
      <c r="U60" s="102"/>
      <c r="V60" s="102"/>
      <c r="W60" s="102"/>
      <c r="X60" s="102"/>
      <c r="Y60" s="102"/>
      <c r="Z60" s="102"/>
      <c r="AA60" s="102"/>
      <c r="AB60" s="102"/>
      <c r="AC60" s="102"/>
      <c r="AD60" s="102"/>
      <c r="AE60" s="102"/>
      <c r="AF60" s="102"/>
      <c r="AG60" s="102"/>
      <c r="AH60" s="102"/>
      <c r="AI60" s="102"/>
      <c r="AJ60" s="102"/>
      <c r="AK60" s="102"/>
      <c r="AL60" s="102"/>
      <c r="AM60" s="102"/>
      <c r="AN60" s="102"/>
      <c r="AO60" s="102"/>
      <c r="AP60" s="102"/>
      <c r="AQ60" s="102"/>
      <c r="AR60" s="102"/>
      <c r="AS60" s="102"/>
      <c r="AT60" s="102"/>
      <c r="AU60" s="102"/>
      <c r="AV60" s="169">
        <f t="shared" ref="AV60:BE60" si="26">AV59/AV58</f>
        <v>0.21830903553159195</v>
      </c>
      <c r="AW60" s="169">
        <f t="shared" si="26"/>
        <v>0.22103458674161361</v>
      </c>
      <c r="AX60" s="169">
        <f t="shared" si="26"/>
        <v>0.23326416099430775</v>
      </c>
      <c r="AY60" s="169">
        <f t="shared" si="26"/>
        <v>0.24555710769788319</v>
      </c>
      <c r="AZ60" s="169">
        <f t="shared" si="26"/>
        <v>0.25395929362733449</v>
      </c>
      <c r="BA60" s="169">
        <f t="shared" si="26"/>
        <v>0.26116093569143745</v>
      </c>
      <c r="BB60" s="169">
        <f t="shared" si="26"/>
        <v>0.26565448238298878</v>
      </c>
      <c r="BC60" s="169">
        <f t="shared" si="26"/>
        <v>0.27545447973814741</v>
      </c>
      <c r="BD60" s="169">
        <f t="shared" si="26"/>
        <v>0.29779220102883891</v>
      </c>
      <c r="BE60" s="169">
        <f t="shared" si="26"/>
        <v>0.30641707024412385</v>
      </c>
    </row>
    <row r="61" spans="1:57" x14ac:dyDescent="0.2">
      <c r="A61" s="166" t="s">
        <v>230</v>
      </c>
      <c r="B61" s="101"/>
      <c r="C61" s="102"/>
      <c r="D61" s="104"/>
      <c r="E61" s="102"/>
      <c r="F61" s="102"/>
      <c r="G61" s="104"/>
      <c r="H61" s="102"/>
      <c r="I61" s="102"/>
      <c r="J61" s="104"/>
      <c r="K61" s="102"/>
      <c r="L61" s="102"/>
      <c r="M61" s="104"/>
      <c r="N61" s="102"/>
      <c r="O61" s="102"/>
      <c r="P61" s="104"/>
      <c r="Q61" s="102"/>
      <c r="R61" s="102"/>
      <c r="S61" s="102"/>
      <c r="T61" s="102"/>
      <c r="U61" s="102"/>
      <c r="V61" s="102"/>
      <c r="W61" s="102"/>
      <c r="X61" s="102"/>
      <c r="Y61" s="102"/>
      <c r="Z61" s="102"/>
      <c r="AA61" s="102"/>
      <c r="AB61" s="102"/>
      <c r="AC61" s="102"/>
      <c r="AD61" s="102"/>
      <c r="AE61" s="102"/>
      <c r="AF61" s="102"/>
      <c r="AG61" s="102"/>
      <c r="AH61" s="102"/>
      <c r="AI61" s="102"/>
      <c r="AJ61" s="102"/>
      <c r="AK61" s="102"/>
      <c r="AL61" s="102"/>
      <c r="AM61" s="102"/>
      <c r="AN61" s="102"/>
      <c r="AO61" s="102"/>
      <c r="AP61" s="102"/>
      <c r="AQ61" s="102"/>
      <c r="AR61" s="102"/>
      <c r="AS61" s="102"/>
      <c r="AT61" s="102"/>
      <c r="AU61" s="102"/>
      <c r="AV61" s="183">
        <f t="shared" ref="AV61:BD61" si="27">AV43*AV58</f>
        <v>67424321.682641938</v>
      </c>
      <c r="AW61" s="183">
        <f t="shared" si="27"/>
        <v>84172760.677864954</v>
      </c>
      <c r="AX61" s="183">
        <f t="shared" si="27"/>
        <v>106566633.41848686</v>
      </c>
      <c r="AY61" s="183">
        <f t="shared" si="27"/>
        <v>109784076.83781038</v>
      </c>
      <c r="AZ61" s="102">
        <f t="shared" si="27"/>
        <v>116958912.42484483</v>
      </c>
      <c r="BA61" s="102">
        <f t="shared" si="27"/>
        <v>121412896.85368927</v>
      </c>
      <c r="BB61" s="102">
        <f t="shared" si="27"/>
        <v>131224797.66839425</v>
      </c>
      <c r="BC61" s="102">
        <f t="shared" si="27"/>
        <v>140433461.28766885</v>
      </c>
      <c r="BD61" s="102">
        <f t="shared" si="27"/>
        <v>165760384.2306129</v>
      </c>
      <c r="BE61" s="102">
        <f>BE43*BE58</f>
        <v>168553008.4186388</v>
      </c>
    </row>
    <row r="62" spans="1:57" x14ac:dyDescent="0.2">
      <c r="A62" s="166" t="s">
        <v>217</v>
      </c>
      <c r="B62" s="101"/>
      <c r="C62" s="102"/>
      <c r="D62" s="104"/>
      <c r="E62" s="102"/>
      <c r="F62" s="102"/>
      <c r="G62" s="104"/>
      <c r="H62" s="102"/>
      <c r="I62" s="102"/>
      <c r="J62" s="104"/>
      <c r="K62" s="102"/>
      <c r="L62" s="102"/>
      <c r="M62" s="104"/>
      <c r="N62" s="102"/>
      <c r="O62" s="102"/>
      <c r="P62" s="104"/>
      <c r="Q62" s="102"/>
      <c r="R62" s="102"/>
      <c r="S62" s="102"/>
      <c r="T62" s="102"/>
      <c r="U62" s="102"/>
      <c r="V62" s="102"/>
      <c r="W62" s="102"/>
      <c r="X62" s="102"/>
      <c r="Y62" s="102"/>
      <c r="Z62" s="102"/>
      <c r="AA62" s="102"/>
      <c r="AB62" s="102"/>
      <c r="AC62" s="102"/>
      <c r="AD62" s="102"/>
      <c r="AE62" s="102"/>
      <c r="AF62" s="102"/>
      <c r="AG62" s="102"/>
      <c r="AH62" s="102"/>
      <c r="AI62" s="102"/>
      <c r="AJ62" s="102"/>
      <c r="AK62" s="102"/>
      <c r="AL62" s="102"/>
      <c r="AM62" s="102"/>
      <c r="AN62" s="170">
        <f t="shared" ref="AN62:AU62" si="28">AN43*AN58</f>
        <v>33483314.509199999</v>
      </c>
      <c r="AO62" s="170">
        <f t="shared" si="28"/>
        <v>37047751.893000007</v>
      </c>
      <c r="AP62" s="170">
        <f t="shared" si="28"/>
        <v>41271361.893000007</v>
      </c>
      <c r="AQ62" s="170">
        <f t="shared" si="28"/>
        <v>45665881.893000007</v>
      </c>
      <c r="AR62" s="170">
        <f t="shared" si="28"/>
        <v>50758913.222999997</v>
      </c>
      <c r="AS62" s="170">
        <f t="shared" si="28"/>
        <v>54759044.106900007</v>
      </c>
      <c r="AT62" s="170">
        <f t="shared" si="28"/>
        <v>58991643.721799999</v>
      </c>
      <c r="AU62" s="170">
        <f t="shared" si="28"/>
        <v>63234852.943500005</v>
      </c>
      <c r="AV62" s="183"/>
      <c r="AW62" s="183"/>
      <c r="AX62" s="183"/>
      <c r="AY62" s="183"/>
      <c r="BE62" s="177"/>
    </row>
    <row r="63" spans="1:57" x14ac:dyDescent="0.2">
      <c r="A63" s="108" t="s">
        <v>231</v>
      </c>
      <c r="B63" s="101" t="s">
        <v>176</v>
      </c>
      <c r="C63" s="102">
        <v>54183132.732500024</v>
      </c>
      <c r="D63" s="104">
        <f t="shared" si="0"/>
        <v>54183132.732500024</v>
      </c>
      <c r="E63" s="102" t="s">
        <v>176</v>
      </c>
      <c r="F63" s="102">
        <v>58808806.942500025</v>
      </c>
      <c r="G63" s="104">
        <f t="shared" si="1"/>
        <v>58808806.942500025</v>
      </c>
      <c r="H63" s="102" t="s">
        <v>176</v>
      </c>
      <c r="I63" s="102">
        <v>63917811.56500002</v>
      </c>
      <c r="J63" s="104">
        <f t="shared" si="2"/>
        <v>63917811.56500002</v>
      </c>
      <c r="K63" s="102" t="s">
        <v>176</v>
      </c>
      <c r="L63" s="102">
        <v>70145210.885000035</v>
      </c>
      <c r="M63" s="104">
        <f t="shared" si="3"/>
        <v>70145210.885000035</v>
      </c>
      <c r="N63" s="102" t="s">
        <v>176</v>
      </c>
      <c r="O63" s="102">
        <v>76485647.892500028</v>
      </c>
      <c r="P63" s="104">
        <f t="shared" si="4"/>
        <v>76485647.892500028</v>
      </c>
      <c r="Q63" s="102" t="s">
        <v>176</v>
      </c>
      <c r="R63" s="102">
        <v>86774748.967500031</v>
      </c>
      <c r="S63" s="104">
        <f t="shared" si="5"/>
        <v>86774748.967500031</v>
      </c>
      <c r="T63" s="102" t="s">
        <v>176</v>
      </c>
      <c r="U63" s="102">
        <v>100612681.37250003</v>
      </c>
      <c r="V63" s="104">
        <f t="shared" si="6"/>
        <v>100612681.37250003</v>
      </c>
      <c r="W63" s="102" t="s">
        <v>176</v>
      </c>
      <c r="X63" s="102">
        <v>116319213.25750004</v>
      </c>
      <c r="Y63" s="104">
        <f t="shared" si="7"/>
        <v>116319213.25750004</v>
      </c>
      <c r="Z63" s="102" t="s">
        <v>176</v>
      </c>
      <c r="AA63" s="102">
        <v>144995791.43500003</v>
      </c>
      <c r="AB63" s="104">
        <f t="shared" si="8"/>
        <v>144995791.43500003</v>
      </c>
      <c r="AC63" s="102" t="s">
        <v>176</v>
      </c>
      <c r="AD63" s="102">
        <v>167968233.12</v>
      </c>
      <c r="AE63" s="104">
        <f t="shared" si="9"/>
        <v>167968233.12</v>
      </c>
      <c r="AF63" s="102" t="s">
        <v>176</v>
      </c>
      <c r="AG63" s="102">
        <v>187963880.31</v>
      </c>
      <c r="AH63" s="104">
        <f t="shared" si="10"/>
        <v>187963880.31</v>
      </c>
      <c r="AI63" s="102" t="s">
        <v>176</v>
      </c>
      <c r="AJ63" s="102">
        <v>205980661.67000002</v>
      </c>
      <c r="AK63" s="104">
        <f t="shared" si="11"/>
        <v>205980661.67000002</v>
      </c>
      <c r="AL63" s="102">
        <v>229765540.81</v>
      </c>
      <c r="AM63" s="102">
        <v>253939028.38</v>
      </c>
      <c r="AN63" s="102">
        <v>274026217.65999997</v>
      </c>
      <c r="AO63" s="102">
        <v>299661899.80000001</v>
      </c>
      <c r="AP63" s="102">
        <v>325117899.80000001</v>
      </c>
      <c r="AQ63" s="102">
        <v>350900899.80000001</v>
      </c>
      <c r="AR63" s="102">
        <v>373092258.27999997</v>
      </c>
      <c r="AS63" s="102">
        <v>394440257.61000007</v>
      </c>
      <c r="AT63" s="102">
        <v>416138354.13</v>
      </c>
      <c r="AU63" s="102">
        <v>445367735.59000003</v>
      </c>
      <c r="AV63" s="102">
        <v>478871144.9000001</v>
      </c>
      <c r="AW63" s="102">
        <v>516825817.07999998</v>
      </c>
      <c r="AX63" s="102">
        <v>540241996.64999998</v>
      </c>
      <c r="AY63" s="102">
        <v>581696881.79999995</v>
      </c>
      <c r="AZ63" s="102">
        <v>623688497.12999988</v>
      </c>
      <c r="BA63" s="102">
        <v>665650451.63</v>
      </c>
      <c r="BB63" s="102">
        <f>705146449.06-456818.96+1632198.16</f>
        <v>706321828.25999987</v>
      </c>
      <c r="BC63" s="102">
        <f>737671292.91-647406.96+2855464.04</f>
        <v>739879349.98999989</v>
      </c>
      <c r="BD63" s="102">
        <f>786953676.33-825131.01+4747715.67</f>
        <v>790876260.99000001</v>
      </c>
      <c r="BE63" s="162">
        <f>841301526.08-1052607.66+7248266.09</f>
        <v>847497184.51000011</v>
      </c>
    </row>
    <row r="64" spans="1:57" x14ac:dyDescent="0.2">
      <c r="A64" s="108" t="s">
        <v>232</v>
      </c>
      <c r="B64" s="148">
        <v>48952100</v>
      </c>
      <c r="C64" s="102">
        <v>106270407.44500002</v>
      </c>
      <c r="D64" s="102">
        <f t="shared" si="0"/>
        <v>155222507.44500002</v>
      </c>
      <c r="E64" s="102">
        <v>55767200</v>
      </c>
      <c r="F64" s="102">
        <v>119740899.49250001</v>
      </c>
      <c r="G64" s="102">
        <f t="shared" si="1"/>
        <v>175508099.49250001</v>
      </c>
      <c r="H64" s="102">
        <v>69658400</v>
      </c>
      <c r="I64" s="102">
        <v>135009517.43750003</v>
      </c>
      <c r="J64" s="102">
        <f t="shared" si="2"/>
        <v>204667917.43750003</v>
      </c>
      <c r="K64" s="102">
        <v>79968300</v>
      </c>
      <c r="L64" s="102">
        <v>151055194.25250003</v>
      </c>
      <c r="M64" s="102">
        <f t="shared" si="3"/>
        <v>231023494.25250003</v>
      </c>
      <c r="N64" s="102">
        <v>89044000</v>
      </c>
      <c r="O64" s="102">
        <v>170218565.71500003</v>
      </c>
      <c r="P64" s="102">
        <f t="shared" si="4"/>
        <v>259262565.71500003</v>
      </c>
      <c r="Q64" s="102">
        <v>98906300</v>
      </c>
      <c r="R64" s="102">
        <v>191055974.28500003</v>
      </c>
      <c r="S64" s="102">
        <f t="shared" si="5"/>
        <v>289962274.28500003</v>
      </c>
      <c r="T64" s="102">
        <v>110532300</v>
      </c>
      <c r="U64" s="102">
        <v>214183006.89250001</v>
      </c>
      <c r="V64" s="102">
        <f t="shared" si="6"/>
        <v>324715306.89250004</v>
      </c>
      <c r="W64" s="102">
        <v>123872000</v>
      </c>
      <c r="X64" s="102">
        <v>236988949.09000003</v>
      </c>
      <c r="Y64" s="102">
        <f t="shared" si="7"/>
        <v>360860949.09000003</v>
      </c>
      <c r="Z64" s="102">
        <v>136692000</v>
      </c>
      <c r="AA64" s="102">
        <v>275769965.42250007</v>
      </c>
      <c r="AB64" s="102">
        <f t="shared" si="8"/>
        <v>412461965.42250007</v>
      </c>
      <c r="AC64" s="102">
        <v>150135000</v>
      </c>
      <c r="AD64" s="102">
        <v>309032010.68000001</v>
      </c>
      <c r="AE64" s="102">
        <f t="shared" si="9"/>
        <v>459167010.68000001</v>
      </c>
      <c r="AF64" s="102">
        <v>162325000</v>
      </c>
      <c r="AG64" s="102">
        <v>340146293.87000012</v>
      </c>
      <c r="AH64" s="102">
        <f t="shared" si="10"/>
        <v>502471293.87000012</v>
      </c>
      <c r="AI64" s="102">
        <v>187022705.00999999</v>
      </c>
      <c r="AJ64" s="102">
        <v>372851012.96000016</v>
      </c>
      <c r="AK64" s="102">
        <f t="shared" si="11"/>
        <v>559873717.97000015</v>
      </c>
      <c r="AL64" s="102">
        <v>616319361.75</v>
      </c>
      <c r="AM64" s="102">
        <v>679018202.77999997</v>
      </c>
      <c r="AN64" s="102">
        <v>704026392.12000012</v>
      </c>
      <c r="AO64" s="102">
        <v>770309546.16999996</v>
      </c>
      <c r="AP64" s="102">
        <v>840012546.16999996</v>
      </c>
      <c r="AQ64" s="102">
        <v>911656546.16999996</v>
      </c>
      <c r="AR64" s="102">
        <v>952117449.30000007</v>
      </c>
      <c r="AS64" s="102">
        <v>1026502951.6700001</v>
      </c>
      <c r="AT64" s="102">
        <v>1102162417.8200002</v>
      </c>
      <c r="AU64" s="102">
        <v>1179342555.3799999</v>
      </c>
      <c r="AV64" s="102">
        <v>1250411052.2900002</v>
      </c>
      <c r="AW64" s="102">
        <v>1328856135.6200001</v>
      </c>
      <c r="AX64" s="102">
        <v>1405810493.2700002</v>
      </c>
      <c r="AY64" s="102">
        <v>1485857716.74</v>
      </c>
      <c r="AZ64" s="102">
        <v>1575992083.0800002</v>
      </c>
      <c r="BA64" s="102">
        <v>1664372579.4099998</v>
      </c>
      <c r="BB64" s="102">
        <f>1699396477-3712769+6012933.76+2539973.16</f>
        <v>1704236614.9200001</v>
      </c>
      <c r="BC64" s="102">
        <f>1779478756.55-5878912.03+9332280.7+4073167.46</f>
        <v>1787005292.6800001</v>
      </c>
      <c r="BD64" s="102">
        <f>1858698500.44-8578810.06+13327559.59+5972292.42</f>
        <v>1869419542.3900001</v>
      </c>
      <c r="BE64" s="162">
        <f>1955131912.1-11888535.12+18015637.3+8467421.26</f>
        <v>1969726435.54</v>
      </c>
    </row>
    <row r="65" spans="1:57" x14ac:dyDescent="0.2">
      <c r="A65" s="108" t="s">
        <v>233</v>
      </c>
      <c r="B65" s="148">
        <v>19490800</v>
      </c>
      <c r="C65" s="102">
        <v>53265370.207499996</v>
      </c>
      <c r="D65" s="102">
        <f t="shared" si="0"/>
        <v>72756170.207499996</v>
      </c>
      <c r="E65" s="102">
        <v>21463700</v>
      </c>
      <c r="F65" s="102">
        <v>63072478.660000011</v>
      </c>
      <c r="G65" s="102">
        <f t="shared" si="1"/>
        <v>84536178.660000011</v>
      </c>
      <c r="H65" s="102">
        <v>26301500</v>
      </c>
      <c r="I65" s="102">
        <v>74921195.382499993</v>
      </c>
      <c r="J65" s="102">
        <f t="shared" si="2"/>
        <v>101222695.38249999</v>
      </c>
      <c r="K65" s="102">
        <v>27998900</v>
      </c>
      <c r="L65" s="102">
        <v>88502288.114999995</v>
      </c>
      <c r="M65" s="102">
        <f t="shared" si="3"/>
        <v>116501188.11499999</v>
      </c>
      <c r="N65" s="102">
        <v>30143700</v>
      </c>
      <c r="O65" s="102">
        <v>102040888.32249999</v>
      </c>
      <c r="P65" s="102">
        <f t="shared" si="4"/>
        <v>132184588.32249999</v>
      </c>
      <c r="Q65" s="102">
        <v>31534400</v>
      </c>
      <c r="R65" s="102">
        <v>109382306.65000001</v>
      </c>
      <c r="S65" s="102">
        <f t="shared" si="5"/>
        <v>140916706.65000001</v>
      </c>
      <c r="T65" s="102">
        <v>36361900</v>
      </c>
      <c r="U65" s="102">
        <v>122291139.93000001</v>
      </c>
      <c r="V65" s="102">
        <f t="shared" si="6"/>
        <v>158653039.93000001</v>
      </c>
      <c r="W65" s="102">
        <v>33967100</v>
      </c>
      <c r="X65" s="102">
        <v>122349482.03250003</v>
      </c>
      <c r="Y65" s="102">
        <f t="shared" si="7"/>
        <v>156316582.03250003</v>
      </c>
      <c r="Z65" s="102">
        <v>35876000</v>
      </c>
      <c r="AA65" s="102">
        <v>90700852.690000042</v>
      </c>
      <c r="AB65" s="102">
        <f t="shared" si="8"/>
        <v>126576852.69000004</v>
      </c>
      <c r="AC65" s="102">
        <v>38908000</v>
      </c>
      <c r="AD65" s="102">
        <v>96438033.215000004</v>
      </c>
      <c r="AE65" s="102">
        <f t="shared" si="9"/>
        <v>135346033.215</v>
      </c>
      <c r="AF65" s="102">
        <v>45181000</v>
      </c>
      <c r="AG65" s="102">
        <v>121782580.00000004</v>
      </c>
      <c r="AH65" s="102">
        <f t="shared" si="10"/>
        <v>166963580.00000006</v>
      </c>
      <c r="AI65" s="102">
        <v>46824297.450000003</v>
      </c>
      <c r="AJ65" s="102">
        <v>149818830.45000005</v>
      </c>
      <c r="AK65" s="102">
        <f t="shared" si="11"/>
        <v>196643127.90000004</v>
      </c>
      <c r="AL65" s="102">
        <v>200418108.83000001</v>
      </c>
      <c r="AM65" s="102">
        <v>237888052.27000001</v>
      </c>
      <c r="AN65" s="102">
        <v>99823043.620000035</v>
      </c>
      <c r="AO65" s="102">
        <v>95313240.299999997</v>
      </c>
      <c r="AP65" s="102">
        <v>108471240.3</v>
      </c>
      <c r="AQ65" s="102">
        <v>93414240.299999997</v>
      </c>
      <c r="AR65" s="102">
        <v>104469192.98</v>
      </c>
      <c r="AS65" s="102">
        <v>102956693.89</v>
      </c>
      <c r="AT65" s="102">
        <v>96969928.900000006</v>
      </c>
      <c r="AU65" s="106">
        <v>103283990.13</v>
      </c>
      <c r="AV65" s="106">
        <v>110821867.25999999</v>
      </c>
      <c r="AW65" s="106">
        <v>118039265.19999999</v>
      </c>
      <c r="AX65" s="106">
        <v>109730332.52</v>
      </c>
      <c r="AY65" s="106">
        <v>111828675.77999999</v>
      </c>
      <c r="AZ65" s="102">
        <v>101011726.60999998</v>
      </c>
      <c r="BA65" s="102">
        <v>97197330.100000009</v>
      </c>
      <c r="BB65" s="102">
        <f>104291046.04+3783709.79</f>
        <v>108074755.83000001</v>
      </c>
      <c r="BC65" s="102">
        <f>113076864.52+5736896.54</f>
        <v>118813761.06</v>
      </c>
      <c r="BD65" s="102">
        <f>110842885.57+8327693.56</f>
        <v>119170579.13</v>
      </c>
      <c r="BE65" s="162">
        <f>107461069.68+11528041.96</f>
        <v>118989111.64000002</v>
      </c>
    </row>
    <row r="66" spans="1:57" x14ac:dyDescent="0.2">
      <c r="A66" s="108" t="s">
        <v>234</v>
      </c>
      <c r="B66" s="148"/>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2"/>
      <c r="AN66" s="102"/>
      <c r="AO66" s="102"/>
      <c r="AP66" s="102"/>
      <c r="AQ66" s="102"/>
      <c r="AR66" s="102"/>
      <c r="AS66" s="102"/>
      <c r="AT66" s="102"/>
      <c r="AU66" s="106"/>
      <c r="AV66" s="105">
        <v>3231606</v>
      </c>
      <c r="AW66" s="105">
        <v>3701754</v>
      </c>
      <c r="AX66" s="105">
        <v>3359270</v>
      </c>
      <c r="AY66" s="105">
        <v>3451272</v>
      </c>
      <c r="AZ66" s="102">
        <v>3117457</v>
      </c>
      <c r="BA66" s="102">
        <v>3631959.71</v>
      </c>
      <c r="BB66" s="102">
        <v>5243205.95</v>
      </c>
      <c r="BC66" s="102">
        <v>6656896.3600000003</v>
      </c>
      <c r="BD66" s="102">
        <v>7754092.1900000004</v>
      </c>
      <c r="BE66" s="162">
        <v>4830746.82</v>
      </c>
    </row>
    <row r="67" spans="1:57" x14ac:dyDescent="0.2">
      <c r="A67" s="166" t="s">
        <v>216</v>
      </c>
      <c r="B67" s="148"/>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c r="AC67" s="102"/>
      <c r="AD67" s="102"/>
      <c r="AE67" s="102"/>
      <c r="AF67" s="102"/>
      <c r="AG67" s="102"/>
      <c r="AH67" s="102"/>
      <c r="AI67" s="102"/>
      <c r="AJ67" s="102"/>
      <c r="AK67" s="102"/>
      <c r="AL67" s="102"/>
      <c r="AM67" s="102"/>
      <c r="AN67" s="184">
        <v>0.03</v>
      </c>
      <c r="AO67" s="184">
        <v>0.03</v>
      </c>
      <c r="AP67" s="184">
        <v>0.03</v>
      </c>
      <c r="AQ67" s="184">
        <v>0.03</v>
      </c>
      <c r="AR67" s="184">
        <v>0.03</v>
      </c>
      <c r="AS67" s="184">
        <v>0.03</v>
      </c>
      <c r="AT67" s="184">
        <v>0.03</v>
      </c>
      <c r="AU67" s="184">
        <v>0.03</v>
      </c>
      <c r="AV67" s="169">
        <f t="shared" ref="AV67:BE67" si="29">AV66/AV65</f>
        <v>2.9160364104119502E-2</v>
      </c>
      <c r="AW67" s="169">
        <f t="shared" si="29"/>
        <v>3.136036126392288E-2</v>
      </c>
      <c r="AX67" s="169">
        <f t="shared" si="29"/>
        <v>3.0613868771314647E-2</v>
      </c>
      <c r="AY67" s="169">
        <f t="shared" si="29"/>
        <v>3.0862137782885588E-2</v>
      </c>
      <c r="AZ67" s="169">
        <f t="shared" si="29"/>
        <v>3.0862327619013072E-2</v>
      </c>
      <c r="BA67" s="173">
        <f t="shared" si="29"/>
        <v>3.7366867034961893E-2</v>
      </c>
      <c r="BB67" s="173">
        <f t="shared" si="29"/>
        <v>4.8514622214344723E-2</v>
      </c>
      <c r="BC67" s="173">
        <f t="shared" si="29"/>
        <v>5.6027991207502646E-2</v>
      </c>
      <c r="BD67" s="173">
        <f t="shared" si="29"/>
        <v>6.5067168814722881E-2</v>
      </c>
      <c r="BE67" s="173">
        <f t="shared" si="29"/>
        <v>4.0598225782333436E-2</v>
      </c>
    </row>
    <row r="68" spans="1:57" x14ac:dyDescent="0.2">
      <c r="A68" s="166" t="s">
        <v>235</v>
      </c>
      <c r="B68" s="148"/>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85">
        <f t="shared" ref="AN68:AT68" si="30">AN67*AN65</f>
        <v>2994691.308600001</v>
      </c>
      <c r="AO68" s="185">
        <f t="shared" si="30"/>
        <v>2859397.2089999998</v>
      </c>
      <c r="AP68" s="185">
        <f t="shared" si="30"/>
        <v>3254137.2089999998</v>
      </c>
      <c r="AQ68" s="185">
        <f t="shared" si="30"/>
        <v>2802427.2089999998</v>
      </c>
      <c r="AR68" s="185">
        <f t="shared" si="30"/>
        <v>3134075.7894000001</v>
      </c>
      <c r="AS68" s="185">
        <f t="shared" si="30"/>
        <v>3088700.8166999999</v>
      </c>
      <c r="AT68" s="185">
        <f t="shared" si="30"/>
        <v>2909097.8670000001</v>
      </c>
      <c r="AU68" s="185">
        <f>AU67*AU65</f>
        <v>3098519.7038999996</v>
      </c>
      <c r="AV68" s="169"/>
      <c r="AW68" s="169"/>
      <c r="AX68" s="169"/>
      <c r="AY68" s="169"/>
      <c r="BE68" s="177"/>
    </row>
    <row r="69" spans="1:57" x14ac:dyDescent="0.2">
      <c r="A69" s="108" t="s">
        <v>236</v>
      </c>
      <c r="B69" s="136">
        <v>1663400</v>
      </c>
      <c r="C69" s="178" t="s">
        <v>176</v>
      </c>
      <c r="D69" s="104">
        <f t="shared" si="0"/>
        <v>1663400</v>
      </c>
      <c r="E69" s="98">
        <v>1752500</v>
      </c>
      <c r="F69" s="178" t="s">
        <v>176</v>
      </c>
      <c r="G69" s="104">
        <f t="shared" si="1"/>
        <v>1752500</v>
      </c>
      <c r="H69" s="179">
        <f>AVERAGE(E69,K69)</f>
        <v>2075000</v>
      </c>
      <c r="I69" s="178" t="s">
        <v>176</v>
      </c>
      <c r="J69" s="104">
        <f>SUM(H69:I69)</f>
        <v>2075000</v>
      </c>
      <c r="K69" s="136">
        <v>2397500</v>
      </c>
      <c r="L69" s="178" t="s">
        <v>176</v>
      </c>
      <c r="M69" s="104">
        <f t="shared" si="3"/>
        <v>2397500</v>
      </c>
      <c r="N69" s="136">
        <v>2602100</v>
      </c>
      <c r="O69" s="178" t="s">
        <v>176</v>
      </c>
      <c r="P69" s="104">
        <f t="shared" si="4"/>
        <v>2602100</v>
      </c>
      <c r="Q69" s="98">
        <v>2847000</v>
      </c>
      <c r="R69" s="178" t="s">
        <v>176</v>
      </c>
      <c r="S69" s="104">
        <f t="shared" si="5"/>
        <v>2847000</v>
      </c>
      <c r="T69" s="98">
        <v>3088900</v>
      </c>
      <c r="U69" s="178" t="s">
        <v>176</v>
      </c>
      <c r="V69" s="104">
        <f t="shared" si="6"/>
        <v>3088900</v>
      </c>
      <c r="W69" s="136">
        <v>3431800</v>
      </c>
      <c r="X69" s="178" t="s">
        <v>176</v>
      </c>
      <c r="Y69" s="104">
        <f t="shared" si="7"/>
        <v>3431800</v>
      </c>
      <c r="Z69" s="136">
        <v>4215600</v>
      </c>
      <c r="AA69" s="178" t="s">
        <v>176</v>
      </c>
      <c r="AB69" s="104">
        <f t="shared" si="8"/>
        <v>4215600</v>
      </c>
      <c r="AC69" s="136">
        <v>4144000</v>
      </c>
      <c r="AD69" s="178" t="s">
        <v>176</v>
      </c>
      <c r="AE69" s="104">
        <f t="shared" si="9"/>
        <v>4144000</v>
      </c>
      <c r="AF69" s="98">
        <v>4330000</v>
      </c>
      <c r="AG69" s="178" t="s">
        <v>176</v>
      </c>
      <c r="AH69" s="104">
        <f t="shared" si="10"/>
        <v>4330000</v>
      </c>
      <c r="AI69" s="180" t="s">
        <v>176</v>
      </c>
      <c r="AJ69" s="178" t="s">
        <v>176</v>
      </c>
      <c r="AK69" s="104">
        <f t="shared" si="11"/>
        <v>0</v>
      </c>
      <c r="AL69" s="178" t="s">
        <v>176</v>
      </c>
      <c r="AM69" s="178" t="s">
        <v>176</v>
      </c>
      <c r="AN69" s="178" t="s">
        <v>176</v>
      </c>
      <c r="AO69" s="178" t="s">
        <v>176</v>
      </c>
      <c r="AP69" s="178" t="s">
        <v>176</v>
      </c>
      <c r="AQ69" s="178" t="s">
        <v>176</v>
      </c>
      <c r="AR69" s="178" t="s">
        <v>176</v>
      </c>
      <c r="AS69" s="178" t="s">
        <v>176</v>
      </c>
      <c r="AT69" s="178" t="s">
        <v>176</v>
      </c>
      <c r="AU69" s="178" t="s">
        <v>176</v>
      </c>
      <c r="AV69" s="178" t="s">
        <v>176</v>
      </c>
      <c r="AW69" s="178" t="s">
        <v>176</v>
      </c>
      <c r="AX69" s="178" t="s">
        <v>176</v>
      </c>
      <c r="AY69" s="178" t="s">
        <v>176</v>
      </c>
      <c r="AZ69" s="178" t="s">
        <v>176</v>
      </c>
      <c r="BA69" s="178" t="s">
        <v>176</v>
      </c>
      <c r="BB69" s="178" t="s">
        <v>176</v>
      </c>
      <c r="BC69" s="178" t="s">
        <v>176</v>
      </c>
      <c r="BD69" s="178" t="s">
        <v>176</v>
      </c>
      <c r="BE69" s="178" t="s">
        <v>176</v>
      </c>
    </row>
    <row r="70" spans="1:57" ht="13.5" thickBot="1" x14ac:dyDescent="0.25">
      <c r="A70" s="114" t="s">
        <v>237</v>
      </c>
      <c r="B70" s="101" t="s">
        <v>180</v>
      </c>
      <c r="C70" s="102">
        <v>-2451743.5</v>
      </c>
      <c r="D70" s="112">
        <f t="shared" si="0"/>
        <v>-2451743.5</v>
      </c>
      <c r="E70" s="102" t="s">
        <v>180</v>
      </c>
      <c r="F70" s="102">
        <v>-3023701.5</v>
      </c>
      <c r="G70" s="112">
        <f t="shared" si="1"/>
        <v>-3023701.5</v>
      </c>
      <c r="H70" s="102" t="s">
        <v>180</v>
      </c>
      <c r="I70" s="102">
        <v>-3618700.5</v>
      </c>
      <c r="J70" s="112">
        <f t="shared" si="2"/>
        <v>-3618700.5</v>
      </c>
      <c r="K70" s="102" t="s">
        <v>180</v>
      </c>
      <c r="L70" s="102">
        <v>-4227509.5</v>
      </c>
      <c r="M70" s="112">
        <f t="shared" si="3"/>
        <v>-4227509.5</v>
      </c>
      <c r="N70" s="102" t="s">
        <v>180</v>
      </c>
      <c r="O70" s="102">
        <v>-4900579.25</v>
      </c>
      <c r="P70" s="112">
        <f t="shared" si="4"/>
        <v>-4900579.25</v>
      </c>
      <c r="Q70" s="102" t="s">
        <v>180</v>
      </c>
      <c r="R70" s="102">
        <v>-5607763.75</v>
      </c>
      <c r="S70" s="112">
        <f t="shared" si="5"/>
        <v>-5607763.75</v>
      </c>
      <c r="T70" s="102" t="s">
        <v>180</v>
      </c>
      <c r="U70" s="102">
        <v>-6337008.25</v>
      </c>
      <c r="V70" s="112">
        <f t="shared" si="6"/>
        <v>-6337008.25</v>
      </c>
      <c r="W70" s="102" t="s">
        <v>180</v>
      </c>
      <c r="X70" s="102">
        <v>-7089104.25</v>
      </c>
      <c r="Y70" s="112">
        <f t="shared" si="7"/>
        <v>-7089104.25</v>
      </c>
      <c r="Z70" s="102" t="s">
        <v>180</v>
      </c>
      <c r="AA70" s="102">
        <v>-7620846.25</v>
      </c>
      <c r="AB70" s="112">
        <f t="shared" si="8"/>
        <v>-7620846.25</v>
      </c>
      <c r="AC70" s="102" t="s">
        <v>180</v>
      </c>
      <c r="AD70" s="102">
        <v>-8549364.875</v>
      </c>
      <c r="AE70" s="112">
        <f t="shared" si="9"/>
        <v>-8549364.875</v>
      </c>
      <c r="AF70" s="102" t="s">
        <v>180</v>
      </c>
      <c r="AG70" s="102">
        <v>-9730800.5</v>
      </c>
      <c r="AH70" s="112">
        <f t="shared" si="10"/>
        <v>-9730800.5</v>
      </c>
      <c r="AI70" s="102">
        <v>-21522872.219999999</v>
      </c>
      <c r="AJ70" s="102">
        <v>-11082089.5</v>
      </c>
      <c r="AK70" s="102">
        <f t="shared" si="11"/>
        <v>-32604961.719999999</v>
      </c>
      <c r="AL70" s="102">
        <v>-35656639.490000002</v>
      </c>
      <c r="AM70" s="102">
        <v>-38829240.219999999</v>
      </c>
      <c r="AN70" s="102">
        <v>-26808622.689999998</v>
      </c>
      <c r="AO70" s="102">
        <v>-30577671.59</v>
      </c>
      <c r="AP70" s="102">
        <v>-34488671.590000004</v>
      </c>
      <c r="AQ70" s="102">
        <v>-38513671.590000004</v>
      </c>
      <c r="AR70" s="102">
        <v>-1928594.2010000004</v>
      </c>
      <c r="AS70" s="102">
        <v>-835276</v>
      </c>
      <c r="AT70" s="102">
        <v>-861409</v>
      </c>
      <c r="AU70" s="102">
        <v>0</v>
      </c>
      <c r="AV70" s="102"/>
      <c r="AW70" s="102"/>
      <c r="AX70" s="102"/>
      <c r="AY70" s="102"/>
      <c r="AZ70" s="102"/>
      <c r="BE70" s="177"/>
    </row>
    <row r="71" spans="1:57" ht="13.5" thickBot="1" x14ac:dyDescent="0.25">
      <c r="A71" s="186"/>
      <c r="B71" s="164"/>
      <c r="C71" s="164"/>
      <c r="D71" s="164">
        <f t="shared" si="0"/>
        <v>0</v>
      </c>
      <c r="E71" s="164"/>
      <c r="F71" s="164"/>
      <c r="G71" s="164">
        <f t="shared" si="1"/>
        <v>0</v>
      </c>
      <c r="H71" s="164"/>
      <c r="I71" s="164"/>
      <c r="J71" s="164">
        <f t="shared" si="2"/>
        <v>0</v>
      </c>
      <c r="K71" s="164"/>
      <c r="L71" s="164"/>
      <c r="M71" s="164">
        <f t="shared" si="3"/>
        <v>0</v>
      </c>
      <c r="N71" s="164"/>
      <c r="O71" s="164"/>
      <c r="P71" s="164">
        <f t="shared" si="4"/>
        <v>0</v>
      </c>
      <c r="Q71" s="164"/>
      <c r="R71" s="164"/>
      <c r="S71" s="164">
        <f t="shared" si="5"/>
        <v>0</v>
      </c>
      <c r="T71" s="164"/>
      <c r="U71" s="164"/>
      <c r="V71" s="164">
        <f t="shared" si="6"/>
        <v>0</v>
      </c>
      <c r="W71" s="164"/>
      <c r="X71" s="164"/>
      <c r="Y71" s="164">
        <f t="shared" si="7"/>
        <v>0</v>
      </c>
      <c r="Z71" s="164"/>
      <c r="AA71" s="164"/>
      <c r="AB71" s="164">
        <f t="shared" si="8"/>
        <v>0</v>
      </c>
      <c r="AC71" s="164"/>
      <c r="AD71" s="164"/>
      <c r="AE71" s="164">
        <f t="shared" si="9"/>
        <v>0</v>
      </c>
      <c r="AF71" s="164"/>
      <c r="AG71" s="164"/>
      <c r="AH71" s="164">
        <f t="shared" si="10"/>
        <v>0</v>
      </c>
      <c r="AI71" s="164"/>
      <c r="AJ71" s="164"/>
      <c r="AK71" s="164">
        <f t="shared" si="11"/>
        <v>0</v>
      </c>
      <c r="AL71" s="164"/>
      <c r="AM71" s="164"/>
      <c r="AN71" s="164"/>
      <c r="AO71" s="164"/>
      <c r="AP71" s="164"/>
      <c r="AQ71" s="164"/>
      <c r="AR71" s="164"/>
      <c r="AS71" s="164"/>
      <c r="AT71" s="164"/>
      <c r="AU71" s="164"/>
      <c r="AV71" s="164"/>
      <c r="AW71" s="164"/>
      <c r="AX71" s="164"/>
      <c r="AY71" s="164"/>
      <c r="AZ71" s="164"/>
      <c r="BA71" s="164"/>
      <c r="BB71" s="164"/>
      <c r="BC71" s="164"/>
      <c r="BD71" s="164"/>
      <c r="BE71" s="164"/>
    </row>
    <row r="72" spans="1:57" x14ac:dyDescent="0.2">
      <c r="A72" s="186" t="s">
        <v>238</v>
      </c>
      <c r="B72" s="187"/>
      <c r="C72" s="187"/>
      <c r="D72" s="187"/>
      <c r="E72" s="187"/>
      <c r="F72" s="187"/>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c r="AE72" s="187"/>
      <c r="AF72" s="187"/>
      <c r="AG72" s="187"/>
      <c r="AH72" s="187"/>
      <c r="AI72" s="187"/>
      <c r="AJ72" s="187"/>
      <c r="AK72" s="187"/>
      <c r="AL72" s="187"/>
      <c r="AM72" s="187"/>
      <c r="AN72" s="187"/>
      <c r="AO72" s="187"/>
      <c r="AP72" s="187"/>
      <c r="AQ72" s="187"/>
      <c r="AR72" s="187"/>
      <c r="AS72" s="187"/>
      <c r="AT72" s="187"/>
      <c r="AU72" s="187"/>
      <c r="AV72" s="187">
        <f t="shared" ref="AV72:BD72" si="31">AV42 +AV48-AV59-AV66</f>
        <v>126026559</v>
      </c>
      <c r="AW72" s="187">
        <f t="shared" si="31"/>
        <v>168439041</v>
      </c>
      <c r="AX72" s="187">
        <f t="shared" si="31"/>
        <v>244037807.07000002</v>
      </c>
      <c r="AY72" s="187">
        <f t="shared" si="31"/>
        <v>240800752.58999997</v>
      </c>
      <c r="AZ72" s="187">
        <f t="shared" si="31"/>
        <v>250900090.41000003</v>
      </c>
      <c r="BA72" s="187">
        <f t="shared" si="31"/>
        <v>248315278.85999998</v>
      </c>
      <c r="BB72" s="187">
        <f t="shared" si="31"/>
        <v>245178489.21999997</v>
      </c>
      <c r="BC72" s="187">
        <f t="shared" si="31"/>
        <v>243426502.63999996</v>
      </c>
      <c r="BD72" s="187">
        <f t="shared" si="31"/>
        <v>280337799.40999997</v>
      </c>
      <c r="BE72" s="187">
        <f>BE42 +BE48-BE59-BE66</f>
        <v>274582038.07999992</v>
      </c>
    </row>
    <row r="73" spans="1:57" x14ac:dyDescent="0.2">
      <c r="A73" s="186" t="s">
        <v>239</v>
      </c>
      <c r="B73" s="187"/>
      <c r="C73" s="187"/>
      <c r="D73" s="187"/>
      <c r="E73" s="187"/>
      <c r="F73" s="187"/>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c r="AE73" s="187"/>
      <c r="AF73" s="187"/>
      <c r="AG73" s="187"/>
      <c r="AH73" s="187"/>
      <c r="AI73" s="187"/>
      <c r="AJ73" s="187"/>
      <c r="AK73" s="187"/>
      <c r="AL73" s="187"/>
      <c r="AM73" s="187"/>
      <c r="AN73" s="187"/>
      <c r="AO73" s="187"/>
      <c r="AP73" s="187"/>
      <c r="AQ73" s="187"/>
      <c r="AR73" s="187"/>
      <c r="AS73" s="187"/>
      <c r="AT73" s="187"/>
      <c r="AU73" s="187"/>
      <c r="AV73" s="187">
        <f t="shared" ref="AV73:BD73" si="32">AV42+AV48-AV61-AV66</f>
        <v>112988768.31735806</v>
      </c>
      <c r="AW73" s="187">
        <f t="shared" si="32"/>
        <v>142781491.13213503</v>
      </c>
      <c r="AX73" s="187">
        <f t="shared" si="32"/>
        <v>201697220.07151315</v>
      </c>
      <c r="AY73" s="187">
        <f t="shared" si="32"/>
        <v>200670050.7921896</v>
      </c>
      <c r="AZ73" s="187">
        <f t="shared" si="32"/>
        <v>211221148.61515519</v>
      </c>
      <c r="BA73" s="187">
        <f t="shared" si="32"/>
        <v>210107179.76631072</v>
      </c>
      <c r="BB73" s="187">
        <f t="shared" si="32"/>
        <v>205036142.3616057</v>
      </c>
      <c r="BC73" s="187">
        <f t="shared" si="32"/>
        <v>202922972.44233111</v>
      </c>
      <c r="BD73" s="187">
        <f t="shared" si="32"/>
        <v>231705812.73938707</v>
      </c>
      <c r="BE73" s="187">
        <f>BE42+BE48-BE61-BE66</f>
        <v>231886479.27136114</v>
      </c>
    </row>
    <row r="74" spans="1:57" x14ac:dyDescent="0.2">
      <c r="A74" s="186" t="s">
        <v>240</v>
      </c>
      <c r="B74" s="187"/>
      <c r="C74" s="187"/>
      <c r="D74" s="187"/>
      <c r="E74" s="187"/>
      <c r="F74" s="187"/>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c r="AE74" s="187"/>
      <c r="AF74" s="187"/>
      <c r="AG74" s="187"/>
      <c r="AH74" s="187"/>
      <c r="AI74" s="187"/>
      <c r="AJ74" s="187"/>
      <c r="AK74" s="187"/>
      <c r="AL74" s="187"/>
      <c r="AM74" s="187"/>
      <c r="AN74" s="188">
        <f t="shared" ref="AN74:AU74" si="33">AN44+AN51-AN62-AN68</f>
        <v>104468718.22688997</v>
      </c>
      <c r="AO74" s="188">
        <f t="shared" si="33"/>
        <v>113665680.9198</v>
      </c>
      <c r="AP74" s="188">
        <f t="shared" si="33"/>
        <v>115927080.9198</v>
      </c>
      <c r="AQ74" s="188">
        <f t="shared" si="33"/>
        <v>113356959.9198</v>
      </c>
      <c r="AR74" s="188">
        <f t="shared" si="33"/>
        <v>108922824.88857</v>
      </c>
      <c r="AS74" s="188">
        <f t="shared" si="33"/>
        <v>105217697.30292003</v>
      </c>
      <c r="AT74" s="188">
        <f t="shared" si="33"/>
        <v>103322639.36364003</v>
      </c>
      <c r="AU74" s="188">
        <f t="shared" si="33"/>
        <v>114188733.35052</v>
      </c>
      <c r="AV74" s="187"/>
      <c r="AW74" s="187"/>
      <c r="AX74" s="187"/>
      <c r="AY74" s="187"/>
      <c r="BE74" s="177"/>
    </row>
    <row r="75" spans="1:57" x14ac:dyDescent="0.2">
      <c r="A75" s="186" t="s">
        <v>241</v>
      </c>
      <c r="B75" s="187"/>
      <c r="C75" s="187"/>
      <c r="D75" s="187"/>
      <c r="E75" s="187"/>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c r="AE75" s="187"/>
      <c r="AF75" s="187"/>
      <c r="AG75" s="187"/>
      <c r="AH75" s="187"/>
      <c r="AI75" s="187"/>
      <c r="AJ75" s="187"/>
      <c r="AK75" s="187"/>
      <c r="AL75" s="187"/>
      <c r="AM75" s="187"/>
      <c r="AN75" s="187">
        <f>AN74</f>
        <v>104468718.22688997</v>
      </c>
      <c r="AO75" s="187">
        <f t="shared" ref="AO75:AU75" si="34">AO74</f>
        <v>113665680.9198</v>
      </c>
      <c r="AP75" s="187">
        <f t="shared" si="34"/>
        <v>115927080.9198</v>
      </c>
      <c r="AQ75" s="187">
        <f t="shared" si="34"/>
        <v>113356959.9198</v>
      </c>
      <c r="AR75" s="187">
        <f t="shared" si="34"/>
        <v>108922824.88857</v>
      </c>
      <c r="AS75" s="187">
        <f t="shared" si="34"/>
        <v>105217697.30292003</v>
      </c>
      <c r="AT75" s="187">
        <f t="shared" si="34"/>
        <v>103322639.36364003</v>
      </c>
      <c r="AU75" s="187">
        <f t="shared" si="34"/>
        <v>114188733.35052</v>
      </c>
      <c r="AV75" s="187">
        <f t="shared" ref="AV75:BD75" si="35">AV73</f>
        <v>112988768.31735806</v>
      </c>
      <c r="AW75" s="187">
        <f t="shared" si="35"/>
        <v>142781491.13213503</v>
      </c>
      <c r="AX75" s="187">
        <f t="shared" si="35"/>
        <v>201697220.07151315</v>
      </c>
      <c r="AY75" s="187">
        <f t="shared" si="35"/>
        <v>200670050.7921896</v>
      </c>
      <c r="AZ75" s="187">
        <f t="shared" si="35"/>
        <v>211221148.61515519</v>
      </c>
      <c r="BA75" s="187">
        <f t="shared" si="35"/>
        <v>210107179.76631072</v>
      </c>
      <c r="BB75" s="187">
        <f t="shared" si="35"/>
        <v>205036142.3616057</v>
      </c>
      <c r="BC75" s="187">
        <f t="shared" si="35"/>
        <v>202922972.44233111</v>
      </c>
      <c r="BD75" s="187">
        <f t="shared" si="35"/>
        <v>231705812.73938707</v>
      </c>
      <c r="BE75" s="187">
        <f>BE73</f>
        <v>231886479.27136114</v>
      </c>
    </row>
    <row r="76" spans="1:57" x14ac:dyDescent="0.2">
      <c r="A76" s="186"/>
      <c r="B76" s="187"/>
      <c r="C76" s="187"/>
      <c r="D76" s="187"/>
      <c r="E76" s="187"/>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c r="AE76" s="187"/>
      <c r="AF76" s="187"/>
      <c r="AG76" s="187"/>
      <c r="AH76" s="187"/>
      <c r="AI76" s="187"/>
      <c r="AJ76" s="187"/>
      <c r="AK76" s="187"/>
      <c r="AL76" s="187"/>
      <c r="AM76" s="187"/>
      <c r="AN76" s="187"/>
      <c r="AO76" s="187"/>
      <c r="AP76" s="187"/>
      <c r="AQ76" s="187"/>
      <c r="AR76" s="187"/>
      <c r="AS76" s="187"/>
      <c r="AT76" s="187"/>
      <c r="AU76" s="187"/>
      <c r="AV76" s="187"/>
      <c r="AW76" s="187"/>
      <c r="AX76" s="187"/>
      <c r="AY76" s="187"/>
    </row>
    <row r="77" spans="1:57" x14ac:dyDescent="0.2">
      <c r="A77" s="108" t="s">
        <v>242</v>
      </c>
      <c r="B77" s="136">
        <v>85690800</v>
      </c>
      <c r="C77" s="102">
        <v>98819112</v>
      </c>
      <c r="D77" s="106">
        <f>SUM(B77:C77)</f>
        <v>184509912</v>
      </c>
      <c r="E77" s="98">
        <v>41481100</v>
      </c>
      <c r="F77" s="102">
        <v>92571684.25</v>
      </c>
      <c r="G77" s="106">
        <f>SUM(B77:F77)</f>
        <v>503072608.25</v>
      </c>
      <c r="H77" s="179">
        <f>AVERAGE(B77,E77,K77,N77,Q77,T77,W77,Z77,AC77,AF77)</f>
        <v>62876100</v>
      </c>
      <c r="I77" s="102">
        <v>87400390.5</v>
      </c>
      <c r="J77" s="113">
        <f t="shared" si="2"/>
        <v>150276490.5</v>
      </c>
      <c r="K77" s="136">
        <f>546254200-513011000</f>
        <v>33243200</v>
      </c>
      <c r="L77" s="106">
        <v>199504405</v>
      </c>
      <c r="M77" s="106">
        <f t="shared" si="3"/>
        <v>232747605</v>
      </c>
      <c r="N77" s="136">
        <v>46038100</v>
      </c>
      <c r="O77" s="106">
        <v>207424293</v>
      </c>
      <c r="P77" s="106">
        <f t="shared" si="4"/>
        <v>253462393</v>
      </c>
      <c r="Q77" s="98">
        <v>59464900</v>
      </c>
      <c r="R77" s="106">
        <v>264207532.5</v>
      </c>
      <c r="S77" s="106">
        <f t="shared" si="5"/>
        <v>323672432.5</v>
      </c>
      <c r="T77" s="136">
        <v>52590000</v>
      </c>
      <c r="U77" s="106">
        <v>269912452.5</v>
      </c>
      <c r="V77" s="106">
        <f t="shared" si="6"/>
        <v>322502452.5</v>
      </c>
      <c r="W77" s="106">
        <v>60745000</v>
      </c>
      <c r="X77" s="102">
        <v>243564568</v>
      </c>
      <c r="Y77" s="106">
        <f t="shared" si="7"/>
        <v>304309568</v>
      </c>
      <c r="Z77" s="106">
        <v>83818900</v>
      </c>
      <c r="AA77" s="102">
        <v>230410902.5</v>
      </c>
      <c r="AB77" s="106">
        <f t="shared" si="8"/>
        <v>314229802.5</v>
      </c>
      <c r="AC77" s="136">
        <v>83000000</v>
      </c>
      <c r="AD77" s="106">
        <v>251016171.25</v>
      </c>
      <c r="AE77" s="106">
        <f t="shared" si="9"/>
        <v>334016171.25</v>
      </c>
      <c r="AF77" s="98">
        <v>82689000</v>
      </c>
      <c r="AG77" s="106">
        <v>256093780</v>
      </c>
      <c r="AH77" s="106">
        <f t="shared" si="10"/>
        <v>338782780</v>
      </c>
      <c r="AI77" s="189">
        <f>AVERAGE(Z77,AC77,AF77)</f>
        <v>83169300</v>
      </c>
      <c r="AJ77" s="102">
        <v>224849301</v>
      </c>
      <c r="AK77" s="160">
        <f t="shared" si="11"/>
        <v>308018601</v>
      </c>
      <c r="AL77" s="102">
        <v>178277082</v>
      </c>
      <c r="AM77" s="102">
        <v>226327815</v>
      </c>
      <c r="AN77" s="102">
        <v>220112093</v>
      </c>
      <c r="AO77" s="102">
        <v>209989021</v>
      </c>
      <c r="AP77" s="105">
        <v>214001616</v>
      </c>
      <c r="AQ77" s="102">
        <v>207912000</v>
      </c>
      <c r="AR77" s="102">
        <v>135179458.66999999</v>
      </c>
      <c r="AS77" s="102">
        <v>141856881.12</v>
      </c>
      <c r="AT77" s="102">
        <v>178546018.19</v>
      </c>
      <c r="AU77" s="102">
        <v>358415312.73000008</v>
      </c>
      <c r="AV77" s="102">
        <v>265125433.56</v>
      </c>
      <c r="AW77" s="102">
        <v>417823786.56999999</v>
      </c>
      <c r="AX77" s="102">
        <v>331921316.97000003</v>
      </c>
      <c r="AY77" s="102">
        <v>206956601.75</v>
      </c>
      <c r="AZ77" s="102">
        <v>301800843.89999998</v>
      </c>
      <c r="BA77" s="102">
        <v>244059087</v>
      </c>
      <c r="BB77" s="102">
        <v>346997333.72000003</v>
      </c>
      <c r="BC77" s="102">
        <v>388577566.75999999</v>
      </c>
      <c r="BD77" s="102">
        <v>664276448</v>
      </c>
      <c r="BE77" s="106">
        <v>862107287.33000004</v>
      </c>
    </row>
    <row r="78" spans="1:57" x14ac:dyDescent="0.2">
      <c r="A78" s="166" t="s">
        <v>243</v>
      </c>
      <c r="B78" s="148">
        <v>4848400</v>
      </c>
      <c r="C78" s="102">
        <v>10479025.484999999</v>
      </c>
      <c r="D78" s="102">
        <f t="shared" si="0"/>
        <v>15327425.484999999</v>
      </c>
      <c r="E78" s="102">
        <v>5314800</v>
      </c>
      <c r="F78" s="102">
        <v>14763684.697500002</v>
      </c>
      <c r="G78" s="102">
        <f t="shared" si="1"/>
        <v>20078484.697500002</v>
      </c>
      <c r="H78" s="102">
        <v>5882000</v>
      </c>
      <c r="I78" s="102">
        <v>15830166.0175</v>
      </c>
      <c r="J78" s="102">
        <f t="shared" si="2"/>
        <v>21712166.017499998</v>
      </c>
      <c r="K78" s="106">
        <v>6477500</v>
      </c>
      <c r="L78" s="106">
        <v>17231737.914999995</v>
      </c>
      <c r="M78" s="106">
        <f t="shared" si="3"/>
        <v>23709237.914999995</v>
      </c>
      <c r="N78" s="106">
        <v>6408000</v>
      </c>
      <c r="O78" s="106">
        <v>19388364.012499996</v>
      </c>
      <c r="P78" s="106">
        <f t="shared" si="4"/>
        <v>25796364.012499996</v>
      </c>
      <c r="Q78" s="106">
        <v>7695400</v>
      </c>
      <c r="R78" s="106">
        <v>21363209.227499999</v>
      </c>
      <c r="S78" s="106">
        <f t="shared" si="5"/>
        <v>29058609.227499999</v>
      </c>
      <c r="T78" s="106">
        <v>8128000</v>
      </c>
      <c r="U78" s="106">
        <v>23870430.054999996</v>
      </c>
      <c r="V78" s="106">
        <f t="shared" si="6"/>
        <v>31998430.054999996</v>
      </c>
      <c r="W78" s="106">
        <v>9089500</v>
      </c>
      <c r="X78" s="102">
        <v>25473105.967329901</v>
      </c>
      <c r="Y78" s="102">
        <f t="shared" si="7"/>
        <v>34562605.967329904</v>
      </c>
      <c r="Z78" s="102">
        <v>9573200</v>
      </c>
      <c r="AA78" s="102">
        <v>26203820.215426914</v>
      </c>
      <c r="AB78" s="102">
        <f t="shared" si="8"/>
        <v>35777020.215426914</v>
      </c>
      <c r="AC78" s="136">
        <v>9668580</v>
      </c>
      <c r="AD78" s="106">
        <v>6586278.787661205</v>
      </c>
      <c r="AE78" s="106">
        <f t="shared" si="9"/>
        <v>16254858.787661206</v>
      </c>
      <c r="AF78" s="106">
        <v>9940241</v>
      </c>
      <c r="AG78" s="106">
        <v>28155183.641962491</v>
      </c>
      <c r="AH78" s="106">
        <f t="shared" si="10"/>
        <v>38095424.641962491</v>
      </c>
      <c r="AI78" s="136">
        <v>10200000</v>
      </c>
      <c r="AJ78" s="106">
        <v>29216762.172261886</v>
      </c>
      <c r="AK78" s="106">
        <f t="shared" si="11"/>
        <v>39416762.172261886</v>
      </c>
      <c r="AL78" s="102">
        <v>36786000</v>
      </c>
      <c r="AM78" s="102">
        <v>49550000</v>
      </c>
      <c r="AN78" s="105">
        <v>54271000</v>
      </c>
      <c r="AO78" s="105">
        <v>53970000</v>
      </c>
      <c r="AP78" s="105">
        <v>55373000</v>
      </c>
      <c r="AQ78" s="105">
        <v>59462000</v>
      </c>
      <c r="AR78" s="106">
        <v>58021000</v>
      </c>
      <c r="AS78" s="106">
        <v>59418695</v>
      </c>
      <c r="AT78" s="106">
        <v>61592518</v>
      </c>
      <c r="AU78" s="106">
        <v>62681000</v>
      </c>
      <c r="AV78" s="106">
        <v>65439000</v>
      </c>
      <c r="AW78" s="107">
        <v>64492000</v>
      </c>
      <c r="AX78" s="107">
        <v>66638000</v>
      </c>
      <c r="AY78" s="107">
        <v>65130000</v>
      </c>
      <c r="AZ78" s="107">
        <v>60699000</v>
      </c>
      <c r="BA78" s="107">
        <v>61407000</v>
      </c>
      <c r="BB78" s="106">
        <v>63845000</v>
      </c>
      <c r="BC78" s="106">
        <v>64324000</v>
      </c>
      <c r="BD78" s="106">
        <v>65848000</v>
      </c>
      <c r="BE78" s="106">
        <v>69564000</v>
      </c>
    </row>
    <row r="79" spans="1:57" x14ac:dyDescent="0.2">
      <c r="A79" s="166" t="s">
        <v>244</v>
      </c>
      <c r="B79" s="148">
        <v>6509200</v>
      </c>
      <c r="C79" s="102">
        <v>15144750</v>
      </c>
      <c r="D79" s="102">
        <f t="shared" si="0"/>
        <v>21653950</v>
      </c>
      <c r="E79" s="102">
        <v>6324100</v>
      </c>
      <c r="F79" s="102">
        <v>55341750</v>
      </c>
      <c r="G79" s="102">
        <f t="shared" si="1"/>
        <v>61665850</v>
      </c>
      <c r="H79" s="102">
        <v>12598700</v>
      </c>
      <c r="I79" s="102">
        <v>48722000</v>
      </c>
      <c r="J79" s="102">
        <f t="shared" si="2"/>
        <v>61320700</v>
      </c>
      <c r="K79" s="102">
        <v>13950500</v>
      </c>
      <c r="L79" s="102">
        <v>30534250</v>
      </c>
      <c r="M79" s="102">
        <f t="shared" si="3"/>
        <v>44484750</v>
      </c>
      <c r="N79" s="102">
        <v>11425000</v>
      </c>
      <c r="O79" s="102">
        <v>25864000</v>
      </c>
      <c r="P79" s="102">
        <f t="shared" si="4"/>
        <v>37289000</v>
      </c>
      <c r="Q79" s="102">
        <v>8985700</v>
      </c>
      <c r="R79" s="102">
        <v>17193500</v>
      </c>
      <c r="S79" s="102">
        <f t="shared" si="5"/>
        <v>26179200</v>
      </c>
      <c r="T79" s="102">
        <v>8320800</v>
      </c>
      <c r="U79" s="102">
        <v>26369750</v>
      </c>
      <c r="V79" s="102">
        <f t="shared" si="6"/>
        <v>34690550</v>
      </c>
      <c r="W79" s="102">
        <v>16358800</v>
      </c>
      <c r="X79" s="102">
        <v>40534250</v>
      </c>
      <c r="Y79" s="102">
        <f t="shared" si="7"/>
        <v>56893050</v>
      </c>
      <c r="Z79" s="102">
        <v>12990700</v>
      </c>
      <c r="AA79" s="102">
        <v>56253000</v>
      </c>
      <c r="AB79" s="102">
        <f t="shared" si="8"/>
        <v>69243700</v>
      </c>
      <c r="AC79" s="102">
        <v>13200000</v>
      </c>
      <c r="AD79" s="102">
        <v>15090750</v>
      </c>
      <c r="AE79" s="102">
        <f t="shared" si="9"/>
        <v>28290750</v>
      </c>
      <c r="AF79" s="102">
        <v>13881000</v>
      </c>
      <c r="AG79" s="102">
        <v>48919000</v>
      </c>
      <c r="AH79" s="102">
        <f t="shared" si="10"/>
        <v>62800000</v>
      </c>
      <c r="AI79" s="136">
        <v>23500000</v>
      </c>
      <c r="AJ79" s="106">
        <v>71039000</v>
      </c>
      <c r="AK79" s="106">
        <f t="shared" si="11"/>
        <v>94539000</v>
      </c>
      <c r="AL79" s="106">
        <v>105700000</v>
      </c>
      <c r="AM79" s="106">
        <v>76600000</v>
      </c>
      <c r="AN79" s="190">
        <v>40000000</v>
      </c>
      <c r="AO79" s="190">
        <v>57000000</v>
      </c>
      <c r="AP79" s="190">
        <v>42000000</v>
      </c>
      <c r="AQ79" s="190">
        <v>63000000</v>
      </c>
      <c r="AR79" s="191">
        <v>56000000</v>
      </c>
      <c r="AS79" s="191">
        <v>40000000</v>
      </c>
      <c r="AT79" s="191">
        <v>50000000</v>
      </c>
      <c r="AU79" s="191">
        <v>36838000</v>
      </c>
      <c r="AV79" s="192">
        <v>20322000</v>
      </c>
      <c r="AW79" s="192">
        <v>31300000</v>
      </c>
      <c r="AX79" s="192">
        <v>28767000</v>
      </c>
      <c r="AY79" s="192">
        <v>25035000</v>
      </c>
      <c r="AZ79" s="107">
        <v>25197000</v>
      </c>
      <c r="BA79" s="107">
        <v>24091000</v>
      </c>
      <c r="BB79" s="106">
        <v>25815000</v>
      </c>
      <c r="BC79" s="106">
        <v>24006000</v>
      </c>
      <c r="BD79" s="106">
        <v>15684000</v>
      </c>
      <c r="BE79" s="106">
        <v>4398000</v>
      </c>
    </row>
    <row r="80" spans="1:57" ht="34.5" thickBot="1" x14ac:dyDescent="0.25">
      <c r="A80" s="114" t="s">
        <v>245</v>
      </c>
      <c r="B80" s="193">
        <v>0.1323</v>
      </c>
      <c r="C80" s="106"/>
      <c r="D80" s="193">
        <f>AVERAGE(B80:C80)</f>
        <v>0.1323</v>
      </c>
      <c r="E80" s="193">
        <v>0.12740000000000001</v>
      </c>
      <c r="F80" s="194">
        <v>0.12655</v>
      </c>
      <c r="G80" s="193">
        <f>AVERAGE(E80:F80)</f>
        <v>0.126975</v>
      </c>
      <c r="H80" s="193">
        <v>0.1227</v>
      </c>
      <c r="I80" s="194">
        <v>0.1258</v>
      </c>
      <c r="J80" s="193">
        <f>AVERAGE(H80:I80)</f>
        <v>0.12425</v>
      </c>
      <c r="K80" s="193">
        <v>0.1212</v>
      </c>
      <c r="L80" s="194">
        <v>0.121</v>
      </c>
      <c r="M80" s="193">
        <f>AVERAGE(K80:L80)</f>
        <v>0.1211</v>
      </c>
      <c r="N80" s="193">
        <v>0.1212</v>
      </c>
      <c r="O80" s="194">
        <v>0.12</v>
      </c>
      <c r="P80" s="193">
        <f>AVERAGE(N80:O80)</f>
        <v>0.1206</v>
      </c>
      <c r="Q80" s="193">
        <v>0.1212</v>
      </c>
      <c r="R80" s="194">
        <v>0.11899999999999999</v>
      </c>
      <c r="S80" s="193">
        <f>AVERAGE(Q80:R80)</f>
        <v>0.1201</v>
      </c>
      <c r="T80" s="193">
        <v>0.12189999999999999</v>
      </c>
      <c r="U80" s="194">
        <v>0.1183</v>
      </c>
      <c r="V80" s="193">
        <f>AVERAGE(T80:U80)</f>
        <v>0.1201</v>
      </c>
      <c r="W80" s="193">
        <v>0.11840000000000001</v>
      </c>
      <c r="X80" s="194">
        <v>0.114375</v>
      </c>
      <c r="Y80" s="193">
        <f>AVERAGE(W80:X80)</f>
        <v>0.1163875</v>
      </c>
      <c r="Z80" s="193">
        <v>0.1104</v>
      </c>
      <c r="AA80" s="195">
        <v>0.11055000000000001</v>
      </c>
      <c r="AB80" s="196">
        <f>AVERAGE(Z80:AA80)</f>
        <v>0.110475</v>
      </c>
      <c r="AC80" s="193">
        <v>0.1081</v>
      </c>
      <c r="AD80" s="195">
        <v>0.106475</v>
      </c>
      <c r="AE80" s="196">
        <f>AVERAGE(AC80:AD80)</f>
        <v>0.10728750000000001</v>
      </c>
      <c r="AF80" s="193">
        <v>0.1076</v>
      </c>
      <c r="AG80" s="195">
        <v>0.1048</v>
      </c>
      <c r="AH80" s="196">
        <f>AVERAGE(AF80:AG80)</f>
        <v>0.1062</v>
      </c>
      <c r="AI80" s="193">
        <v>0.1076</v>
      </c>
      <c r="AJ80" s="195">
        <v>0.1048</v>
      </c>
      <c r="AK80" s="196">
        <f>AVERAGE(AI80:AJ80)</f>
        <v>0.1062</v>
      </c>
      <c r="AL80" s="197" t="s">
        <v>246</v>
      </c>
      <c r="AM80" s="197">
        <v>9.5600000000000004E-2</v>
      </c>
      <c r="AN80" s="198">
        <v>9.3299999999999994E-2</v>
      </c>
      <c r="AO80" s="198">
        <v>9.3299999999999994E-2</v>
      </c>
      <c r="AP80" s="198">
        <v>9.3299999999999994E-2</v>
      </c>
      <c r="AQ80" s="199">
        <v>9.3299999999999994E-2</v>
      </c>
      <c r="AR80" s="198">
        <v>9.9500000000000005E-2</v>
      </c>
      <c r="AS80" s="198">
        <v>9.6199999999999994E-2</v>
      </c>
      <c r="AT80" s="198">
        <v>9.6299999999999997E-2</v>
      </c>
      <c r="AU80" s="198">
        <v>8.8900000000000007E-2</v>
      </c>
      <c r="AV80" s="198">
        <v>8.5400000000000004E-2</v>
      </c>
      <c r="AW80" s="198">
        <v>8.5400000000000004E-2</v>
      </c>
      <c r="AX80" s="198">
        <v>8.5400000000000004E-2</v>
      </c>
      <c r="AY80" s="198">
        <v>8.5400000000000004E-2</v>
      </c>
      <c r="AZ80" s="198">
        <v>8.5400000000000004E-2</v>
      </c>
      <c r="BA80" s="198">
        <v>8.5400000000000004E-2</v>
      </c>
      <c r="BB80" s="198">
        <v>8.9300000000000004E-2</v>
      </c>
      <c r="BC80" s="198">
        <v>8.9300000000000004E-2</v>
      </c>
      <c r="BD80" s="198">
        <v>8.9300000000000004E-2</v>
      </c>
      <c r="BE80" s="198">
        <v>8.9300000000000004E-2</v>
      </c>
    </row>
    <row r="81" spans="1:57" ht="13.5" thickBot="1" x14ac:dyDescent="0.25">
      <c r="A81" s="200" t="s">
        <v>247</v>
      </c>
      <c r="B81" s="201">
        <v>33679300</v>
      </c>
      <c r="C81" s="201">
        <v>105094500</v>
      </c>
      <c r="D81" s="201">
        <f>SUM(B81:C81)</f>
        <v>138773800</v>
      </c>
      <c r="E81" s="201">
        <v>35468500</v>
      </c>
      <c r="F81" s="201">
        <v>118449750</v>
      </c>
      <c r="G81" s="201">
        <f>SUM(E81:F81)</f>
        <v>153918250</v>
      </c>
      <c r="H81" s="201">
        <v>38313200</v>
      </c>
      <c r="I81" s="201">
        <v>128423500</v>
      </c>
      <c r="J81" s="201">
        <f>SUM(H81:I81)</f>
        <v>166736700</v>
      </c>
      <c r="K81" s="201">
        <v>44226100</v>
      </c>
      <c r="L81" s="201">
        <v>138054750</v>
      </c>
      <c r="M81" s="201">
        <f>SUM(K81:L81)</f>
        <v>182280850</v>
      </c>
      <c r="N81" s="201">
        <v>44289900</v>
      </c>
      <c r="O81" s="201">
        <v>148396750</v>
      </c>
      <c r="P81" s="201">
        <f>SUM(N81:O81)</f>
        <v>192686650</v>
      </c>
      <c r="Q81" s="201">
        <v>47207200</v>
      </c>
      <c r="R81" s="201">
        <v>154502250</v>
      </c>
      <c r="S81" s="201">
        <f>SUM(Q81:R81)</f>
        <v>201709450</v>
      </c>
      <c r="T81" s="201">
        <v>52605200</v>
      </c>
      <c r="U81" s="201">
        <v>167544000</v>
      </c>
      <c r="V81" s="201">
        <f>SUM(T81:U81)</f>
        <v>220149200</v>
      </c>
      <c r="W81" s="201">
        <v>57933600</v>
      </c>
      <c r="X81" s="201">
        <v>183439750</v>
      </c>
      <c r="Y81" s="201">
        <f>SUM(W81:X81)</f>
        <v>241373350</v>
      </c>
      <c r="Z81" s="201">
        <v>64003800</v>
      </c>
      <c r="AA81" s="119">
        <v>197773000</v>
      </c>
      <c r="AB81" s="201">
        <f>SUM(Z81:AA81)</f>
        <v>261776800</v>
      </c>
      <c r="AC81" s="201">
        <v>65597294</v>
      </c>
      <c r="AD81" s="119">
        <v>204389750</v>
      </c>
      <c r="AE81" s="201">
        <f>SUM(AC81:AD81)</f>
        <v>269987044</v>
      </c>
      <c r="AF81" s="201">
        <v>68790000</v>
      </c>
      <c r="AG81" s="119">
        <v>205445000</v>
      </c>
      <c r="AH81" s="201">
        <f>SUM(AF81:AG81)</f>
        <v>274235000</v>
      </c>
      <c r="AI81" s="201">
        <v>73840921</v>
      </c>
      <c r="AJ81" s="119">
        <v>216394000</v>
      </c>
      <c r="AK81" s="201">
        <f>SUM(AI81:AJ81)</f>
        <v>290234921</v>
      </c>
      <c r="AL81" s="116">
        <v>309943000</v>
      </c>
      <c r="AM81" s="116">
        <v>293037000</v>
      </c>
      <c r="AN81" s="202"/>
      <c r="AO81" s="202"/>
      <c r="AP81" s="202"/>
      <c r="AQ81" s="202"/>
      <c r="AR81" s="202"/>
      <c r="AS81" s="202"/>
      <c r="AT81" s="202"/>
      <c r="AU81" s="202"/>
      <c r="AV81" s="202"/>
      <c r="AW81" s="202"/>
      <c r="AX81" s="202"/>
      <c r="AY81" s="202"/>
      <c r="AZ81" s="202"/>
      <c r="BA81" s="202"/>
      <c r="BB81" s="202"/>
      <c r="BC81" s="202"/>
      <c r="BD81" s="202"/>
      <c r="BE81" s="202"/>
    </row>
    <row r="82" spans="1:57" ht="13.5" thickBot="1" x14ac:dyDescent="0.25">
      <c r="A82" s="200" t="s">
        <v>248</v>
      </c>
      <c r="B82" s="201">
        <v>33679300</v>
      </c>
      <c r="C82" s="201">
        <v>105094500</v>
      </c>
      <c r="D82" s="201">
        <f t="shared" si="0"/>
        <v>138773800</v>
      </c>
      <c r="E82" s="201">
        <v>35468500</v>
      </c>
      <c r="F82" s="201">
        <v>118449750</v>
      </c>
      <c r="G82" s="201">
        <f t="shared" si="1"/>
        <v>153918250</v>
      </c>
      <c r="H82" s="201">
        <v>38313200</v>
      </c>
      <c r="I82" s="201">
        <v>128423500</v>
      </c>
      <c r="J82" s="201">
        <f t="shared" si="2"/>
        <v>166736700</v>
      </c>
      <c r="K82" s="201">
        <v>44226100</v>
      </c>
      <c r="L82" s="201">
        <v>138054750</v>
      </c>
      <c r="M82" s="201">
        <f t="shared" si="3"/>
        <v>182280850</v>
      </c>
      <c r="N82" s="201">
        <v>44289900</v>
      </c>
      <c r="O82" s="201">
        <v>148396750</v>
      </c>
      <c r="P82" s="201">
        <f t="shared" si="4"/>
        <v>192686650</v>
      </c>
      <c r="Q82" s="201">
        <v>47207200</v>
      </c>
      <c r="R82" s="201">
        <v>154502250</v>
      </c>
      <c r="S82" s="201">
        <f t="shared" si="5"/>
        <v>201709450</v>
      </c>
      <c r="T82" s="201">
        <v>52605200</v>
      </c>
      <c r="U82" s="201">
        <v>167544000</v>
      </c>
      <c r="V82" s="201">
        <f t="shared" si="6"/>
        <v>220149200</v>
      </c>
      <c r="W82" s="201">
        <v>57933600</v>
      </c>
      <c r="X82" s="201">
        <v>183439750</v>
      </c>
      <c r="Y82" s="201">
        <f t="shared" si="7"/>
        <v>241373350</v>
      </c>
      <c r="Z82" s="201">
        <v>64003800</v>
      </c>
      <c r="AA82" s="119">
        <v>197773000</v>
      </c>
      <c r="AB82" s="201">
        <f t="shared" si="8"/>
        <v>261776800</v>
      </c>
      <c r="AC82" s="201">
        <v>65597294</v>
      </c>
      <c r="AD82" s="119">
        <v>204389750</v>
      </c>
      <c r="AE82" s="201">
        <f t="shared" si="9"/>
        <v>269987044</v>
      </c>
      <c r="AF82" s="201">
        <v>68790000</v>
      </c>
      <c r="AG82" s="119">
        <v>205445000</v>
      </c>
      <c r="AH82" s="201">
        <f t="shared" si="10"/>
        <v>274235000</v>
      </c>
      <c r="AI82" s="201">
        <v>73840921</v>
      </c>
      <c r="AJ82" s="119">
        <v>216394000</v>
      </c>
      <c r="AK82" s="201">
        <f t="shared" si="11"/>
        <v>290234921</v>
      </c>
      <c r="AL82" s="116">
        <v>309943000</v>
      </c>
      <c r="AM82" s="116">
        <v>293037000</v>
      </c>
      <c r="AN82" s="202">
        <v>267455400</v>
      </c>
      <c r="AO82" s="202">
        <v>270560800</v>
      </c>
      <c r="AP82" s="202">
        <v>276535800</v>
      </c>
      <c r="AQ82" s="202">
        <v>301653300</v>
      </c>
      <c r="AR82" s="202">
        <v>281787557.99000001</v>
      </c>
      <c r="AS82" s="202">
        <v>298622621.22000003</v>
      </c>
      <c r="AT82" s="202">
        <v>303505898.32999998</v>
      </c>
      <c r="AU82" s="202">
        <v>310755899</v>
      </c>
      <c r="AV82" s="116">
        <v>327429352</v>
      </c>
      <c r="AW82" s="116">
        <v>335115276</v>
      </c>
      <c r="AX82" s="116">
        <v>335484023</v>
      </c>
      <c r="AY82" s="116">
        <v>363409519</v>
      </c>
      <c r="AZ82" s="116">
        <v>378370930</v>
      </c>
      <c r="BA82" s="116">
        <v>380113853</v>
      </c>
      <c r="BB82" s="116">
        <v>397275053</v>
      </c>
      <c r="BC82" s="116">
        <v>396931727</v>
      </c>
      <c r="BD82" s="116">
        <v>399069687</v>
      </c>
      <c r="BE82" s="201">
        <v>414495501</v>
      </c>
    </row>
    <row r="83" spans="1:57" ht="13.5" thickBot="1" x14ac:dyDescent="0.25">
      <c r="A83" s="200" t="s">
        <v>249</v>
      </c>
      <c r="B83" s="106"/>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c r="AL83" s="102"/>
      <c r="AM83" s="102"/>
      <c r="AN83" s="202"/>
      <c r="AO83" s="202"/>
      <c r="AP83" s="202"/>
      <c r="AQ83" s="116"/>
      <c r="AR83" s="116"/>
      <c r="AS83" s="116"/>
      <c r="AT83" s="116"/>
      <c r="AU83" s="116"/>
      <c r="AV83" s="116"/>
      <c r="AW83" s="116"/>
      <c r="AX83" s="116"/>
      <c r="AY83" s="116"/>
      <c r="AZ83" s="116"/>
      <c r="BA83" s="116"/>
      <c r="BB83" s="116"/>
      <c r="BC83" s="116"/>
      <c r="BD83" s="116"/>
      <c r="BE83" s="203"/>
    </row>
    <row r="84" spans="1:57" ht="13.5" thickBot="1" x14ac:dyDescent="0.25">
      <c r="A84" s="200" t="s">
        <v>250</v>
      </c>
      <c r="B84" s="106"/>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c r="AA84" s="106"/>
      <c r="AB84" s="106"/>
      <c r="AC84" s="106"/>
      <c r="AD84" s="106"/>
      <c r="AE84" s="106"/>
      <c r="AF84" s="106"/>
      <c r="AG84" s="106"/>
      <c r="AH84" s="106"/>
      <c r="AI84" s="106"/>
      <c r="AJ84" s="106"/>
      <c r="AK84" s="106"/>
      <c r="AL84" s="102"/>
      <c r="AM84" s="102"/>
      <c r="AN84" s="202"/>
      <c r="AO84" s="202"/>
      <c r="AP84" s="202"/>
      <c r="AQ84" s="116"/>
      <c r="AR84" s="116"/>
      <c r="AS84" s="116"/>
      <c r="AT84" s="116"/>
      <c r="AU84" s="116"/>
      <c r="AV84" s="116"/>
      <c r="AW84" s="116"/>
      <c r="AX84" s="116"/>
      <c r="AY84" s="116"/>
      <c r="AZ84" s="116"/>
      <c r="BA84" s="116"/>
      <c r="BB84" s="116"/>
      <c r="BC84" s="116"/>
      <c r="BD84" s="116"/>
      <c r="BE84" s="204"/>
    </row>
    <row r="85" spans="1:57" s="207" customFormat="1" ht="13.5" thickBot="1" x14ac:dyDescent="0.25">
      <c r="A85" s="205" t="s">
        <v>251</v>
      </c>
      <c r="B85" s="106"/>
      <c r="C85" s="106"/>
      <c r="D85" s="106"/>
      <c r="E85" s="106"/>
      <c r="F85" s="106"/>
      <c r="G85" s="106"/>
      <c r="H85" s="106"/>
      <c r="I85" s="106"/>
      <c r="J85" s="106"/>
      <c r="K85" s="106"/>
      <c r="L85" s="106"/>
      <c r="M85" s="106"/>
      <c r="N85" s="106"/>
      <c r="O85" s="106"/>
      <c r="P85" s="106"/>
      <c r="Q85" s="106"/>
      <c r="R85" s="106"/>
      <c r="S85" s="106"/>
      <c r="T85" s="106"/>
      <c r="U85" s="106"/>
      <c r="V85" s="106"/>
      <c r="W85" s="106"/>
      <c r="X85" s="106"/>
      <c r="Y85" s="106"/>
      <c r="Z85" s="106"/>
      <c r="AA85" s="106"/>
      <c r="AB85" s="106"/>
      <c r="AC85" s="106"/>
      <c r="AD85" s="106"/>
      <c r="AE85" s="106"/>
      <c r="AF85" s="106"/>
      <c r="AG85" s="106"/>
      <c r="AH85" s="106"/>
      <c r="AI85" s="106"/>
      <c r="AJ85" s="106"/>
      <c r="AK85" s="106"/>
      <c r="AL85" s="102"/>
      <c r="AM85" s="102"/>
      <c r="AN85" s="116"/>
      <c r="AO85" s="116"/>
      <c r="AP85" s="116"/>
      <c r="AQ85" s="116"/>
      <c r="AR85" s="119">
        <v>35891593</v>
      </c>
      <c r="AS85" s="119">
        <v>34361527.380000003</v>
      </c>
      <c r="AT85" s="119">
        <v>38941262.479999997</v>
      </c>
      <c r="AU85" s="119">
        <v>32563599</v>
      </c>
      <c r="AV85" s="119">
        <v>46046452.170000002</v>
      </c>
      <c r="AW85" s="119">
        <v>44957330</v>
      </c>
      <c r="AX85" s="119">
        <v>38612532</v>
      </c>
      <c r="AY85" s="119">
        <v>38384504</v>
      </c>
      <c r="AZ85" s="119">
        <v>31096722</v>
      </c>
      <c r="BA85" s="119">
        <v>22924948</v>
      </c>
      <c r="BB85" s="206">
        <v>27641924.899999999</v>
      </c>
      <c r="BC85" s="206">
        <v>19650693.239999998</v>
      </c>
      <c r="BD85" s="206">
        <v>22745169.050000001</v>
      </c>
      <c r="BE85" s="206">
        <v>13280418</v>
      </c>
    </row>
    <row r="86" spans="1:57" s="207" customFormat="1" ht="13.5" thickBot="1" x14ac:dyDescent="0.25">
      <c r="A86" s="205"/>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c r="AA86" s="106"/>
      <c r="AB86" s="106"/>
      <c r="AC86" s="106"/>
      <c r="AD86" s="106"/>
      <c r="AE86" s="106"/>
      <c r="AF86" s="106"/>
      <c r="AG86" s="106"/>
      <c r="AH86" s="106"/>
      <c r="AI86" s="106"/>
      <c r="AJ86" s="106"/>
      <c r="AK86" s="106"/>
      <c r="AL86" s="102"/>
      <c r="AM86" s="102"/>
      <c r="AN86" s="116"/>
      <c r="AO86" s="116"/>
      <c r="AP86" s="116"/>
      <c r="AQ86" s="116"/>
      <c r="AR86" s="119"/>
      <c r="AS86" s="119"/>
      <c r="AT86" s="119"/>
      <c r="AU86" s="119"/>
      <c r="AV86" s="119"/>
      <c r="AW86" s="119"/>
      <c r="AX86" s="119"/>
      <c r="AY86" s="119"/>
      <c r="AZ86" s="119"/>
      <c r="BA86" s="119"/>
      <c r="BB86" s="119"/>
      <c r="BC86" s="119"/>
      <c r="BD86" s="119"/>
      <c r="BE86" s="208"/>
    </row>
    <row r="87" spans="1:57" s="207" customFormat="1" ht="13.5" thickBot="1" x14ac:dyDescent="0.25">
      <c r="A87" s="205"/>
      <c r="B87" s="106"/>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c r="AA87" s="106"/>
      <c r="AB87" s="106"/>
      <c r="AC87" s="106"/>
      <c r="AD87" s="106"/>
      <c r="AE87" s="106"/>
      <c r="AF87" s="106"/>
      <c r="AG87" s="106"/>
      <c r="AH87" s="106"/>
      <c r="AI87" s="106"/>
      <c r="AJ87" s="106"/>
      <c r="AK87" s="106"/>
      <c r="AL87" s="102"/>
      <c r="AM87" s="102"/>
      <c r="AN87" s="116"/>
      <c r="AO87" s="116"/>
      <c r="AP87" s="116"/>
      <c r="AQ87" s="116"/>
      <c r="AR87" s="119"/>
      <c r="AS87" s="119"/>
      <c r="AT87" s="119"/>
      <c r="AU87" s="119"/>
      <c r="AV87" s="119"/>
      <c r="AW87" s="119"/>
      <c r="AX87" s="119"/>
      <c r="AY87" s="119"/>
      <c r="AZ87" s="119"/>
      <c r="BA87" s="119"/>
      <c r="BB87" s="119"/>
      <c r="BC87" s="119"/>
      <c r="BD87" s="119"/>
    </row>
    <row r="88" spans="1:57" ht="13.5" thickBot="1" x14ac:dyDescent="0.25">
      <c r="A88" s="209" t="s">
        <v>252</v>
      </c>
      <c r="B88" s="210"/>
      <c r="C88" s="210"/>
      <c r="D88" s="210"/>
      <c r="E88" s="210"/>
      <c r="F88" s="210"/>
      <c r="G88" s="210"/>
      <c r="H88" s="210"/>
      <c r="I88" s="210"/>
      <c r="J88" s="210"/>
      <c r="K88" s="210"/>
      <c r="L88" s="210"/>
      <c r="M88" s="210"/>
      <c r="N88" s="210"/>
      <c r="O88" s="210"/>
      <c r="P88" s="210"/>
      <c r="Q88" s="210"/>
      <c r="R88" s="210"/>
      <c r="S88" s="210"/>
      <c r="T88" s="210"/>
      <c r="U88" s="210"/>
      <c r="V88" s="210"/>
      <c r="W88" s="210"/>
      <c r="X88" s="210"/>
      <c r="Y88" s="210"/>
      <c r="Z88" s="210"/>
      <c r="AA88" s="210"/>
      <c r="AB88" s="210"/>
      <c r="AC88" s="210"/>
      <c r="AD88" s="210"/>
      <c r="AE88" s="210"/>
      <c r="AF88" s="210"/>
      <c r="AG88" s="210"/>
      <c r="AH88" s="210"/>
      <c r="AI88" s="210"/>
      <c r="AJ88" s="210"/>
      <c r="AK88" s="210"/>
      <c r="AL88" s="211"/>
      <c r="AM88" s="211"/>
      <c r="AN88" s="212"/>
      <c r="AO88" s="213">
        <v>97</v>
      </c>
      <c r="AP88" s="213">
        <v>81</v>
      </c>
      <c r="AQ88" s="213">
        <v>95</v>
      </c>
      <c r="AR88" s="213">
        <v>108</v>
      </c>
      <c r="AS88" s="213">
        <v>119</v>
      </c>
      <c r="AT88" s="213">
        <v>104</v>
      </c>
      <c r="AU88" s="213">
        <v>75</v>
      </c>
      <c r="AV88" s="213">
        <v>129</v>
      </c>
      <c r="AW88" s="213">
        <v>132</v>
      </c>
      <c r="AX88" s="213">
        <v>123</v>
      </c>
      <c r="AY88" s="213">
        <v>152</v>
      </c>
      <c r="AZ88" s="213">
        <v>147</v>
      </c>
      <c r="BA88" s="213">
        <v>119</v>
      </c>
      <c r="BB88" s="214">
        <v>136</v>
      </c>
      <c r="BC88" s="214">
        <v>99</v>
      </c>
      <c r="BD88" s="214">
        <v>117</v>
      </c>
      <c r="BE88" s="214">
        <v>73</v>
      </c>
    </row>
    <row r="89" spans="1:57" ht="13.5" thickBot="1" x14ac:dyDescent="0.25">
      <c r="A89" s="209"/>
      <c r="B89" s="210"/>
      <c r="C89" s="210"/>
      <c r="D89" s="210"/>
      <c r="E89" s="210"/>
      <c r="F89" s="210"/>
      <c r="G89" s="210"/>
      <c r="H89" s="210"/>
      <c r="I89" s="210"/>
      <c r="J89" s="210"/>
      <c r="K89" s="210"/>
      <c r="L89" s="210"/>
      <c r="M89" s="210"/>
      <c r="N89" s="210"/>
      <c r="O89" s="210"/>
      <c r="P89" s="210"/>
      <c r="Q89" s="210"/>
      <c r="R89" s="210"/>
      <c r="S89" s="210"/>
      <c r="T89" s="210"/>
      <c r="U89" s="210"/>
      <c r="V89" s="210"/>
      <c r="W89" s="210"/>
      <c r="X89" s="210"/>
      <c r="Y89" s="210"/>
      <c r="Z89" s="210"/>
      <c r="AA89" s="210"/>
      <c r="AB89" s="210"/>
      <c r="AC89" s="210"/>
      <c r="AD89" s="210"/>
      <c r="AE89" s="210"/>
      <c r="AF89" s="210"/>
      <c r="AG89" s="210"/>
      <c r="AH89" s="210"/>
      <c r="AI89" s="210"/>
      <c r="AJ89" s="210"/>
      <c r="AK89" s="210"/>
      <c r="AL89" s="211"/>
      <c r="AM89" s="211"/>
      <c r="AN89" s="211"/>
      <c r="AO89" s="130"/>
      <c r="AP89" s="130"/>
      <c r="AQ89" s="130"/>
      <c r="AR89" s="130"/>
      <c r="AS89" s="130"/>
      <c r="AT89" s="130"/>
      <c r="AU89" s="130"/>
      <c r="AV89" s="130"/>
      <c r="AW89" s="130"/>
      <c r="AX89" s="130"/>
      <c r="AY89" s="130"/>
    </row>
    <row r="90" spans="1:57" ht="13.5" thickBot="1" x14ac:dyDescent="0.25">
      <c r="A90" s="209"/>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c r="AA90" s="106"/>
      <c r="AB90" s="106"/>
      <c r="AC90" s="106"/>
      <c r="AD90" s="106"/>
      <c r="AE90" s="106"/>
      <c r="AF90" s="106"/>
      <c r="AG90" s="106"/>
      <c r="AH90" s="106"/>
      <c r="AI90" s="106"/>
      <c r="AJ90" s="106"/>
      <c r="AK90" s="106"/>
      <c r="AL90" s="102"/>
      <c r="AM90" s="102"/>
      <c r="AN90" s="102"/>
      <c r="AO90" s="102"/>
      <c r="AP90" s="102"/>
      <c r="AQ90" s="102"/>
      <c r="AR90" s="106"/>
      <c r="AS90" s="106"/>
      <c r="AT90" s="106"/>
      <c r="AU90" s="102"/>
      <c r="AV90" s="102"/>
      <c r="AW90" s="102"/>
      <c r="AX90" s="102"/>
      <c r="AY90" s="102"/>
    </row>
    <row r="91" spans="1:57" x14ac:dyDescent="0.2">
      <c r="A91" s="215"/>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2"/>
      <c r="AM91" s="102"/>
      <c r="AN91" s="102"/>
      <c r="AO91" s="102"/>
      <c r="AP91" s="102"/>
      <c r="AQ91" s="102"/>
      <c r="AR91" s="106"/>
      <c r="AS91" s="106"/>
      <c r="AT91" s="106"/>
      <c r="AU91" s="102"/>
      <c r="AV91" s="102"/>
      <c r="AW91" s="102"/>
      <c r="AX91" s="102"/>
      <c r="AY91" s="102"/>
    </row>
    <row r="93" spans="1:57" x14ac:dyDescent="0.2">
      <c r="A93" s="216" t="s">
        <v>253</v>
      </c>
      <c r="B93" s="217"/>
      <c r="C93" s="218">
        <f t="shared" ref="C93:AQ93" si="36">C82-C34</f>
        <v>96562116.117785603</v>
      </c>
      <c r="D93" s="219">
        <f t="shared" si="36"/>
        <v>130241416.1177856</v>
      </c>
      <c r="E93" s="217">
        <f t="shared" si="36"/>
        <v>35468500</v>
      </c>
      <c r="F93" s="217">
        <f t="shared" si="36"/>
        <v>43915695.95703876</v>
      </c>
      <c r="G93" s="219">
        <f t="shared" si="36"/>
        <v>79384195.95703876</v>
      </c>
      <c r="H93" s="217">
        <f t="shared" si="36"/>
        <v>13819607.774322104</v>
      </c>
      <c r="I93" s="217">
        <f t="shared" si="36"/>
        <v>46706336.893155098</v>
      </c>
      <c r="J93" s="217">
        <f t="shared" si="36"/>
        <v>60525944.66747719</v>
      </c>
      <c r="K93" s="217">
        <f t="shared" si="36"/>
        <v>16025700</v>
      </c>
      <c r="L93" s="217">
        <f t="shared" si="36"/>
        <v>46480986.702687606</v>
      </c>
      <c r="M93" s="217">
        <f t="shared" si="36"/>
        <v>62506686.702687591</v>
      </c>
      <c r="N93" s="217">
        <f t="shared" si="36"/>
        <v>15126500</v>
      </c>
      <c r="O93" s="217">
        <f t="shared" si="36"/>
        <v>47208730.562500015</v>
      </c>
      <c r="P93" s="217">
        <f t="shared" si="36"/>
        <v>62335230.562500015</v>
      </c>
      <c r="Q93" s="217">
        <f t="shared" si="36"/>
        <v>14050100</v>
      </c>
      <c r="R93" s="217">
        <f t="shared" si="36"/>
        <v>42277282.8125</v>
      </c>
      <c r="S93" s="217">
        <f t="shared" si="36"/>
        <v>56327382.8125</v>
      </c>
      <c r="T93" s="217">
        <f t="shared" si="36"/>
        <v>16070200</v>
      </c>
      <c r="U93" s="217">
        <f t="shared" si="36"/>
        <v>43046819.124999985</v>
      </c>
      <c r="V93" s="217">
        <f t="shared" si="36"/>
        <v>59117019.125</v>
      </c>
      <c r="W93" s="217">
        <f t="shared" si="36"/>
        <v>16899100</v>
      </c>
      <c r="X93" s="217">
        <f t="shared" si="36"/>
        <v>44970721.875</v>
      </c>
      <c r="Y93" s="217">
        <f t="shared" si="36"/>
        <v>61869821.875</v>
      </c>
      <c r="Z93" s="217">
        <f t="shared" si="36"/>
        <v>15998600</v>
      </c>
      <c r="AA93" s="217">
        <f t="shared" si="36"/>
        <v>49480695.4375</v>
      </c>
      <c r="AB93" s="217">
        <f t="shared" si="36"/>
        <v>65479295.4375</v>
      </c>
      <c r="AC93" s="217">
        <f t="shared" si="36"/>
        <v>20525266</v>
      </c>
      <c r="AD93" s="217">
        <f t="shared" si="36"/>
        <v>50800653.875</v>
      </c>
      <c r="AE93" s="217">
        <f t="shared" si="36"/>
        <v>71325919.875</v>
      </c>
      <c r="AF93" s="217">
        <f t="shared" si="36"/>
        <v>24041056</v>
      </c>
      <c r="AG93" s="217">
        <f t="shared" si="36"/>
        <v>47409917.00000003</v>
      </c>
      <c r="AH93" s="217">
        <f t="shared" si="36"/>
        <v>71450973</v>
      </c>
      <c r="AI93" s="217">
        <f t="shared" si="36"/>
        <v>28107362</v>
      </c>
      <c r="AJ93" s="217">
        <f t="shared" si="36"/>
        <v>53439800</v>
      </c>
      <c r="AK93" s="217">
        <f t="shared" si="36"/>
        <v>81547162</v>
      </c>
      <c r="AL93" s="217">
        <f t="shared" si="36"/>
        <v>110539403.40000001</v>
      </c>
      <c r="AM93" s="217">
        <f t="shared" si="36"/>
        <v>99643320</v>
      </c>
      <c r="AN93" s="217">
        <f t="shared" si="36"/>
        <v>119957400</v>
      </c>
      <c r="AO93" s="217">
        <f t="shared" si="36"/>
        <v>124846400</v>
      </c>
      <c r="AP93" s="217">
        <f t="shared" si="36"/>
        <v>132401100</v>
      </c>
      <c r="AQ93" s="217">
        <f t="shared" si="36"/>
        <v>151604500</v>
      </c>
    </row>
    <row r="94" spans="1:57" x14ac:dyDescent="0.2">
      <c r="A94" s="216" t="s">
        <v>254</v>
      </c>
      <c r="B94" s="217"/>
      <c r="C94" s="218"/>
      <c r="D94" s="219"/>
      <c r="E94" s="217"/>
      <c r="F94" s="217"/>
      <c r="G94" s="219"/>
      <c r="H94" s="217"/>
      <c r="I94" s="217"/>
      <c r="J94" s="217"/>
      <c r="K94" s="217"/>
      <c r="L94" s="217"/>
      <c r="M94" s="217"/>
      <c r="N94" s="217"/>
      <c r="O94" s="217"/>
      <c r="P94" s="217"/>
      <c r="Q94" s="217"/>
      <c r="R94" s="217"/>
      <c r="S94" s="217"/>
      <c r="T94" s="217"/>
      <c r="U94" s="217"/>
      <c r="V94" s="217"/>
      <c r="W94" s="217"/>
      <c r="X94" s="217"/>
      <c r="Y94" s="217"/>
      <c r="Z94" s="217"/>
      <c r="AA94" s="217"/>
      <c r="AB94" s="217"/>
      <c r="AC94" s="217"/>
      <c r="AD94" s="217"/>
      <c r="AE94" s="217"/>
      <c r="AF94" s="217"/>
      <c r="AG94" s="217"/>
      <c r="AH94" s="217"/>
      <c r="AI94" s="217"/>
      <c r="AJ94" s="217"/>
      <c r="AK94" s="217"/>
      <c r="AL94" s="217"/>
      <c r="AM94" s="217"/>
      <c r="AN94" s="217"/>
      <c r="AO94" s="217"/>
      <c r="AP94" s="217"/>
      <c r="AQ94" s="217"/>
    </row>
    <row r="95" spans="1:57" x14ac:dyDescent="0.2">
      <c r="A95" s="216" t="s">
        <v>255</v>
      </c>
      <c r="B95" s="217"/>
      <c r="C95" s="218"/>
      <c r="D95" s="219"/>
      <c r="E95" s="217"/>
      <c r="F95" s="217"/>
      <c r="G95" s="219"/>
      <c r="H95" s="217"/>
      <c r="I95" s="217"/>
      <c r="J95" s="217"/>
      <c r="K95" s="217"/>
      <c r="L95" s="217"/>
      <c r="M95" s="217"/>
      <c r="N95" s="217"/>
      <c r="O95" s="217"/>
      <c r="P95" s="217"/>
      <c r="Q95" s="217"/>
      <c r="R95" s="217"/>
      <c r="S95" s="217"/>
      <c r="T95" s="217"/>
      <c r="U95" s="217"/>
      <c r="V95" s="217"/>
      <c r="W95" s="217"/>
      <c r="X95" s="217"/>
      <c r="Y95" s="217"/>
      <c r="Z95" s="217"/>
      <c r="AA95" s="217"/>
      <c r="AB95" s="217"/>
      <c r="AC95" s="217"/>
      <c r="AD95" s="217"/>
      <c r="AE95" s="217"/>
      <c r="AF95" s="217"/>
      <c r="AG95" s="217"/>
      <c r="AH95" s="217"/>
      <c r="AI95" s="217"/>
      <c r="AJ95" s="217"/>
      <c r="AK95" s="217"/>
      <c r="AL95" s="217"/>
      <c r="AM95" s="217"/>
      <c r="AN95" s="217"/>
      <c r="AO95" s="217"/>
      <c r="AP95" s="217"/>
      <c r="AQ95" s="217"/>
    </row>
    <row r="97" spans="1:56" x14ac:dyDescent="0.2">
      <c r="A97" s="220" t="s">
        <v>256</v>
      </c>
      <c r="B97" s="158"/>
    </row>
    <row r="98" spans="1:56" x14ac:dyDescent="0.2">
      <c r="A98" s="221" t="s">
        <v>257</v>
      </c>
      <c r="B98" s="158"/>
    </row>
    <row r="99" spans="1:56" x14ac:dyDescent="0.2">
      <c r="A99" s="222" t="s">
        <v>258</v>
      </c>
      <c r="B99" s="158"/>
    </row>
    <row r="100" spans="1:56" x14ac:dyDescent="0.2">
      <c r="A100" s="223" t="s">
        <v>259</v>
      </c>
      <c r="B100" s="158"/>
    </row>
    <row r="101" spans="1:56" x14ac:dyDescent="0.2">
      <c r="A101" s="224" t="s">
        <v>260</v>
      </c>
      <c r="B101" s="158"/>
    </row>
    <row r="102" spans="1:56" x14ac:dyDescent="0.2">
      <c r="A102" s="225" t="s">
        <v>261</v>
      </c>
      <c r="B102" s="57" t="s">
        <v>262</v>
      </c>
    </row>
    <row r="103" spans="1:56" x14ac:dyDescent="0.2">
      <c r="A103" s="226" t="s">
        <v>263</v>
      </c>
      <c r="B103" s="227" t="s">
        <v>262</v>
      </c>
    </row>
    <row r="104" spans="1:56" x14ac:dyDescent="0.2">
      <c r="A104" s="228" t="s">
        <v>264</v>
      </c>
      <c r="B104" s="229"/>
      <c r="C104" s="230"/>
      <c r="D104" s="230"/>
      <c r="E104" s="230"/>
      <c r="F104" s="230"/>
      <c r="G104" s="230"/>
      <c r="H104" s="230"/>
      <c r="I104" s="230"/>
      <c r="J104" s="230"/>
      <c r="K104" s="230"/>
      <c r="L104" s="230"/>
      <c r="M104" s="230"/>
      <c r="N104" s="230"/>
      <c r="O104" s="230"/>
      <c r="P104" s="230"/>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row>
    <row r="107" spans="1:56" ht="13.5" thickBot="1" x14ac:dyDescent="0.25"/>
    <row r="108" spans="1:56" ht="13.5" thickBot="1" x14ac:dyDescent="0.25">
      <c r="A108" s="91" t="s">
        <v>265</v>
      </c>
      <c r="B108" s="128" t="s">
        <v>180</v>
      </c>
      <c r="C108" s="139">
        <v>1692</v>
      </c>
      <c r="D108" s="140">
        <f t="shared" ref="D108:D124" si="37">SUM(B108:C108)</f>
        <v>1692</v>
      </c>
      <c r="E108" s="139" t="s">
        <v>180</v>
      </c>
      <c r="F108" s="139">
        <v>2256</v>
      </c>
      <c r="G108" s="140">
        <f t="shared" ref="G108:G124" si="38">SUM(E108:F108)</f>
        <v>2256</v>
      </c>
      <c r="H108" s="139">
        <v>672</v>
      </c>
      <c r="I108" s="139">
        <v>2268</v>
      </c>
      <c r="J108" s="139">
        <f t="shared" ref="J108:J124" si="39">SUM(H108:I108)</f>
        <v>2940</v>
      </c>
      <c r="K108" s="139">
        <v>701</v>
      </c>
      <c r="L108" s="139">
        <v>2302.75</v>
      </c>
      <c r="M108" s="139">
        <f t="shared" ref="M108:M124" si="40">SUM(K108:L108)</f>
        <v>3003.75</v>
      </c>
      <c r="N108" s="139">
        <v>745</v>
      </c>
      <c r="O108" s="139">
        <v>2376</v>
      </c>
      <c r="P108" s="139">
        <f t="shared" ref="P108:P124" si="41">SUM(N108:O108)</f>
        <v>3121</v>
      </c>
      <c r="Q108" s="139">
        <v>767</v>
      </c>
      <c r="R108" s="139">
        <v>2430</v>
      </c>
      <c r="S108" s="139">
        <f t="shared" ref="S108:S124" si="42">SUM(Q108:R108)</f>
        <v>3197</v>
      </c>
      <c r="T108" s="139">
        <v>780</v>
      </c>
      <c r="U108" s="139">
        <v>2455.25</v>
      </c>
      <c r="V108" s="139">
        <f t="shared" ref="V108:V124" si="43">SUM(T108:U108)</f>
        <v>3235.25</v>
      </c>
      <c r="W108" s="139">
        <v>786</v>
      </c>
      <c r="X108" s="139">
        <v>2484.75</v>
      </c>
      <c r="Y108" s="139">
        <f t="shared" ref="Y108:Y124" si="44">SUM(W108:X108)</f>
        <v>3270.75</v>
      </c>
      <c r="Z108" s="139">
        <v>796</v>
      </c>
      <c r="AA108" s="139">
        <v>2545.5</v>
      </c>
      <c r="AB108" s="139">
        <f t="shared" ref="AB108:AB124" si="45">SUM(Z108:AA108)</f>
        <v>3341.5</v>
      </c>
      <c r="AC108" s="141">
        <v>749.88956142828079</v>
      </c>
      <c r="AD108" s="139">
        <v>2591.5</v>
      </c>
      <c r="AE108" s="141">
        <f t="shared" ref="AE108:AE124" si="46">SUM(AC108:AD108)</f>
        <v>3341.389561428281</v>
      </c>
      <c r="AF108" s="139">
        <v>741</v>
      </c>
      <c r="AG108" s="139">
        <v>2601</v>
      </c>
      <c r="AH108" s="139">
        <f t="shared" ref="AH108:AH124" si="47">SUM(AF108:AG108)</f>
        <v>3342</v>
      </c>
      <c r="AI108" s="139">
        <v>759</v>
      </c>
      <c r="AJ108" s="139">
        <v>2613</v>
      </c>
      <c r="AK108" s="139">
        <f t="shared" ref="AK108:AK124" si="48">SUM(AI108:AJ108)</f>
        <v>3372</v>
      </c>
      <c r="AL108" s="139">
        <v>3072</v>
      </c>
      <c r="AM108" s="139">
        <v>2958</v>
      </c>
      <c r="AN108" s="139">
        <v>2199</v>
      </c>
      <c r="AO108" s="142" t="e">
        <v>#REF!</v>
      </c>
      <c r="AP108" s="142" t="e">
        <v>#REF!</v>
      </c>
      <c r="AQ108" s="142" t="e">
        <v>#REF!</v>
      </c>
      <c r="AR108" s="139" t="e">
        <v>#REF!</v>
      </c>
      <c r="AS108" s="139" t="e">
        <v>#REF!</v>
      </c>
      <c r="AT108" s="139" t="e">
        <v>#REF!</v>
      </c>
      <c r="AU108" s="139" t="e">
        <v>#REF!</v>
      </c>
      <c r="AV108" s="139">
        <v>2176</v>
      </c>
      <c r="AW108" s="139">
        <v>2200</v>
      </c>
      <c r="AX108" s="139">
        <v>2224</v>
      </c>
      <c r="AY108" s="139">
        <v>2238</v>
      </c>
      <c r="AZ108" s="139">
        <v>2268</v>
      </c>
      <c r="BA108" s="139">
        <v>2247.2600000000002</v>
      </c>
      <c r="BB108" s="139">
        <v>2181</v>
      </c>
      <c r="BC108" s="139">
        <v>2220</v>
      </c>
      <c r="BD108" s="231">
        <v>2253</v>
      </c>
    </row>
    <row r="109" spans="1:56" x14ac:dyDescent="0.2">
      <c r="A109" s="108" t="s">
        <v>193</v>
      </c>
      <c r="B109" s="101" t="s">
        <v>180</v>
      </c>
      <c r="C109" s="145" t="s">
        <v>194</v>
      </c>
      <c r="D109" s="146">
        <f t="shared" si="37"/>
        <v>0</v>
      </c>
      <c r="E109" s="130" t="s">
        <v>180</v>
      </c>
      <c r="F109" s="130">
        <v>428.25</v>
      </c>
      <c r="G109" s="146">
        <f t="shared" si="38"/>
        <v>428.25</v>
      </c>
      <c r="H109" s="130" t="s">
        <v>180</v>
      </c>
      <c r="I109" s="130">
        <v>590.5</v>
      </c>
      <c r="J109" s="146">
        <f>SUM(H109:I109)</f>
        <v>590.5</v>
      </c>
      <c r="K109" s="130">
        <v>266</v>
      </c>
      <c r="L109" s="130">
        <v>608.25</v>
      </c>
      <c r="M109" s="130">
        <f t="shared" si="40"/>
        <v>874.25</v>
      </c>
      <c r="N109" s="130">
        <v>298</v>
      </c>
      <c r="O109" s="130">
        <v>645</v>
      </c>
      <c r="P109" s="130">
        <f t="shared" si="41"/>
        <v>943</v>
      </c>
      <c r="Q109" s="130">
        <v>333</v>
      </c>
      <c r="R109" s="130">
        <v>672.5</v>
      </c>
      <c r="S109" s="130">
        <f t="shared" si="42"/>
        <v>1005.5</v>
      </c>
      <c r="T109" s="130">
        <v>338</v>
      </c>
      <c r="U109" s="130">
        <v>693.75</v>
      </c>
      <c r="V109" s="130">
        <f t="shared" si="43"/>
        <v>1031.75</v>
      </c>
      <c r="W109" s="130">
        <v>338</v>
      </c>
      <c r="X109" s="130">
        <v>711.75</v>
      </c>
      <c r="Y109" s="130">
        <f t="shared" si="44"/>
        <v>1049.75</v>
      </c>
      <c r="Z109" s="130">
        <v>340</v>
      </c>
      <c r="AA109" s="130">
        <v>777.5</v>
      </c>
      <c r="AB109" s="130">
        <f t="shared" si="45"/>
        <v>1117.5</v>
      </c>
      <c r="AC109" s="130" t="s">
        <v>180</v>
      </c>
      <c r="AD109" s="130">
        <v>808.5</v>
      </c>
      <c r="AE109" s="146">
        <f t="shared" si="46"/>
        <v>808.5</v>
      </c>
      <c r="AF109" s="147">
        <v>228</v>
      </c>
      <c r="AG109" s="130">
        <v>812</v>
      </c>
      <c r="AH109" s="134">
        <f t="shared" si="47"/>
        <v>1040</v>
      </c>
      <c r="AI109" s="147">
        <v>241</v>
      </c>
      <c r="AJ109" s="130">
        <v>816</v>
      </c>
      <c r="AK109" s="134">
        <f t="shared" si="48"/>
        <v>1057</v>
      </c>
      <c r="AL109" s="130">
        <v>920</v>
      </c>
      <c r="AM109" s="130">
        <v>902</v>
      </c>
      <c r="AN109" s="130">
        <v>807</v>
      </c>
      <c r="AO109" s="130">
        <v>848</v>
      </c>
      <c r="AP109" s="130">
        <v>865</v>
      </c>
      <c r="AQ109" s="130" t="s">
        <v>176</v>
      </c>
      <c r="AR109" s="130" t="s">
        <v>176</v>
      </c>
      <c r="AS109" s="130" t="s">
        <v>176</v>
      </c>
      <c r="AT109" s="130" t="s">
        <v>176</v>
      </c>
      <c r="AU109" s="130" t="s">
        <v>176</v>
      </c>
      <c r="AV109" s="130" t="s">
        <v>176</v>
      </c>
      <c r="AW109" s="130" t="s">
        <v>176</v>
      </c>
      <c r="AX109" s="130" t="s">
        <v>176</v>
      </c>
      <c r="AY109" s="130" t="s">
        <v>176</v>
      </c>
      <c r="AZ109" s="134" t="s">
        <v>176</v>
      </c>
      <c r="BA109" s="134" t="s">
        <v>176</v>
      </c>
      <c r="BB109" s="134" t="s">
        <v>176</v>
      </c>
      <c r="BC109" s="134" t="s">
        <v>176</v>
      </c>
      <c r="BD109" s="134" t="s">
        <v>176</v>
      </c>
    </row>
    <row r="110" spans="1:56" x14ac:dyDescent="0.2">
      <c r="A110" s="108" t="s">
        <v>195</v>
      </c>
      <c r="B110" s="101" t="s">
        <v>180</v>
      </c>
      <c r="C110" s="145" t="s">
        <v>194</v>
      </c>
      <c r="D110" s="146">
        <f t="shared" si="37"/>
        <v>0</v>
      </c>
      <c r="E110" s="101" t="s">
        <v>180</v>
      </c>
      <c r="F110" s="145" t="s">
        <v>194</v>
      </c>
      <c r="G110" s="146">
        <f t="shared" si="38"/>
        <v>0</v>
      </c>
      <c r="H110" s="130" t="s">
        <v>180</v>
      </c>
      <c r="I110" s="145" t="s">
        <v>194</v>
      </c>
      <c r="J110" s="146">
        <f t="shared" si="39"/>
        <v>0</v>
      </c>
      <c r="K110" s="148">
        <v>12233396</v>
      </c>
      <c r="L110" s="145" t="s">
        <v>194</v>
      </c>
      <c r="M110" s="134">
        <f t="shared" si="40"/>
        <v>12233396</v>
      </c>
      <c r="N110" s="148">
        <v>14223912</v>
      </c>
      <c r="O110" s="145" t="s">
        <v>194</v>
      </c>
      <c r="P110" s="134">
        <f t="shared" si="41"/>
        <v>14223912</v>
      </c>
      <c r="Q110" s="148">
        <v>16595670</v>
      </c>
      <c r="R110" s="145" t="s">
        <v>194</v>
      </c>
      <c r="S110" s="134">
        <f t="shared" si="42"/>
        <v>16595670</v>
      </c>
      <c r="T110" s="148">
        <v>17471792</v>
      </c>
      <c r="U110" s="145" t="s">
        <v>194</v>
      </c>
      <c r="V110" s="134">
        <f t="shared" si="43"/>
        <v>17471792</v>
      </c>
      <c r="W110" s="148">
        <v>18175824</v>
      </c>
      <c r="X110" s="145" t="s">
        <v>194</v>
      </c>
      <c r="Y110" s="134">
        <f t="shared" si="44"/>
        <v>18175824</v>
      </c>
      <c r="Z110" s="148">
        <v>18675640</v>
      </c>
      <c r="AA110" s="145" t="s">
        <v>194</v>
      </c>
      <c r="AB110" s="134">
        <f t="shared" si="45"/>
        <v>18675640</v>
      </c>
      <c r="AC110" s="130" t="s">
        <v>180</v>
      </c>
      <c r="AD110" s="145" t="s">
        <v>194</v>
      </c>
      <c r="AE110" s="146">
        <f t="shared" si="46"/>
        <v>0</v>
      </c>
      <c r="AF110" s="136">
        <v>13925529</v>
      </c>
      <c r="AG110" s="145" t="s">
        <v>194</v>
      </c>
      <c r="AH110" s="134">
        <f t="shared" si="47"/>
        <v>13925529</v>
      </c>
      <c r="AI110" s="136">
        <v>14326645</v>
      </c>
      <c r="AJ110" s="145" t="s">
        <v>194</v>
      </c>
      <c r="AK110" s="134">
        <f t="shared" si="48"/>
        <v>14326645</v>
      </c>
      <c r="AL110" s="145" t="s">
        <v>194</v>
      </c>
      <c r="AM110" s="145" t="s">
        <v>194</v>
      </c>
      <c r="AN110" s="145" t="s">
        <v>194</v>
      </c>
      <c r="AO110" s="145" t="s">
        <v>194</v>
      </c>
      <c r="AP110" s="145" t="s">
        <v>194</v>
      </c>
      <c r="AQ110" s="145" t="s">
        <v>194</v>
      </c>
      <c r="AR110" s="145" t="s">
        <v>194</v>
      </c>
      <c r="AS110" s="145" t="s">
        <v>194</v>
      </c>
      <c r="AT110" s="145" t="s">
        <v>194</v>
      </c>
      <c r="AU110" s="145" t="s">
        <v>194</v>
      </c>
      <c r="AV110" s="145" t="s">
        <v>194</v>
      </c>
      <c r="AW110" s="145" t="s">
        <v>194</v>
      </c>
      <c r="AX110" s="145" t="s">
        <v>194</v>
      </c>
      <c r="AY110" s="145" t="s">
        <v>194</v>
      </c>
      <c r="AZ110" s="149" t="s">
        <v>194</v>
      </c>
      <c r="BA110" s="149" t="s">
        <v>194</v>
      </c>
      <c r="BB110" s="149" t="s">
        <v>194</v>
      </c>
      <c r="BC110" s="149" t="s">
        <v>194</v>
      </c>
      <c r="BD110" s="149" t="s">
        <v>194</v>
      </c>
    </row>
    <row r="111" spans="1:56" x14ac:dyDescent="0.2">
      <c r="A111" s="108" t="s">
        <v>196</v>
      </c>
      <c r="B111" s="101" t="s">
        <v>180</v>
      </c>
      <c r="C111" s="145" t="s">
        <v>194</v>
      </c>
      <c r="D111" s="146">
        <f t="shared" si="37"/>
        <v>0</v>
      </c>
      <c r="E111" s="130" t="s">
        <v>180</v>
      </c>
      <c r="F111" s="130">
        <v>577.5</v>
      </c>
      <c r="G111" s="146">
        <f t="shared" si="38"/>
        <v>577.5</v>
      </c>
      <c r="H111" s="101">
        <v>415</v>
      </c>
      <c r="I111" s="130">
        <v>764.75</v>
      </c>
      <c r="J111" s="134">
        <f>SUM(H111:I111)</f>
        <v>1179.75</v>
      </c>
      <c r="K111" s="130">
        <v>173</v>
      </c>
      <c r="L111" s="130">
        <v>772</v>
      </c>
      <c r="M111" s="130">
        <f t="shared" si="40"/>
        <v>945</v>
      </c>
      <c r="N111" s="130">
        <v>171</v>
      </c>
      <c r="O111" s="130">
        <v>793.75</v>
      </c>
      <c r="P111" s="134">
        <f t="shared" si="41"/>
        <v>964.75</v>
      </c>
      <c r="Q111" s="130">
        <v>152</v>
      </c>
      <c r="R111" s="130">
        <v>818</v>
      </c>
      <c r="S111" s="134">
        <f t="shared" si="42"/>
        <v>970</v>
      </c>
      <c r="T111" s="130">
        <v>158</v>
      </c>
      <c r="U111" s="130">
        <v>824</v>
      </c>
      <c r="V111" s="134">
        <f t="shared" si="43"/>
        <v>982</v>
      </c>
      <c r="W111" s="130">
        <v>165</v>
      </c>
      <c r="X111" s="130">
        <v>833</v>
      </c>
      <c r="Y111" s="134">
        <f t="shared" si="44"/>
        <v>998</v>
      </c>
      <c r="Z111" s="130">
        <v>144</v>
      </c>
      <c r="AA111" s="130">
        <v>828.5</v>
      </c>
      <c r="AB111" s="134">
        <f t="shared" si="45"/>
        <v>972.5</v>
      </c>
      <c r="AC111" s="130" t="s">
        <v>180</v>
      </c>
      <c r="AD111" s="130">
        <v>835</v>
      </c>
      <c r="AE111" s="146">
        <f t="shared" si="46"/>
        <v>835</v>
      </c>
      <c r="AF111" s="147">
        <v>189</v>
      </c>
      <c r="AG111" s="130">
        <v>838</v>
      </c>
      <c r="AH111" s="134">
        <f t="shared" si="47"/>
        <v>1027</v>
      </c>
      <c r="AI111" s="147">
        <v>189</v>
      </c>
      <c r="AJ111" s="130">
        <v>833</v>
      </c>
      <c r="AK111" s="134">
        <f t="shared" si="48"/>
        <v>1022</v>
      </c>
      <c r="AL111" s="130">
        <v>914</v>
      </c>
      <c r="AM111" s="130">
        <v>759</v>
      </c>
      <c r="AN111" s="130">
        <v>472</v>
      </c>
      <c r="AO111" s="130">
        <v>525</v>
      </c>
      <c r="AP111" s="130">
        <v>867</v>
      </c>
      <c r="AQ111" s="130" t="s">
        <v>176</v>
      </c>
      <c r="AR111" s="130" t="s">
        <v>176</v>
      </c>
      <c r="AS111" s="130" t="s">
        <v>176</v>
      </c>
      <c r="AT111" s="130" t="s">
        <v>176</v>
      </c>
      <c r="AU111" s="130" t="s">
        <v>176</v>
      </c>
      <c r="AV111" s="130" t="s">
        <v>176</v>
      </c>
      <c r="AW111" s="130" t="s">
        <v>176</v>
      </c>
      <c r="AX111" s="130" t="s">
        <v>176</v>
      </c>
      <c r="AY111" s="130" t="s">
        <v>176</v>
      </c>
      <c r="AZ111" s="134" t="s">
        <v>176</v>
      </c>
      <c r="BA111" s="134" t="s">
        <v>176</v>
      </c>
      <c r="BB111" s="134" t="s">
        <v>176</v>
      </c>
      <c r="BC111" s="134" t="s">
        <v>176</v>
      </c>
      <c r="BD111" s="134" t="s">
        <v>176</v>
      </c>
    </row>
    <row r="112" spans="1:56" x14ac:dyDescent="0.2">
      <c r="A112" s="108" t="s">
        <v>197</v>
      </c>
      <c r="B112" s="101" t="s">
        <v>180</v>
      </c>
      <c r="C112" s="145" t="s">
        <v>194</v>
      </c>
      <c r="D112" s="146">
        <f t="shared" si="37"/>
        <v>0</v>
      </c>
      <c r="E112" s="101" t="s">
        <v>180</v>
      </c>
      <c r="F112" s="145" t="s">
        <v>194</v>
      </c>
      <c r="G112" s="146">
        <f t="shared" si="38"/>
        <v>0</v>
      </c>
      <c r="H112" s="134" t="s">
        <v>180</v>
      </c>
      <c r="I112" s="145" t="s">
        <v>194</v>
      </c>
      <c r="J112" s="146">
        <f t="shared" si="39"/>
        <v>0</v>
      </c>
      <c r="K112" s="148">
        <v>4224141</v>
      </c>
      <c r="L112" s="145" t="s">
        <v>194</v>
      </c>
      <c r="M112" s="134">
        <f t="shared" si="40"/>
        <v>4224141</v>
      </c>
      <c r="N112" s="148">
        <v>4425822</v>
      </c>
      <c r="O112" s="145" t="s">
        <v>194</v>
      </c>
      <c r="P112" s="134">
        <f t="shared" si="41"/>
        <v>4425822</v>
      </c>
      <c r="Q112" s="148">
        <v>4084544</v>
      </c>
      <c r="R112" s="145" t="s">
        <v>194</v>
      </c>
      <c r="S112" s="134">
        <f t="shared" si="42"/>
        <v>4084544</v>
      </c>
      <c r="T112" s="148">
        <v>4606016</v>
      </c>
      <c r="U112" s="145" t="s">
        <v>194</v>
      </c>
      <c r="V112" s="134">
        <f t="shared" si="43"/>
        <v>4606016</v>
      </c>
      <c r="W112" s="148">
        <v>5124570</v>
      </c>
      <c r="X112" s="145" t="s">
        <v>194</v>
      </c>
      <c r="Y112" s="134">
        <f t="shared" si="44"/>
        <v>5124570</v>
      </c>
      <c r="Z112" s="148">
        <v>4665024</v>
      </c>
      <c r="AA112" s="145" t="s">
        <v>194</v>
      </c>
      <c r="AB112" s="134">
        <f t="shared" si="45"/>
        <v>4665024</v>
      </c>
      <c r="AC112" s="130" t="s">
        <v>180</v>
      </c>
      <c r="AD112" s="145" t="s">
        <v>194</v>
      </c>
      <c r="AE112" s="146">
        <f t="shared" si="46"/>
        <v>0</v>
      </c>
      <c r="AF112" s="136">
        <v>7247523</v>
      </c>
      <c r="AG112" s="145" t="s">
        <v>194</v>
      </c>
      <c r="AH112" s="134">
        <f t="shared" si="47"/>
        <v>7247523</v>
      </c>
      <c r="AI112" s="136">
        <v>6967905</v>
      </c>
      <c r="AJ112" s="145" t="s">
        <v>194</v>
      </c>
      <c r="AK112" s="134">
        <f t="shared" si="48"/>
        <v>6967905</v>
      </c>
      <c r="AL112" s="145" t="s">
        <v>194</v>
      </c>
      <c r="AM112" s="145" t="s">
        <v>194</v>
      </c>
      <c r="AN112" s="145" t="s">
        <v>194</v>
      </c>
      <c r="AO112" s="145" t="s">
        <v>194</v>
      </c>
      <c r="AP112" s="145" t="s">
        <v>194</v>
      </c>
      <c r="AQ112" s="145" t="s">
        <v>194</v>
      </c>
      <c r="AR112" s="145" t="s">
        <v>194</v>
      </c>
      <c r="AS112" s="145" t="s">
        <v>194</v>
      </c>
      <c r="AT112" s="145" t="s">
        <v>194</v>
      </c>
      <c r="AU112" s="145" t="s">
        <v>194</v>
      </c>
      <c r="AV112" s="145" t="s">
        <v>194</v>
      </c>
      <c r="AW112" s="145" t="s">
        <v>194</v>
      </c>
      <c r="AX112" s="145" t="s">
        <v>194</v>
      </c>
      <c r="AY112" s="145" t="s">
        <v>194</v>
      </c>
      <c r="AZ112" s="149" t="s">
        <v>194</v>
      </c>
      <c r="BA112" s="149" t="s">
        <v>194</v>
      </c>
      <c r="BB112" s="149" t="s">
        <v>194</v>
      </c>
      <c r="BC112" s="149" t="s">
        <v>194</v>
      </c>
      <c r="BD112" s="149" t="s">
        <v>194</v>
      </c>
    </row>
    <row r="113" spans="1:56" x14ac:dyDescent="0.2">
      <c r="A113" s="150" t="s">
        <v>198</v>
      </c>
      <c r="B113" s="101" t="s">
        <v>180</v>
      </c>
      <c r="C113" s="145" t="s">
        <v>194</v>
      </c>
      <c r="D113" s="146">
        <f t="shared" si="37"/>
        <v>0</v>
      </c>
      <c r="E113" s="130" t="s">
        <v>180</v>
      </c>
      <c r="F113" s="130">
        <v>686.25</v>
      </c>
      <c r="G113" s="146">
        <f t="shared" si="38"/>
        <v>686.25</v>
      </c>
      <c r="H113" s="134">
        <v>257</v>
      </c>
      <c r="I113" s="130">
        <v>912.75</v>
      </c>
      <c r="J113" s="134">
        <f t="shared" si="39"/>
        <v>1169.75</v>
      </c>
      <c r="K113" s="130">
        <v>262</v>
      </c>
      <c r="L113" s="130">
        <v>922.5</v>
      </c>
      <c r="M113" s="130">
        <f t="shared" si="40"/>
        <v>1184.5</v>
      </c>
      <c r="N113" s="130">
        <v>276</v>
      </c>
      <c r="O113" s="130">
        <v>937.25</v>
      </c>
      <c r="P113" s="134">
        <f t="shared" si="41"/>
        <v>1213.25</v>
      </c>
      <c r="Q113" s="130">
        <v>282</v>
      </c>
      <c r="R113" s="130">
        <v>939.5</v>
      </c>
      <c r="S113" s="134">
        <f t="shared" si="42"/>
        <v>1221.5</v>
      </c>
      <c r="T113" s="130">
        <v>284</v>
      </c>
      <c r="U113" s="130">
        <v>937.5</v>
      </c>
      <c r="V113" s="134">
        <f t="shared" si="43"/>
        <v>1221.5</v>
      </c>
      <c r="W113" s="130">
        <v>283</v>
      </c>
      <c r="X113" s="130">
        <v>940</v>
      </c>
      <c r="Y113" s="134">
        <f t="shared" si="44"/>
        <v>1223</v>
      </c>
      <c r="Z113" s="130">
        <v>312</v>
      </c>
      <c r="AA113" s="130">
        <v>939.5</v>
      </c>
      <c r="AB113" s="134">
        <f t="shared" si="45"/>
        <v>1251.5</v>
      </c>
      <c r="AC113" s="130" t="s">
        <v>180</v>
      </c>
      <c r="AD113" s="130">
        <v>948</v>
      </c>
      <c r="AE113" s="146">
        <f t="shared" si="46"/>
        <v>948</v>
      </c>
      <c r="AF113" s="147">
        <v>342</v>
      </c>
      <c r="AG113" s="130">
        <v>951</v>
      </c>
      <c r="AH113" s="134">
        <f t="shared" si="47"/>
        <v>1293</v>
      </c>
      <c r="AI113" s="147">
        <v>311</v>
      </c>
      <c r="AJ113" s="130">
        <v>964</v>
      </c>
      <c r="AK113" s="134">
        <f t="shared" si="48"/>
        <v>1275</v>
      </c>
      <c r="AL113" s="130">
        <v>1238</v>
      </c>
      <c r="AM113" s="130">
        <v>1297</v>
      </c>
      <c r="AN113" s="130">
        <v>920</v>
      </c>
      <c r="AO113" s="130">
        <v>902</v>
      </c>
      <c r="AP113" s="130">
        <v>514</v>
      </c>
      <c r="AQ113" s="130" t="s">
        <v>176</v>
      </c>
      <c r="AR113" s="130" t="s">
        <v>176</v>
      </c>
      <c r="AS113" s="130" t="s">
        <v>176</v>
      </c>
      <c r="AT113" s="130" t="s">
        <v>176</v>
      </c>
      <c r="AU113" s="130" t="s">
        <v>176</v>
      </c>
      <c r="AV113" s="130" t="s">
        <v>176</v>
      </c>
      <c r="AW113" s="130" t="s">
        <v>176</v>
      </c>
      <c r="AX113" s="130" t="s">
        <v>176</v>
      </c>
      <c r="AY113" s="130" t="s">
        <v>176</v>
      </c>
      <c r="AZ113" s="134" t="s">
        <v>176</v>
      </c>
      <c r="BA113" s="134" t="s">
        <v>176</v>
      </c>
      <c r="BB113" s="134" t="s">
        <v>176</v>
      </c>
      <c r="BC113" s="134" t="s">
        <v>176</v>
      </c>
      <c r="BD113" s="134" t="s">
        <v>176</v>
      </c>
    </row>
    <row r="114" spans="1:56" x14ac:dyDescent="0.2">
      <c r="A114" s="150" t="s">
        <v>199</v>
      </c>
      <c r="B114" s="101" t="s">
        <v>180</v>
      </c>
      <c r="C114" s="145" t="s">
        <v>194</v>
      </c>
      <c r="D114" s="146">
        <f t="shared" si="37"/>
        <v>0</v>
      </c>
      <c r="E114" s="101" t="s">
        <v>180</v>
      </c>
      <c r="F114" s="145" t="s">
        <v>194</v>
      </c>
      <c r="G114" s="146">
        <f t="shared" si="38"/>
        <v>0</v>
      </c>
      <c r="H114" s="101" t="s">
        <v>180</v>
      </c>
      <c r="I114" s="145" t="s">
        <v>194</v>
      </c>
      <c r="J114" s="146">
        <f t="shared" si="39"/>
        <v>0</v>
      </c>
      <c r="K114" s="148">
        <v>6804463</v>
      </c>
      <c r="L114" s="145" t="s">
        <v>194</v>
      </c>
      <c r="M114" s="134">
        <f t="shared" si="40"/>
        <v>6804463</v>
      </c>
      <c r="N114" s="148">
        <v>6725666</v>
      </c>
      <c r="O114" s="145" t="s">
        <v>194</v>
      </c>
      <c r="P114" s="134">
        <f t="shared" si="41"/>
        <v>6725666</v>
      </c>
      <c r="Q114" s="148">
        <v>6843386</v>
      </c>
      <c r="R114" s="145" t="s">
        <v>194</v>
      </c>
      <c r="S114" s="134">
        <f t="shared" si="42"/>
        <v>6843386</v>
      </c>
      <c r="T114" s="148">
        <v>7915092</v>
      </c>
      <c r="U114" s="145" t="s">
        <v>194</v>
      </c>
      <c r="V114" s="134">
        <f t="shared" si="43"/>
        <v>7915092</v>
      </c>
      <c r="W114" s="148">
        <v>8918306</v>
      </c>
      <c r="X114" s="145" t="s">
        <v>194</v>
      </c>
      <c r="Y114" s="134">
        <f t="shared" si="44"/>
        <v>8918306</v>
      </c>
      <c r="Z114" s="148">
        <v>14805636</v>
      </c>
      <c r="AA114" s="145" t="s">
        <v>194</v>
      </c>
      <c r="AB114" s="134">
        <f t="shared" si="45"/>
        <v>14805636</v>
      </c>
      <c r="AC114" s="130" t="s">
        <v>180</v>
      </c>
      <c r="AD114" s="145" t="s">
        <v>194</v>
      </c>
      <c r="AE114" s="146">
        <f t="shared" si="46"/>
        <v>0</v>
      </c>
      <c r="AF114" s="136">
        <v>13882608</v>
      </c>
      <c r="AG114" s="145" t="s">
        <v>194</v>
      </c>
      <c r="AH114" s="134">
        <f t="shared" si="47"/>
        <v>13882608</v>
      </c>
      <c r="AI114" s="136">
        <v>12383894</v>
      </c>
      <c r="AJ114" s="145" t="s">
        <v>194</v>
      </c>
      <c r="AK114" s="134">
        <f t="shared" si="48"/>
        <v>12383894</v>
      </c>
      <c r="AL114" s="145" t="s">
        <v>194</v>
      </c>
      <c r="AM114" s="145" t="s">
        <v>194</v>
      </c>
      <c r="AN114" s="145" t="s">
        <v>194</v>
      </c>
      <c r="AO114" s="145" t="s">
        <v>194</v>
      </c>
      <c r="AP114" s="145" t="s">
        <v>194</v>
      </c>
      <c r="AQ114" s="145" t="s">
        <v>194</v>
      </c>
      <c r="AR114" s="145" t="s">
        <v>194</v>
      </c>
      <c r="AS114" s="145" t="s">
        <v>194</v>
      </c>
      <c r="AT114" s="145" t="s">
        <v>194</v>
      </c>
      <c r="AU114" s="145" t="s">
        <v>194</v>
      </c>
      <c r="AV114" s="145" t="s">
        <v>194</v>
      </c>
      <c r="AW114" s="145" t="s">
        <v>194</v>
      </c>
      <c r="AX114" s="145" t="s">
        <v>194</v>
      </c>
      <c r="AY114" s="145" t="s">
        <v>194</v>
      </c>
      <c r="AZ114" s="149" t="s">
        <v>194</v>
      </c>
      <c r="BA114" s="149" t="s">
        <v>194</v>
      </c>
      <c r="BB114" s="149" t="s">
        <v>194</v>
      </c>
      <c r="BC114" s="149" t="s">
        <v>194</v>
      </c>
      <c r="BD114" s="149" t="s">
        <v>194</v>
      </c>
    </row>
    <row r="115" spans="1:56" x14ac:dyDescent="0.2">
      <c r="A115" s="150" t="s">
        <v>200</v>
      </c>
      <c r="B115" s="101"/>
      <c r="C115" s="145"/>
      <c r="D115" s="146"/>
      <c r="E115" s="101"/>
      <c r="F115" s="145"/>
      <c r="G115" s="146"/>
      <c r="H115" s="101"/>
      <c r="I115" s="145"/>
      <c r="J115" s="146"/>
      <c r="K115" s="148"/>
      <c r="L115" s="145"/>
      <c r="M115" s="134"/>
      <c r="N115" s="148"/>
      <c r="O115" s="145"/>
      <c r="P115" s="134"/>
      <c r="Q115" s="148"/>
      <c r="R115" s="145"/>
      <c r="S115" s="134"/>
      <c r="T115" s="148"/>
      <c r="U115" s="145"/>
      <c r="V115" s="134"/>
      <c r="W115" s="148"/>
      <c r="X115" s="145"/>
      <c r="Y115" s="134"/>
      <c r="Z115" s="148"/>
      <c r="AA115" s="145"/>
      <c r="AB115" s="134"/>
      <c r="AC115" s="130"/>
      <c r="AD115" s="145"/>
      <c r="AE115" s="146"/>
      <c r="AF115" s="136"/>
      <c r="AG115" s="145"/>
      <c r="AH115" s="134"/>
      <c r="AI115" s="136"/>
      <c r="AJ115" s="145"/>
      <c r="AK115" s="134"/>
      <c r="AL115" s="145"/>
      <c r="AM115" s="145"/>
      <c r="AN115" s="130" t="s">
        <v>176</v>
      </c>
      <c r="AO115" s="151" t="e">
        <v>#REF!</v>
      </c>
      <c r="AP115" s="151" t="e">
        <v>#REF!</v>
      </c>
      <c r="AQ115" s="151" t="e">
        <v>#REF!</v>
      </c>
      <c r="AR115" s="134" t="e">
        <v>#REF!</v>
      </c>
      <c r="AS115" s="134" t="e">
        <v>#REF!</v>
      </c>
      <c r="AT115" s="134" t="e">
        <v>#REF!</v>
      </c>
      <c r="AU115" s="134" t="e">
        <v>#REF!</v>
      </c>
      <c r="AV115" s="134">
        <v>164371179</v>
      </c>
      <c r="AW115" s="134">
        <v>172274463</v>
      </c>
      <c r="AX115" s="134">
        <v>175065693</v>
      </c>
      <c r="AY115" s="134">
        <v>183249056</v>
      </c>
      <c r="AZ115" s="134">
        <v>191836774.61000001</v>
      </c>
      <c r="BA115" s="134">
        <v>183418220.05000001</v>
      </c>
      <c r="BB115" s="134">
        <v>201762194</v>
      </c>
      <c r="BC115" s="134">
        <v>211064765</v>
      </c>
      <c r="BD115" s="134">
        <v>210164241</v>
      </c>
    </row>
    <row r="116" spans="1:56" x14ac:dyDescent="0.2">
      <c r="A116" s="150" t="s">
        <v>201</v>
      </c>
      <c r="B116" s="101" t="s">
        <v>180</v>
      </c>
      <c r="C116" s="145" t="s">
        <v>194</v>
      </c>
      <c r="D116" s="112">
        <f t="shared" si="37"/>
        <v>0</v>
      </c>
      <c r="E116" s="101" t="s">
        <v>180</v>
      </c>
      <c r="F116" s="102">
        <v>62040000</v>
      </c>
      <c r="G116" s="112">
        <f t="shared" si="38"/>
        <v>62040000</v>
      </c>
      <c r="H116" s="152">
        <v>20700292.225677896</v>
      </c>
      <c r="I116" s="102">
        <v>67586400.000000015</v>
      </c>
      <c r="J116" s="113">
        <f t="shared" si="39"/>
        <v>88286692.225677907</v>
      </c>
      <c r="K116" s="148">
        <v>23262000</v>
      </c>
      <c r="L116" s="102">
        <v>75530200</v>
      </c>
      <c r="M116" s="102">
        <f t="shared" si="40"/>
        <v>98792200</v>
      </c>
      <c r="N116" s="130">
        <f>N110+N112+N114</f>
        <v>25375400</v>
      </c>
      <c r="O116" s="102">
        <v>81496799.999999985</v>
      </c>
      <c r="P116" s="102">
        <f t="shared" si="41"/>
        <v>106872199.99999999</v>
      </c>
      <c r="Q116" s="130">
        <f>Q110+Q112+Q114</f>
        <v>27523600</v>
      </c>
      <c r="R116" s="102">
        <v>88938000</v>
      </c>
      <c r="S116" s="102">
        <f t="shared" si="42"/>
        <v>116461600</v>
      </c>
      <c r="T116" s="130">
        <f>T110+T112+T114</f>
        <v>29992900</v>
      </c>
      <c r="U116" s="102">
        <v>97227900.000000015</v>
      </c>
      <c r="V116" s="102">
        <f t="shared" si="43"/>
        <v>127220800.00000001</v>
      </c>
      <c r="W116" s="130">
        <f>W110+W112+W114</f>
        <v>32218700</v>
      </c>
      <c r="X116" s="102">
        <v>107092725</v>
      </c>
      <c r="Y116" s="102">
        <f t="shared" si="44"/>
        <v>139311425</v>
      </c>
      <c r="Z116" s="130">
        <f>Z110+Z112+Z114</f>
        <v>38146300</v>
      </c>
      <c r="AA116" s="102">
        <v>115820250</v>
      </c>
      <c r="AB116" s="102">
        <f t="shared" si="45"/>
        <v>153966550</v>
      </c>
      <c r="AC116" s="136">
        <v>35403128</v>
      </c>
      <c r="AD116" s="102">
        <v>119209000</v>
      </c>
      <c r="AE116" s="106">
        <f t="shared" si="46"/>
        <v>154612128</v>
      </c>
      <c r="AF116" s="136">
        <v>33678444</v>
      </c>
      <c r="AG116" s="102">
        <v>123027299.99999999</v>
      </c>
      <c r="AH116" s="106">
        <f t="shared" si="47"/>
        <v>156705744</v>
      </c>
      <c r="AI116" s="136">
        <v>35055659</v>
      </c>
      <c r="AJ116" s="102">
        <v>125946600</v>
      </c>
      <c r="AK116" s="106">
        <f t="shared" si="48"/>
        <v>161002259</v>
      </c>
      <c r="AL116" s="102">
        <v>155163000</v>
      </c>
      <c r="AM116" s="102">
        <v>153697680</v>
      </c>
      <c r="AN116" s="105">
        <v>131100000</v>
      </c>
      <c r="AO116" s="105">
        <v>116304800</v>
      </c>
      <c r="AP116" s="105">
        <v>118136600</v>
      </c>
      <c r="AQ116" s="105">
        <v>124852000</v>
      </c>
      <c r="AR116" s="105" t="e">
        <v>#REF!</v>
      </c>
      <c r="AS116" s="105" t="e">
        <v>#REF!</v>
      </c>
      <c r="AT116" s="105" t="e">
        <v>#REF!</v>
      </c>
      <c r="AU116" s="105" t="e">
        <v>#REF!</v>
      </c>
      <c r="AV116" s="105">
        <v>134012106</v>
      </c>
      <c r="AW116" s="105">
        <v>136519136</v>
      </c>
      <c r="AX116" s="105">
        <v>140506286</v>
      </c>
      <c r="AY116" s="105">
        <v>149887624</v>
      </c>
      <c r="AZ116" s="106">
        <v>155457795.16</v>
      </c>
      <c r="BA116" s="134">
        <v>147369897.43000001</v>
      </c>
      <c r="BB116" s="134">
        <f>170056498.58-7548288.17</f>
        <v>162508210.41000003</v>
      </c>
      <c r="BC116" s="134">
        <v>166198515</v>
      </c>
      <c r="BD116" s="134">
        <v>161060140</v>
      </c>
    </row>
    <row r="117" spans="1:56" x14ac:dyDescent="0.2">
      <c r="A117" s="153" t="s">
        <v>202</v>
      </c>
      <c r="B117" s="101"/>
      <c r="C117" s="145"/>
      <c r="D117" s="112"/>
      <c r="E117" s="101"/>
      <c r="F117" s="102"/>
      <c r="G117" s="112"/>
      <c r="H117" s="152"/>
      <c r="I117" s="102"/>
      <c r="J117" s="113"/>
      <c r="K117" s="148"/>
      <c r="L117" s="102"/>
      <c r="M117" s="102"/>
      <c r="N117" s="130"/>
      <c r="O117" s="102"/>
      <c r="P117" s="102"/>
      <c r="Q117" s="130"/>
      <c r="R117" s="102"/>
      <c r="S117" s="102"/>
      <c r="T117" s="130"/>
      <c r="U117" s="102"/>
      <c r="V117" s="102"/>
      <c r="W117" s="130"/>
      <c r="X117" s="102"/>
      <c r="Y117" s="102"/>
      <c r="Z117" s="130"/>
      <c r="AA117" s="102"/>
      <c r="AB117" s="102"/>
      <c r="AC117" s="136"/>
      <c r="AD117" s="102"/>
      <c r="AE117" s="106"/>
      <c r="AF117" s="136"/>
      <c r="AG117" s="102"/>
      <c r="AH117" s="106"/>
      <c r="AI117" s="136"/>
      <c r="AJ117" s="102"/>
      <c r="AK117" s="106"/>
      <c r="AL117" s="102"/>
      <c r="AM117" s="102"/>
      <c r="AN117" s="130" t="s">
        <v>176</v>
      </c>
      <c r="AO117" s="105" t="e">
        <v>#REF!</v>
      </c>
      <c r="AP117" s="105" t="e">
        <v>#REF!</v>
      </c>
      <c r="AQ117" s="105" t="e">
        <v>#REF!</v>
      </c>
      <c r="AR117" s="106" t="e">
        <v>#REF!</v>
      </c>
      <c r="AS117" s="106" t="e">
        <v>#REF!</v>
      </c>
      <c r="AT117" s="106" t="e">
        <v>#REF!</v>
      </c>
      <c r="AU117" s="106" t="e">
        <v>#REF!</v>
      </c>
      <c r="AV117" s="106">
        <v>26764542</v>
      </c>
      <c r="AW117" s="106">
        <v>27966000</v>
      </c>
      <c r="AX117" s="106">
        <v>26950200</v>
      </c>
      <c r="AY117" s="106">
        <v>31281200</v>
      </c>
      <c r="AZ117" s="106">
        <v>32878247.209999993</v>
      </c>
      <c r="BA117" s="134">
        <v>33911448.32</v>
      </c>
      <c r="BB117" s="134">
        <v>33445411</v>
      </c>
      <c r="BC117" s="134">
        <v>35445090</v>
      </c>
      <c r="BD117" s="134">
        <v>34591838</v>
      </c>
    </row>
    <row r="118" spans="1:56" x14ac:dyDescent="0.2">
      <c r="A118" s="153" t="s">
        <v>266</v>
      </c>
      <c r="B118" s="101" t="s">
        <v>180</v>
      </c>
      <c r="C118" s="102">
        <v>7477444.897846194</v>
      </c>
      <c r="D118" s="112">
        <f t="shared" si="37"/>
        <v>7477444.897846194</v>
      </c>
      <c r="E118" s="102" t="s">
        <v>180</v>
      </c>
      <c r="F118" s="102">
        <v>10933179.260903582</v>
      </c>
      <c r="G118" s="112">
        <f t="shared" si="38"/>
        <v>10933179.260903582</v>
      </c>
      <c r="H118" s="102">
        <v>3793300</v>
      </c>
      <c r="I118" s="102">
        <v>12341603.518033259</v>
      </c>
      <c r="J118" s="102">
        <f t="shared" si="39"/>
        <v>16134903.518033259</v>
      </c>
      <c r="K118" s="102">
        <v>4938400</v>
      </c>
      <c r="L118" s="102">
        <v>13931462.547312399</v>
      </c>
      <c r="M118" s="102">
        <f t="shared" si="40"/>
        <v>18869862.547312401</v>
      </c>
      <c r="N118" s="102">
        <v>3788000</v>
      </c>
      <c r="O118" s="102">
        <v>16888500</v>
      </c>
      <c r="P118" s="130">
        <f t="shared" si="41"/>
        <v>20676500</v>
      </c>
      <c r="Q118" s="102">
        <v>5633500</v>
      </c>
      <c r="R118" s="102">
        <v>19446599.999999996</v>
      </c>
      <c r="S118" s="130">
        <f t="shared" si="42"/>
        <v>25080099.999999996</v>
      </c>
      <c r="T118" s="102">
        <v>6542100</v>
      </c>
      <c r="U118" s="102">
        <v>22531550</v>
      </c>
      <c r="V118" s="130">
        <f t="shared" si="43"/>
        <v>29073650</v>
      </c>
      <c r="W118" s="102">
        <v>8815800</v>
      </c>
      <c r="X118" s="102">
        <v>25848825</v>
      </c>
      <c r="Y118" s="102">
        <f t="shared" si="44"/>
        <v>34664625</v>
      </c>
      <c r="Z118" s="102">
        <v>9858900</v>
      </c>
      <c r="AA118" s="102">
        <v>27813525</v>
      </c>
      <c r="AB118" s="102">
        <f t="shared" si="45"/>
        <v>37672425</v>
      </c>
      <c r="AC118" s="136">
        <v>9668900</v>
      </c>
      <c r="AD118" s="102">
        <v>29872024.999999996</v>
      </c>
      <c r="AE118" s="106">
        <f t="shared" si="46"/>
        <v>39540925</v>
      </c>
      <c r="AF118" s="136">
        <f>11070500-2731811</f>
        <v>8338689</v>
      </c>
      <c r="AG118" s="102">
        <v>30431699.999999996</v>
      </c>
      <c r="AH118" s="134">
        <f t="shared" si="47"/>
        <v>38770389</v>
      </c>
      <c r="AI118" s="136">
        <f>10677900-2606471</f>
        <v>8071429</v>
      </c>
      <c r="AJ118" s="102">
        <v>31878600</v>
      </c>
      <c r="AK118" s="106">
        <f t="shared" si="48"/>
        <v>39950029</v>
      </c>
      <c r="AL118" s="102">
        <v>36866000</v>
      </c>
      <c r="AM118" s="102">
        <v>33799000</v>
      </c>
      <c r="AN118" s="105" t="e">
        <v>#REF!</v>
      </c>
      <c r="AO118" s="105" t="e">
        <v>#REF!</v>
      </c>
      <c r="AP118" s="105" t="e">
        <v>#REF!</v>
      </c>
      <c r="AQ118" s="105" t="e">
        <v>#REF!</v>
      </c>
      <c r="AR118" s="105" t="e">
        <v>#REF!</v>
      </c>
      <c r="AS118" s="105" t="e">
        <v>#REF!</v>
      </c>
      <c r="AT118" s="105" t="e">
        <v>#REF!</v>
      </c>
      <c r="AU118" s="105" t="e">
        <v>#REF!</v>
      </c>
      <c r="AV118" s="106">
        <v>20872782</v>
      </c>
      <c r="AW118" s="106">
        <v>21833240</v>
      </c>
      <c r="AX118" s="106">
        <v>21276545</v>
      </c>
      <c r="AY118" s="107">
        <v>24560750</v>
      </c>
      <c r="AZ118" s="106">
        <v>26012953.959999993</v>
      </c>
      <c r="BA118" s="134">
        <v>27009969.390000001</v>
      </c>
      <c r="BB118" s="134">
        <v>24992718</v>
      </c>
      <c r="BC118" s="134">
        <v>26194325</v>
      </c>
      <c r="BD118" s="134">
        <v>24463096</v>
      </c>
    </row>
    <row r="119" spans="1:56" x14ac:dyDescent="0.2">
      <c r="A119" s="108" t="s">
        <v>204</v>
      </c>
      <c r="B119" s="101"/>
      <c r="C119" s="102"/>
      <c r="D119" s="112"/>
      <c r="E119" s="102"/>
      <c r="F119" s="102"/>
      <c r="G119" s="112"/>
      <c r="H119" s="102"/>
      <c r="I119" s="102"/>
      <c r="J119" s="102"/>
      <c r="K119" s="102"/>
      <c r="L119" s="102"/>
      <c r="M119" s="102"/>
      <c r="N119" s="102"/>
      <c r="O119" s="102"/>
      <c r="P119" s="130"/>
      <c r="Q119" s="102"/>
      <c r="R119" s="102"/>
      <c r="S119" s="130"/>
      <c r="T119" s="102"/>
      <c r="U119" s="102"/>
      <c r="V119" s="130"/>
      <c r="W119" s="102"/>
      <c r="X119" s="102"/>
      <c r="Y119" s="102"/>
      <c r="Z119" s="102"/>
      <c r="AA119" s="102"/>
      <c r="AB119" s="102"/>
      <c r="AC119" s="136"/>
      <c r="AD119" s="102"/>
      <c r="AE119" s="106"/>
      <c r="AF119" s="136"/>
      <c r="AG119" s="102"/>
      <c r="AH119" s="134"/>
      <c r="AI119" s="136"/>
      <c r="AJ119" s="102"/>
      <c r="AK119" s="106"/>
      <c r="AL119" s="102"/>
      <c r="AM119" s="102"/>
      <c r="AN119" s="130" t="s">
        <v>176</v>
      </c>
      <c r="AO119" s="105" t="e">
        <v>#REF!</v>
      </c>
      <c r="AP119" s="105" t="e">
        <v>#REF!</v>
      </c>
      <c r="AQ119" s="105" t="e">
        <v>#REF!</v>
      </c>
      <c r="AR119" s="106" t="e">
        <v>#REF!</v>
      </c>
      <c r="AS119" s="106" t="e">
        <v>#REF!</v>
      </c>
      <c r="AT119" s="106" t="e">
        <v>#REF!</v>
      </c>
      <c r="AU119" s="106" t="e">
        <v>#REF!</v>
      </c>
      <c r="AV119" s="106">
        <v>29600000</v>
      </c>
      <c r="AW119" s="106">
        <v>23400000</v>
      </c>
      <c r="AX119" s="106">
        <v>25968800</v>
      </c>
      <c r="AY119" s="106">
        <v>39579800</v>
      </c>
      <c r="AZ119" s="106">
        <v>48300534.010000005</v>
      </c>
      <c r="BA119" s="134">
        <v>49979909.18</v>
      </c>
      <c r="BB119" s="134">
        <v>43048945</v>
      </c>
      <c r="BC119" s="134">
        <v>31042447</v>
      </c>
      <c r="BD119" s="134">
        <v>33347545</v>
      </c>
    </row>
    <row r="120" spans="1:56" ht="23.25" thickBot="1" x14ac:dyDescent="0.25">
      <c r="A120" s="114" t="s">
        <v>205</v>
      </c>
      <c r="B120" s="101" t="s">
        <v>180</v>
      </c>
      <c r="C120" s="102">
        <v>1054938.9843682095</v>
      </c>
      <c r="D120" s="112">
        <f t="shared" si="37"/>
        <v>1054938.9843682095</v>
      </c>
      <c r="E120" s="102" t="s">
        <v>180</v>
      </c>
      <c r="F120" s="102">
        <v>1560874.7820576604</v>
      </c>
      <c r="G120" s="112">
        <f t="shared" si="38"/>
        <v>1560874.7820576604</v>
      </c>
      <c r="H120" s="102" t="s">
        <v>206</v>
      </c>
      <c r="I120" s="102">
        <v>1789159.5888116413</v>
      </c>
      <c r="J120" s="106">
        <f t="shared" si="39"/>
        <v>1789159.5888116413</v>
      </c>
      <c r="K120" s="102" t="s">
        <v>206</v>
      </c>
      <c r="L120" s="102">
        <v>2112100.75</v>
      </c>
      <c r="M120" s="106">
        <f t="shared" si="40"/>
        <v>2112100.75</v>
      </c>
      <c r="N120" s="102" t="s">
        <v>206</v>
      </c>
      <c r="O120" s="102">
        <v>2802719.4375</v>
      </c>
      <c r="P120" s="106">
        <f t="shared" si="41"/>
        <v>2802719.4375</v>
      </c>
      <c r="Q120" s="102" t="s">
        <v>206</v>
      </c>
      <c r="R120" s="102">
        <v>3840367.1875</v>
      </c>
      <c r="S120" s="106">
        <f t="shared" si="42"/>
        <v>3840367.1875</v>
      </c>
      <c r="T120" s="102" t="s">
        <v>206</v>
      </c>
      <c r="U120" s="102">
        <v>4737730.875</v>
      </c>
      <c r="V120" s="106">
        <f t="shared" si="43"/>
        <v>4737730.875</v>
      </c>
      <c r="W120" s="102" t="s">
        <v>206</v>
      </c>
      <c r="X120" s="102">
        <v>5527478.125</v>
      </c>
      <c r="Y120" s="106">
        <f t="shared" si="44"/>
        <v>5527478.125</v>
      </c>
      <c r="Z120" s="102" t="s">
        <v>206</v>
      </c>
      <c r="AA120" s="102">
        <v>4658529.5625</v>
      </c>
      <c r="AB120" s="106">
        <f t="shared" si="45"/>
        <v>4658529.5625</v>
      </c>
      <c r="AC120" s="154" t="s">
        <v>206</v>
      </c>
      <c r="AD120" s="102">
        <v>4508071.125</v>
      </c>
      <c r="AE120" s="112">
        <f t="shared" si="46"/>
        <v>4508071.125</v>
      </c>
      <c r="AF120" s="136">
        <v>2731811</v>
      </c>
      <c r="AG120" s="102">
        <v>4576083</v>
      </c>
      <c r="AH120" s="106">
        <f t="shared" si="47"/>
        <v>7307894</v>
      </c>
      <c r="AI120" s="136">
        <v>2606471</v>
      </c>
      <c r="AJ120" s="102">
        <v>5129000</v>
      </c>
      <c r="AK120" s="106">
        <f t="shared" si="48"/>
        <v>7735471</v>
      </c>
      <c r="AL120" s="102">
        <v>7374596.5999999996</v>
      </c>
      <c r="AM120" s="102">
        <v>5897000</v>
      </c>
      <c r="AN120" s="155" t="e">
        <v>#REF!</v>
      </c>
      <c r="AO120" s="155" t="e">
        <v>#REF!</v>
      </c>
      <c r="AP120" s="155" t="e">
        <v>#REF!</v>
      </c>
      <c r="AQ120" s="155" t="e">
        <v>#REF!</v>
      </c>
      <c r="AR120" s="155" t="e">
        <v>#REF!</v>
      </c>
      <c r="AS120" s="155" t="e">
        <v>#REF!</v>
      </c>
      <c r="AT120" s="155" t="e">
        <v>#REF!</v>
      </c>
      <c r="AU120" s="155" t="e">
        <v>#REF!</v>
      </c>
      <c r="AV120" s="155">
        <v>23084061</v>
      </c>
      <c r="AW120" s="155">
        <v>18240600</v>
      </c>
      <c r="AX120" s="155">
        <v>20489400</v>
      </c>
      <c r="AY120" s="155">
        <v>33558000</v>
      </c>
      <c r="AZ120" s="157">
        <v>40157964.660000004</v>
      </c>
      <c r="BA120" s="134">
        <v>41779275.57</v>
      </c>
      <c r="BB120" s="134">
        <v>33654832</v>
      </c>
      <c r="BC120" s="134">
        <v>23621706</v>
      </c>
      <c r="BD120" s="134">
        <v>24400787</v>
      </c>
    </row>
    <row r="121" spans="1:56" ht="13.5" thickBot="1" x14ac:dyDescent="0.25">
      <c r="A121" s="120" t="s">
        <v>207</v>
      </c>
      <c r="B121" s="159">
        <f>SUM(B116:B120)</f>
        <v>0</v>
      </c>
      <c r="C121" s="159">
        <f>SUM(C116:C120)</f>
        <v>8532383.8822144028</v>
      </c>
      <c r="D121" s="110">
        <f t="shared" ref="D121:AM121" si="49">SUM(D116:D120)</f>
        <v>8532383.8822144028</v>
      </c>
      <c r="E121" s="159">
        <f t="shared" si="49"/>
        <v>0</v>
      </c>
      <c r="F121" s="159">
        <f t="shared" si="49"/>
        <v>74534054.04296124</v>
      </c>
      <c r="G121" s="110">
        <f t="shared" si="49"/>
        <v>74534054.04296124</v>
      </c>
      <c r="H121" s="159">
        <f t="shared" si="49"/>
        <v>24493592.225677896</v>
      </c>
      <c r="I121" s="159">
        <f t="shared" si="49"/>
        <v>81717163.106844902</v>
      </c>
      <c r="J121" s="160">
        <f t="shared" si="49"/>
        <v>106210755.33252281</v>
      </c>
      <c r="K121" s="106">
        <f t="shared" si="49"/>
        <v>28200400</v>
      </c>
      <c r="L121" s="106">
        <f t="shared" si="49"/>
        <v>91573763.297312394</v>
      </c>
      <c r="M121" s="106">
        <f t="shared" si="49"/>
        <v>119774163.29731241</v>
      </c>
      <c r="N121" s="106">
        <f t="shared" si="49"/>
        <v>29163400</v>
      </c>
      <c r="O121" s="106">
        <f t="shared" si="49"/>
        <v>101188019.43749999</v>
      </c>
      <c r="P121" s="106">
        <f t="shared" si="49"/>
        <v>130351419.43749999</v>
      </c>
      <c r="Q121" s="106">
        <f t="shared" si="49"/>
        <v>33157100</v>
      </c>
      <c r="R121" s="106">
        <f t="shared" si="49"/>
        <v>112224967.1875</v>
      </c>
      <c r="S121" s="106">
        <f t="shared" si="49"/>
        <v>145382067.1875</v>
      </c>
      <c r="T121" s="106">
        <f t="shared" si="49"/>
        <v>36535000</v>
      </c>
      <c r="U121" s="106">
        <f t="shared" si="49"/>
        <v>124497180.87500001</v>
      </c>
      <c r="V121" s="106">
        <f t="shared" si="49"/>
        <v>161032180.875</v>
      </c>
      <c r="W121" s="106">
        <f t="shared" si="49"/>
        <v>41034500</v>
      </c>
      <c r="X121" s="106">
        <f t="shared" si="49"/>
        <v>138469028.125</v>
      </c>
      <c r="Y121" s="106">
        <f t="shared" si="49"/>
        <v>179503528.125</v>
      </c>
      <c r="Z121" s="106">
        <f t="shared" si="49"/>
        <v>48005200</v>
      </c>
      <c r="AA121" s="106">
        <f t="shared" si="49"/>
        <v>148292304.5625</v>
      </c>
      <c r="AB121" s="106">
        <f t="shared" si="49"/>
        <v>196297504.5625</v>
      </c>
      <c r="AC121" s="106">
        <f t="shared" si="49"/>
        <v>45072028</v>
      </c>
      <c r="AD121" s="106">
        <f t="shared" si="49"/>
        <v>153589096.125</v>
      </c>
      <c r="AE121" s="161">
        <f t="shared" si="49"/>
        <v>198661124.125</v>
      </c>
      <c r="AF121" s="161">
        <f t="shared" si="49"/>
        <v>44748944</v>
      </c>
      <c r="AG121" s="161">
        <f t="shared" si="49"/>
        <v>158035082.99999997</v>
      </c>
      <c r="AH121" s="161">
        <f t="shared" si="49"/>
        <v>202784027</v>
      </c>
      <c r="AI121" s="161">
        <f t="shared" si="49"/>
        <v>45733559</v>
      </c>
      <c r="AJ121" s="161">
        <f t="shared" si="49"/>
        <v>162954200</v>
      </c>
      <c r="AK121" s="161">
        <f t="shared" si="49"/>
        <v>208687759</v>
      </c>
      <c r="AL121" s="106">
        <f t="shared" si="49"/>
        <v>199403596.59999999</v>
      </c>
      <c r="AM121" s="106">
        <f t="shared" si="49"/>
        <v>193393680</v>
      </c>
      <c r="AN121" s="162" t="e">
        <f t="shared" ref="AN121:AU121" si="50">AN116+AN118+AN120</f>
        <v>#REF!</v>
      </c>
      <c r="AO121" s="162" t="e">
        <f t="shared" si="50"/>
        <v>#REF!</v>
      </c>
      <c r="AP121" s="162" t="e">
        <f t="shared" si="50"/>
        <v>#REF!</v>
      </c>
      <c r="AQ121" s="162" t="e">
        <f t="shared" si="50"/>
        <v>#REF!</v>
      </c>
      <c r="AR121" s="162" t="e">
        <f t="shared" si="50"/>
        <v>#REF!</v>
      </c>
      <c r="AS121" s="162" t="e">
        <f t="shared" si="50"/>
        <v>#REF!</v>
      </c>
      <c r="AT121" s="162" t="e">
        <f t="shared" si="50"/>
        <v>#REF!</v>
      </c>
      <c r="AU121" s="162" t="e">
        <f t="shared" si="50"/>
        <v>#REF!</v>
      </c>
      <c r="AV121" s="162">
        <v>177968949</v>
      </c>
      <c r="AW121" s="162">
        <v>176592976</v>
      </c>
      <c r="AX121" s="162">
        <v>182272231</v>
      </c>
      <c r="AY121" s="162">
        <v>208006374</v>
      </c>
      <c r="AZ121" s="162">
        <f>AZ116+AZ118+AZ120</f>
        <v>221628713.78</v>
      </c>
      <c r="BA121" s="162">
        <f>BA116+BA118+BA120</f>
        <v>216159142.38999999</v>
      </c>
      <c r="BB121" s="162">
        <f t="shared" ref="BB121:BD121" si="51">BB116+BB118+BB120</f>
        <v>221155760.41000003</v>
      </c>
      <c r="BC121" s="162">
        <f t="shared" si="51"/>
        <v>216014546</v>
      </c>
      <c r="BD121" s="162">
        <f t="shared" si="51"/>
        <v>209924023</v>
      </c>
    </row>
    <row r="122" spans="1:56" ht="13.5" thickBot="1" x14ac:dyDescent="0.25">
      <c r="A122" s="120" t="s">
        <v>208</v>
      </c>
      <c r="B122" s="159"/>
      <c r="C122" s="159"/>
      <c r="D122" s="110"/>
      <c r="E122" s="159"/>
      <c r="F122" s="159"/>
      <c r="G122" s="110"/>
      <c r="H122" s="159"/>
      <c r="I122" s="159"/>
      <c r="J122" s="160"/>
      <c r="K122" s="106"/>
      <c r="L122" s="106"/>
      <c r="M122" s="106"/>
      <c r="N122" s="106"/>
      <c r="O122" s="106"/>
      <c r="P122" s="106"/>
      <c r="Q122" s="106"/>
      <c r="R122" s="106"/>
      <c r="S122" s="106"/>
      <c r="T122" s="106"/>
      <c r="U122" s="106"/>
      <c r="V122" s="106"/>
      <c r="W122" s="106"/>
      <c r="X122" s="106"/>
      <c r="Y122" s="106"/>
      <c r="Z122" s="106"/>
      <c r="AA122" s="106"/>
      <c r="AB122" s="106"/>
      <c r="AC122" s="106"/>
      <c r="AD122" s="106"/>
      <c r="AE122" s="161"/>
      <c r="AF122" s="161"/>
      <c r="AG122" s="161"/>
      <c r="AH122" s="161"/>
      <c r="AI122" s="161"/>
      <c r="AJ122" s="161"/>
      <c r="AK122" s="161"/>
      <c r="AL122" s="106"/>
      <c r="AM122" s="106"/>
      <c r="AN122" s="162"/>
      <c r="AO122" s="162" t="e">
        <f t="shared" ref="AO122:AU122" si="52">AO115+AO117+AO119</f>
        <v>#REF!</v>
      </c>
      <c r="AP122" s="162" t="e">
        <f t="shared" si="52"/>
        <v>#REF!</v>
      </c>
      <c r="AQ122" s="162" t="e">
        <f t="shared" si="52"/>
        <v>#REF!</v>
      </c>
      <c r="AR122" s="162" t="e">
        <f t="shared" si="52"/>
        <v>#REF!</v>
      </c>
      <c r="AS122" s="162" t="e">
        <f t="shared" si="52"/>
        <v>#REF!</v>
      </c>
      <c r="AT122" s="162" t="e">
        <f t="shared" si="52"/>
        <v>#REF!</v>
      </c>
      <c r="AU122" s="162" t="e">
        <f t="shared" si="52"/>
        <v>#REF!</v>
      </c>
      <c r="AV122" s="162">
        <v>220735721</v>
      </c>
      <c r="AW122" s="162">
        <v>223640463</v>
      </c>
      <c r="AX122" s="162">
        <v>227984693</v>
      </c>
      <c r="AY122" s="162">
        <v>254110056</v>
      </c>
      <c r="AZ122" s="162">
        <f>AZ115+AZ117+AZ119</f>
        <v>273015555.82999998</v>
      </c>
      <c r="BA122" s="162">
        <f>BA115+BA117+BA119</f>
        <v>267309577.55000001</v>
      </c>
      <c r="BB122" s="162">
        <f t="shared" ref="BB122:BD122" si="53">BB115+BB117+BB119</f>
        <v>278256550</v>
      </c>
      <c r="BC122" s="162">
        <f t="shared" si="53"/>
        <v>277552302</v>
      </c>
      <c r="BD122" s="162">
        <f t="shared" si="53"/>
        <v>278103624</v>
      </c>
    </row>
    <row r="123" spans="1:56" ht="13.5" thickBot="1" x14ac:dyDescent="0.25">
      <c r="A123" s="120" t="s">
        <v>209</v>
      </c>
      <c r="B123" s="159"/>
      <c r="C123" s="159"/>
      <c r="D123" s="110"/>
      <c r="E123" s="159"/>
      <c r="F123" s="159"/>
      <c r="G123" s="110"/>
      <c r="H123" s="159"/>
      <c r="I123" s="159"/>
      <c r="J123" s="160"/>
      <c r="K123" s="106"/>
      <c r="L123" s="106"/>
      <c r="M123" s="106"/>
      <c r="N123" s="106"/>
      <c r="O123" s="106"/>
      <c r="P123" s="106"/>
      <c r="Q123" s="106"/>
      <c r="R123" s="106"/>
      <c r="S123" s="106"/>
      <c r="T123" s="106"/>
      <c r="U123" s="106"/>
      <c r="V123" s="106"/>
      <c r="W123" s="106"/>
      <c r="X123" s="106"/>
      <c r="Y123" s="106"/>
      <c r="Z123" s="106"/>
      <c r="AA123" s="106"/>
      <c r="AB123" s="106"/>
      <c r="AC123" s="106"/>
      <c r="AD123" s="106"/>
      <c r="AE123" s="161"/>
      <c r="AF123" s="161"/>
      <c r="AG123" s="161"/>
      <c r="AH123" s="161"/>
      <c r="AI123" s="161"/>
      <c r="AJ123" s="161"/>
      <c r="AK123" s="161"/>
      <c r="AL123" s="106"/>
      <c r="AM123" s="106"/>
      <c r="AN123" s="162"/>
      <c r="AO123" s="162" t="e">
        <f t="shared" ref="AO123:BD123" si="54">AO122/AO108</f>
        <v>#REF!</v>
      </c>
      <c r="AP123" s="162" t="e">
        <f t="shared" si="54"/>
        <v>#REF!</v>
      </c>
      <c r="AQ123" s="162" t="e">
        <f t="shared" si="54"/>
        <v>#REF!</v>
      </c>
      <c r="AR123" s="162" t="e">
        <f t="shared" si="54"/>
        <v>#REF!</v>
      </c>
      <c r="AS123" s="162" t="e">
        <f t="shared" si="54"/>
        <v>#REF!</v>
      </c>
      <c r="AT123" s="162" t="e">
        <f t="shared" si="54"/>
        <v>#REF!</v>
      </c>
      <c r="AU123" s="162" t="e">
        <f t="shared" si="54"/>
        <v>#REF!</v>
      </c>
      <c r="AV123" s="162">
        <v>101441.04825367648</v>
      </c>
      <c r="AW123" s="162">
        <v>101654.75590909091</v>
      </c>
      <c r="AX123" s="162">
        <v>102511.10296762591</v>
      </c>
      <c r="AY123" s="162">
        <v>113543.3672922252</v>
      </c>
      <c r="AZ123" s="162">
        <f t="shared" si="54"/>
        <v>120377.22920194003</v>
      </c>
      <c r="BA123" s="162">
        <f t="shared" si="54"/>
        <v>118949.11027206464</v>
      </c>
      <c r="BB123" s="162">
        <f t="shared" si="54"/>
        <v>127582.09536909674</v>
      </c>
      <c r="BC123" s="162">
        <f t="shared" si="54"/>
        <v>125023.55945945946</v>
      </c>
      <c r="BD123" s="162">
        <f t="shared" si="54"/>
        <v>123437.02796271638</v>
      </c>
    </row>
    <row r="124" spans="1:56" ht="13.5" thickBot="1" x14ac:dyDescent="0.25">
      <c r="A124" s="91" t="s">
        <v>210</v>
      </c>
      <c r="B124" s="164">
        <v>409503500</v>
      </c>
      <c r="C124" s="164"/>
      <c r="D124" s="164">
        <f t="shared" si="37"/>
        <v>409503500</v>
      </c>
      <c r="E124" s="164">
        <v>423009000</v>
      </c>
      <c r="F124" s="164"/>
      <c r="G124" s="164">
        <f t="shared" si="38"/>
        <v>423009000</v>
      </c>
      <c r="H124" s="164">
        <v>513011000</v>
      </c>
      <c r="I124" s="164"/>
      <c r="J124" s="164">
        <f t="shared" si="39"/>
        <v>513011000</v>
      </c>
      <c r="K124" s="164">
        <v>493587500</v>
      </c>
      <c r="L124" s="164"/>
      <c r="M124" s="164">
        <f t="shared" si="40"/>
        <v>493587500</v>
      </c>
      <c r="N124" s="164">
        <v>528306800</v>
      </c>
      <c r="O124" s="164"/>
      <c r="P124" s="164">
        <f t="shared" si="41"/>
        <v>528306800</v>
      </c>
      <c r="Q124" s="164">
        <v>583611500</v>
      </c>
      <c r="R124" s="164"/>
      <c r="S124" s="164">
        <f t="shared" si="42"/>
        <v>583611500</v>
      </c>
      <c r="T124" s="164">
        <v>627543500</v>
      </c>
      <c r="U124" s="164"/>
      <c r="V124" s="164">
        <f t="shared" si="43"/>
        <v>627543500</v>
      </c>
      <c r="W124" s="164">
        <v>671038000</v>
      </c>
      <c r="X124" s="164"/>
      <c r="Y124" s="164">
        <f t="shared" si="44"/>
        <v>671038000</v>
      </c>
      <c r="Z124" s="164">
        <v>745968200</v>
      </c>
      <c r="AA124" s="164"/>
      <c r="AB124" s="164">
        <f t="shared" si="45"/>
        <v>745968200</v>
      </c>
      <c r="AC124" s="164">
        <v>805588000</v>
      </c>
      <c r="AD124" s="164"/>
      <c r="AE124" s="164">
        <f t="shared" si="46"/>
        <v>805588000</v>
      </c>
      <c r="AF124" s="164">
        <v>875331000</v>
      </c>
      <c r="AG124" s="164"/>
      <c r="AH124" s="164">
        <f t="shared" si="47"/>
        <v>875331000</v>
      </c>
      <c r="AI124" s="164">
        <v>953436077.67999995</v>
      </c>
      <c r="AJ124" s="164"/>
      <c r="AK124" s="164">
        <f t="shared" si="48"/>
        <v>953436077.67999995</v>
      </c>
      <c r="AL124" s="164"/>
      <c r="AM124" s="164"/>
      <c r="AN124" s="164">
        <f xml:space="preserve"> AN125+AN126+AN127+AN128+AN132+AN133+AN134+AN140</f>
        <v>0</v>
      </c>
      <c r="AO124" s="164">
        <f t="shared" ref="AO124:AU124" si="55" xml:space="preserve"> AO125+AO126+AO127+AO128+AO132+AO133+AO134+AO140</f>
        <v>0</v>
      </c>
      <c r="AP124" s="164">
        <f t="shared" si="55"/>
        <v>0</v>
      </c>
      <c r="AQ124" s="164">
        <f t="shared" si="55"/>
        <v>0</v>
      </c>
      <c r="AR124" s="164">
        <f t="shared" si="55"/>
        <v>0</v>
      </c>
      <c r="AS124" s="164">
        <f t="shared" si="55"/>
        <v>0</v>
      </c>
      <c r="AT124" s="164">
        <f t="shared" si="55"/>
        <v>0</v>
      </c>
      <c r="AU124" s="164">
        <f t="shared" si="55"/>
        <v>0</v>
      </c>
      <c r="AV124" s="164">
        <v>5461700485.5200005</v>
      </c>
      <c r="AW124" s="164">
        <v>5836801051.6000004</v>
      </c>
      <c r="AX124" s="164">
        <v>6084012433.25</v>
      </c>
      <c r="AY124" s="164">
        <v>6227669098.3699989</v>
      </c>
      <c r="AZ124" s="164">
        <v>6471688518.46</v>
      </c>
      <c r="BA124" s="164">
        <v>6645381075.4400005</v>
      </c>
      <c r="BB124" s="164">
        <v>6897946252.6400003</v>
      </c>
      <c r="BC124" s="164">
        <v>7228382170.4599991</v>
      </c>
      <c r="BD124" s="164">
        <v>7873964265.6899996</v>
      </c>
    </row>
    <row r="127" spans="1:56" x14ac:dyDescent="0.2">
      <c r="A127" s="57" t="s">
        <v>267</v>
      </c>
      <c r="AV127" s="232">
        <f>AV21-AV108</f>
        <v>-29</v>
      </c>
      <c r="AW127" s="232">
        <f t="shared" ref="AW127:BD127" si="56">AW21-AW108</f>
        <v>1</v>
      </c>
      <c r="AX127" s="232">
        <f t="shared" si="56"/>
        <v>-41</v>
      </c>
      <c r="AY127" s="232">
        <f t="shared" si="56"/>
        <v>-27</v>
      </c>
      <c r="AZ127" s="232">
        <f t="shared" si="56"/>
        <v>-49</v>
      </c>
      <c r="BA127" s="232">
        <f t="shared" si="56"/>
        <v>-63.260000000000218</v>
      </c>
      <c r="BB127" s="232">
        <f t="shared" si="56"/>
        <v>1</v>
      </c>
      <c r="BC127" s="232">
        <f t="shared" si="56"/>
        <v>1</v>
      </c>
      <c r="BD127" s="232">
        <f t="shared" si="56"/>
        <v>1</v>
      </c>
    </row>
    <row r="129" spans="1:56" x14ac:dyDescent="0.2">
      <c r="A129" s="57" t="s">
        <v>268</v>
      </c>
      <c r="AV129" s="230">
        <f>AV31-AV118</f>
        <v>0</v>
      </c>
      <c r="AW129" s="230">
        <f t="shared" ref="AW129:BD129" si="57">AW31-AW118</f>
        <v>0</v>
      </c>
      <c r="AX129" s="230">
        <f t="shared" si="57"/>
        <v>0</v>
      </c>
      <c r="AY129" s="230">
        <f t="shared" si="57"/>
        <v>63514</v>
      </c>
      <c r="AZ129" s="230">
        <f t="shared" si="57"/>
        <v>0</v>
      </c>
      <c r="BA129" s="230">
        <f t="shared" si="57"/>
        <v>0</v>
      </c>
      <c r="BB129" s="230">
        <f t="shared" si="57"/>
        <v>0</v>
      </c>
      <c r="BC129" s="230">
        <f t="shared" si="57"/>
        <v>0</v>
      </c>
      <c r="BD129" s="230">
        <f t="shared" si="57"/>
        <v>0</v>
      </c>
    </row>
  </sheetData>
  <pageMargins left="0.74803149606299213" right="0.74803149606299213" top="0.98425196850393704" bottom="0.98425196850393704" header="0.51181102362204722" footer="0.51181102362204722"/>
  <pageSetup paperSize="17" scale="23"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CS69"/>
  <sheetViews>
    <sheetView view="pageBreakPreview" zoomScale="60" zoomScaleNormal="100" workbookViewId="0">
      <pane xSplit="3" ySplit="4" topLeftCell="D5" activePane="bottomRight" state="frozen"/>
      <selection activeCell="A39" sqref="A39"/>
      <selection pane="topRight" activeCell="A39" sqref="A39"/>
      <selection pane="bottomLeft" activeCell="A39" sqref="A39"/>
      <selection pane="bottomRight" activeCell="D5" sqref="D5"/>
    </sheetView>
  </sheetViews>
  <sheetFormatPr defaultColWidth="9.140625" defaultRowHeight="15" x14ac:dyDescent="0.25"/>
  <cols>
    <col min="1" max="1" width="26.85546875" style="57" bestFit="1" customWidth="1"/>
    <col min="2" max="2" width="26.85546875" style="311" bestFit="1" customWidth="1"/>
    <col min="3" max="6" width="15.7109375" style="311" customWidth="1"/>
    <col min="7" max="7" width="21.85546875" style="312" customWidth="1"/>
    <col min="8" max="8" width="21.7109375" style="312" customWidth="1"/>
    <col min="9" max="10" width="18.28515625" style="312" customWidth="1"/>
    <col min="11" max="11" width="15.7109375" style="312" customWidth="1"/>
    <col min="12" max="12" width="25.42578125" style="313" customWidth="1"/>
    <col min="13" max="14" width="15.7109375" style="314" customWidth="1"/>
    <col min="15" max="19" width="15.7109375" style="312" customWidth="1"/>
    <col min="20" max="22" width="15.7109375" style="314" customWidth="1"/>
    <col min="23" max="23" width="15.7109375" style="312" customWidth="1"/>
    <col min="24" max="24" width="15.7109375" style="314" customWidth="1"/>
    <col min="25" max="27" width="15.7109375" style="312" customWidth="1"/>
    <col min="28" max="34" width="15.7109375" style="314" customWidth="1"/>
    <col min="35" max="50" width="15.7109375" style="312" customWidth="1"/>
    <col min="51" max="51" width="15.7109375" style="314" customWidth="1"/>
    <col min="52" max="54" width="15.7109375" style="311" customWidth="1"/>
    <col min="55" max="55" width="15.7109375" style="314" customWidth="1"/>
    <col min="56" max="57" width="15.7109375" style="322" customWidth="1"/>
    <col min="58" max="64" width="15.7109375" style="314" customWidth="1"/>
    <col min="65" max="65" width="18.85546875" style="314" customWidth="1"/>
    <col min="66" max="77" width="15.7109375" style="314" customWidth="1"/>
    <col min="78" max="79" width="15.7109375" style="311" customWidth="1"/>
    <col min="80" max="80" width="16.28515625" style="314" customWidth="1"/>
    <col min="81" max="87" width="15.7109375" style="314" customWidth="1"/>
    <col min="88" max="88" width="16.5703125" style="311" customWidth="1"/>
    <col min="89" max="89" width="15.7109375" style="311" customWidth="1"/>
    <col min="90" max="92" width="15.7109375" style="314" customWidth="1"/>
    <col min="93" max="93" width="15.7109375" style="338" customWidth="1"/>
    <col min="94" max="97" width="15.7109375" style="314" customWidth="1"/>
    <col min="98" max="98" width="12.85546875" style="57" customWidth="1"/>
    <col min="99" max="101" width="14.7109375" style="57" customWidth="1"/>
    <col min="102" max="16384" width="9.140625" style="57"/>
  </cols>
  <sheetData>
    <row r="1" spans="1:83" s="236" customFormat="1" ht="13.5" thickBot="1" x14ac:dyDescent="0.25">
      <c r="A1" s="233" t="s">
        <v>269</v>
      </c>
      <c r="B1" s="234"/>
      <c r="C1" s="234"/>
      <c r="D1" s="372" t="s">
        <v>270</v>
      </c>
      <c r="E1" s="372"/>
      <c r="F1" s="372"/>
      <c r="G1" s="372"/>
      <c r="H1" s="372"/>
      <c r="I1" s="372"/>
      <c r="J1" s="372"/>
      <c r="K1" s="372"/>
      <c r="L1" s="372"/>
      <c r="M1" s="372"/>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235"/>
      <c r="CC1" s="235"/>
      <c r="CD1" s="235"/>
      <c r="CE1" s="235"/>
    </row>
    <row r="2" spans="1:83" s="248" customFormat="1" ht="56.25" customHeight="1" thickTop="1" thickBot="1" x14ac:dyDescent="0.25">
      <c r="A2" s="237" t="s">
        <v>271</v>
      </c>
      <c r="B2" s="238" t="s">
        <v>1</v>
      </c>
      <c r="C2" s="239" t="s">
        <v>0</v>
      </c>
      <c r="D2" s="240" t="s">
        <v>272</v>
      </c>
      <c r="E2" s="240" t="s">
        <v>273</v>
      </c>
      <c r="F2" s="240" t="s">
        <v>274</v>
      </c>
      <c r="G2" s="241" t="s">
        <v>275</v>
      </c>
      <c r="H2" s="241" t="s">
        <v>276</v>
      </c>
      <c r="I2" s="241" t="s">
        <v>277</v>
      </c>
      <c r="J2" s="240" t="s">
        <v>278</v>
      </c>
      <c r="K2" s="241" t="s">
        <v>279</v>
      </c>
      <c r="L2" s="240" t="s">
        <v>280</v>
      </c>
      <c r="M2" s="240" t="s">
        <v>281</v>
      </c>
      <c r="N2" s="240" t="s">
        <v>282</v>
      </c>
      <c r="O2" s="241" t="s">
        <v>174</v>
      </c>
      <c r="P2" s="241" t="s">
        <v>283</v>
      </c>
      <c r="Q2" s="241" t="s">
        <v>284</v>
      </c>
      <c r="R2" s="241" t="s">
        <v>285</v>
      </c>
      <c r="S2" s="241" t="s">
        <v>286</v>
      </c>
      <c r="T2" s="241" t="s">
        <v>287</v>
      </c>
      <c r="U2" s="241" t="s">
        <v>288</v>
      </c>
      <c r="V2" s="240" t="s">
        <v>289</v>
      </c>
      <c r="W2" s="242" t="s">
        <v>290</v>
      </c>
      <c r="X2" s="240" t="s">
        <v>291</v>
      </c>
      <c r="Y2" s="240" t="s">
        <v>292</v>
      </c>
      <c r="Z2" s="240" t="s">
        <v>293</v>
      </c>
      <c r="AA2" s="242" t="s">
        <v>294</v>
      </c>
      <c r="AB2" s="240" t="s">
        <v>295</v>
      </c>
      <c r="AC2" s="240" t="s">
        <v>296</v>
      </c>
      <c r="AD2" s="240" t="s">
        <v>297</v>
      </c>
      <c r="AE2" s="240" t="s">
        <v>298</v>
      </c>
      <c r="AF2" s="240" t="s">
        <v>299</v>
      </c>
      <c r="AG2" s="242" t="s">
        <v>300</v>
      </c>
      <c r="AH2" s="240" t="s">
        <v>301</v>
      </c>
      <c r="AI2" s="240" t="s">
        <v>302</v>
      </c>
      <c r="AJ2" s="240" t="s">
        <v>303</v>
      </c>
      <c r="AK2" s="243" t="s">
        <v>304</v>
      </c>
      <c r="AL2" s="241" t="s">
        <v>305</v>
      </c>
      <c r="AM2" s="244" t="s">
        <v>306</v>
      </c>
      <c r="AN2" s="244" t="s">
        <v>307</v>
      </c>
      <c r="AO2" s="244" t="s">
        <v>308</v>
      </c>
      <c r="AP2" s="241" t="s">
        <v>309</v>
      </c>
      <c r="AQ2" s="245" t="s">
        <v>310</v>
      </c>
      <c r="AR2" s="246" t="s">
        <v>311</v>
      </c>
      <c r="AS2" s="241" t="s">
        <v>312</v>
      </c>
      <c r="AT2" s="241" t="s">
        <v>313</v>
      </c>
      <c r="AU2" s="241" t="s">
        <v>314</v>
      </c>
      <c r="AV2" s="241" t="s">
        <v>315</v>
      </c>
      <c r="AW2" s="241" t="s">
        <v>316</v>
      </c>
      <c r="AX2" s="241" t="s">
        <v>317</v>
      </c>
      <c r="AY2" s="241" t="s">
        <v>318</v>
      </c>
      <c r="AZ2" s="241" t="s">
        <v>319</v>
      </c>
      <c r="BA2" s="241" t="s">
        <v>320</v>
      </c>
      <c r="BB2" s="241" t="s">
        <v>321</v>
      </c>
      <c r="BC2" s="241" t="s">
        <v>322</v>
      </c>
      <c r="BD2" s="241" t="s">
        <v>323</v>
      </c>
      <c r="BE2" s="241" t="s">
        <v>324</v>
      </c>
      <c r="BF2" s="241" t="s">
        <v>325</v>
      </c>
      <c r="BG2" s="241" t="s">
        <v>326</v>
      </c>
      <c r="BH2" s="241" t="s">
        <v>327</v>
      </c>
      <c r="BI2" s="241" t="s">
        <v>328</v>
      </c>
      <c r="BJ2" s="241" t="s">
        <v>329</v>
      </c>
      <c r="BK2" s="241" t="s">
        <v>330</v>
      </c>
      <c r="BL2" s="241" t="s">
        <v>331</v>
      </c>
      <c r="BM2" s="241" t="s">
        <v>332</v>
      </c>
      <c r="BN2" s="241" t="s">
        <v>333</v>
      </c>
      <c r="BO2" s="241" t="s">
        <v>334</v>
      </c>
      <c r="BP2" s="241" t="s">
        <v>335</v>
      </c>
      <c r="BQ2" s="241" t="s">
        <v>336</v>
      </c>
      <c r="BR2" s="241" t="s">
        <v>337</v>
      </c>
      <c r="BS2" s="241" t="s">
        <v>338</v>
      </c>
      <c r="BT2" s="241" t="s">
        <v>339</v>
      </c>
      <c r="BU2" s="241" t="s">
        <v>340</v>
      </c>
      <c r="BV2" s="241" t="s">
        <v>341</v>
      </c>
      <c r="BW2" s="247" t="s">
        <v>342</v>
      </c>
      <c r="BX2" s="241" t="s">
        <v>343</v>
      </c>
      <c r="BY2" s="241" t="s">
        <v>344</v>
      </c>
      <c r="BZ2" s="241" t="s">
        <v>345</v>
      </c>
      <c r="CA2" s="241" t="s">
        <v>346</v>
      </c>
      <c r="CB2" s="241" t="s">
        <v>347</v>
      </c>
      <c r="CC2" s="241" t="s">
        <v>348</v>
      </c>
      <c r="CD2" s="241" t="s">
        <v>349</v>
      </c>
      <c r="CE2" s="241" t="s">
        <v>350</v>
      </c>
    </row>
    <row r="3" spans="1:83" s="257" customFormat="1" ht="58.5" customHeight="1" thickTop="1" thickBot="1" x14ac:dyDescent="0.25">
      <c r="A3" s="249" t="s">
        <v>351</v>
      </c>
      <c r="B3" s="250" t="s">
        <v>352</v>
      </c>
      <c r="C3" s="251"/>
      <c r="D3" s="252" t="s">
        <v>353</v>
      </c>
      <c r="E3" s="252" t="s">
        <v>353</v>
      </c>
      <c r="F3" s="252" t="s">
        <v>353</v>
      </c>
      <c r="G3" s="253"/>
      <c r="H3" s="253"/>
      <c r="I3" s="253"/>
      <c r="J3" s="252"/>
      <c r="K3" s="253"/>
      <c r="L3" s="252"/>
      <c r="M3" s="252"/>
      <c r="N3" s="252"/>
      <c r="O3" s="253"/>
      <c r="P3" s="253"/>
      <c r="Q3" s="253"/>
      <c r="R3" s="253"/>
      <c r="S3" s="253"/>
      <c r="T3" s="253"/>
      <c r="U3" s="253"/>
      <c r="V3" s="252"/>
      <c r="W3" s="252"/>
      <c r="X3" s="252"/>
      <c r="Y3" s="252"/>
      <c r="Z3" s="252"/>
      <c r="AA3" s="252"/>
      <c r="AB3" s="252"/>
      <c r="AC3" s="252"/>
      <c r="AD3" s="252"/>
      <c r="AE3" s="252"/>
      <c r="AF3" s="252"/>
      <c r="AG3" s="252"/>
      <c r="AH3" s="252"/>
      <c r="AI3" s="252"/>
      <c r="AJ3" s="252"/>
      <c r="AK3" s="252"/>
      <c r="AL3" s="253"/>
      <c r="AM3" s="254"/>
      <c r="AN3" s="254"/>
      <c r="AO3" s="254"/>
      <c r="AP3" s="253"/>
      <c r="AQ3" s="255"/>
      <c r="AR3" s="255"/>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6"/>
      <c r="BX3" s="253"/>
      <c r="BY3" s="253"/>
      <c r="BZ3" s="253"/>
      <c r="CA3" s="253"/>
      <c r="CB3" s="235"/>
      <c r="CC3" s="235"/>
      <c r="CD3" s="235"/>
      <c r="CE3" s="235"/>
    </row>
    <row r="4" spans="1:83" s="264" customFormat="1" ht="13.5" thickTop="1" x14ac:dyDescent="0.2">
      <c r="A4" s="258" t="s">
        <v>354</v>
      </c>
      <c r="B4" s="250" t="s">
        <v>352</v>
      </c>
      <c r="C4" s="250" t="s">
        <v>355</v>
      </c>
      <c r="D4" s="259" t="s">
        <v>356</v>
      </c>
      <c r="E4" s="259" t="s">
        <v>357</v>
      </c>
      <c r="F4" s="259" t="s">
        <v>358</v>
      </c>
      <c r="G4" s="260" t="s">
        <v>359</v>
      </c>
      <c r="H4" s="260" t="s">
        <v>360</v>
      </c>
      <c r="I4" s="260" t="s">
        <v>361</v>
      </c>
      <c r="J4" s="259" t="s">
        <v>362</v>
      </c>
      <c r="K4" s="260" t="s">
        <v>363</v>
      </c>
      <c r="L4" s="259" t="s">
        <v>364</v>
      </c>
      <c r="M4" s="259" t="s">
        <v>365</v>
      </c>
      <c r="N4" s="259" t="s">
        <v>366</v>
      </c>
      <c r="O4" s="260" t="s">
        <v>367</v>
      </c>
      <c r="P4" s="260" t="s">
        <v>368</v>
      </c>
      <c r="Q4" s="260" t="s">
        <v>369</v>
      </c>
      <c r="R4" s="260"/>
      <c r="S4" s="260"/>
      <c r="T4" s="260"/>
      <c r="U4" s="260"/>
      <c r="V4" s="259" t="s">
        <v>370</v>
      </c>
      <c r="W4" s="259"/>
      <c r="X4" s="259" t="s">
        <v>371</v>
      </c>
      <c r="Y4" s="259" t="s">
        <v>372</v>
      </c>
      <c r="Z4" s="259" t="s">
        <v>373</v>
      </c>
      <c r="AA4" s="259"/>
      <c r="AB4" s="259" t="s">
        <v>374</v>
      </c>
      <c r="AC4" s="259" t="s">
        <v>375</v>
      </c>
      <c r="AD4" s="259" t="s">
        <v>376</v>
      </c>
      <c r="AE4" s="259" t="s">
        <v>377</v>
      </c>
      <c r="AF4" s="259" t="s">
        <v>378</v>
      </c>
      <c r="AG4" s="259"/>
      <c r="AH4" s="259" t="s">
        <v>379</v>
      </c>
      <c r="AI4" s="259" t="s">
        <v>380</v>
      </c>
      <c r="AJ4" s="259" t="s">
        <v>381</v>
      </c>
      <c r="AK4" s="259"/>
      <c r="AL4" s="260" t="s">
        <v>382</v>
      </c>
      <c r="AM4" s="261" t="s">
        <v>383</v>
      </c>
      <c r="AN4" s="261" t="s">
        <v>384</v>
      </c>
      <c r="AO4" s="261" t="s">
        <v>385</v>
      </c>
      <c r="AP4" s="260" t="s">
        <v>386</v>
      </c>
      <c r="AQ4" s="262" t="s">
        <v>387</v>
      </c>
      <c r="AR4" s="262" t="s">
        <v>388</v>
      </c>
      <c r="AS4" s="260" t="s">
        <v>389</v>
      </c>
      <c r="AT4" s="260"/>
      <c r="AU4" s="260"/>
      <c r="AV4" s="260" t="s">
        <v>390</v>
      </c>
      <c r="AW4" s="260"/>
      <c r="AX4" s="260"/>
      <c r="AY4" s="260"/>
      <c r="AZ4" s="260" t="s">
        <v>391</v>
      </c>
      <c r="BA4" s="260" t="s">
        <v>392</v>
      </c>
      <c r="BB4" s="260"/>
      <c r="BC4" s="260"/>
      <c r="BD4" s="260" t="s">
        <v>393</v>
      </c>
      <c r="BE4" s="260" t="s">
        <v>394</v>
      </c>
      <c r="BF4" s="260" t="s">
        <v>395</v>
      </c>
      <c r="BG4" s="260" t="s">
        <v>396</v>
      </c>
      <c r="BH4" s="260" t="s">
        <v>397</v>
      </c>
      <c r="BI4" s="260" t="s">
        <v>398</v>
      </c>
      <c r="BJ4" s="260" t="s">
        <v>399</v>
      </c>
      <c r="BK4" s="260" t="s">
        <v>400</v>
      </c>
      <c r="BL4" s="261" t="s">
        <v>401</v>
      </c>
      <c r="BM4" s="261" t="s">
        <v>402</v>
      </c>
      <c r="BN4" s="260" t="s">
        <v>403</v>
      </c>
      <c r="BO4" s="260" t="s">
        <v>404</v>
      </c>
      <c r="BP4" s="260" t="s">
        <v>405</v>
      </c>
      <c r="BQ4" s="260" t="s">
        <v>406</v>
      </c>
      <c r="BR4" s="260" t="s">
        <v>407</v>
      </c>
      <c r="BS4" s="260" t="s">
        <v>408</v>
      </c>
      <c r="BT4" s="260" t="s">
        <v>409</v>
      </c>
      <c r="BU4" s="260" t="s">
        <v>410</v>
      </c>
      <c r="BV4" s="260" t="s">
        <v>411</v>
      </c>
      <c r="BW4" s="263" t="s">
        <v>412</v>
      </c>
      <c r="BX4" s="260" t="s">
        <v>413</v>
      </c>
      <c r="BY4" s="260"/>
      <c r="BZ4" s="260"/>
      <c r="CA4" s="260" t="s">
        <v>414</v>
      </c>
      <c r="CB4" s="253"/>
      <c r="CC4" s="253"/>
      <c r="CD4" s="253"/>
      <c r="CE4" s="253"/>
    </row>
    <row r="5" spans="1:83" s="271" customFormat="1" ht="12.75" x14ac:dyDescent="0.2">
      <c r="A5" s="265"/>
      <c r="B5" s="266" t="s">
        <v>415</v>
      </c>
      <c r="C5" s="266">
        <v>1985</v>
      </c>
      <c r="D5" s="267"/>
      <c r="E5" s="267"/>
      <c r="F5" s="267"/>
      <c r="G5" s="268">
        <v>0</v>
      </c>
      <c r="H5" s="268">
        <v>0</v>
      </c>
      <c r="I5" s="268">
        <v>0</v>
      </c>
      <c r="J5" s="267">
        <v>0</v>
      </c>
      <c r="K5" s="268">
        <v>0</v>
      </c>
      <c r="L5" s="267"/>
      <c r="M5" s="267"/>
      <c r="N5" s="267"/>
      <c r="O5" s="268">
        <v>0</v>
      </c>
      <c r="P5" s="268">
        <v>0</v>
      </c>
      <c r="Q5" s="268">
        <v>0</v>
      </c>
      <c r="R5" s="268"/>
      <c r="S5" s="268"/>
      <c r="T5" s="268"/>
      <c r="U5" s="268"/>
      <c r="V5" s="267"/>
      <c r="W5" s="267"/>
      <c r="X5" s="267"/>
      <c r="Y5" s="267"/>
      <c r="Z5" s="267"/>
      <c r="AA5" s="267"/>
      <c r="AB5" s="267"/>
      <c r="AC5" s="267"/>
      <c r="AD5" s="267"/>
      <c r="AE5" s="267"/>
      <c r="AF5" s="267"/>
      <c r="AG5" s="267"/>
      <c r="AH5" s="268"/>
      <c r="AI5" s="268"/>
      <c r="AJ5" s="268"/>
      <c r="AK5" s="268"/>
      <c r="AL5" s="268"/>
      <c r="AM5" s="266"/>
      <c r="AN5" s="266"/>
      <c r="AO5" s="266">
        <v>0</v>
      </c>
      <c r="AP5" s="268"/>
      <c r="AQ5" s="269"/>
      <c r="AR5" s="269"/>
      <c r="AS5" s="268">
        <v>0</v>
      </c>
      <c r="AT5" s="268"/>
      <c r="AU5" s="268"/>
      <c r="AV5" s="268">
        <v>0</v>
      </c>
      <c r="AW5" s="268"/>
      <c r="AX5" s="268"/>
      <c r="AY5" s="268"/>
      <c r="AZ5" s="268">
        <v>0</v>
      </c>
      <c r="BA5" s="268">
        <v>0</v>
      </c>
      <c r="BB5" s="268"/>
      <c r="BC5" s="268"/>
      <c r="BD5" s="268">
        <v>0</v>
      </c>
      <c r="BE5" s="268">
        <v>0</v>
      </c>
      <c r="BF5" s="268">
        <v>215850.48438000001</v>
      </c>
      <c r="BG5" s="268">
        <v>0</v>
      </c>
      <c r="BH5" s="268">
        <v>93471832</v>
      </c>
      <c r="BI5" s="268">
        <v>244271488</v>
      </c>
      <c r="BJ5" s="268">
        <v>526083648</v>
      </c>
      <c r="BK5" s="268">
        <v>131333160</v>
      </c>
      <c r="BL5" s="266">
        <v>0</v>
      </c>
      <c r="BM5" s="266">
        <v>-25687174</v>
      </c>
      <c r="BN5" s="268">
        <v>3936531</v>
      </c>
      <c r="BO5" s="268">
        <v>106345.32031</v>
      </c>
      <c r="BP5" s="268">
        <v>0</v>
      </c>
      <c r="BQ5" s="268">
        <v>14932092</v>
      </c>
      <c r="BR5" s="268">
        <v>49975192</v>
      </c>
      <c r="BS5" s="268">
        <v>97331864</v>
      </c>
      <c r="BT5" s="268">
        <v>48011700</v>
      </c>
      <c r="BU5" s="268">
        <v>80646208</v>
      </c>
      <c r="BV5" s="268">
        <v>17410802</v>
      </c>
      <c r="BW5" s="270">
        <v>0</v>
      </c>
      <c r="BX5" s="268">
        <v>0</v>
      </c>
      <c r="BY5" s="268"/>
      <c r="BZ5" s="268"/>
      <c r="CA5" s="268">
        <v>0</v>
      </c>
    </row>
    <row r="6" spans="1:83" s="278" customFormat="1" ht="12.75" x14ac:dyDescent="0.2">
      <c r="A6" s="272"/>
      <c r="B6" s="273" t="s">
        <v>415</v>
      </c>
      <c r="C6" s="273">
        <v>1986</v>
      </c>
      <c r="D6" s="274"/>
      <c r="E6" s="274"/>
      <c r="F6" s="274"/>
      <c r="G6" s="275">
        <v>0</v>
      </c>
      <c r="H6" s="275">
        <v>0</v>
      </c>
      <c r="I6" s="275">
        <v>0</v>
      </c>
      <c r="J6" s="274">
        <v>0</v>
      </c>
      <c r="K6" s="275">
        <v>0</v>
      </c>
      <c r="L6" s="274"/>
      <c r="M6" s="274"/>
      <c r="N6" s="274"/>
      <c r="O6" s="275">
        <v>0</v>
      </c>
      <c r="P6" s="275">
        <v>0</v>
      </c>
      <c r="Q6" s="275">
        <v>0</v>
      </c>
      <c r="R6" s="275"/>
      <c r="S6" s="275"/>
      <c r="T6" s="275"/>
      <c r="U6" s="275"/>
      <c r="V6" s="274"/>
      <c r="W6" s="274"/>
      <c r="X6" s="274"/>
      <c r="Y6" s="274"/>
      <c r="Z6" s="274"/>
      <c r="AA6" s="274"/>
      <c r="AB6" s="274"/>
      <c r="AC6" s="274"/>
      <c r="AD6" s="274"/>
      <c r="AE6" s="274"/>
      <c r="AF6" s="274"/>
      <c r="AG6" s="274"/>
      <c r="AH6" s="275"/>
      <c r="AI6" s="275"/>
      <c r="AJ6" s="275"/>
      <c r="AK6" s="275"/>
      <c r="AL6" s="275"/>
      <c r="AM6" s="273"/>
      <c r="AN6" s="273"/>
      <c r="AO6" s="273">
        <v>0</v>
      </c>
      <c r="AP6" s="275"/>
      <c r="AQ6" s="276"/>
      <c r="AR6" s="276"/>
      <c r="AS6" s="275">
        <v>0</v>
      </c>
      <c r="AT6" s="275"/>
      <c r="AU6" s="275"/>
      <c r="AV6" s="275">
        <v>0</v>
      </c>
      <c r="AW6" s="275"/>
      <c r="AX6" s="275"/>
      <c r="AY6" s="275"/>
      <c r="AZ6" s="275">
        <v>0</v>
      </c>
      <c r="BA6" s="275">
        <v>0</v>
      </c>
      <c r="BB6" s="275"/>
      <c r="BC6" s="275"/>
      <c r="BD6" s="275">
        <v>0</v>
      </c>
      <c r="BE6" s="275">
        <v>0</v>
      </c>
      <c r="BF6" s="275">
        <v>215850.48438000001</v>
      </c>
      <c r="BG6" s="275">
        <v>0</v>
      </c>
      <c r="BH6" s="275">
        <v>105437008</v>
      </c>
      <c r="BI6" s="275">
        <v>274069600</v>
      </c>
      <c r="BJ6" s="275">
        <v>561844992</v>
      </c>
      <c r="BK6" s="275">
        <v>154549312</v>
      </c>
      <c r="BL6" s="273">
        <v>0</v>
      </c>
      <c r="BM6" s="273">
        <v>-31834118</v>
      </c>
      <c r="BN6" s="275">
        <v>3853426</v>
      </c>
      <c r="BO6" s="275">
        <v>111741.32031</v>
      </c>
      <c r="BP6" s="275">
        <v>0</v>
      </c>
      <c r="BQ6" s="275">
        <v>16909986</v>
      </c>
      <c r="BR6" s="275">
        <v>55585780</v>
      </c>
      <c r="BS6" s="275">
        <v>109249920</v>
      </c>
      <c r="BT6" s="275">
        <v>55016596</v>
      </c>
      <c r="BU6" s="275">
        <v>104876744</v>
      </c>
      <c r="BV6" s="275">
        <v>29804330</v>
      </c>
      <c r="BW6" s="277">
        <v>0</v>
      </c>
      <c r="BX6" s="275">
        <v>0</v>
      </c>
      <c r="BY6" s="275"/>
      <c r="BZ6" s="275"/>
      <c r="CA6" s="275">
        <v>0</v>
      </c>
    </row>
    <row r="7" spans="1:83" s="278" customFormat="1" ht="12.75" x14ac:dyDescent="0.2">
      <c r="A7" s="272"/>
      <c r="B7" s="273" t="s">
        <v>415</v>
      </c>
      <c r="C7" s="273">
        <v>1987</v>
      </c>
      <c r="D7" s="274"/>
      <c r="E7" s="274"/>
      <c r="F7" s="274"/>
      <c r="G7" s="275">
        <v>0</v>
      </c>
      <c r="H7" s="275">
        <v>0</v>
      </c>
      <c r="I7" s="275">
        <v>0</v>
      </c>
      <c r="J7" s="274">
        <v>0</v>
      </c>
      <c r="K7" s="275">
        <v>0</v>
      </c>
      <c r="L7" s="274"/>
      <c r="M7" s="274"/>
      <c r="N7" s="274"/>
      <c r="O7" s="275">
        <v>0</v>
      </c>
      <c r="P7" s="275">
        <v>0</v>
      </c>
      <c r="Q7" s="275">
        <v>0</v>
      </c>
      <c r="R7" s="275"/>
      <c r="S7" s="275"/>
      <c r="T7" s="275"/>
      <c r="U7" s="275"/>
      <c r="V7" s="274"/>
      <c r="W7" s="274"/>
      <c r="X7" s="274"/>
      <c r="Y7" s="274"/>
      <c r="Z7" s="274"/>
      <c r="AA7" s="274"/>
      <c r="AB7" s="274"/>
      <c r="AC7" s="274"/>
      <c r="AD7" s="274"/>
      <c r="AE7" s="274"/>
      <c r="AF7" s="274"/>
      <c r="AG7" s="274"/>
      <c r="AH7" s="275"/>
      <c r="AI7" s="275"/>
      <c r="AJ7" s="275"/>
      <c r="AK7" s="275"/>
      <c r="AL7" s="275"/>
      <c r="AM7" s="273"/>
      <c r="AN7" s="273"/>
      <c r="AO7" s="273">
        <v>0</v>
      </c>
      <c r="AP7" s="275"/>
      <c r="AQ7" s="276"/>
      <c r="AR7" s="276"/>
      <c r="AS7" s="275">
        <v>0</v>
      </c>
      <c r="AT7" s="275"/>
      <c r="AU7" s="275"/>
      <c r="AV7" s="275">
        <v>0</v>
      </c>
      <c r="AW7" s="275"/>
      <c r="AX7" s="275"/>
      <c r="AY7" s="275"/>
      <c r="AZ7" s="275">
        <v>0</v>
      </c>
      <c r="BA7" s="275">
        <v>0</v>
      </c>
      <c r="BB7" s="275"/>
      <c r="BC7" s="275"/>
      <c r="BD7" s="275">
        <v>0</v>
      </c>
      <c r="BE7" s="275">
        <v>0</v>
      </c>
      <c r="BF7" s="275">
        <v>215850.48438000001</v>
      </c>
      <c r="BG7" s="275">
        <v>0</v>
      </c>
      <c r="BH7" s="275">
        <v>110477640</v>
      </c>
      <c r="BI7" s="275">
        <v>292292128</v>
      </c>
      <c r="BJ7" s="275">
        <v>597316608</v>
      </c>
      <c r="BK7" s="275">
        <v>175414160</v>
      </c>
      <c r="BL7" s="273">
        <v>0</v>
      </c>
      <c r="BM7" s="273">
        <v>-31884554</v>
      </c>
      <c r="BN7" s="275">
        <v>4675029</v>
      </c>
      <c r="BO7" s="275">
        <v>117137.32031</v>
      </c>
      <c r="BP7" s="275">
        <v>0</v>
      </c>
      <c r="BQ7" s="275">
        <v>19154530</v>
      </c>
      <c r="BR7" s="275">
        <v>59883148</v>
      </c>
      <c r="BS7" s="275">
        <v>123237888</v>
      </c>
      <c r="BT7" s="275">
        <v>65757772</v>
      </c>
      <c r="BU7" s="275">
        <v>88470000</v>
      </c>
      <c r="BV7" s="275">
        <v>24922488</v>
      </c>
      <c r="BW7" s="277">
        <v>0</v>
      </c>
      <c r="BX7" s="275">
        <v>0</v>
      </c>
      <c r="BY7" s="275"/>
      <c r="BZ7" s="275"/>
      <c r="CA7" s="275">
        <v>0</v>
      </c>
    </row>
    <row r="8" spans="1:83" s="278" customFormat="1" ht="12.75" x14ac:dyDescent="0.2">
      <c r="A8" s="272"/>
      <c r="B8" s="273" t="s">
        <v>415</v>
      </c>
      <c r="C8" s="273">
        <v>1988</v>
      </c>
      <c r="D8" s="274"/>
      <c r="E8" s="274"/>
      <c r="F8" s="274"/>
      <c r="G8" s="275">
        <v>0</v>
      </c>
      <c r="H8" s="275">
        <v>0</v>
      </c>
      <c r="I8" s="275">
        <v>0</v>
      </c>
      <c r="J8" s="274">
        <v>0</v>
      </c>
      <c r="K8" s="275">
        <v>0</v>
      </c>
      <c r="L8" s="274"/>
      <c r="M8" s="274"/>
      <c r="N8" s="274"/>
      <c r="O8" s="275">
        <v>0</v>
      </c>
      <c r="P8" s="275">
        <v>0</v>
      </c>
      <c r="Q8" s="275">
        <v>0</v>
      </c>
      <c r="R8" s="275"/>
      <c r="S8" s="275"/>
      <c r="T8" s="275"/>
      <c r="U8" s="275"/>
      <c r="V8" s="274"/>
      <c r="W8" s="274"/>
      <c r="X8" s="274"/>
      <c r="Y8" s="274"/>
      <c r="Z8" s="274"/>
      <c r="AA8" s="274"/>
      <c r="AB8" s="274"/>
      <c r="AC8" s="274"/>
      <c r="AD8" s="274"/>
      <c r="AE8" s="274"/>
      <c r="AF8" s="274"/>
      <c r="AG8" s="274"/>
      <c r="AH8" s="275"/>
      <c r="AI8" s="275"/>
      <c r="AJ8" s="275"/>
      <c r="AK8" s="275"/>
      <c r="AL8" s="275"/>
      <c r="AM8" s="273"/>
      <c r="AN8" s="273"/>
      <c r="AO8" s="273">
        <v>0</v>
      </c>
      <c r="AP8" s="275"/>
      <c r="AQ8" s="276"/>
      <c r="AR8" s="276"/>
      <c r="AS8" s="275">
        <v>0</v>
      </c>
      <c r="AT8" s="275"/>
      <c r="AU8" s="275"/>
      <c r="AV8" s="275">
        <v>0</v>
      </c>
      <c r="AW8" s="275"/>
      <c r="AX8" s="275"/>
      <c r="AY8" s="275"/>
      <c r="AZ8" s="275">
        <v>0</v>
      </c>
      <c r="BA8" s="275">
        <v>0</v>
      </c>
      <c r="BB8" s="275"/>
      <c r="BC8" s="275"/>
      <c r="BD8" s="275">
        <v>0</v>
      </c>
      <c r="BE8" s="275">
        <v>0</v>
      </c>
      <c r="BF8" s="275">
        <v>215850.48438000001</v>
      </c>
      <c r="BG8" s="275">
        <v>0</v>
      </c>
      <c r="BH8" s="275">
        <v>118793720</v>
      </c>
      <c r="BI8" s="275">
        <v>299931584</v>
      </c>
      <c r="BJ8" s="275">
        <v>637326720</v>
      </c>
      <c r="BK8" s="275">
        <v>201218480</v>
      </c>
      <c r="BL8" s="273">
        <v>0</v>
      </c>
      <c r="BM8" s="273">
        <v>-33107656</v>
      </c>
      <c r="BN8" s="275">
        <v>27703254</v>
      </c>
      <c r="BO8" s="275">
        <v>122533.32031</v>
      </c>
      <c r="BP8" s="275">
        <v>0</v>
      </c>
      <c r="BQ8" s="275">
        <v>21397064</v>
      </c>
      <c r="BR8" s="275">
        <v>65262700</v>
      </c>
      <c r="BS8" s="275">
        <v>138933392</v>
      </c>
      <c r="BT8" s="275">
        <v>77975672</v>
      </c>
      <c r="BU8" s="275">
        <v>87043856</v>
      </c>
      <c r="BV8" s="275">
        <v>30867888</v>
      </c>
      <c r="BW8" s="277">
        <v>0</v>
      </c>
      <c r="BX8" s="275">
        <v>0</v>
      </c>
      <c r="BY8" s="275"/>
      <c r="BZ8" s="275"/>
      <c r="CA8" s="275">
        <v>0</v>
      </c>
    </row>
    <row r="9" spans="1:83" s="278" customFormat="1" ht="12.75" x14ac:dyDescent="0.2">
      <c r="A9" s="272"/>
      <c r="B9" s="273" t="s">
        <v>415</v>
      </c>
      <c r="C9" s="273">
        <v>1989</v>
      </c>
      <c r="D9" s="274"/>
      <c r="E9" s="274"/>
      <c r="F9" s="274"/>
      <c r="G9" s="275">
        <v>0</v>
      </c>
      <c r="H9" s="275">
        <v>0</v>
      </c>
      <c r="I9" s="275">
        <v>0</v>
      </c>
      <c r="J9" s="274">
        <v>0</v>
      </c>
      <c r="K9" s="275">
        <v>0</v>
      </c>
      <c r="L9" s="274"/>
      <c r="M9" s="274"/>
      <c r="N9" s="274"/>
      <c r="O9" s="275">
        <v>0</v>
      </c>
      <c r="P9" s="275">
        <v>0</v>
      </c>
      <c r="Q9" s="275">
        <v>0</v>
      </c>
      <c r="R9" s="275"/>
      <c r="S9" s="275"/>
      <c r="T9" s="275"/>
      <c r="U9" s="275"/>
      <c r="V9" s="274"/>
      <c r="W9" s="274"/>
      <c r="X9" s="274"/>
      <c r="Y9" s="274"/>
      <c r="Z9" s="274"/>
      <c r="AA9" s="274"/>
      <c r="AB9" s="274"/>
      <c r="AC9" s="274"/>
      <c r="AD9" s="274"/>
      <c r="AE9" s="274"/>
      <c r="AF9" s="274"/>
      <c r="AG9" s="274"/>
      <c r="AH9" s="275"/>
      <c r="AI9" s="275"/>
      <c r="AJ9" s="275"/>
      <c r="AK9" s="275"/>
      <c r="AL9" s="275"/>
      <c r="AM9" s="273"/>
      <c r="AN9" s="273"/>
      <c r="AO9" s="273">
        <v>0</v>
      </c>
      <c r="AP9" s="275"/>
      <c r="AQ9" s="276"/>
      <c r="AR9" s="276"/>
      <c r="AS9" s="275">
        <v>0</v>
      </c>
      <c r="AT9" s="275"/>
      <c r="AU9" s="275"/>
      <c r="AV9" s="275">
        <v>0</v>
      </c>
      <c r="AW9" s="275"/>
      <c r="AX9" s="275"/>
      <c r="AY9" s="275"/>
      <c r="AZ9" s="275">
        <v>0</v>
      </c>
      <c r="BA9" s="275">
        <v>0</v>
      </c>
      <c r="BB9" s="275"/>
      <c r="BC9" s="275"/>
      <c r="BD9" s="275">
        <v>0</v>
      </c>
      <c r="BE9" s="275">
        <v>0</v>
      </c>
      <c r="BF9" s="275">
        <v>215850.48438000001</v>
      </c>
      <c r="BG9" s="275">
        <v>0</v>
      </c>
      <c r="BH9" s="275">
        <v>182231008</v>
      </c>
      <c r="BI9" s="275">
        <v>391198208</v>
      </c>
      <c r="BJ9" s="275">
        <v>682995904</v>
      </c>
      <c r="BK9" s="275">
        <v>227406272</v>
      </c>
      <c r="BL9" s="273">
        <v>0</v>
      </c>
      <c r="BM9" s="273">
        <v>-33461444</v>
      </c>
      <c r="BN9" s="275">
        <v>33880028</v>
      </c>
      <c r="BO9" s="275">
        <v>127929.32031</v>
      </c>
      <c r="BP9" s="275">
        <v>0</v>
      </c>
      <c r="BQ9" s="275">
        <v>24636864</v>
      </c>
      <c r="BR9" s="275">
        <v>71772712</v>
      </c>
      <c r="BS9" s="275">
        <v>155095792</v>
      </c>
      <c r="BT9" s="275">
        <v>92011160</v>
      </c>
      <c r="BU9" s="275">
        <v>236991248</v>
      </c>
      <c r="BV9" s="275">
        <v>32688208</v>
      </c>
      <c r="BW9" s="277">
        <v>0</v>
      </c>
      <c r="BX9" s="275">
        <v>0</v>
      </c>
      <c r="BY9" s="275"/>
      <c r="BZ9" s="275"/>
      <c r="CA9" s="275">
        <v>0</v>
      </c>
    </row>
    <row r="10" spans="1:83" s="278" customFormat="1" ht="12.75" x14ac:dyDescent="0.2">
      <c r="A10" s="272"/>
      <c r="B10" s="273" t="s">
        <v>415</v>
      </c>
      <c r="C10" s="273">
        <v>1990</v>
      </c>
      <c r="D10" s="274"/>
      <c r="E10" s="274"/>
      <c r="F10" s="274"/>
      <c r="G10" s="275">
        <v>0</v>
      </c>
      <c r="H10" s="275">
        <v>0</v>
      </c>
      <c r="I10" s="275">
        <v>0</v>
      </c>
      <c r="J10" s="274">
        <v>0</v>
      </c>
      <c r="K10" s="275">
        <v>0</v>
      </c>
      <c r="L10" s="274"/>
      <c r="M10" s="274"/>
      <c r="N10" s="274"/>
      <c r="O10" s="275">
        <v>0</v>
      </c>
      <c r="P10" s="275">
        <v>0</v>
      </c>
      <c r="Q10" s="275">
        <v>0</v>
      </c>
      <c r="R10" s="275"/>
      <c r="S10" s="275"/>
      <c r="T10" s="275"/>
      <c r="U10" s="275"/>
      <c r="V10" s="274"/>
      <c r="W10" s="274"/>
      <c r="X10" s="274"/>
      <c r="Y10" s="274"/>
      <c r="Z10" s="274"/>
      <c r="AA10" s="274"/>
      <c r="AB10" s="274"/>
      <c r="AC10" s="274"/>
      <c r="AD10" s="274"/>
      <c r="AE10" s="274"/>
      <c r="AF10" s="274"/>
      <c r="AG10" s="274"/>
      <c r="AH10" s="275"/>
      <c r="AI10" s="275"/>
      <c r="AJ10" s="275"/>
      <c r="AK10" s="275"/>
      <c r="AL10" s="275"/>
      <c r="AM10" s="273"/>
      <c r="AN10" s="273"/>
      <c r="AO10" s="273">
        <v>0</v>
      </c>
      <c r="AP10" s="275"/>
      <c r="AQ10" s="276"/>
      <c r="AR10" s="276"/>
      <c r="AS10" s="275">
        <v>0</v>
      </c>
      <c r="AT10" s="275"/>
      <c r="AU10" s="275"/>
      <c r="AV10" s="275">
        <v>0</v>
      </c>
      <c r="AW10" s="275"/>
      <c r="AX10" s="275"/>
      <c r="AY10" s="275"/>
      <c r="AZ10" s="275">
        <v>0</v>
      </c>
      <c r="BA10" s="275">
        <v>0</v>
      </c>
      <c r="BB10" s="275"/>
      <c r="BC10" s="275"/>
      <c r="BD10" s="275">
        <v>0</v>
      </c>
      <c r="BE10" s="275">
        <v>0</v>
      </c>
      <c r="BF10" s="275">
        <v>215850.48438000001</v>
      </c>
      <c r="BG10" s="275">
        <v>0</v>
      </c>
      <c r="BH10" s="275">
        <v>194875936</v>
      </c>
      <c r="BI10" s="275">
        <v>451592160</v>
      </c>
      <c r="BJ10" s="275">
        <v>733435584</v>
      </c>
      <c r="BK10" s="275">
        <v>267891168</v>
      </c>
      <c r="BL10" s="273">
        <v>0</v>
      </c>
      <c r="BM10" s="273">
        <v>-34175748</v>
      </c>
      <c r="BN10" s="275">
        <v>68483536</v>
      </c>
      <c r="BO10" s="275">
        <v>135549.3125</v>
      </c>
      <c r="BP10" s="275">
        <v>0</v>
      </c>
      <c r="BQ10" s="275">
        <v>29053118</v>
      </c>
      <c r="BR10" s="275">
        <v>78056624</v>
      </c>
      <c r="BS10" s="275">
        <v>175259488</v>
      </c>
      <c r="BT10" s="275">
        <v>105384128</v>
      </c>
      <c r="BU10" s="275">
        <v>197568640</v>
      </c>
      <c r="BV10" s="275">
        <v>49946916</v>
      </c>
      <c r="BW10" s="277">
        <v>0</v>
      </c>
      <c r="BX10" s="275">
        <v>0</v>
      </c>
      <c r="BY10" s="275"/>
      <c r="BZ10" s="275"/>
      <c r="CA10" s="275">
        <v>0</v>
      </c>
    </row>
    <row r="11" spans="1:83" s="278" customFormat="1" ht="12.75" x14ac:dyDescent="0.2">
      <c r="A11" s="272"/>
      <c r="B11" s="273" t="s">
        <v>415</v>
      </c>
      <c r="C11" s="273">
        <v>1991</v>
      </c>
      <c r="D11" s="274"/>
      <c r="E11" s="274"/>
      <c r="F11" s="274"/>
      <c r="G11" s="275">
        <v>0</v>
      </c>
      <c r="H11" s="275">
        <v>0</v>
      </c>
      <c r="I11" s="275">
        <v>0</v>
      </c>
      <c r="J11" s="274">
        <v>0</v>
      </c>
      <c r="K11" s="275">
        <v>0</v>
      </c>
      <c r="L11" s="274"/>
      <c r="M11" s="274"/>
      <c r="N11" s="274"/>
      <c r="O11" s="275">
        <v>0</v>
      </c>
      <c r="P11" s="275">
        <v>0</v>
      </c>
      <c r="Q11" s="275">
        <v>0</v>
      </c>
      <c r="R11" s="275"/>
      <c r="S11" s="275"/>
      <c r="T11" s="275"/>
      <c r="U11" s="275"/>
      <c r="V11" s="274"/>
      <c r="W11" s="274"/>
      <c r="X11" s="274"/>
      <c r="Y11" s="274"/>
      <c r="Z11" s="274"/>
      <c r="AA11" s="274"/>
      <c r="AB11" s="274"/>
      <c r="AC11" s="274"/>
      <c r="AD11" s="274"/>
      <c r="AE11" s="274"/>
      <c r="AF11" s="274"/>
      <c r="AG11" s="274"/>
      <c r="AH11" s="275"/>
      <c r="AI11" s="275"/>
      <c r="AJ11" s="275"/>
      <c r="AK11" s="275"/>
      <c r="AL11" s="275"/>
      <c r="AM11" s="273"/>
      <c r="AN11" s="273"/>
      <c r="AO11" s="273">
        <v>0</v>
      </c>
      <c r="AP11" s="275"/>
      <c r="AQ11" s="276"/>
      <c r="AR11" s="276"/>
      <c r="AS11" s="275">
        <v>0</v>
      </c>
      <c r="AT11" s="275"/>
      <c r="AU11" s="275"/>
      <c r="AV11" s="275">
        <v>0</v>
      </c>
      <c r="AW11" s="275"/>
      <c r="AX11" s="275"/>
      <c r="AY11" s="275"/>
      <c r="AZ11" s="275">
        <v>0</v>
      </c>
      <c r="BA11" s="275">
        <v>0</v>
      </c>
      <c r="BB11" s="275"/>
      <c r="BC11" s="275"/>
      <c r="BD11" s="275">
        <v>0</v>
      </c>
      <c r="BE11" s="275">
        <v>0</v>
      </c>
      <c r="BF11" s="275">
        <v>215850.48438000001</v>
      </c>
      <c r="BG11" s="275">
        <v>0</v>
      </c>
      <c r="BH11" s="275">
        <v>264714608</v>
      </c>
      <c r="BI11" s="275">
        <v>563061824</v>
      </c>
      <c r="BJ11" s="275">
        <v>787647232</v>
      </c>
      <c r="BK11" s="275">
        <v>293238304</v>
      </c>
      <c r="BL11" s="273">
        <v>0</v>
      </c>
      <c r="BM11" s="273">
        <v>-35270044</v>
      </c>
      <c r="BN11" s="275">
        <v>44872440</v>
      </c>
      <c r="BO11" s="275">
        <v>143169.3125</v>
      </c>
      <c r="BP11" s="275">
        <v>0</v>
      </c>
      <c r="BQ11" s="275">
        <v>33401460</v>
      </c>
      <c r="BR11" s="275">
        <v>89680792</v>
      </c>
      <c r="BS11" s="275">
        <v>196324464</v>
      </c>
      <c r="BT11" s="275">
        <v>110715032</v>
      </c>
      <c r="BU11" s="275">
        <v>286420512</v>
      </c>
      <c r="BV11" s="275">
        <v>45043916</v>
      </c>
      <c r="BW11" s="277">
        <v>0</v>
      </c>
      <c r="BX11" s="275">
        <v>0</v>
      </c>
      <c r="BY11" s="275"/>
      <c r="BZ11" s="275"/>
      <c r="CA11" s="275">
        <v>0</v>
      </c>
    </row>
    <row r="12" spans="1:83" s="278" customFormat="1" ht="12.75" x14ac:dyDescent="0.2">
      <c r="A12" s="272"/>
      <c r="B12" s="273" t="s">
        <v>415</v>
      </c>
      <c r="C12" s="273">
        <v>1992</v>
      </c>
      <c r="D12" s="274"/>
      <c r="E12" s="274"/>
      <c r="F12" s="274"/>
      <c r="G12" s="275">
        <v>0</v>
      </c>
      <c r="H12" s="275">
        <v>0</v>
      </c>
      <c r="I12" s="275">
        <v>0</v>
      </c>
      <c r="J12" s="274">
        <v>0</v>
      </c>
      <c r="K12" s="275">
        <v>0</v>
      </c>
      <c r="L12" s="274"/>
      <c r="M12" s="274"/>
      <c r="N12" s="274"/>
      <c r="O12" s="275">
        <v>0</v>
      </c>
      <c r="P12" s="275">
        <v>0</v>
      </c>
      <c r="Q12" s="275">
        <v>0</v>
      </c>
      <c r="R12" s="275"/>
      <c r="S12" s="275"/>
      <c r="T12" s="275"/>
      <c r="U12" s="275"/>
      <c r="V12" s="274"/>
      <c r="W12" s="274"/>
      <c r="X12" s="274"/>
      <c r="Y12" s="274"/>
      <c r="Z12" s="274"/>
      <c r="AA12" s="274"/>
      <c r="AB12" s="274"/>
      <c r="AC12" s="274"/>
      <c r="AD12" s="274"/>
      <c r="AE12" s="274"/>
      <c r="AF12" s="274"/>
      <c r="AG12" s="274"/>
      <c r="AH12" s="275"/>
      <c r="AI12" s="275"/>
      <c r="AJ12" s="275"/>
      <c r="AK12" s="275"/>
      <c r="AL12" s="275"/>
      <c r="AM12" s="273"/>
      <c r="AN12" s="273"/>
      <c r="AO12" s="273">
        <v>0</v>
      </c>
      <c r="AP12" s="275"/>
      <c r="AQ12" s="276"/>
      <c r="AR12" s="276"/>
      <c r="AS12" s="275">
        <v>0</v>
      </c>
      <c r="AT12" s="275"/>
      <c r="AU12" s="275"/>
      <c r="AV12" s="275">
        <v>0</v>
      </c>
      <c r="AW12" s="275"/>
      <c r="AX12" s="275"/>
      <c r="AY12" s="275"/>
      <c r="AZ12" s="275">
        <v>0</v>
      </c>
      <c r="BA12" s="275">
        <v>0</v>
      </c>
      <c r="BB12" s="275"/>
      <c r="BC12" s="275"/>
      <c r="BD12" s="275">
        <v>0</v>
      </c>
      <c r="BE12" s="275">
        <v>0</v>
      </c>
      <c r="BF12" s="275">
        <v>215850.48438000001</v>
      </c>
      <c r="BG12" s="275">
        <v>0</v>
      </c>
      <c r="BH12" s="275">
        <v>284958848</v>
      </c>
      <c r="BI12" s="275">
        <v>687108672</v>
      </c>
      <c r="BJ12" s="275">
        <v>847585152</v>
      </c>
      <c r="BK12" s="275">
        <v>335942656</v>
      </c>
      <c r="BL12" s="273">
        <v>0</v>
      </c>
      <c r="BM12" s="273">
        <v>-36442460</v>
      </c>
      <c r="BN12" s="275">
        <v>51019436</v>
      </c>
      <c r="BO12" s="275">
        <v>150789.3125</v>
      </c>
      <c r="BP12" s="275">
        <v>0</v>
      </c>
      <c r="BQ12" s="275">
        <v>39578804</v>
      </c>
      <c r="BR12" s="275">
        <v>104256648</v>
      </c>
      <c r="BS12" s="275">
        <v>220136848</v>
      </c>
      <c r="BT12" s="275">
        <v>126149840</v>
      </c>
      <c r="BU12" s="275">
        <v>264409776</v>
      </c>
      <c r="BV12" s="275">
        <v>55531164</v>
      </c>
      <c r="BW12" s="277">
        <v>0</v>
      </c>
      <c r="BX12" s="275">
        <v>0</v>
      </c>
      <c r="BY12" s="275"/>
      <c r="BZ12" s="275"/>
      <c r="CA12" s="275">
        <v>0</v>
      </c>
    </row>
    <row r="13" spans="1:83" s="278" customFormat="1" ht="12.75" x14ac:dyDescent="0.2">
      <c r="A13" s="272"/>
      <c r="B13" s="273" t="s">
        <v>415</v>
      </c>
      <c r="C13" s="273">
        <v>1993</v>
      </c>
      <c r="D13" s="274"/>
      <c r="E13" s="274"/>
      <c r="F13" s="274"/>
      <c r="G13" s="275">
        <v>0</v>
      </c>
      <c r="H13" s="275">
        <v>0</v>
      </c>
      <c r="I13" s="275">
        <v>0</v>
      </c>
      <c r="J13" s="274">
        <v>0</v>
      </c>
      <c r="K13" s="275">
        <v>0</v>
      </c>
      <c r="L13" s="274"/>
      <c r="M13" s="274"/>
      <c r="N13" s="274"/>
      <c r="O13" s="275">
        <v>0</v>
      </c>
      <c r="P13" s="275">
        <v>0</v>
      </c>
      <c r="Q13" s="275">
        <v>0</v>
      </c>
      <c r="R13" s="275"/>
      <c r="S13" s="275"/>
      <c r="T13" s="275"/>
      <c r="U13" s="275"/>
      <c r="V13" s="274"/>
      <c r="W13" s="274"/>
      <c r="X13" s="274"/>
      <c r="Y13" s="274"/>
      <c r="Z13" s="274"/>
      <c r="AA13" s="274"/>
      <c r="AB13" s="274"/>
      <c r="AC13" s="274"/>
      <c r="AD13" s="274"/>
      <c r="AE13" s="274"/>
      <c r="AF13" s="274"/>
      <c r="AG13" s="274"/>
      <c r="AH13" s="275"/>
      <c r="AI13" s="275"/>
      <c r="AJ13" s="275"/>
      <c r="AK13" s="275"/>
      <c r="AL13" s="275"/>
      <c r="AM13" s="273"/>
      <c r="AN13" s="273"/>
      <c r="AO13" s="273">
        <v>0</v>
      </c>
      <c r="AP13" s="275"/>
      <c r="AQ13" s="276"/>
      <c r="AR13" s="276"/>
      <c r="AS13" s="275">
        <v>0</v>
      </c>
      <c r="AT13" s="275"/>
      <c r="AU13" s="275"/>
      <c r="AV13" s="275">
        <v>0</v>
      </c>
      <c r="AW13" s="275"/>
      <c r="AX13" s="275"/>
      <c r="AY13" s="275"/>
      <c r="AZ13" s="275">
        <v>0</v>
      </c>
      <c r="BA13" s="275">
        <v>0</v>
      </c>
      <c r="BB13" s="275"/>
      <c r="BC13" s="275"/>
      <c r="BD13" s="275">
        <v>0</v>
      </c>
      <c r="BE13" s="275">
        <v>0</v>
      </c>
      <c r="BF13" s="275">
        <v>215850.48438000001</v>
      </c>
      <c r="BG13" s="275">
        <v>0</v>
      </c>
      <c r="BH13" s="275">
        <v>349581312</v>
      </c>
      <c r="BI13" s="275">
        <v>704036672</v>
      </c>
      <c r="BJ13" s="275">
        <v>915668928</v>
      </c>
      <c r="BK13" s="275">
        <v>373317152</v>
      </c>
      <c r="BL13" s="273">
        <v>0</v>
      </c>
      <c r="BM13" s="273">
        <v>-37486988</v>
      </c>
      <c r="BN13" s="275">
        <v>53265212</v>
      </c>
      <c r="BO13" s="275">
        <v>158409.3125</v>
      </c>
      <c r="BP13" s="275">
        <v>0</v>
      </c>
      <c r="BQ13" s="275">
        <v>46782064</v>
      </c>
      <c r="BR13" s="275">
        <v>120340072</v>
      </c>
      <c r="BS13" s="275">
        <v>242606320</v>
      </c>
      <c r="BT13" s="275">
        <v>121082696</v>
      </c>
      <c r="BU13" s="275">
        <v>236616160</v>
      </c>
      <c r="BV13" s="275">
        <v>78261920</v>
      </c>
      <c r="BW13" s="277">
        <v>0</v>
      </c>
      <c r="BX13" s="275">
        <v>0</v>
      </c>
      <c r="BY13" s="275"/>
      <c r="BZ13" s="275"/>
      <c r="CA13" s="275">
        <v>0</v>
      </c>
    </row>
    <row r="14" spans="1:83" s="278" customFormat="1" ht="12.75" x14ac:dyDescent="0.2">
      <c r="A14" s="272"/>
      <c r="B14" s="273" t="s">
        <v>415</v>
      </c>
      <c r="C14" s="273">
        <v>1994</v>
      </c>
      <c r="D14" s="274"/>
      <c r="E14" s="274"/>
      <c r="F14" s="274"/>
      <c r="G14" s="275">
        <v>0</v>
      </c>
      <c r="H14" s="275">
        <v>0</v>
      </c>
      <c r="I14" s="275">
        <v>0</v>
      </c>
      <c r="J14" s="274">
        <v>0</v>
      </c>
      <c r="K14" s="275">
        <v>0</v>
      </c>
      <c r="L14" s="274"/>
      <c r="M14" s="274"/>
      <c r="N14" s="274"/>
      <c r="O14" s="275">
        <v>0</v>
      </c>
      <c r="P14" s="275">
        <v>0</v>
      </c>
      <c r="Q14" s="275">
        <v>0</v>
      </c>
      <c r="R14" s="275"/>
      <c r="S14" s="275"/>
      <c r="T14" s="275"/>
      <c r="U14" s="275"/>
      <c r="V14" s="274"/>
      <c r="W14" s="274"/>
      <c r="X14" s="274"/>
      <c r="Y14" s="274"/>
      <c r="Z14" s="274"/>
      <c r="AA14" s="274"/>
      <c r="AB14" s="274"/>
      <c r="AC14" s="274"/>
      <c r="AD14" s="274"/>
      <c r="AE14" s="274"/>
      <c r="AF14" s="274"/>
      <c r="AG14" s="274"/>
      <c r="AH14" s="275"/>
      <c r="AI14" s="275"/>
      <c r="AJ14" s="275"/>
      <c r="AK14" s="275"/>
      <c r="AL14" s="275"/>
      <c r="AM14" s="273"/>
      <c r="AN14" s="273"/>
      <c r="AO14" s="273">
        <v>0</v>
      </c>
      <c r="AP14" s="275"/>
      <c r="AQ14" s="276"/>
      <c r="AR14" s="276"/>
      <c r="AS14" s="275">
        <v>0</v>
      </c>
      <c r="AT14" s="275"/>
      <c r="AU14" s="275"/>
      <c r="AV14" s="275">
        <v>0</v>
      </c>
      <c r="AW14" s="275"/>
      <c r="AX14" s="275"/>
      <c r="AY14" s="275"/>
      <c r="AZ14" s="275">
        <v>0</v>
      </c>
      <c r="BA14" s="275">
        <v>0</v>
      </c>
      <c r="BB14" s="275"/>
      <c r="BC14" s="275"/>
      <c r="BD14" s="275">
        <v>0</v>
      </c>
      <c r="BE14" s="275">
        <v>0</v>
      </c>
      <c r="BF14" s="275">
        <v>215930.09375</v>
      </c>
      <c r="BG14" s="275">
        <v>0</v>
      </c>
      <c r="BH14" s="275">
        <v>378772672</v>
      </c>
      <c r="BI14" s="275">
        <v>745978880</v>
      </c>
      <c r="BJ14" s="275">
        <v>998278144</v>
      </c>
      <c r="BK14" s="275">
        <v>404605088</v>
      </c>
      <c r="BL14" s="273">
        <v>0</v>
      </c>
      <c r="BM14" s="273">
        <v>-39916988</v>
      </c>
      <c r="BN14" s="275">
        <v>36276488</v>
      </c>
      <c r="BO14" s="275">
        <v>161048.3125</v>
      </c>
      <c r="BP14" s="275">
        <v>0</v>
      </c>
      <c r="BQ14" s="275">
        <v>56680044</v>
      </c>
      <c r="BR14" s="275">
        <v>153214368</v>
      </c>
      <c r="BS14" s="275">
        <v>286824512</v>
      </c>
      <c r="BT14" s="275">
        <v>80573568</v>
      </c>
      <c r="BU14" s="275">
        <v>228342480</v>
      </c>
      <c r="BV14" s="275">
        <v>71249216</v>
      </c>
      <c r="BW14" s="277">
        <v>0</v>
      </c>
      <c r="BX14" s="275">
        <v>0</v>
      </c>
      <c r="BY14" s="275"/>
      <c r="BZ14" s="275"/>
      <c r="CA14" s="275">
        <v>0</v>
      </c>
    </row>
    <row r="15" spans="1:83" s="278" customFormat="1" ht="12.75" x14ac:dyDescent="0.2">
      <c r="A15" s="272"/>
      <c r="B15" s="273" t="s">
        <v>415</v>
      </c>
      <c r="C15" s="273">
        <v>1995</v>
      </c>
      <c r="D15" s="274"/>
      <c r="E15" s="274"/>
      <c r="F15" s="274"/>
      <c r="G15" s="275">
        <v>0</v>
      </c>
      <c r="H15" s="275">
        <v>0</v>
      </c>
      <c r="I15" s="275">
        <v>0</v>
      </c>
      <c r="J15" s="274">
        <v>0</v>
      </c>
      <c r="K15" s="275">
        <v>0</v>
      </c>
      <c r="L15" s="274"/>
      <c r="M15" s="274"/>
      <c r="N15" s="274"/>
      <c r="O15" s="275">
        <v>0</v>
      </c>
      <c r="P15" s="275">
        <v>0</v>
      </c>
      <c r="Q15" s="275">
        <v>0</v>
      </c>
      <c r="R15" s="275"/>
      <c r="S15" s="275"/>
      <c r="T15" s="275"/>
      <c r="U15" s="275"/>
      <c r="V15" s="274"/>
      <c r="W15" s="274"/>
      <c r="X15" s="274"/>
      <c r="Y15" s="274"/>
      <c r="Z15" s="274"/>
      <c r="AA15" s="274"/>
      <c r="AB15" s="274"/>
      <c r="AC15" s="274"/>
      <c r="AD15" s="274"/>
      <c r="AE15" s="274"/>
      <c r="AF15" s="274"/>
      <c r="AG15" s="274"/>
      <c r="AH15" s="275"/>
      <c r="AI15" s="275"/>
      <c r="AJ15" s="275"/>
      <c r="AK15" s="275"/>
      <c r="AL15" s="275"/>
      <c r="AM15" s="273"/>
      <c r="AN15" s="273"/>
      <c r="AO15" s="273">
        <v>0</v>
      </c>
      <c r="AP15" s="275"/>
      <c r="AQ15" s="276"/>
      <c r="AR15" s="276"/>
      <c r="AS15" s="275">
        <v>0</v>
      </c>
      <c r="AT15" s="275"/>
      <c r="AU15" s="275"/>
      <c r="AV15" s="275">
        <v>0</v>
      </c>
      <c r="AW15" s="275"/>
      <c r="AX15" s="275"/>
      <c r="AY15" s="275"/>
      <c r="AZ15" s="275">
        <v>0</v>
      </c>
      <c r="BA15" s="275">
        <v>0</v>
      </c>
      <c r="BB15" s="275"/>
      <c r="BC15" s="275"/>
      <c r="BD15" s="275">
        <v>0</v>
      </c>
      <c r="BE15" s="275">
        <v>0</v>
      </c>
      <c r="BF15" s="275">
        <v>237518</v>
      </c>
      <c r="BG15" s="275">
        <v>0</v>
      </c>
      <c r="BH15" s="275">
        <v>402808512</v>
      </c>
      <c r="BI15" s="275">
        <v>795447296</v>
      </c>
      <c r="BJ15" s="275">
        <v>1106051584</v>
      </c>
      <c r="BK15" s="275">
        <v>461834016</v>
      </c>
      <c r="BL15" s="273">
        <v>0</v>
      </c>
      <c r="BM15" s="273">
        <v>-42975632</v>
      </c>
      <c r="BN15" s="275">
        <v>36480972</v>
      </c>
      <c r="BO15" s="275">
        <v>167940.3125</v>
      </c>
      <c r="BP15" s="275">
        <v>0</v>
      </c>
      <c r="BQ15" s="275">
        <v>66333260</v>
      </c>
      <c r="BR15" s="275">
        <v>172886192</v>
      </c>
      <c r="BS15" s="275">
        <v>316434496</v>
      </c>
      <c r="BT15" s="275">
        <v>101726184</v>
      </c>
      <c r="BU15" s="275">
        <v>450024320</v>
      </c>
      <c r="BV15" s="275">
        <v>74083432</v>
      </c>
      <c r="BW15" s="277">
        <v>0</v>
      </c>
      <c r="BX15" s="275">
        <v>0</v>
      </c>
      <c r="BY15" s="275"/>
      <c r="BZ15" s="275"/>
      <c r="CA15" s="275">
        <v>0</v>
      </c>
    </row>
    <row r="16" spans="1:83" s="278" customFormat="1" ht="12.75" x14ac:dyDescent="0.2">
      <c r="A16" s="272"/>
      <c r="B16" s="273" t="s">
        <v>415</v>
      </c>
      <c r="C16" s="273">
        <v>1995.5</v>
      </c>
      <c r="D16" s="274"/>
      <c r="E16" s="274"/>
      <c r="F16" s="274"/>
      <c r="G16" s="275">
        <v>0</v>
      </c>
      <c r="H16" s="275">
        <v>0</v>
      </c>
      <c r="I16" s="275">
        <v>0</v>
      </c>
      <c r="J16" s="274">
        <v>0</v>
      </c>
      <c r="K16" s="275">
        <v>0</v>
      </c>
      <c r="L16" s="274"/>
      <c r="M16" s="274"/>
      <c r="N16" s="274"/>
      <c r="O16" s="275">
        <v>0</v>
      </c>
      <c r="P16" s="275">
        <v>0</v>
      </c>
      <c r="Q16" s="275">
        <v>0</v>
      </c>
      <c r="R16" s="275"/>
      <c r="S16" s="275"/>
      <c r="T16" s="275"/>
      <c r="U16" s="275"/>
      <c r="V16" s="274"/>
      <c r="W16" s="274"/>
      <c r="X16" s="274"/>
      <c r="Y16" s="274"/>
      <c r="Z16" s="274"/>
      <c r="AA16" s="274"/>
      <c r="AB16" s="274"/>
      <c r="AC16" s="274"/>
      <c r="AD16" s="274"/>
      <c r="AE16" s="274"/>
      <c r="AF16" s="274"/>
      <c r="AG16" s="274"/>
      <c r="AH16" s="275"/>
      <c r="AI16" s="275"/>
      <c r="AJ16" s="275"/>
      <c r="AK16" s="275"/>
      <c r="AL16" s="275"/>
      <c r="AM16" s="273"/>
      <c r="AN16" s="273"/>
      <c r="AO16" s="273">
        <v>0</v>
      </c>
      <c r="AP16" s="275"/>
      <c r="AQ16" s="276"/>
      <c r="AR16" s="276"/>
      <c r="AS16" s="275">
        <v>0</v>
      </c>
      <c r="AT16" s="275"/>
      <c r="AU16" s="275"/>
      <c r="AV16" s="275">
        <v>0</v>
      </c>
      <c r="AW16" s="275"/>
      <c r="AX16" s="275"/>
      <c r="AY16" s="275"/>
      <c r="AZ16" s="275">
        <v>0</v>
      </c>
      <c r="BA16" s="275">
        <v>0</v>
      </c>
      <c r="BB16" s="275"/>
      <c r="BC16" s="275"/>
      <c r="BD16" s="275">
        <v>0</v>
      </c>
      <c r="BE16" s="275">
        <v>0</v>
      </c>
      <c r="BF16" s="275">
        <v>237518</v>
      </c>
      <c r="BG16" s="275">
        <v>0</v>
      </c>
      <c r="BH16" s="275">
        <v>409060064</v>
      </c>
      <c r="BI16" s="275">
        <v>835778176</v>
      </c>
      <c r="BJ16" s="275">
        <v>1197017856</v>
      </c>
      <c r="BK16" s="275">
        <v>503638368</v>
      </c>
      <c r="BL16" s="273">
        <v>0</v>
      </c>
      <c r="BM16" s="273">
        <v>-49352320</v>
      </c>
      <c r="BN16" s="275">
        <v>43037436</v>
      </c>
      <c r="BO16" s="275">
        <v>173355.3125</v>
      </c>
      <c r="BP16" s="275">
        <v>0</v>
      </c>
      <c r="BQ16" s="275">
        <v>73991432</v>
      </c>
      <c r="BR16" s="275">
        <v>187963888</v>
      </c>
      <c r="BS16" s="275">
        <v>340146304</v>
      </c>
      <c r="BT16" s="275">
        <v>121782576</v>
      </c>
      <c r="BU16" s="275">
        <v>191450256</v>
      </c>
      <c r="BV16" s="275">
        <v>54310460</v>
      </c>
      <c r="BW16" s="277">
        <v>0</v>
      </c>
      <c r="BX16" s="275">
        <v>0</v>
      </c>
      <c r="BY16" s="275"/>
      <c r="BZ16" s="275"/>
      <c r="CA16" s="275">
        <v>0</v>
      </c>
    </row>
    <row r="17" spans="2:79" s="278" customFormat="1" ht="12.75" x14ac:dyDescent="0.2">
      <c r="B17" s="273" t="s">
        <v>415</v>
      </c>
      <c r="C17" s="273">
        <v>1996</v>
      </c>
      <c r="D17" s="274"/>
      <c r="E17" s="274"/>
      <c r="F17" s="274"/>
      <c r="G17" s="275">
        <v>0</v>
      </c>
      <c r="H17" s="275">
        <v>0</v>
      </c>
      <c r="I17" s="275">
        <v>0</v>
      </c>
      <c r="J17" s="274">
        <v>0</v>
      </c>
      <c r="K17" s="275">
        <v>0</v>
      </c>
      <c r="L17" s="274"/>
      <c r="M17" s="274"/>
      <c r="N17" s="274"/>
      <c r="O17" s="275">
        <v>0</v>
      </c>
      <c r="P17" s="275">
        <v>0</v>
      </c>
      <c r="Q17" s="275">
        <v>0</v>
      </c>
      <c r="R17" s="275"/>
      <c r="S17" s="275"/>
      <c r="T17" s="275"/>
      <c r="U17" s="275"/>
      <c r="V17" s="274"/>
      <c r="W17" s="274"/>
      <c r="X17" s="274"/>
      <c r="Y17" s="274"/>
      <c r="Z17" s="274"/>
      <c r="AA17" s="274"/>
      <c r="AB17" s="274"/>
      <c r="AC17" s="274"/>
      <c r="AD17" s="274"/>
      <c r="AE17" s="274"/>
      <c r="AF17" s="274"/>
      <c r="AG17" s="274"/>
      <c r="AH17" s="275"/>
      <c r="AI17" s="275"/>
      <c r="AJ17" s="275"/>
      <c r="AK17" s="275"/>
      <c r="AL17" s="275"/>
      <c r="AM17" s="273"/>
      <c r="AN17" s="273"/>
      <c r="AO17" s="273">
        <v>0</v>
      </c>
      <c r="AP17" s="275"/>
      <c r="AQ17" s="276"/>
      <c r="AR17" s="276"/>
      <c r="AS17" s="275">
        <v>0</v>
      </c>
      <c r="AT17" s="275"/>
      <c r="AU17" s="275"/>
      <c r="AV17" s="275">
        <v>0</v>
      </c>
      <c r="AW17" s="275"/>
      <c r="AX17" s="275"/>
      <c r="AY17" s="275"/>
      <c r="AZ17" s="275">
        <v>0</v>
      </c>
      <c r="BA17" s="275">
        <v>0</v>
      </c>
      <c r="BB17" s="275"/>
      <c r="BC17" s="275"/>
      <c r="BD17" s="275">
        <v>0</v>
      </c>
      <c r="BE17" s="275">
        <v>0</v>
      </c>
      <c r="BF17" s="275">
        <v>237592.46875</v>
      </c>
      <c r="BG17" s="275">
        <v>0</v>
      </c>
      <c r="BH17" s="275">
        <v>415575648</v>
      </c>
      <c r="BI17" s="275">
        <v>887419712</v>
      </c>
      <c r="BJ17" s="275">
        <v>1276774912</v>
      </c>
      <c r="BK17" s="275">
        <v>563401088</v>
      </c>
      <c r="BL17" s="273">
        <v>0</v>
      </c>
      <c r="BM17" s="273">
        <v>-53799544</v>
      </c>
      <c r="BN17" s="275">
        <v>27161630</v>
      </c>
      <c r="BO17" s="275">
        <v>180577.3125</v>
      </c>
      <c r="BP17" s="275">
        <v>0</v>
      </c>
      <c r="BQ17" s="275">
        <v>85137592</v>
      </c>
      <c r="BR17" s="275">
        <v>205980656</v>
      </c>
      <c r="BS17" s="275">
        <v>372851008</v>
      </c>
      <c r="BT17" s="275">
        <v>149818832</v>
      </c>
      <c r="BU17" s="275">
        <v>224849296</v>
      </c>
      <c r="BV17" s="275">
        <v>79506808</v>
      </c>
      <c r="BW17" s="277">
        <v>0</v>
      </c>
      <c r="BX17" s="275">
        <v>0</v>
      </c>
      <c r="BY17" s="275"/>
      <c r="BZ17" s="275"/>
      <c r="CA17" s="275">
        <v>0</v>
      </c>
    </row>
    <row r="18" spans="2:79" s="278" customFormat="1" ht="12.75" x14ac:dyDescent="0.2">
      <c r="B18" s="273" t="s">
        <v>416</v>
      </c>
      <c r="C18" s="273">
        <v>1985</v>
      </c>
      <c r="D18" s="274"/>
      <c r="E18" s="274"/>
      <c r="F18" s="274"/>
      <c r="G18" s="275">
        <v>0</v>
      </c>
      <c r="H18" s="275">
        <v>0</v>
      </c>
      <c r="I18" s="275">
        <v>0</v>
      </c>
      <c r="J18" s="274">
        <v>0</v>
      </c>
      <c r="K18" s="275">
        <v>0</v>
      </c>
      <c r="L18" s="274"/>
      <c r="M18" s="274"/>
      <c r="N18" s="274"/>
      <c r="O18" s="275">
        <v>0</v>
      </c>
      <c r="P18" s="275">
        <v>0</v>
      </c>
      <c r="Q18" s="275">
        <v>0</v>
      </c>
      <c r="R18" s="275"/>
      <c r="S18" s="275"/>
      <c r="T18" s="275"/>
      <c r="U18" s="275"/>
      <c r="V18" s="274"/>
      <c r="W18" s="274"/>
      <c r="X18" s="274"/>
      <c r="Y18" s="274"/>
      <c r="Z18" s="274"/>
      <c r="AA18" s="274"/>
      <c r="AB18" s="274"/>
      <c r="AC18" s="274"/>
      <c r="AD18" s="274"/>
      <c r="AE18" s="274"/>
      <c r="AF18" s="274"/>
      <c r="AG18" s="274"/>
      <c r="AH18" s="275"/>
      <c r="AI18" s="275"/>
      <c r="AJ18" s="275"/>
      <c r="AK18" s="275"/>
      <c r="AL18" s="275"/>
      <c r="AM18" s="273"/>
      <c r="AN18" s="273"/>
      <c r="AO18" s="273">
        <v>0</v>
      </c>
      <c r="AP18" s="275"/>
      <c r="AQ18" s="276"/>
      <c r="AR18" s="276"/>
      <c r="AS18" s="275">
        <v>0</v>
      </c>
      <c r="AT18" s="275"/>
      <c r="AU18" s="275"/>
      <c r="AV18" s="275">
        <v>0</v>
      </c>
      <c r="AW18" s="275"/>
      <c r="AX18" s="275"/>
      <c r="AY18" s="275"/>
      <c r="AZ18" s="275">
        <v>0</v>
      </c>
      <c r="BA18" s="275">
        <v>0</v>
      </c>
      <c r="BB18" s="275"/>
      <c r="BC18" s="275"/>
      <c r="BD18" s="275">
        <v>0</v>
      </c>
      <c r="BE18" s="275">
        <v>0</v>
      </c>
      <c r="BF18" s="275">
        <v>9544900</v>
      </c>
      <c r="BG18" s="275">
        <v>6320500</v>
      </c>
      <c r="BH18" s="275">
        <v>0</v>
      </c>
      <c r="BI18" s="275">
        <v>0</v>
      </c>
      <c r="BJ18" s="275">
        <v>372673696</v>
      </c>
      <c r="BK18" s="275">
        <v>63860900</v>
      </c>
      <c r="BL18" s="273">
        <v>4082800</v>
      </c>
      <c r="BM18" s="273">
        <v>-61270300</v>
      </c>
      <c r="BN18" s="275">
        <v>-61270300</v>
      </c>
      <c r="BO18" s="275">
        <v>4838700</v>
      </c>
      <c r="BP18" s="275">
        <v>2123100</v>
      </c>
      <c r="BQ18" s="275">
        <v>0</v>
      </c>
      <c r="BR18" s="275">
        <v>0</v>
      </c>
      <c r="BS18" s="275">
        <v>50922636</v>
      </c>
      <c r="BT18" s="275">
        <v>27221700</v>
      </c>
      <c r="BU18" s="275">
        <v>85690800</v>
      </c>
      <c r="BV18" s="275">
        <v>0</v>
      </c>
      <c r="BW18" s="277">
        <v>0</v>
      </c>
      <c r="BX18" s="275">
        <v>0</v>
      </c>
      <c r="BY18" s="275"/>
      <c r="BZ18" s="275"/>
      <c r="CA18" s="275">
        <v>0</v>
      </c>
    </row>
    <row r="19" spans="2:79" s="278" customFormat="1" ht="12.75" x14ac:dyDescent="0.2">
      <c r="B19" s="273" t="s">
        <v>416</v>
      </c>
      <c r="C19" s="273">
        <v>1986</v>
      </c>
      <c r="D19" s="274"/>
      <c r="E19" s="274"/>
      <c r="F19" s="274"/>
      <c r="G19" s="275">
        <v>0</v>
      </c>
      <c r="H19" s="275">
        <v>0</v>
      </c>
      <c r="I19" s="275">
        <v>0</v>
      </c>
      <c r="J19" s="274">
        <v>0</v>
      </c>
      <c r="K19" s="275">
        <v>0</v>
      </c>
      <c r="L19" s="274"/>
      <c r="M19" s="274"/>
      <c r="N19" s="274"/>
      <c r="O19" s="275">
        <v>0</v>
      </c>
      <c r="P19" s="275">
        <v>0</v>
      </c>
      <c r="Q19" s="275">
        <v>0</v>
      </c>
      <c r="R19" s="275"/>
      <c r="S19" s="275"/>
      <c r="T19" s="275"/>
      <c r="U19" s="275"/>
      <c r="V19" s="274"/>
      <c r="W19" s="274"/>
      <c r="X19" s="274"/>
      <c r="Y19" s="274"/>
      <c r="Z19" s="274"/>
      <c r="AA19" s="274"/>
      <c r="AB19" s="274"/>
      <c r="AC19" s="274"/>
      <c r="AD19" s="274"/>
      <c r="AE19" s="274"/>
      <c r="AF19" s="274"/>
      <c r="AG19" s="274"/>
      <c r="AH19" s="275"/>
      <c r="AI19" s="275"/>
      <c r="AJ19" s="275"/>
      <c r="AK19" s="275"/>
      <c r="AL19" s="275"/>
      <c r="AM19" s="273"/>
      <c r="AN19" s="273"/>
      <c r="AO19" s="273">
        <v>0</v>
      </c>
      <c r="AP19" s="275"/>
      <c r="AQ19" s="276"/>
      <c r="AR19" s="276"/>
      <c r="AS19" s="275">
        <v>0</v>
      </c>
      <c r="AT19" s="275"/>
      <c r="AU19" s="275"/>
      <c r="AV19" s="275">
        <v>0</v>
      </c>
      <c r="AW19" s="275"/>
      <c r="AX19" s="275"/>
      <c r="AY19" s="275"/>
      <c r="AZ19" s="275">
        <v>0</v>
      </c>
      <c r="BA19" s="275">
        <v>0</v>
      </c>
      <c r="BB19" s="275"/>
      <c r="BC19" s="275"/>
      <c r="BD19" s="275">
        <v>0</v>
      </c>
      <c r="BE19" s="275">
        <v>0</v>
      </c>
      <c r="BF19" s="275">
        <v>9563300</v>
      </c>
      <c r="BG19" s="275">
        <v>6416400</v>
      </c>
      <c r="BH19" s="275">
        <v>0</v>
      </c>
      <c r="BI19" s="275">
        <v>0</v>
      </c>
      <c r="BJ19" s="275">
        <v>404666912</v>
      </c>
      <c r="BK19" s="275">
        <v>65210800</v>
      </c>
      <c r="BL19" s="273">
        <v>4496500</v>
      </c>
      <c r="BM19" s="273">
        <v>-67158304</v>
      </c>
      <c r="BN19" s="275">
        <v>-67158304</v>
      </c>
      <c r="BO19" s="275">
        <v>5145900</v>
      </c>
      <c r="BP19" s="275">
        <v>2311600</v>
      </c>
      <c r="BQ19" s="275">
        <v>0</v>
      </c>
      <c r="BR19" s="275">
        <v>0</v>
      </c>
      <c r="BS19" s="275">
        <v>59544084</v>
      </c>
      <c r="BT19" s="275">
        <v>24016200</v>
      </c>
      <c r="BU19" s="275">
        <v>41481100</v>
      </c>
      <c r="BV19" s="275">
        <v>0</v>
      </c>
      <c r="BW19" s="277">
        <v>0</v>
      </c>
      <c r="BX19" s="275">
        <v>0</v>
      </c>
      <c r="BY19" s="275"/>
      <c r="BZ19" s="275"/>
      <c r="CA19" s="275">
        <v>0</v>
      </c>
    </row>
    <row r="20" spans="2:79" s="278" customFormat="1" ht="12.75" x14ac:dyDescent="0.2">
      <c r="B20" s="273" t="s">
        <v>416</v>
      </c>
      <c r="C20" s="273">
        <v>1987</v>
      </c>
      <c r="D20" s="274"/>
      <c r="E20" s="274"/>
      <c r="F20" s="274"/>
      <c r="G20" s="275">
        <v>0</v>
      </c>
      <c r="H20" s="275">
        <v>0</v>
      </c>
      <c r="I20" s="275">
        <v>0</v>
      </c>
      <c r="J20" s="274">
        <v>0</v>
      </c>
      <c r="K20" s="275">
        <v>0</v>
      </c>
      <c r="L20" s="274"/>
      <c r="M20" s="274"/>
      <c r="N20" s="274"/>
      <c r="O20" s="275">
        <v>0</v>
      </c>
      <c r="P20" s="275">
        <v>0</v>
      </c>
      <c r="Q20" s="275">
        <v>0</v>
      </c>
      <c r="R20" s="275"/>
      <c r="S20" s="275"/>
      <c r="T20" s="275"/>
      <c r="U20" s="275"/>
      <c r="V20" s="274"/>
      <c r="W20" s="274"/>
      <c r="X20" s="274"/>
      <c r="Y20" s="274"/>
      <c r="Z20" s="274"/>
      <c r="AA20" s="274"/>
      <c r="AB20" s="274"/>
      <c r="AC20" s="274"/>
      <c r="AD20" s="274"/>
      <c r="AE20" s="274"/>
      <c r="AF20" s="274"/>
      <c r="AG20" s="274"/>
      <c r="AH20" s="275"/>
      <c r="AI20" s="275"/>
      <c r="AJ20" s="275"/>
      <c r="AK20" s="275"/>
      <c r="AL20" s="275"/>
      <c r="AM20" s="273"/>
      <c r="AN20" s="273"/>
      <c r="AO20" s="273">
        <v>0</v>
      </c>
      <c r="AP20" s="275"/>
      <c r="AQ20" s="276"/>
      <c r="AR20" s="276"/>
      <c r="AS20" s="275">
        <v>0</v>
      </c>
      <c r="AT20" s="275"/>
      <c r="AU20" s="275"/>
      <c r="AV20" s="275">
        <v>0</v>
      </c>
      <c r="AW20" s="275"/>
      <c r="AX20" s="275"/>
      <c r="AY20" s="275"/>
      <c r="AZ20" s="275">
        <v>0</v>
      </c>
      <c r="BA20" s="275">
        <v>0</v>
      </c>
      <c r="BB20" s="275"/>
      <c r="BC20" s="275"/>
      <c r="BD20" s="275">
        <v>0</v>
      </c>
      <c r="BE20" s="275">
        <v>0</v>
      </c>
      <c r="BF20" s="275">
        <v>0</v>
      </c>
      <c r="BG20" s="275">
        <v>6419600</v>
      </c>
      <c r="BH20" s="275">
        <v>0</v>
      </c>
      <c r="BI20" s="275">
        <v>0</v>
      </c>
      <c r="BJ20" s="275">
        <v>435722816</v>
      </c>
      <c r="BK20" s="275">
        <v>70868600</v>
      </c>
      <c r="BL20" s="273">
        <v>4742400</v>
      </c>
      <c r="BM20" s="273">
        <v>-67289000</v>
      </c>
      <c r="BN20" s="275">
        <v>-67289000</v>
      </c>
      <c r="BO20" s="275">
        <v>0</v>
      </c>
      <c r="BP20" s="275">
        <v>2502900</v>
      </c>
      <c r="BQ20" s="275">
        <v>0</v>
      </c>
      <c r="BR20" s="275">
        <v>0</v>
      </c>
      <c r="BS20" s="275">
        <v>73671976</v>
      </c>
      <c r="BT20" s="275">
        <v>26301500</v>
      </c>
      <c r="BU20" s="275">
        <v>27153600</v>
      </c>
      <c r="BV20" s="275">
        <v>0</v>
      </c>
      <c r="BW20" s="277">
        <v>0</v>
      </c>
      <c r="BX20" s="275">
        <v>0</v>
      </c>
      <c r="BY20" s="275"/>
      <c r="BZ20" s="275"/>
      <c r="CA20" s="275">
        <v>0</v>
      </c>
    </row>
    <row r="21" spans="2:79" s="278" customFormat="1" ht="12.75" x14ac:dyDescent="0.2">
      <c r="B21" s="273" t="s">
        <v>416</v>
      </c>
      <c r="C21" s="273">
        <v>1988</v>
      </c>
      <c r="D21" s="274"/>
      <c r="E21" s="274"/>
      <c r="F21" s="274"/>
      <c r="G21" s="275">
        <v>0</v>
      </c>
      <c r="H21" s="275">
        <v>0</v>
      </c>
      <c r="I21" s="275">
        <v>0</v>
      </c>
      <c r="J21" s="274">
        <v>0</v>
      </c>
      <c r="K21" s="275">
        <v>0</v>
      </c>
      <c r="L21" s="274"/>
      <c r="M21" s="274"/>
      <c r="N21" s="274"/>
      <c r="O21" s="275">
        <v>0</v>
      </c>
      <c r="P21" s="275">
        <v>0</v>
      </c>
      <c r="Q21" s="275">
        <v>0</v>
      </c>
      <c r="R21" s="275"/>
      <c r="S21" s="275"/>
      <c r="T21" s="275"/>
      <c r="U21" s="275"/>
      <c r="V21" s="274"/>
      <c r="W21" s="274"/>
      <c r="X21" s="274"/>
      <c r="Y21" s="274"/>
      <c r="Z21" s="274"/>
      <c r="AA21" s="274"/>
      <c r="AB21" s="274"/>
      <c r="AC21" s="274"/>
      <c r="AD21" s="274"/>
      <c r="AE21" s="274"/>
      <c r="AF21" s="274"/>
      <c r="AG21" s="274"/>
      <c r="AH21" s="275"/>
      <c r="AI21" s="275"/>
      <c r="AJ21" s="275"/>
      <c r="AK21" s="275"/>
      <c r="AL21" s="275"/>
      <c r="AM21" s="273"/>
      <c r="AN21" s="273"/>
      <c r="AO21" s="273">
        <v>0</v>
      </c>
      <c r="AP21" s="275"/>
      <c r="AQ21" s="276"/>
      <c r="AR21" s="276"/>
      <c r="AS21" s="275">
        <v>0</v>
      </c>
      <c r="AT21" s="275"/>
      <c r="AU21" s="275"/>
      <c r="AV21" s="275">
        <v>0</v>
      </c>
      <c r="AW21" s="275"/>
      <c r="AX21" s="275"/>
      <c r="AY21" s="275"/>
      <c r="AZ21" s="275">
        <v>0</v>
      </c>
      <c r="BA21" s="275">
        <v>0</v>
      </c>
      <c r="BB21" s="275"/>
      <c r="BC21" s="275"/>
      <c r="BD21" s="275">
        <v>0</v>
      </c>
      <c r="BE21" s="275">
        <v>0</v>
      </c>
      <c r="BF21" s="275">
        <v>9594200</v>
      </c>
      <c r="BG21" s="275">
        <v>6429200</v>
      </c>
      <c r="BH21" s="275">
        <v>0</v>
      </c>
      <c r="BI21" s="275">
        <v>0</v>
      </c>
      <c r="BJ21" s="275">
        <v>458736384</v>
      </c>
      <c r="BK21" s="275">
        <v>81088600</v>
      </c>
      <c r="BL21" s="273">
        <v>5078800</v>
      </c>
      <c r="BM21" s="273">
        <v>-67339696</v>
      </c>
      <c r="BN21" s="275">
        <v>-67339696</v>
      </c>
      <c r="BO21" s="275">
        <v>5776800</v>
      </c>
      <c r="BP21" s="275">
        <v>2716500</v>
      </c>
      <c r="BQ21" s="275">
        <v>0</v>
      </c>
      <c r="BR21" s="275">
        <v>0</v>
      </c>
      <c r="BS21" s="275">
        <v>85607256</v>
      </c>
      <c r="BT21" s="275">
        <v>28000208</v>
      </c>
      <c r="BU21" s="275">
        <v>33243200</v>
      </c>
      <c r="BV21" s="275">
        <v>0</v>
      </c>
      <c r="BW21" s="277">
        <v>0</v>
      </c>
      <c r="BX21" s="275">
        <v>0</v>
      </c>
      <c r="BY21" s="275"/>
      <c r="BZ21" s="275"/>
      <c r="CA21" s="275">
        <v>0</v>
      </c>
    </row>
    <row r="22" spans="2:79" s="278" customFormat="1" ht="12.75" x14ac:dyDescent="0.2">
      <c r="B22" s="273" t="s">
        <v>416</v>
      </c>
      <c r="C22" s="273">
        <v>1989</v>
      </c>
      <c r="D22" s="274"/>
      <c r="E22" s="274"/>
      <c r="F22" s="274"/>
      <c r="G22" s="275">
        <v>0</v>
      </c>
      <c r="H22" s="275">
        <v>0</v>
      </c>
      <c r="I22" s="275">
        <v>0</v>
      </c>
      <c r="J22" s="274">
        <v>0</v>
      </c>
      <c r="K22" s="275">
        <v>0</v>
      </c>
      <c r="L22" s="274"/>
      <c r="M22" s="274"/>
      <c r="N22" s="274"/>
      <c r="O22" s="275">
        <v>0</v>
      </c>
      <c r="P22" s="275">
        <v>0</v>
      </c>
      <c r="Q22" s="275">
        <v>0</v>
      </c>
      <c r="R22" s="275"/>
      <c r="S22" s="275"/>
      <c r="T22" s="275"/>
      <c r="U22" s="275"/>
      <c r="V22" s="274"/>
      <c r="W22" s="274"/>
      <c r="X22" s="274"/>
      <c r="Y22" s="274"/>
      <c r="Z22" s="274"/>
      <c r="AA22" s="274"/>
      <c r="AB22" s="274"/>
      <c r="AC22" s="274"/>
      <c r="AD22" s="274"/>
      <c r="AE22" s="274"/>
      <c r="AF22" s="274"/>
      <c r="AG22" s="274"/>
      <c r="AH22" s="275"/>
      <c r="AI22" s="275"/>
      <c r="AJ22" s="275"/>
      <c r="AK22" s="275"/>
      <c r="AL22" s="275"/>
      <c r="AM22" s="273"/>
      <c r="AN22" s="273"/>
      <c r="AO22" s="273">
        <v>0</v>
      </c>
      <c r="AP22" s="275"/>
      <c r="AQ22" s="276"/>
      <c r="AR22" s="276"/>
      <c r="AS22" s="275">
        <v>0</v>
      </c>
      <c r="AT22" s="275"/>
      <c r="AU22" s="275"/>
      <c r="AV22" s="275">
        <v>0</v>
      </c>
      <c r="AW22" s="275"/>
      <c r="AX22" s="275"/>
      <c r="AY22" s="275"/>
      <c r="AZ22" s="275">
        <v>0</v>
      </c>
      <c r="BA22" s="275">
        <v>0</v>
      </c>
      <c r="BB22" s="275"/>
      <c r="BC22" s="275"/>
      <c r="BD22" s="275">
        <v>0</v>
      </c>
      <c r="BE22" s="275">
        <v>0</v>
      </c>
      <c r="BF22" s="275">
        <v>9608200</v>
      </c>
      <c r="BG22" s="275">
        <v>6429200</v>
      </c>
      <c r="BH22" s="275">
        <v>0</v>
      </c>
      <c r="BI22" s="275">
        <v>0</v>
      </c>
      <c r="BJ22" s="275">
        <v>474083104</v>
      </c>
      <c r="BK22" s="275">
        <v>90742200</v>
      </c>
      <c r="BL22" s="273">
        <v>5848600</v>
      </c>
      <c r="BM22" s="273">
        <v>-67720200</v>
      </c>
      <c r="BN22" s="275">
        <v>-67720200</v>
      </c>
      <c r="BO22" s="275">
        <v>5923000</v>
      </c>
      <c r="BP22" s="275">
        <v>2930500</v>
      </c>
      <c r="BQ22" s="275">
        <v>0</v>
      </c>
      <c r="BR22" s="275">
        <v>0</v>
      </c>
      <c r="BS22" s="275">
        <v>90390400</v>
      </c>
      <c r="BT22" s="275">
        <v>30146316</v>
      </c>
      <c r="BU22" s="275">
        <v>46038100</v>
      </c>
      <c r="BV22" s="275">
        <v>0</v>
      </c>
      <c r="BW22" s="277">
        <v>0</v>
      </c>
      <c r="BX22" s="275">
        <v>0</v>
      </c>
      <c r="BY22" s="275"/>
      <c r="BZ22" s="275"/>
      <c r="CA22" s="275">
        <v>0</v>
      </c>
    </row>
    <row r="23" spans="2:79" s="278" customFormat="1" ht="12.75" x14ac:dyDescent="0.2">
      <c r="B23" s="273" t="s">
        <v>416</v>
      </c>
      <c r="C23" s="273">
        <v>1990</v>
      </c>
      <c r="D23" s="274"/>
      <c r="E23" s="274"/>
      <c r="F23" s="274"/>
      <c r="G23" s="275">
        <v>0</v>
      </c>
      <c r="H23" s="275">
        <v>0</v>
      </c>
      <c r="I23" s="275">
        <v>0</v>
      </c>
      <c r="J23" s="274">
        <v>0</v>
      </c>
      <c r="K23" s="275">
        <v>0</v>
      </c>
      <c r="L23" s="274"/>
      <c r="M23" s="274"/>
      <c r="N23" s="274"/>
      <c r="O23" s="275">
        <v>0</v>
      </c>
      <c r="P23" s="275">
        <v>0</v>
      </c>
      <c r="Q23" s="275">
        <v>0</v>
      </c>
      <c r="R23" s="275"/>
      <c r="S23" s="275"/>
      <c r="T23" s="275"/>
      <c r="U23" s="275"/>
      <c r="V23" s="274"/>
      <c r="W23" s="274"/>
      <c r="X23" s="274"/>
      <c r="Y23" s="274"/>
      <c r="Z23" s="274"/>
      <c r="AA23" s="274"/>
      <c r="AB23" s="274"/>
      <c r="AC23" s="274"/>
      <c r="AD23" s="274"/>
      <c r="AE23" s="274"/>
      <c r="AF23" s="274"/>
      <c r="AG23" s="274"/>
      <c r="AH23" s="275"/>
      <c r="AI23" s="275"/>
      <c r="AJ23" s="275"/>
      <c r="AK23" s="275"/>
      <c r="AL23" s="275"/>
      <c r="AM23" s="273"/>
      <c r="AN23" s="273"/>
      <c r="AO23" s="273">
        <v>0</v>
      </c>
      <c r="AP23" s="275"/>
      <c r="AQ23" s="276"/>
      <c r="AR23" s="276"/>
      <c r="AS23" s="275">
        <v>0</v>
      </c>
      <c r="AT23" s="275"/>
      <c r="AU23" s="275"/>
      <c r="AV23" s="275">
        <v>0</v>
      </c>
      <c r="AW23" s="275"/>
      <c r="AX23" s="275"/>
      <c r="AY23" s="275"/>
      <c r="AZ23" s="275">
        <v>0</v>
      </c>
      <c r="BA23" s="275">
        <v>0</v>
      </c>
      <c r="BB23" s="275"/>
      <c r="BC23" s="275"/>
      <c r="BD23" s="275">
        <v>0</v>
      </c>
      <c r="BE23" s="275">
        <v>0</v>
      </c>
      <c r="BF23" s="275">
        <v>9612500</v>
      </c>
      <c r="BG23" s="275">
        <v>6429200</v>
      </c>
      <c r="BH23" s="275">
        <v>0</v>
      </c>
      <c r="BI23" s="275">
        <v>0</v>
      </c>
      <c r="BJ23" s="275">
        <v>499938816</v>
      </c>
      <c r="BK23" s="275">
        <v>102496896</v>
      </c>
      <c r="BL23" s="273">
        <v>6069000</v>
      </c>
      <c r="BM23" s="273">
        <v>-67844400</v>
      </c>
      <c r="BN23" s="275">
        <v>-67844400</v>
      </c>
      <c r="BO23" s="275">
        <v>6084400</v>
      </c>
      <c r="BP23" s="275">
        <v>3144400</v>
      </c>
      <c r="BQ23" s="275">
        <v>0</v>
      </c>
      <c r="BR23" s="275">
        <v>0</v>
      </c>
      <c r="BS23" s="275">
        <v>101727968</v>
      </c>
      <c r="BT23" s="275">
        <v>31538664</v>
      </c>
      <c r="BU23" s="275">
        <v>59464900</v>
      </c>
      <c r="BV23" s="275">
        <v>0</v>
      </c>
      <c r="BW23" s="277">
        <v>0</v>
      </c>
      <c r="BX23" s="275">
        <v>0</v>
      </c>
      <c r="BY23" s="275"/>
      <c r="BZ23" s="275"/>
      <c r="CA23" s="275">
        <v>0</v>
      </c>
    </row>
    <row r="24" spans="2:79" s="278" customFormat="1" ht="12.75" x14ac:dyDescent="0.2">
      <c r="B24" s="273" t="s">
        <v>416</v>
      </c>
      <c r="C24" s="273">
        <v>1991</v>
      </c>
      <c r="D24" s="274"/>
      <c r="E24" s="274"/>
      <c r="F24" s="274"/>
      <c r="G24" s="275">
        <v>0</v>
      </c>
      <c r="H24" s="275">
        <v>0</v>
      </c>
      <c r="I24" s="275">
        <v>0</v>
      </c>
      <c r="J24" s="274">
        <v>0</v>
      </c>
      <c r="K24" s="275">
        <v>0</v>
      </c>
      <c r="L24" s="274"/>
      <c r="M24" s="274"/>
      <c r="N24" s="274"/>
      <c r="O24" s="275">
        <v>0</v>
      </c>
      <c r="P24" s="275">
        <v>0</v>
      </c>
      <c r="Q24" s="275">
        <v>0</v>
      </c>
      <c r="R24" s="275"/>
      <c r="S24" s="275"/>
      <c r="T24" s="275"/>
      <c r="U24" s="275"/>
      <c r="V24" s="274"/>
      <c r="W24" s="274"/>
      <c r="X24" s="274"/>
      <c r="Y24" s="274"/>
      <c r="Z24" s="274"/>
      <c r="AA24" s="274"/>
      <c r="AB24" s="274"/>
      <c r="AC24" s="274"/>
      <c r="AD24" s="274"/>
      <c r="AE24" s="274"/>
      <c r="AF24" s="274"/>
      <c r="AG24" s="274"/>
      <c r="AH24" s="275"/>
      <c r="AI24" s="275"/>
      <c r="AJ24" s="275"/>
      <c r="AK24" s="275"/>
      <c r="AL24" s="275"/>
      <c r="AM24" s="273"/>
      <c r="AN24" s="273"/>
      <c r="AO24" s="273">
        <v>0</v>
      </c>
      <c r="AP24" s="275"/>
      <c r="AQ24" s="276"/>
      <c r="AR24" s="276"/>
      <c r="AS24" s="275">
        <v>0</v>
      </c>
      <c r="AT24" s="275"/>
      <c r="AU24" s="275"/>
      <c r="AV24" s="275">
        <v>0</v>
      </c>
      <c r="AW24" s="275"/>
      <c r="AX24" s="275"/>
      <c r="AY24" s="275"/>
      <c r="AZ24" s="275">
        <v>0</v>
      </c>
      <c r="BA24" s="275">
        <v>0</v>
      </c>
      <c r="BB24" s="275"/>
      <c r="BC24" s="275"/>
      <c r="BD24" s="275">
        <v>0</v>
      </c>
      <c r="BE24" s="275">
        <v>0</v>
      </c>
      <c r="BF24" s="275">
        <v>9619700</v>
      </c>
      <c r="BG24" s="275">
        <v>6502900</v>
      </c>
      <c r="BH24" s="275">
        <v>0</v>
      </c>
      <c r="BI24" s="275">
        <v>0</v>
      </c>
      <c r="BJ24" s="275">
        <v>534893600</v>
      </c>
      <c r="BK24" s="275">
        <v>122853104</v>
      </c>
      <c r="BL24" s="273">
        <v>7831200</v>
      </c>
      <c r="BM24" s="273">
        <v>-71743400</v>
      </c>
      <c r="BN24" s="275">
        <v>-71743400</v>
      </c>
      <c r="BO24" s="275">
        <v>6241300</v>
      </c>
      <c r="BP24" s="275">
        <v>3370600</v>
      </c>
      <c r="BQ24" s="275">
        <v>0</v>
      </c>
      <c r="BR24" s="275">
        <v>0</v>
      </c>
      <c r="BS24" s="275">
        <v>121037008</v>
      </c>
      <c r="BT24" s="275">
        <v>36367224</v>
      </c>
      <c r="BU24" s="275">
        <v>52590000</v>
      </c>
      <c r="BV24" s="275">
        <v>0</v>
      </c>
      <c r="BW24" s="277">
        <v>0</v>
      </c>
      <c r="BX24" s="275">
        <v>0</v>
      </c>
      <c r="BY24" s="275"/>
      <c r="BZ24" s="275"/>
      <c r="CA24" s="275">
        <v>0</v>
      </c>
    </row>
    <row r="25" spans="2:79" s="278" customFormat="1" ht="12.75" x14ac:dyDescent="0.2">
      <c r="B25" s="273" t="s">
        <v>416</v>
      </c>
      <c r="C25" s="273">
        <v>1992</v>
      </c>
      <c r="D25" s="274"/>
      <c r="E25" s="274"/>
      <c r="F25" s="274"/>
      <c r="G25" s="275">
        <v>0</v>
      </c>
      <c r="H25" s="275">
        <v>0</v>
      </c>
      <c r="I25" s="275">
        <v>0</v>
      </c>
      <c r="J25" s="274">
        <v>0</v>
      </c>
      <c r="K25" s="275">
        <v>0</v>
      </c>
      <c r="L25" s="274"/>
      <c r="M25" s="274"/>
      <c r="N25" s="274"/>
      <c r="O25" s="275">
        <v>0</v>
      </c>
      <c r="P25" s="275">
        <v>0</v>
      </c>
      <c r="Q25" s="275">
        <v>0</v>
      </c>
      <c r="R25" s="275"/>
      <c r="S25" s="275"/>
      <c r="T25" s="275"/>
      <c r="U25" s="275"/>
      <c r="V25" s="274"/>
      <c r="W25" s="274"/>
      <c r="X25" s="274"/>
      <c r="Y25" s="274"/>
      <c r="Z25" s="274"/>
      <c r="AA25" s="274"/>
      <c r="AB25" s="274"/>
      <c r="AC25" s="274"/>
      <c r="AD25" s="274"/>
      <c r="AE25" s="274"/>
      <c r="AF25" s="274"/>
      <c r="AG25" s="274"/>
      <c r="AH25" s="275"/>
      <c r="AI25" s="275"/>
      <c r="AJ25" s="275"/>
      <c r="AK25" s="275"/>
      <c r="AL25" s="275"/>
      <c r="AM25" s="273"/>
      <c r="AN25" s="273"/>
      <c r="AO25" s="273">
        <v>0</v>
      </c>
      <c r="AP25" s="275"/>
      <c r="AQ25" s="276"/>
      <c r="AR25" s="276"/>
      <c r="AS25" s="275">
        <v>0</v>
      </c>
      <c r="AT25" s="275"/>
      <c r="AU25" s="275"/>
      <c r="AV25" s="275">
        <v>0</v>
      </c>
      <c r="AW25" s="275"/>
      <c r="AX25" s="275"/>
      <c r="AY25" s="275"/>
      <c r="AZ25" s="275">
        <v>0</v>
      </c>
      <c r="BA25" s="275">
        <v>0</v>
      </c>
      <c r="BB25" s="275"/>
      <c r="BC25" s="275"/>
      <c r="BD25" s="275">
        <v>0</v>
      </c>
      <c r="BE25" s="275">
        <v>0</v>
      </c>
      <c r="BF25" s="275">
        <v>9621700</v>
      </c>
      <c r="BG25" s="275">
        <v>6502900</v>
      </c>
      <c r="BH25" s="275">
        <v>0</v>
      </c>
      <c r="BI25" s="275">
        <v>0</v>
      </c>
      <c r="BJ25" s="275">
        <v>564841920</v>
      </c>
      <c r="BK25" s="275">
        <v>128823400</v>
      </c>
      <c r="BL25" s="273">
        <v>8854300</v>
      </c>
      <c r="BM25" s="273">
        <v>-72132704</v>
      </c>
      <c r="BN25" s="275">
        <v>-72132704</v>
      </c>
      <c r="BO25" s="275">
        <v>6374300</v>
      </c>
      <c r="BP25" s="275">
        <v>3597200</v>
      </c>
      <c r="BQ25" s="275">
        <v>0</v>
      </c>
      <c r="BR25" s="275">
        <v>0</v>
      </c>
      <c r="BS25" s="275">
        <v>130107520</v>
      </c>
      <c r="BT25" s="275">
        <v>34033640</v>
      </c>
      <c r="BU25" s="275">
        <v>60745000</v>
      </c>
      <c r="BV25" s="275">
        <v>0</v>
      </c>
      <c r="BW25" s="277">
        <v>0</v>
      </c>
      <c r="BX25" s="275">
        <v>0</v>
      </c>
      <c r="BY25" s="275"/>
      <c r="BZ25" s="275"/>
      <c r="CA25" s="275">
        <v>0</v>
      </c>
    </row>
    <row r="26" spans="2:79" s="278" customFormat="1" ht="12.75" x14ac:dyDescent="0.2">
      <c r="B26" s="273" t="s">
        <v>416</v>
      </c>
      <c r="C26" s="273">
        <v>1993</v>
      </c>
      <c r="D26" s="274"/>
      <c r="E26" s="274"/>
      <c r="F26" s="274"/>
      <c r="G26" s="275">
        <v>0</v>
      </c>
      <c r="H26" s="275">
        <v>0</v>
      </c>
      <c r="I26" s="275">
        <v>0</v>
      </c>
      <c r="J26" s="274">
        <v>0</v>
      </c>
      <c r="K26" s="275">
        <v>0</v>
      </c>
      <c r="L26" s="274"/>
      <c r="M26" s="274"/>
      <c r="N26" s="274"/>
      <c r="O26" s="275">
        <v>0</v>
      </c>
      <c r="P26" s="275">
        <v>0</v>
      </c>
      <c r="Q26" s="275">
        <v>0</v>
      </c>
      <c r="R26" s="275"/>
      <c r="S26" s="275"/>
      <c r="T26" s="275"/>
      <c r="U26" s="275"/>
      <c r="V26" s="274"/>
      <c r="W26" s="274"/>
      <c r="X26" s="274"/>
      <c r="Y26" s="274"/>
      <c r="Z26" s="274"/>
      <c r="AA26" s="274"/>
      <c r="AB26" s="274"/>
      <c r="AC26" s="274"/>
      <c r="AD26" s="274"/>
      <c r="AE26" s="274"/>
      <c r="AF26" s="274"/>
      <c r="AG26" s="274"/>
      <c r="AH26" s="275"/>
      <c r="AI26" s="275"/>
      <c r="AJ26" s="275"/>
      <c r="AK26" s="275"/>
      <c r="AL26" s="275"/>
      <c r="AM26" s="273"/>
      <c r="AN26" s="273"/>
      <c r="AO26" s="273"/>
      <c r="AP26" s="275"/>
      <c r="AQ26" s="276"/>
      <c r="AR26" s="276"/>
      <c r="AS26" s="275">
        <v>0</v>
      </c>
      <c r="AT26" s="275"/>
      <c r="AU26" s="275"/>
      <c r="AV26" s="275">
        <v>0</v>
      </c>
      <c r="AW26" s="275"/>
      <c r="AX26" s="275"/>
      <c r="AY26" s="275"/>
      <c r="AZ26" s="275">
        <v>0</v>
      </c>
      <c r="BA26" s="275">
        <v>0</v>
      </c>
      <c r="BB26" s="275"/>
      <c r="BC26" s="275"/>
      <c r="BD26" s="275">
        <v>0</v>
      </c>
      <c r="BE26" s="275">
        <v>0</v>
      </c>
      <c r="BF26" s="275">
        <v>9621700</v>
      </c>
      <c r="BG26" s="275">
        <v>6502900</v>
      </c>
      <c r="BH26" s="275">
        <v>0</v>
      </c>
      <c r="BI26" s="275">
        <v>0</v>
      </c>
      <c r="BJ26" s="275">
        <v>616144000</v>
      </c>
      <c r="BK26" s="275">
        <v>149453904</v>
      </c>
      <c r="BL26" s="273">
        <v>9204300</v>
      </c>
      <c r="BM26" s="273">
        <v>-73119904</v>
      </c>
      <c r="BN26" s="275">
        <v>-73119904</v>
      </c>
      <c r="BO26" s="275">
        <v>6519500</v>
      </c>
      <c r="BP26" s="275">
        <v>3823800</v>
      </c>
      <c r="BQ26" s="275">
        <v>0</v>
      </c>
      <c r="BR26" s="275">
        <v>0</v>
      </c>
      <c r="BS26" s="275">
        <v>144899120</v>
      </c>
      <c r="BT26" s="275">
        <v>36003752</v>
      </c>
      <c r="BU26" s="275">
        <v>83818896</v>
      </c>
      <c r="BV26" s="275">
        <v>0</v>
      </c>
      <c r="BW26" s="277">
        <v>0</v>
      </c>
      <c r="BX26" s="275">
        <v>0</v>
      </c>
      <c r="BY26" s="275"/>
      <c r="BZ26" s="275"/>
      <c r="CA26" s="275">
        <v>0</v>
      </c>
    </row>
    <row r="27" spans="2:79" s="278" customFormat="1" ht="12.75" x14ac:dyDescent="0.2">
      <c r="B27" s="273" t="s">
        <v>416</v>
      </c>
      <c r="C27" s="273">
        <v>1994</v>
      </c>
      <c r="D27" s="274"/>
      <c r="E27" s="274"/>
      <c r="F27" s="274"/>
      <c r="G27" s="275">
        <v>0</v>
      </c>
      <c r="H27" s="275">
        <v>0</v>
      </c>
      <c r="I27" s="275">
        <v>0</v>
      </c>
      <c r="J27" s="274">
        <v>0</v>
      </c>
      <c r="K27" s="275">
        <v>0</v>
      </c>
      <c r="L27" s="274"/>
      <c r="M27" s="274"/>
      <c r="N27" s="274"/>
      <c r="O27" s="275">
        <v>0</v>
      </c>
      <c r="P27" s="275">
        <v>0</v>
      </c>
      <c r="Q27" s="275">
        <v>0</v>
      </c>
      <c r="R27" s="275"/>
      <c r="S27" s="275"/>
      <c r="T27" s="275"/>
      <c r="U27" s="275"/>
      <c r="V27" s="274"/>
      <c r="W27" s="274"/>
      <c r="X27" s="274"/>
      <c r="Y27" s="274"/>
      <c r="Z27" s="274"/>
      <c r="AA27" s="274"/>
      <c r="AB27" s="274"/>
      <c r="AC27" s="274"/>
      <c r="AD27" s="274"/>
      <c r="AE27" s="274"/>
      <c r="AF27" s="274"/>
      <c r="AG27" s="274"/>
      <c r="AH27" s="275"/>
      <c r="AI27" s="275"/>
      <c r="AJ27" s="275"/>
      <c r="AK27" s="275"/>
      <c r="AL27" s="275"/>
      <c r="AM27" s="273"/>
      <c r="AN27" s="273"/>
      <c r="AO27" s="273"/>
      <c r="AP27" s="275"/>
      <c r="AQ27" s="276"/>
      <c r="AR27" s="276"/>
      <c r="AS27" s="275">
        <v>0</v>
      </c>
      <c r="AT27" s="275"/>
      <c r="AU27" s="275"/>
      <c r="AV27" s="275">
        <v>0</v>
      </c>
      <c r="AW27" s="275"/>
      <c r="AX27" s="275"/>
      <c r="AY27" s="275"/>
      <c r="AZ27" s="275">
        <v>0</v>
      </c>
      <c r="BA27" s="275">
        <v>0</v>
      </c>
      <c r="BB27" s="275"/>
      <c r="BC27" s="275"/>
      <c r="BD27" s="275">
        <v>0</v>
      </c>
      <c r="BE27" s="275">
        <v>0</v>
      </c>
      <c r="BF27" s="275">
        <v>0</v>
      </c>
      <c r="BG27" s="275">
        <v>6503000</v>
      </c>
      <c r="BH27" s="275">
        <v>0</v>
      </c>
      <c r="BI27" s="275">
        <v>0</v>
      </c>
      <c r="BJ27" s="275">
        <v>676364032</v>
      </c>
      <c r="BK27" s="275">
        <v>171839008</v>
      </c>
      <c r="BL27" s="273">
        <v>6703000</v>
      </c>
      <c r="BM27" s="273">
        <v>-73700000</v>
      </c>
      <c r="BN27" s="275">
        <v>-73700000</v>
      </c>
      <c r="BO27" s="275">
        <v>0</v>
      </c>
      <c r="BP27" s="275">
        <v>4050000</v>
      </c>
      <c r="BQ27" s="275">
        <v>0</v>
      </c>
      <c r="BR27" s="275">
        <v>0</v>
      </c>
      <c r="BS27" s="275">
        <v>167008112</v>
      </c>
      <c r="BT27" s="275">
        <v>39096968</v>
      </c>
      <c r="BU27" s="275">
        <v>83000000</v>
      </c>
      <c r="BV27" s="275">
        <v>0</v>
      </c>
      <c r="BW27" s="277">
        <v>0</v>
      </c>
      <c r="BX27" s="275">
        <v>0</v>
      </c>
      <c r="BY27" s="275"/>
      <c r="BZ27" s="275"/>
      <c r="CA27" s="275">
        <v>0</v>
      </c>
    </row>
    <row r="28" spans="2:79" s="278" customFormat="1" ht="12.75" x14ac:dyDescent="0.2">
      <c r="B28" s="273" t="s">
        <v>416</v>
      </c>
      <c r="C28" s="273">
        <v>1995</v>
      </c>
      <c r="D28" s="274"/>
      <c r="E28" s="274"/>
      <c r="F28" s="274"/>
      <c r="G28" s="275">
        <v>0</v>
      </c>
      <c r="H28" s="275">
        <v>0</v>
      </c>
      <c r="I28" s="275">
        <v>0</v>
      </c>
      <c r="J28" s="274">
        <v>0</v>
      </c>
      <c r="K28" s="275">
        <v>0</v>
      </c>
      <c r="L28" s="274"/>
      <c r="M28" s="274"/>
      <c r="N28" s="274"/>
      <c r="O28" s="275">
        <v>0</v>
      </c>
      <c r="P28" s="275">
        <v>0</v>
      </c>
      <c r="Q28" s="275">
        <v>0</v>
      </c>
      <c r="R28" s="275"/>
      <c r="S28" s="275"/>
      <c r="T28" s="275"/>
      <c r="U28" s="275"/>
      <c r="V28" s="274"/>
      <c r="W28" s="274"/>
      <c r="X28" s="274"/>
      <c r="Y28" s="274"/>
      <c r="Z28" s="274"/>
      <c r="AA28" s="274"/>
      <c r="AB28" s="274"/>
      <c r="AC28" s="274"/>
      <c r="AD28" s="274"/>
      <c r="AE28" s="274"/>
      <c r="AF28" s="274"/>
      <c r="AG28" s="274"/>
      <c r="AH28" s="275"/>
      <c r="AI28" s="275"/>
      <c r="AJ28" s="275"/>
      <c r="AK28" s="275"/>
      <c r="AL28" s="275"/>
      <c r="AM28" s="273"/>
      <c r="AN28" s="273"/>
      <c r="AO28" s="273"/>
      <c r="AP28" s="275"/>
      <c r="AQ28" s="276"/>
      <c r="AR28" s="276"/>
      <c r="AS28" s="275">
        <v>0</v>
      </c>
      <c r="AT28" s="275"/>
      <c r="AU28" s="275"/>
      <c r="AV28" s="275">
        <v>0</v>
      </c>
      <c r="AW28" s="275"/>
      <c r="AX28" s="275"/>
      <c r="AY28" s="275"/>
      <c r="AZ28" s="275">
        <v>0</v>
      </c>
      <c r="BA28" s="275">
        <v>0</v>
      </c>
      <c r="BB28" s="275"/>
      <c r="BC28" s="275"/>
      <c r="BD28" s="275">
        <v>0</v>
      </c>
      <c r="BE28" s="275">
        <v>0</v>
      </c>
      <c r="BF28" s="275">
        <v>0</v>
      </c>
      <c r="BG28" s="275">
        <v>6503000</v>
      </c>
      <c r="BH28" s="275">
        <v>0</v>
      </c>
      <c r="BI28" s="275">
        <v>0</v>
      </c>
      <c r="BJ28" s="275">
        <v>727516992</v>
      </c>
      <c r="BK28" s="275">
        <v>190344992</v>
      </c>
      <c r="BL28" s="273">
        <v>7235000</v>
      </c>
      <c r="BM28" s="273">
        <v>-74148000</v>
      </c>
      <c r="BN28" s="275">
        <v>-74148000</v>
      </c>
      <c r="BO28" s="275">
        <v>0</v>
      </c>
      <c r="BP28" s="275">
        <v>4324000</v>
      </c>
      <c r="BQ28" s="275">
        <v>0</v>
      </c>
      <c r="BR28" s="275">
        <v>0</v>
      </c>
      <c r="BS28" s="275">
        <v>181356496</v>
      </c>
      <c r="BT28" s="275">
        <v>45435716</v>
      </c>
      <c r="BU28" s="275">
        <v>82689000</v>
      </c>
      <c r="BV28" s="275">
        <v>0</v>
      </c>
      <c r="BW28" s="277">
        <v>0</v>
      </c>
      <c r="BX28" s="275">
        <v>0</v>
      </c>
      <c r="BY28" s="275"/>
      <c r="BZ28" s="275"/>
      <c r="CA28" s="275">
        <v>0</v>
      </c>
    </row>
    <row r="29" spans="2:79" s="278" customFormat="1" ht="12.75" x14ac:dyDescent="0.2">
      <c r="B29" s="273" t="s">
        <v>416</v>
      </c>
      <c r="C29" s="273">
        <v>1996</v>
      </c>
      <c r="D29" s="274"/>
      <c r="E29" s="274"/>
      <c r="F29" s="274"/>
      <c r="G29" s="275">
        <v>0</v>
      </c>
      <c r="H29" s="275">
        <v>0</v>
      </c>
      <c r="I29" s="275">
        <v>0</v>
      </c>
      <c r="J29" s="274">
        <v>0</v>
      </c>
      <c r="K29" s="275">
        <v>0</v>
      </c>
      <c r="L29" s="274"/>
      <c r="M29" s="274"/>
      <c r="N29" s="274"/>
      <c r="O29" s="275">
        <v>0</v>
      </c>
      <c r="P29" s="275">
        <v>0</v>
      </c>
      <c r="Q29" s="275">
        <v>0</v>
      </c>
      <c r="R29" s="275"/>
      <c r="S29" s="275"/>
      <c r="T29" s="275"/>
      <c r="U29" s="275"/>
      <c r="V29" s="274"/>
      <c r="W29" s="274"/>
      <c r="X29" s="274"/>
      <c r="Y29" s="274"/>
      <c r="Z29" s="274"/>
      <c r="AA29" s="274"/>
      <c r="AB29" s="274"/>
      <c r="AC29" s="274"/>
      <c r="AD29" s="274"/>
      <c r="AE29" s="274"/>
      <c r="AF29" s="274"/>
      <c r="AG29" s="274"/>
      <c r="AH29" s="275"/>
      <c r="AI29" s="275"/>
      <c r="AJ29" s="275"/>
      <c r="AK29" s="275"/>
      <c r="AL29" s="275"/>
      <c r="AM29" s="273"/>
      <c r="AN29" s="273"/>
      <c r="AO29" s="273"/>
      <c r="AP29" s="275"/>
      <c r="AQ29" s="276"/>
      <c r="AR29" s="276"/>
      <c r="AS29" s="275">
        <v>0</v>
      </c>
      <c r="AT29" s="275"/>
      <c r="AU29" s="275"/>
      <c r="AV29" s="275">
        <v>0</v>
      </c>
      <c r="AW29" s="275"/>
      <c r="AX29" s="275"/>
      <c r="AY29" s="275"/>
      <c r="AZ29" s="275">
        <v>0</v>
      </c>
      <c r="BA29" s="275">
        <v>0</v>
      </c>
      <c r="BB29" s="275"/>
      <c r="BC29" s="275"/>
      <c r="BD29" s="275">
        <v>0</v>
      </c>
      <c r="BE29" s="275">
        <v>0</v>
      </c>
      <c r="BF29" s="275">
        <v>10153132</v>
      </c>
      <c r="BG29" s="275">
        <v>6502481</v>
      </c>
      <c r="BH29" s="275">
        <v>0</v>
      </c>
      <c r="BI29" s="275">
        <v>0</v>
      </c>
      <c r="BJ29" s="275">
        <v>796410368</v>
      </c>
      <c r="BK29" s="275">
        <v>195605408</v>
      </c>
      <c r="BL29" s="273">
        <v>0</v>
      </c>
      <c r="BM29" s="273">
        <v>-74594632</v>
      </c>
      <c r="BN29" s="275">
        <v>-74594632</v>
      </c>
      <c r="BO29" s="275">
        <v>7130794</v>
      </c>
      <c r="BP29" s="275">
        <v>4597759</v>
      </c>
      <c r="BQ29" s="275">
        <v>0</v>
      </c>
      <c r="BR29" s="275">
        <v>0</v>
      </c>
      <c r="BS29" s="275">
        <v>187022704</v>
      </c>
      <c r="BT29" s="275">
        <v>46824296</v>
      </c>
      <c r="BU29" s="275">
        <v>0</v>
      </c>
      <c r="BV29" s="275">
        <v>0</v>
      </c>
      <c r="BW29" s="277">
        <v>0</v>
      </c>
      <c r="BX29" s="275">
        <v>0</v>
      </c>
      <c r="BY29" s="275"/>
      <c r="BZ29" s="275"/>
      <c r="CA29" s="275">
        <v>0</v>
      </c>
    </row>
    <row r="30" spans="2:79" s="278" customFormat="1" ht="12.75" x14ac:dyDescent="0.2">
      <c r="B30" s="273">
        <v>3</v>
      </c>
      <c r="C30" s="273">
        <v>1985</v>
      </c>
      <c r="D30" s="274"/>
      <c r="E30" s="274"/>
      <c r="F30" s="274"/>
      <c r="G30" s="275">
        <v>0</v>
      </c>
      <c r="H30" s="275">
        <v>0</v>
      </c>
      <c r="I30" s="275">
        <v>0</v>
      </c>
      <c r="J30" s="274">
        <v>0</v>
      </c>
      <c r="K30" s="275">
        <v>0</v>
      </c>
      <c r="L30" s="274"/>
      <c r="M30" s="274"/>
      <c r="N30" s="274"/>
      <c r="O30" s="275">
        <v>0</v>
      </c>
      <c r="P30" s="275">
        <v>0</v>
      </c>
      <c r="Q30" s="275">
        <v>0</v>
      </c>
      <c r="R30" s="275"/>
      <c r="S30" s="275"/>
      <c r="T30" s="275"/>
      <c r="U30" s="275"/>
      <c r="V30" s="274"/>
      <c r="W30" s="274"/>
      <c r="X30" s="274"/>
      <c r="Y30" s="274"/>
      <c r="Z30" s="274"/>
      <c r="AA30" s="274"/>
      <c r="AB30" s="274"/>
      <c r="AC30" s="274"/>
      <c r="AD30" s="274"/>
      <c r="AE30" s="274"/>
      <c r="AF30" s="274"/>
      <c r="AG30" s="274"/>
      <c r="AH30" s="275"/>
      <c r="AI30" s="275"/>
      <c r="AJ30" s="275"/>
      <c r="AK30" s="275"/>
      <c r="AL30" s="275"/>
      <c r="AM30" s="273"/>
      <c r="AN30" s="273"/>
      <c r="AO30" s="273"/>
      <c r="AP30" s="275"/>
      <c r="AQ30" s="276"/>
      <c r="AR30" s="276"/>
      <c r="AS30" s="275">
        <v>0</v>
      </c>
      <c r="AT30" s="275"/>
      <c r="AU30" s="275"/>
      <c r="AV30" s="275">
        <v>0</v>
      </c>
      <c r="AW30" s="275"/>
      <c r="AX30" s="275"/>
      <c r="AY30" s="275"/>
      <c r="AZ30" s="275">
        <v>0</v>
      </c>
      <c r="BA30" s="275">
        <v>0</v>
      </c>
      <c r="BB30" s="275"/>
      <c r="BC30" s="275"/>
      <c r="BD30" s="275">
        <v>0</v>
      </c>
      <c r="BE30" s="275">
        <v>0</v>
      </c>
      <c r="BF30" s="275">
        <v>0</v>
      </c>
      <c r="BG30" s="275">
        <v>0</v>
      </c>
      <c r="BH30" s="275">
        <v>0</v>
      </c>
      <c r="BI30" s="275">
        <v>0</v>
      </c>
      <c r="BJ30" s="275">
        <v>0</v>
      </c>
      <c r="BK30" s="275">
        <v>0</v>
      </c>
      <c r="BL30" s="273">
        <v>0</v>
      </c>
      <c r="BM30" s="273">
        <v>0</v>
      </c>
      <c r="BN30" s="275">
        <v>0</v>
      </c>
      <c r="BO30" s="275">
        <v>0</v>
      </c>
      <c r="BP30" s="275">
        <v>0</v>
      </c>
      <c r="BQ30" s="275">
        <v>0</v>
      </c>
      <c r="BR30" s="275">
        <v>0</v>
      </c>
      <c r="BS30" s="275">
        <v>0</v>
      </c>
      <c r="BT30" s="275">
        <v>0</v>
      </c>
      <c r="BU30" s="275">
        <v>0</v>
      </c>
      <c r="BV30" s="275">
        <v>0</v>
      </c>
      <c r="BW30" s="277">
        <v>0</v>
      </c>
      <c r="BX30" s="275">
        <v>0</v>
      </c>
      <c r="BY30" s="275"/>
      <c r="BZ30" s="275"/>
      <c r="CA30" s="275">
        <v>0</v>
      </c>
    </row>
    <row r="31" spans="2:79" s="278" customFormat="1" ht="12.75" x14ac:dyDescent="0.2">
      <c r="B31" s="273">
        <v>3</v>
      </c>
      <c r="C31" s="273">
        <v>1986</v>
      </c>
      <c r="D31" s="274"/>
      <c r="E31" s="274"/>
      <c r="F31" s="274"/>
      <c r="G31" s="275">
        <v>0</v>
      </c>
      <c r="H31" s="275">
        <v>0</v>
      </c>
      <c r="I31" s="275">
        <v>0</v>
      </c>
      <c r="J31" s="274">
        <v>0</v>
      </c>
      <c r="K31" s="275">
        <v>0</v>
      </c>
      <c r="L31" s="274"/>
      <c r="M31" s="274"/>
      <c r="N31" s="274"/>
      <c r="O31" s="275">
        <v>0</v>
      </c>
      <c r="P31" s="275">
        <v>0</v>
      </c>
      <c r="Q31" s="275">
        <v>0</v>
      </c>
      <c r="R31" s="275"/>
      <c r="S31" s="275"/>
      <c r="T31" s="275"/>
      <c r="U31" s="275"/>
      <c r="V31" s="274"/>
      <c r="W31" s="274"/>
      <c r="X31" s="274"/>
      <c r="Y31" s="274"/>
      <c r="Z31" s="274"/>
      <c r="AA31" s="274"/>
      <c r="AB31" s="274"/>
      <c r="AC31" s="274"/>
      <c r="AD31" s="274"/>
      <c r="AE31" s="274"/>
      <c r="AF31" s="274"/>
      <c r="AG31" s="274"/>
      <c r="AH31" s="275"/>
      <c r="AI31" s="275"/>
      <c r="AJ31" s="275"/>
      <c r="AK31" s="275"/>
      <c r="AL31" s="275"/>
      <c r="AM31" s="273"/>
      <c r="AN31" s="273"/>
      <c r="AO31" s="273"/>
      <c r="AP31" s="275"/>
      <c r="AQ31" s="276"/>
      <c r="AR31" s="276"/>
      <c r="AS31" s="275">
        <v>0</v>
      </c>
      <c r="AT31" s="275"/>
      <c r="AU31" s="275"/>
      <c r="AV31" s="275">
        <v>0</v>
      </c>
      <c r="AW31" s="275"/>
      <c r="AX31" s="275"/>
      <c r="AY31" s="275"/>
      <c r="AZ31" s="275">
        <v>0</v>
      </c>
      <c r="BA31" s="275">
        <v>0</v>
      </c>
      <c r="BB31" s="275"/>
      <c r="BC31" s="275"/>
      <c r="BD31" s="275">
        <v>0</v>
      </c>
      <c r="BE31" s="275">
        <v>0</v>
      </c>
      <c r="BF31" s="275">
        <v>0</v>
      </c>
      <c r="BG31" s="275">
        <v>0</v>
      </c>
      <c r="BH31" s="275">
        <v>0</v>
      </c>
      <c r="BI31" s="275">
        <v>0</v>
      </c>
      <c r="BJ31" s="275">
        <v>0</v>
      </c>
      <c r="BK31" s="275">
        <v>0</v>
      </c>
      <c r="BL31" s="273">
        <v>0</v>
      </c>
      <c r="BM31" s="273">
        <v>0</v>
      </c>
      <c r="BN31" s="275">
        <v>0</v>
      </c>
      <c r="BO31" s="275">
        <v>0</v>
      </c>
      <c r="BP31" s="275">
        <v>0</v>
      </c>
      <c r="BQ31" s="275">
        <v>0</v>
      </c>
      <c r="BR31" s="275">
        <v>0</v>
      </c>
      <c r="BS31" s="275">
        <v>0</v>
      </c>
      <c r="BT31" s="275">
        <v>0</v>
      </c>
      <c r="BU31" s="275">
        <v>0</v>
      </c>
      <c r="BV31" s="275">
        <v>0</v>
      </c>
      <c r="BW31" s="277">
        <v>0</v>
      </c>
      <c r="BX31" s="275">
        <v>0</v>
      </c>
      <c r="BY31" s="275"/>
      <c r="BZ31" s="275"/>
      <c r="CA31" s="275">
        <v>0</v>
      </c>
    </row>
    <row r="32" spans="2:79" s="278" customFormat="1" ht="12.75" x14ac:dyDescent="0.2">
      <c r="B32" s="273">
        <v>3</v>
      </c>
      <c r="C32" s="273">
        <v>1987</v>
      </c>
      <c r="D32" s="274"/>
      <c r="E32" s="274"/>
      <c r="F32" s="274"/>
      <c r="G32" s="275">
        <v>0</v>
      </c>
      <c r="H32" s="275">
        <v>0</v>
      </c>
      <c r="I32" s="275">
        <v>0</v>
      </c>
      <c r="J32" s="274">
        <v>0</v>
      </c>
      <c r="K32" s="275">
        <v>0</v>
      </c>
      <c r="L32" s="274"/>
      <c r="M32" s="274"/>
      <c r="N32" s="274"/>
      <c r="O32" s="275">
        <v>0</v>
      </c>
      <c r="P32" s="275">
        <v>0</v>
      </c>
      <c r="Q32" s="275">
        <v>0</v>
      </c>
      <c r="R32" s="275"/>
      <c r="S32" s="275"/>
      <c r="T32" s="275"/>
      <c r="U32" s="275"/>
      <c r="V32" s="274"/>
      <c r="W32" s="274"/>
      <c r="X32" s="274"/>
      <c r="Y32" s="274"/>
      <c r="Z32" s="274"/>
      <c r="AA32" s="274"/>
      <c r="AB32" s="274"/>
      <c r="AC32" s="274"/>
      <c r="AD32" s="274"/>
      <c r="AE32" s="274"/>
      <c r="AF32" s="274"/>
      <c r="AG32" s="274"/>
      <c r="AH32" s="275"/>
      <c r="AI32" s="275"/>
      <c r="AJ32" s="275"/>
      <c r="AK32" s="275"/>
      <c r="AL32" s="275"/>
      <c r="AM32" s="273"/>
      <c r="AN32" s="273"/>
      <c r="AO32" s="273"/>
      <c r="AP32" s="275"/>
      <c r="AQ32" s="276"/>
      <c r="AR32" s="276"/>
      <c r="AS32" s="275">
        <v>0</v>
      </c>
      <c r="AT32" s="275"/>
      <c r="AU32" s="275"/>
      <c r="AV32" s="275">
        <v>0</v>
      </c>
      <c r="AW32" s="275"/>
      <c r="AX32" s="275"/>
      <c r="AY32" s="275"/>
      <c r="AZ32" s="275">
        <v>0</v>
      </c>
      <c r="BA32" s="275">
        <v>0</v>
      </c>
      <c r="BB32" s="275"/>
      <c r="BC32" s="275"/>
      <c r="BD32" s="275">
        <v>0</v>
      </c>
      <c r="BE32" s="275">
        <v>0</v>
      </c>
      <c r="BF32" s="275">
        <v>0</v>
      </c>
      <c r="BG32" s="275">
        <v>0</v>
      </c>
      <c r="BH32" s="275">
        <v>0</v>
      </c>
      <c r="BI32" s="275">
        <v>0</v>
      </c>
      <c r="BJ32" s="275">
        <v>0</v>
      </c>
      <c r="BK32" s="275">
        <v>0</v>
      </c>
      <c r="BL32" s="273">
        <v>0</v>
      </c>
      <c r="BM32" s="273">
        <v>0</v>
      </c>
      <c r="BN32" s="275">
        <v>0</v>
      </c>
      <c r="BO32" s="275">
        <v>0</v>
      </c>
      <c r="BP32" s="275">
        <v>0</v>
      </c>
      <c r="BQ32" s="275">
        <v>0</v>
      </c>
      <c r="BR32" s="275">
        <v>0</v>
      </c>
      <c r="BS32" s="275">
        <v>0</v>
      </c>
      <c r="BT32" s="275">
        <v>0</v>
      </c>
      <c r="BU32" s="275">
        <v>0</v>
      </c>
      <c r="BV32" s="275">
        <v>0</v>
      </c>
      <c r="BW32" s="277">
        <v>0</v>
      </c>
      <c r="BX32" s="275">
        <v>0</v>
      </c>
      <c r="BY32" s="275"/>
      <c r="BZ32" s="275"/>
      <c r="CA32" s="275">
        <v>0</v>
      </c>
    </row>
    <row r="33" spans="2:79" s="278" customFormat="1" ht="12.75" x14ac:dyDescent="0.2">
      <c r="B33" s="273">
        <v>3</v>
      </c>
      <c r="C33" s="273">
        <v>1988</v>
      </c>
      <c r="D33" s="274"/>
      <c r="E33" s="274"/>
      <c r="F33" s="274"/>
      <c r="G33" s="275">
        <v>0</v>
      </c>
      <c r="H33" s="275">
        <v>0</v>
      </c>
      <c r="I33" s="275">
        <v>0</v>
      </c>
      <c r="J33" s="274">
        <v>0</v>
      </c>
      <c r="K33" s="275">
        <v>0</v>
      </c>
      <c r="L33" s="274"/>
      <c r="M33" s="274"/>
      <c r="N33" s="274"/>
      <c r="O33" s="275">
        <v>0</v>
      </c>
      <c r="P33" s="275">
        <v>0</v>
      </c>
      <c r="Q33" s="275">
        <v>0</v>
      </c>
      <c r="R33" s="275"/>
      <c r="S33" s="275"/>
      <c r="T33" s="275"/>
      <c r="U33" s="275"/>
      <c r="V33" s="274"/>
      <c r="W33" s="274"/>
      <c r="X33" s="274"/>
      <c r="Y33" s="274"/>
      <c r="Z33" s="274"/>
      <c r="AA33" s="274"/>
      <c r="AB33" s="274"/>
      <c r="AC33" s="274"/>
      <c r="AD33" s="274"/>
      <c r="AE33" s="274"/>
      <c r="AF33" s="274"/>
      <c r="AG33" s="274"/>
      <c r="AH33" s="275"/>
      <c r="AI33" s="275"/>
      <c r="AJ33" s="275"/>
      <c r="AK33" s="275"/>
      <c r="AL33" s="275"/>
      <c r="AM33" s="273"/>
      <c r="AN33" s="273"/>
      <c r="AO33" s="273"/>
      <c r="AP33" s="275"/>
      <c r="AQ33" s="276"/>
      <c r="AR33" s="276"/>
      <c r="AS33" s="275">
        <v>0</v>
      </c>
      <c r="AT33" s="275"/>
      <c r="AU33" s="275"/>
      <c r="AV33" s="275">
        <v>0</v>
      </c>
      <c r="AW33" s="275"/>
      <c r="AX33" s="275"/>
      <c r="AY33" s="275"/>
      <c r="AZ33" s="275">
        <v>0</v>
      </c>
      <c r="BA33" s="275">
        <v>0</v>
      </c>
      <c r="BB33" s="275"/>
      <c r="BC33" s="275"/>
      <c r="BD33" s="275">
        <v>0</v>
      </c>
      <c r="BE33" s="275">
        <v>0</v>
      </c>
      <c r="BF33" s="275">
        <v>0</v>
      </c>
      <c r="BG33" s="275">
        <v>0</v>
      </c>
      <c r="BH33" s="275">
        <v>0</v>
      </c>
      <c r="BI33" s="275">
        <v>0</v>
      </c>
      <c r="BJ33" s="275">
        <v>0</v>
      </c>
      <c r="BK33" s="275">
        <v>0</v>
      </c>
      <c r="BL33" s="273">
        <v>0</v>
      </c>
      <c r="BM33" s="273">
        <v>0</v>
      </c>
      <c r="BN33" s="275">
        <v>0</v>
      </c>
      <c r="BO33" s="275">
        <v>0</v>
      </c>
      <c r="BP33" s="275">
        <v>0</v>
      </c>
      <c r="BQ33" s="275">
        <v>0</v>
      </c>
      <c r="BR33" s="275">
        <v>0</v>
      </c>
      <c r="BS33" s="275">
        <v>0</v>
      </c>
      <c r="BT33" s="275">
        <v>0</v>
      </c>
      <c r="BU33" s="275">
        <v>0</v>
      </c>
      <c r="BV33" s="275">
        <v>0</v>
      </c>
      <c r="BW33" s="277">
        <v>0</v>
      </c>
      <c r="BX33" s="275">
        <v>0</v>
      </c>
      <c r="BY33" s="275"/>
      <c r="BZ33" s="275"/>
      <c r="CA33" s="275">
        <v>0</v>
      </c>
    </row>
    <row r="34" spans="2:79" s="278" customFormat="1" ht="12.75" x14ac:dyDescent="0.2">
      <c r="B34" s="273">
        <v>3</v>
      </c>
      <c r="C34" s="273">
        <v>1989</v>
      </c>
      <c r="D34" s="274"/>
      <c r="E34" s="274"/>
      <c r="F34" s="274"/>
      <c r="G34" s="275">
        <v>0</v>
      </c>
      <c r="H34" s="275">
        <v>0</v>
      </c>
      <c r="I34" s="275">
        <v>0</v>
      </c>
      <c r="J34" s="274">
        <v>0</v>
      </c>
      <c r="K34" s="275">
        <v>0</v>
      </c>
      <c r="L34" s="274"/>
      <c r="M34" s="274"/>
      <c r="N34" s="274"/>
      <c r="O34" s="275">
        <v>0</v>
      </c>
      <c r="P34" s="275">
        <v>0</v>
      </c>
      <c r="Q34" s="275">
        <v>0</v>
      </c>
      <c r="R34" s="275"/>
      <c r="S34" s="275"/>
      <c r="T34" s="275"/>
      <c r="U34" s="275"/>
      <c r="V34" s="274"/>
      <c r="W34" s="274"/>
      <c r="X34" s="274"/>
      <c r="Y34" s="274"/>
      <c r="Z34" s="274"/>
      <c r="AA34" s="274"/>
      <c r="AB34" s="274"/>
      <c r="AC34" s="274"/>
      <c r="AD34" s="274"/>
      <c r="AE34" s="274"/>
      <c r="AF34" s="274"/>
      <c r="AG34" s="274"/>
      <c r="AH34" s="275"/>
      <c r="AI34" s="275"/>
      <c r="AJ34" s="275"/>
      <c r="AK34" s="275"/>
      <c r="AL34" s="275"/>
      <c r="AM34" s="273"/>
      <c r="AN34" s="273"/>
      <c r="AO34" s="273"/>
      <c r="AP34" s="275"/>
      <c r="AQ34" s="276"/>
      <c r="AR34" s="276"/>
      <c r="AS34" s="275">
        <v>0</v>
      </c>
      <c r="AT34" s="275"/>
      <c r="AU34" s="275"/>
      <c r="AV34" s="275">
        <v>0</v>
      </c>
      <c r="AW34" s="275"/>
      <c r="AX34" s="275"/>
      <c r="AY34" s="275"/>
      <c r="AZ34" s="275">
        <v>0</v>
      </c>
      <c r="BA34" s="275">
        <v>0</v>
      </c>
      <c r="BB34" s="275"/>
      <c r="BC34" s="275"/>
      <c r="BD34" s="275">
        <v>0</v>
      </c>
      <c r="BE34" s="275">
        <v>0</v>
      </c>
      <c r="BF34" s="275">
        <v>0</v>
      </c>
      <c r="BG34" s="275">
        <v>0</v>
      </c>
      <c r="BH34" s="275">
        <v>0</v>
      </c>
      <c r="BI34" s="275">
        <v>0</v>
      </c>
      <c r="BJ34" s="275">
        <v>0</v>
      </c>
      <c r="BK34" s="275">
        <v>0</v>
      </c>
      <c r="BL34" s="273">
        <v>0</v>
      </c>
      <c r="BM34" s="273">
        <v>0</v>
      </c>
      <c r="BN34" s="275">
        <v>0</v>
      </c>
      <c r="BO34" s="275">
        <v>0</v>
      </c>
      <c r="BP34" s="275">
        <v>0</v>
      </c>
      <c r="BQ34" s="275">
        <v>0</v>
      </c>
      <c r="BR34" s="275">
        <v>0</v>
      </c>
      <c r="BS34" s="275">
        <v>0</v>
      </c>
      <c r="BT34" s="275">
        <v>0</v>
      </c>
      <c r="BU34" s="275">
        <v>0</v>
      </c>
      <c r="BV34" s="275">
        <v>0</v>
      </c>
      <c r="BW34" s="277">
        <v>0</v>
      </c>
      <c r="BX34" s="275">
        <v>0</v>
      </c>
      <c r="BY34" s="275"/>
      <c r="BZ34" s="275"/>
      <c r="CA34" s="275">
        <v>0</v>
      </c>
    </row>
    <row r="35" spans="2:79" s="278" customFormat="1" ht="12.75" x14ac:dyDescent="0.2">
      <c r="B35" s="273">
        <v>3</v>
      </c>
      <c r="C35" s="273">
        <v>1990</v>
      </c>
      <c r="D35" s="274"/>
      <c r="E35" s="274"/>
      <c r="F35" s="274"/>
      <c r="G35" s="275">
        <v>0</v>
      </c>
      <c r="H35" s="275">
        <v>0</v>
      </c>
      <c r="I35" s="275">
        <v>0</v>
      </c>
      <c r="J35" s="274">
        <v>0</v>
      </c>
      <c r="K35" s="275">
        <v>0</v>
      </c>
      <c r="L35" s="274"/>
      <c r="M35" s="274"/>
      <c r="N35" s="274"/>
      <c r="O35" s="275">
        <v>0</v>
      </c>
      <c r="P35" s="275">
        <v>0</v>
      </c>
      <c r="Q35" s="275">
        <v>0</v>
      </c>
      <c r="R35" s="275"/>
      <c r="S35" s="275"/>
      <c r="T35" s="275"/>
      <c r="U35" s="275"/>
      <c r="V35" s="274"/>
      <c r="W35" s="274"/>
      <c r="X35" s="274"/>
      <c r="Y35" s="274"/>
      <c r="Z35" s="274"/>
      <c r="AA35" s="274"/>
      <c r="AB35" s="274"/>
      <c r="AC35" s="274"/>
      <c r="AD35" s="274"/>
      <c r="AE35" s="274"/>
      <c r="AF35" s="274"/>
      <c r="AG35" s="274"/>
      <c r="AH35" s="275"/>
      <c r="AI35" s="275"/>
      <c r="AJ35" s="275"/>
      <c r="AK35" s="275"/>
      <c r="AL35" s="275"/>
      <c r="AM35" s="273"/>
      <c r="AN35" s="273"/>
      <c r="AO35" s="273"/>
      <c r="AP35" s="275"/>
      <c r="AQ35" s="276"/>
      <c r="AR35" s="276"/>
      <c r="AS35" s="275">
        <v>0</v>
      </c>
      <c r="AT35" s="275"/>
      <c r="AU35" s="275"/>
      <c r="AV35" s="275">
        <v>0</v>
      </c>
      <c r="AW35" s="275"/>
      <c r="AX35" s="275"/>
      <c r="AY35" s="275"/>
      <c r="AZ35" s="275">
        <v>0</v>
      </c>
      <c r="BA35" s="275">
        <v>0</v>
      </c>
      <c r="BB35" s="275"/>
      <c r="BC35" s="275"/>
      <c r="BD35" s="275">
        <v>0</v>
      </c>
      <c r="BE35" s="275">
        <v>0</v>
      </c>
      <c r="BF35" s="275">
        <v>0</v>
      </c>
      <c r="BG35" s="275">
        <v>0</v>
      </c>
      <c r="BH35" s="275">
        <v>0</v>
      </c>
      <c r="BI35" s="275">
        <v>0</v>
      </c>
      <c r="BJ35" s="275">
        <v>0</v>
      </c>
      <c r="BK35" s="275">
        <v>0</v>
      </c>
      <c r="BL35" s="273">
        <v>0</v>
      </c>
      <c r="BM35" s="273">
        <v>0</v>
      </c>
      <c r="BN35" s="275">
        <v>0</v>
      </c>
      <c r="BO35" s="275">
        <v>0</v>
      </c>
      <c r="BP35" s="275">
        <v>0</v>
      </c>
      <c r="BQ35" s="275">
        <v>0</v>
      </c>
      <c r="BR35" s="275">
        <v>0</v>
      </c>
      <c r="BS35" s="275">
        <v>0</v>
      </c>
      <c r="BT35" s="275">
        <v>0</v>
      </c>
      <c r="BU35" s="275">
        <v>0</v>
      </c>
      <c r="BV35" s="275">
        <v>0</v>
      </c>
      <c r="BW35" s="277">
        <v>0</v>
      </c>
      <c r="BX35" s="275">
        <v>0</v>
      </c>
      <c r="BY35" s="275"/>
      <c r="BZ35" s="275"/>
      <c r="CA35" s="275">
        <v>0</v>
      </c>
    </row>
    <row r="36" spans="2:79" s="278" customFormat="1" ht="12.75" x14ac:dyDescent="0.2">
      <c r="B36" s="273">
        <v>3</v>
      </c>
      <c r="C36" s="273">
        <v>1991</v>
      </c>
      <c r="D36" s="274"/>
      <c r="E36" s="274"/>
      <c r="F36" s="274"/>
      <c r="G36" s="275">
        <v>0</v>
      </c>
      <c r="H36" s="275">
        <v>0</v>
      </c>
      <c r="I36" s="275">
        <v>0</v>
      </c>
      <c r="J36" s="274">
        <v>0</v>
      </c>
      <c r="K36" s="275">
        <v>0</v>
      </c>
      <c r="L36" s="274"/>
      <c r="M36" s="274"/>
      <c r="N36" s="274"/>
      <c r="O36" s="275">
        <v>0</v>
      </c>
      <c r="P36" s="275">
        <v>0</v>
      </c>
      <c r="Q36" s="275">
        <v>0</v>
      </c>
      <c r="R36" s="275"/>
      <c r="S36" s="275"/>
      <c r="T36" s="275"/>
      <c r="U36" s="275"/>
      <c r="V36" s="274"/>
      <c r="W36" s="274"/>
      <c r="X36" s="274"/>
      <c r="Y36" s="274"/>
      <c r="Z36" s="274"/>
      <c r="AA36" s="274"/>
      <c r="AB36" s="274"/>
      <c r="AC36" s="274"/>
      <c r="AD36" s="274"/>
      <c r="AE36" s="274"/>
      <c r="AF36" s="274"/>
      <c r="AG36" s="274"/>
      <c r="AH36" s="275"/>
      <c r="AI36" s="275"/>
      <c r="AJ36" s="275"/>
      <c r="AK36" s="275"/>
      <c r="AL36" s="275"/>
      <c r="AM36" s="273"/>
      <c r="AN36" s="273"/>
      <c r="AO36" s="273"/>
      <c r="AP36" s="275"/>
      <c r="AQ36" s="276"/>
      <c r="AR36" s="276"/>
      <c r="AS36" s="275">
        <v>0</v>
      </c>
      <c r="AT36" s="275"/>
      <c r="AU36" s="275"/>
      <c r="AV36" s="275">
        <v>0</v>
      </c>
      <c r="AW36" s="275"/>
      <c r="AX36" s="275"/>
      <c r="AY36" s="275"/>
      <c r="AZ36" s="275">
        <v>0</v>
      </c>
      <c r="BA36" s="275">
        <v>0</v>
      </c>
      <c r="BB36" s="275"/>
      <c r="BC36" s="275"/>
      <c r="BD36" s="275">
        <v>0</v>
      </c>
      <c r="BE36" s="275">
        <v>0</v>
      </c>
      <c r="BF36" s="275">
        <v>0</v>
      </c>
      <c r="BG36" s="275">
        <v>0</v>
      </c>
      <c r="BH36" s="275">
        <v>0</v>
      </c>
      <c r="BI36" s="275">
        <v>0</v>
      </c>
      <c r="BJ36" s="275">
        <v>0</v>
      </c>
      <c r="BK36" s="275">
        <v>0</v>
      </c>
      <c r="BL36" s="273">
        <v>0</v>
      </c>
      <c r="BM36" s="273">
        <v>0</v>
      </c>
      <c r="BN36" s="275">
        <v>0</v>
      </c>
      <c r="BO36" s="275">
        <v>0</v>
      </c>
      <c r="BP36" s="275">
        <v>0</v>
      </c>
      <c r="BQ36" s="275">
        <v>0</v>
      </c>
      <c r="BR36" s="275">
        <v>0</v>
      </c>
      <c r="BS36" s="275">
        <v>0</v>
      </c>
      <c r="BT36" s="275">
        <v>0</v>
      </c>
      <c r="BU36" s="275">
        <v>0</v>
      </c>
      <c r="BV36" s="275">
        <v>0</v>
      </c>
      <c r="BW36" s="277">
        <v>0</v>
      </c>
      <c r="BX36" s="275">
        <v>0</v>
      </c>
      <c r="BY36" s="275"/>
      <c r="BZ36" s="275"/>
      <c r="CA36" s="275">
        <v>0</v>
      </c>
    </row>
    <row r="37" spans="2:79" s="278" customFormat="1" ht="12.75" x14ac:dyDescent="0.2">
      <c r="B37" s="273">
        <v>3</v>
      </c>
      <c r="C37" s="273">
        <v>1992</v>
      </c>
      <c r="D37" s="274"/>
      <c r="E37" s="274"/>
      <c r="F37" s="274"/>
      <c r="G37" s="275">
        <v>0</v>
      </c>
      <c r="H37" s="275">
        <v>0</v>
      </c>
      <c r="I37" s="275">
        <v>0</v>
      </c>
      <c r="J37" s="274">
        <v>0</v>
      </c>
      <c r="K37" s="275">
        <v>0</v>
      </c>
      <c r="L37" s="274"/>
      <c r="M37" s="274"/>
      <c r="N37" s="274"/>
      <c r="O37" s="275">
        <v>0</v>
      </c>
      <c r="P37" s="275">
        <v>0</v>
      </c>
      <c r="Q37" s="275">
        <v>0</v>
      </c>
      <c r="R37" s="275"/>
      <c r="S37" s="275"/>
      <c r="T37" s="275"/>
      <c r="U37" s="275"/>
      <c r="V37" s="274"/>
      <c r="W37" s="274"/>
      <c r="X37" s="274"/>
      <c r="Y37" s="274"/>
      <c r="Z37" s="274"/>
      <c r="AA37" s="274"/>
      <c r="AB37" s="274"/>
      <c r="AC37" s="274"/>
      <c r="AD37" s="274"/>
      <c r="AE37" s="274"/>
      <c r="AF37" s="274"/>
      <c r="AG37" s="274"/>
      <c r="AH37" s="275"/>
      <c r="AI37" s="275"/>
      <c r="AJ37" s="275"/>
      <c r="AK37" s="275"/>
      <c r="AL37" s="275"/>
      <c r="AM37" s="273"/>
      <c r="AN37" s="273"/>
      <c r="AO37" s="273"/>
      <c r="AP37" s="275"/>
      <c r="AQ37" s="276"/>
      <c r="AR37" s="276"/>
      <c r="AS37" s="275">
        <v>0</v>
      </c>
      <c r="AT37" s="275"/>
      <c r="AU37" s="275"/>
      <c r="AV37" s="275">
        <v>0</v>
      </c>
      <c r="AW37" s="275"/>
      <c r="AX37" s="275"/>
      <c r="AY37" s="275"/>
      <c r="AZ37" s="275">
        <v>0</v>
      </c>
      <c r="BA37" s="275">
        <v>0</v>
      </c>
      <c r="BB37" s="275"/>
      <c r="BC37" s="275"/>
      <c r="BD37" s="275">
        <v>0</v>
      </c>
      <c r="BE37" s="275">
        <v>0</v>
      </c>
      <c r="BF37" s="275">
        <v>0</v>
      </c>
      <c r="BG37" s="275">
        <v>0</v>
      </c>
      <c r="BH37" s="275">
        <v>0</v>
      </c>
      <c r="BI37" s="275">
        <v>0</v>
      </c>
      <c r="BJ37" s="275">
        <v>0</v>
      </c>
      <c r="BK37" s="275">
        <v>0</v>
      </c>
      <c r="BL37" s="273">
        <v>0</v>
      </c>
      <c r="BM37" s="273">
        <v>0</v>
      </c>
      <c r="BN37" s="275">
        <v>0</v>
      </c>
      <c r="BO37" s="275">
        <v>0</v>
      </c>
      <c r="BP37" s="275">
        <v>0</v>
      </c>
      <c r="BQ37" s="275">
        <v>0</v>
      </c>
      <c r="BR37" s="275">
        <v>0</v>
      </c>
      <c r="BS37" s="275">
        <v>0</v>
      </c>
      <c r="BT37" s="275">
        <v>0</v>
      </c>
      <c r="BU37" s="275">
        <v>0</v>
      </c>
      <c r="BV37" s="275">
        <v>0</v>
      </c>
      <c r="BW37" s="277">
        <v>0</v>
      </c>
      <c r="BX37" s="275">
        <v>0</v>
      </c>
      <c r="BY37" s="275"/>
      <c r="BZ37" s="275"/>
      <c r="CA37" s="275">
        <v>0</v>
      </c>
    </row>
    <row r="38" spans="2:79" s="278" customFormat="1" ht="12.75" x14ac:dyDescent="0.2">
      <c r="B38" s="273">
        <v>3</v>
      </c>
      <c r="C38" s="273">
        <v>1993</v>
      </c>
      <c r="D38" s="274"/>
      <c r="E38" s="274"/>
      <c r="F38" s="274"/>
      <c r="G38" s="275">
        <v>0</v>
      </c>
      <c r="H38" s="275">
        <v>0</v>
      </c>
      <c r="I38" s="275">
        <v>0</v>
      </c>
      <c r="J38" s="274">
        <v>0</v>
      </c>
      <c r="K38" s="275">
        <v>0</v>
      </c>
      <c r="L38" s="274"/>
      <c r="M38" s="274"/>
      <c r="N38" s="274"/>
      <c r="O38" s="275">
        <v>0</v>
      </c>
      <c r="P38" s="275">
        <v>0</v>
      </c>
      <c r="Q38" s="275">
        <v>0</v>
      </c>
      <c r="R38" s="275"/>
      <c r="S38" s="275"/>
      <c r="T38" s="275"/>
      <c r="U38" s="275"/>
      <c r="V38" s="274"/>
      <c r="W38" s="274"/>
      <c r="X38" s="274"/>
      <c r="Y38" s="274"/>
      <c r="Z38" s="274"/>
      <c r="AA38" s="274"/>
      <c r="AB38" s="274"/>
      <c r="AC38" s="274"/>
      <c r="AD38" s="274"/>
      <c r="AE38" s="274"/>
      <c r="AF38" s="274"/>
      <c r="AG38" s="274"/>
      <c r="AH38" s="275"/>
      <c r="AI38" s="275"/>
      <c r="AJ38" s="275"/>
      <c r="AK38" s="275"/>
      <c r="AL38" s="275"/>
      <c r="AM38" s="273"/>
      <c r="AN38" s="273"/>
      <c r="AO38" s="273"/>
      <c r="AP38" s="275"/>
      <c r="AQ38" s="276"/>
      <c r="AR38" s="276"/>
      <c r="AS38" s="275">
        <v>0</v>
      </c>
      <c r="AT38" s="275"/>
      <c r="AU38" s="275"/>
      <c r="AV38" s="275">
        <v>0</v>
      </c>
      <c r="AW38" s="275"/>
      <c r="AX38" s="275"/>
      <c r="AY38" s="275"/>
      <c r="AZ38" s="275">
        <v>0</v>
      </c>
      <c r="BA38" s="275">
        <v>0</v>
      </c>
      <c r="BB38" s="275"/>
      <c r="BC38" s="275"/>
      <c r="BD38" s="275">
        <v>0</v>
      </c>
      <c r="BE38" s="275">
        <v>0</v>
      </c>
      <c r="BF38" s="275">
        <v>0</v>
      </c>
      <c r="BG38" s="275">
        <v>0</v>
      </c>
      <c r="BH38" s="275">
        <v>0</v>
      </c>
      <c r="BI38" s="275">
        <v>0</v>
      </c>
      <c r="BJ38" s="275">
        <v>0</v>
      </c>
      <c r="BK38" s="275">
        <v>0</v>
      </c>
      <c r="BL38" s="273">
        <v>0</v>
      </c>
      <c r="BM38" s="273">
        <v>0</v>
      </c>
      <c r="BN38" s="275">
        <v>0</v>
      </c>
      <c r="BO38" s="275">
        <v>0</v>
      </c>
      <c r="BP38" s="275">
        <v>0</v>
      </c>
      <c r="BQ38" s="275">
        <v>0</v>
      </c>
      <c r="BR38" s="275">
        <v>0</v>
      </c>
      <c r="BS38" s="275">
        <v>0</v>
      </c>
      <c r="BT38" s="275">
        <v>0</v>
      </c>
      <c r="BU38" s="275">
        <v>0</v>
      </c>
      <c r="BV38" s="275">
        <v>0</v>
      </c>
      <c r="BW38" s="277">
        <v>0</v>
      </c>
      <c r="BX38" s="275">
        <v>0</v>
      </c>
      <c r="BY38" s="275"/>
      <c r="BZ38" s="275"/>
      <c r="CA38" s="275">
        <v>0</v>
      </c>
    </row>
    <row r="39" spans="2:79" s="278" customFormat="1" ht="12.75" x14ac:dyDescent="0.2">
      <c r="B39" s="273">
        <v>3</v>
      </c>
      <c r="C39" s="273">
        <v>1994</v>
      </c>
      <c r="D39" s="274"/>
      <c r="E39" s="274"/>
      <c r="F39" s="274"/>
      <c r="G39" s="275">
        <v>0</v>
      </c>
      <c r="H39" s="275">
        <v>0</v>
      </c>
      <c r="I39" s="275">
        <v>0</v>
      </c>
      <c r="J39" s="274">
        <v>0</v>
      </c>
      <c r="K39" s="275">
        <v>0</v>
      </c>
      <c r="L39" s="274"/>
      <c r="M39" s="274"/>
      <c r="N39" s="274"/>
      <c r="O39" s="275">
        <v>0</v>
      </c>
      <c r="P39" s="275">
        <v>0</v>
      </c>
      <c r="Q39" s="275">
        <v>0</v>
      </c>
      <c r="R39" s="275"/>
      <c r="S39" s="275"/>
      <c r="T39" s="275"/>
      <c r="U39" s="275"/>
      <c r="V39" s="274"/>
      <c r="W39" s="274"/>
      <c r="X39" s="274"/>
      <c r="Y39" s="274"/>
      <c r="Z39" s="274"/>
      <c r="AA39" s="274"/>
      <c r="AB39" s="274"/>
      <c r="AC39" s="274"/>
      <c r="AD39" s="274"/>
      <c r="AE39" s="274"/>
      <c r="AF39" s="274"/>
      <c r="AG39" s="274"/>
      <c r="AH39" s="275"/>
      <c r="AI39" s="275"/>
      <c r="AJ39" s="275"/>
      <c r="AK39" s="275"/>
      <c r="AL39" s="275"/>
      <c r="AM39" s="273"/>
      <c r="AN39" s="273"/>
      <c r="AO39" s="273"/>
      <c r="AP39" s="275"/>
      <c r="AQ39" s="276"/>
      <c r="AR39" s="276"/>
      <c r="AS39" s="275">
        <v>0</v>
      </c>
      <c r="AT39" s="275"/>
      <c r="AU39" s="275"/>
      <c r="AV39" s="275">
        <v>0</v>
      </c>
      <c r="AW39" s="275"/>
      <c r="AX39" s="275"/>
      <c r="AY39" s="275"/>
      <c r="AZ39" s="275">
        <v>0</v>
      </c>
      <c r="BA39" s="275">
        <v>0</v>
      </c>
      <c r="BB39" s="275"/>
      <c r="BC39" s="275"/>
      <c r="BD39" s="275">
        <v>0</v>
      </c>
      <c r="BE39" s="275">
        <v>0</v>
      </c>
      <c r="BF39" s="275">
        <v>0</v>
      </c>
      <c r="BG39" s="275">
        <v>0</v>
      </c>
      <c r="BH39" s="275">
        <v>0</v>
      </c>
      <c r="BI39" s="275">
        <v>0</v>
      </c>
      <c r="BJ39" s="275">
        <v>0</v>
      </c>
      <c r="BK39" s="275">
        <v>0</v>
      </c>
      <c r="BL39" s="273">
        <v>0</v>
      </c>
      <c r="BM39" s="273">
        <v>0</v>
      </c>
      <c r="BN39" s="275">
        <v>0</v>
      </c>
      <c r="BO39" s="275">
        <v>0</v>
      </c>
      <c r="BP39" s="275">
        <v>0</v>
      </c>
      <c r="BQ39" s="275">
        <v>0</v>
      </c>
      <c r="BR39" s="275">
        <v>0</v>
      </c>
      <c r="BS39" s="275">
        <v>0</v>
      </c>
      <c r="BT39" s="275">
        <v>0</v>
      </c>
      <c r="BU39" s="275">
        <v>0</v>
      </c>
      <c r="BV39" s="275">
        <v>0</v>
      </c>
      <c r="BW39" s="277">
        <v>0</v>
      </c>
      <c r="BX39" s="275">
        <v>0</v>
      </c>
      <c r="BY39" s="275"/>
      <c r="BZ39" s="275"/>
      <c r="CA39" s="275">
        <v>0</v>
      </c>
    </row>
    <row r="40" spans="2:79" s="278" customFormat="1" ht="12.75" x14ac:dyDescent="0.2">
      <c r="B40" s="273">
        <v>3</v>
      </c>
      <c r="C40" s="273">
        <v>1995</v>
      </c>
      <c r="D40" s="274"/>
      <c r="E40" s="274"/>
      <c r="F40" s="274"/>
      <c r="G40" s="275">
        <v>0</v>
      </c>
      <c r="H40" s="275">
        <v>0</v>
      </c>
      <c r="I40" s="275">
        <v>0</v>
      </c>
      <c r="J40" s="274">
        <v>0</v>
      </c>
      <c r="K40" s="275">
        <v>0</v>
      </c>
      <c r="L40" s="274"/>
      <c r="M40" s="274"/>
      <c r="N40" s="274"/>
      <c r="O40" s="275">
        <v>0</v>
      </c>
      <c r="P40" s="275">
        <v>0</v>
      </c>
      <c r="Q40" s="275">
        <v>0</v>
      </c>
      <c r="R40" s="275"/>
      <c r="S40" s="275"/>
      <c r="T40" s="275"/>
      <c r="U40" s="275"/>
      <c r="V40" s="274"/>
      <c r="W40" s="274"/>
      <c r="X40" s="274"/>
      <c r="Y40" s="274"/>
      <c r="Z40" s="274"/>
      <c r="AA40" s="274"/>
      <c r="AB40" s="274"/>
      <c r="AC40" s="274"/>
      <c r="AD40" s="274"/>
      <c r="AE40" s="274"/>
      <c r="AF40" s="274"/>
      <c r="AG40" s="274"/>
      <c r="AH40" s="275"/>
      <c r="AI40" s="275"/>
      <c r="AJ40" s="275"/>
      <c r="AK40" s="275"/>
      <c r="AL40" s="275"/>
      <c r="AM40" s="273"/>
      <c r="AN40" s="273"/>
      <c r="AO40" s="273"/>
      <c r="AP40" s="275"/>
      <c r="AQ40" s="276"/>
      <c r="AR40" s="276"/>
      <c r="AS40" s="275">
        <v>0</v>
      </c>
      <c r="AT40" s="275"/>
      <c r="AU40" s="275"/>
      <c r="AV40" s="275">
        <v>0</v>
      </c>
      <c r="AW40" s="275"/>
      <c r="AX40" s="275"/>
      <c r="AY40" s="275"/>
      <c r="AZ40" s="275">
        <v>0</v>
      </c>
      <c r="BA40" s="275">
        <v>0</v>
      </c>
      <c r="BB40" s="275"/>
      <c r="BC40" s="275"/>
      <c r="BD40" s="275">
        <v>0</v>
      </c>
      <c r="BE40" s="275">
        <v>0</v>
      </c>
      <c r="BF40" s="275">
        <v>0</v>
      </c>
      <c r="BG40" s="275">
        <v>0</v>
      </c>
      <c r="BH40" s="275">
        <v>0</v>
      </c>
      <c r="BI40" s="275">
        <v>0</v>
      </c>
      <c r="BJ40" s="275">
        <v>0</v>
      </c>
      <c r="BK40" s="275">
        <v>0</v>
      </c>
      <c r="BL40" s="273">
        <v>0</v>
      </c>
      <c r="BM40" s="273">
        <v>0</v>
      </c>
      <c r="BN40" s="275">
        <v>0</v>
      </c>
      <c r="BO40" s="275">
        <v>0</v>
      </c>
      <c r="BP40" s="275">
        <v>0</v>
      </c>
      <c r="BQ40" s="275">
        <v>0</v>
      </c>
      <c r="BR40" s="275">
        <v>0</v>
      </c>
      <c r="BS40" s="275">
        <v>0</v>
      </c>
      <c r="BT40" s="275">
        <v>0</v>
      </c>
      <c r="BU40" s="275">
        <v>0</v>
      </c>
      <c r="BV40" s="275">
        <v>0</v>
      </c>
      <c r="BW40" s="277">
        <v>0</v>
      </c>
      <c r="BX40" s="275">
        <v>0</v>
      </c>
      <c r="BY40" s="275"/>
      <c r="BZ40" s="275"/>
      <c r="CA40" s="275">
        <v>0</v>
      </c>
    </row>
    <row r="41" spans="2:79" s="278" customFormat="1" ht="12.75" x14ac:dyDescent="0.2">
      <c r="B41" s="273">
        <v>3</v>
      </c>
      <c r="C41" s="273">
        <v>1996</v>
      </c>
      <c r="D41" s="274"/>
      <c r="E41" s="274"/>
      <c r="F41" s="274"/>
      <c r="G41" s="275">
        <v>0</v>
      </c>
      <c r="H41" s="275">
        <v>0</v>
      </c>
      <c r="I41" s="275">
        <v>0</v>
      </c>
      <c r="J41" s="274">
        <v>0</v>
      </c>
      <c r="K41" s="275">
        <v>0</v>
      </c>
      <c r="L41" s="274"/>
      <c r="M41" s="274"/>
      <c r="N41" s="274"/>
      <c r="O41" s="275">
        <v>0</v>
      </c>
      <c r="P41" s="275">
        <v>0</v>
      </c>
      <c r="Q41" s="275">
        <v>0</v>
      </c>
      <c r="R41" s="275"/>
      <c r="S41" s="275"/>
      <c r="T41" s="275"/>
      <c r="U41" s="275"/>
      <c r="V41" s="274"/>
      <c r="W41" s="274"/>
      <c r="X41" s="274"/>
      <c r="Y41" s="274"/>
      <c r="Z41" s="274"/>
      <c r="AA41" s="274"/>
      <c r="AB41" s="274"/>
      <c r="AC41" s="274"/>
      <c r="AD41" s="274"/>
      <c r="AE41" s="274"/>
      <c r="AF41" s="274"/>
      <c r="AG41" s="274"/>
      <c r="AH41" s="275"/>
      <c r="AI41" s="275"/>
      <c r="AJ41" s="275"/>
      <c r="AK41" s="275"/>
      <c r="AL41" s="275"/>
      <c r="AM41" s="273"/>
      <c r="AN41" s="273"/>
      <c r="AO41" s="273"/>
      <c r="AP41" s="275"/>
      <c r="AQ41" s="276"/>
      <c r="AR41" s="276"/>
      <c r="AS41" s="275">
        <v>0</v>
      </c>
      <c r="AT41" s="275"/>
      <c r="AU41" s="275"/>
      <c r="AV41" s="275">
        <v>0</v>
      </c>
      <c r="AW41" s="275"/>
      <c r="AX41" s="275"/>
      <c r="AY41" s="275"/>
      <c r="AZ41" s="275">
        <v>0</v>
      </c>
      <c r="BA41" s="275">
        <v>0</v>
      </c>
      <c r="BB41" s="275"/>
      <c r="BC41" s="275"/>
      <c r="BD41" s="275">
        <v>0</v>
      </c>
      <c r="BE41" s="275">
        <v>0</v>
      </c>
      <c r="BF41" s="275">
        <v>0</v>
      </c>
      <c r="BG41" s="275">
        <v>0</v>
      </c>
      <c r="BH41" s="275">
        <v>0</v>
      </c>
      <c r="BI41" s="275">
        <v>0</v>
      </c>
      <c r="BJ41" s="275">
        <v>0</v>
      </c>
      <c r="BK41" s="275">
        <v>0</v>
      </c>
      <c r="BL41" s="273">
        <v>0</v>
      </c>
      <c r="BM41" s="273">
        <v>0</v>
      </c>
      <c r="BN41" s="275">
        <v>0</v>
      </c>
      <c r="BO41" s="275">
        <v>0</v>
      </c>
      <c r="BP41" s="275">
        <v>0</v>
      </c>
      <c r="BQ41" s="275">
        <v>0</v>
      </c>
      <c r="BR41" s="275">
        <v>0</v>
      </c>
      <c r="BS41" s="275">
        <v>0</v>
      </c>
      <c r="BT41" s="275">
        <v>0</v>
      </c>
      <c r="BU41" s="275">
        <v>0</v>
      </c>
      <c r="BV41" s="275">
        <v>0</v>
      </c>
      <c r="BW41" s="277">
        <v>0</v>
      </c>
      <c r="BX41" s="275">
        <v>0</v>
      </c>
      <c r="BY41" s="275"/>
      <c r="BZ41" s="275"/>
      <c r="CA41" s="275">
        <v>0</v>
      </c>
    </row>
    <row r="42" spans="2:79" s="278" customFormat="1" ht="12.75" x14ac:dyDescent="0.2">
      <c r="B42" s="273" t="s">
        <v>417</v>
      </c>
      <c r="C42" s="273">
        <v>1997</v>
      </c>
      <c r="D42" s="274"/>
      <c r="E42" s="274"/>
      <c r="F42" s="274"/>
      <c r="G42" s="275">
        <v>1040624</v>
      </c>
      <c r="H42" s="275">
        <v>14476</v>
      </c>
      <c r="I42" s="275">
        <v>1455</v>
      </c>
      <c r="J42" s="274">
        <v>89</v>
      </c>
      <c r="K42" s="275">
        <v>33637</v>
      </c>
      <c r="L42" s="274"/>
      <c r="M42" s="274"/>
      <c r="N42" s="274"/>
      <c r="O42" s="275">
        <v>635500032</v>
      </c>
      <c r="P42" s="275">
        <v>25600000</v>
      </c>
      <c r="Q42" s="275">
        <v>126900000</v>
      </c>
      <c r="R42" s="275"/>
      <c r="S42" s="275"/>
      <c r="T42" s="275"/>
      <c r="U42" s="275"/>
      <c r="V42" s="274"/>
      <c r="W42" s="274"/>
      <c r="X42" s="274"/>
      <c r="Y42" s="274"/>
      <c r="Z42" s="274"/>
      <c r="AA42" s="274"/>
      <c r="AB42" s="274"/>
      <c r="AC42" s="274"/>
      <c r="AD42" s="274"/>
      <c r="AE42" s="274"/>
      <c r="AF42" s="274"/>
      <c r="AG42" s="274"/>
      <c r="AH42" s="275"/>
      <c r="AI42" s="275"/>
      <c r="AJ42" s="275"/>
      <c r="AK42" s="275"/>
      <c r="AL42" s="275"/>
      <c r="AM42" s="273"/>
      <c r="AN42" s="273"/>
      <c r="AO42" s="273"/>
      <c r="AP42" s="275"/>
      <c r="AQ42" s="276"/>
      <c r="AR42" s="276"/>
      <c r="AS42" s="275">
        <v>309943008</v>
      </c>
      <c r="AT42" s="275"/>
      <c r="AU42" s="275"/>
      <c r="AV42" s="275">
        <v>3700005</v>
      </c>
      <c r="AW42" s="275"/>
      <c r="AX42" s="275"/>
      <c r="AY42" s="275"/>
      <c r="AZ42" s="275">
        <v>164500000</v>
      </c>
      <c r="BA42" s="275">
        <v>11427700</v>
      </c>
      <c r="BB42" s="275"/>
      <c r="BC42" s="275"/>
      <c r="BD42" s="275">
        <v>7374596.5</v>
      </c>
      <c r="BE42" s="275">
        <v>39300000</v>
      </c>
      <c r="BF42" s="275">
        <v>10390724</v>
      </c>
      <c r="BG42" s="275">
        <v>6502481</v>
      </c>
      <c r="BH42" s="275">
        <v>467796544</v>
      </c>
      <c r="BI42" s="275">
        <v>899116416</v>
      </c>
      <c r="BJ42" s="275">
        <v>2224279552</v>
      </c>
      <c r="BK42" s="275">
        <v>792961216</v>
      </c>
      <c r="BL42" s="273">
        <v>0</v>
      </c>
      <c r="BM42" s="273">
        <v>0</v>
      </c>
      <c r="BN42" s="275">
        <v>-133817264</v>
      </c>
      <c r="BO42" s="275">
        <v>7465325</v>
      </c>
      <c r="BP42" s="275">
        <v>4871450</v>
      </c>
      <c r="BQ42" s="275">
        <v>99274072</v>
      </c>
      <c r="BR42" s="275">
        <v>229765536</v>
      </c>
      <c r="BS42" s="275">
        <v>616319360</v>
      </c>
      <c r="BT42" s="275">
        <v>200418112</v>
      </c>
      <c r="BU42" s="275">
        <v>293777440</v>
      </c>
      <c r="BV42" s="275">
        <v>96133000</v>
      </c>
      <c r="BW42" s="277">
        <v>0</v>
      </c>
      <c r="BX42" s="275">
        <v>47500000</v>
      </c>
      <c r="BY42" s="275"/>
      <c r="BZ42" s="275"/>
      <c r="CA42" s="275">
        <v>105700000</v>
      </c>
    </row>
    <row r="43" spans="2:79" s="278" customFormat="1" ht="12.75" x14ac:dyDescent="0.2">
      <c r="B43" s="273" t="s">
        <v>417</v>
      </c>
      <c r="C43" s="273">
        <v>1998</v>
      </c>
      <c r="D43" s="274"/>
      <c r="E43" s="274"/>
      <c r="F43" s="274"/>
      <c r="G43" s="275">
        <v>1075203</v>
      </c>
      <c r="H43" s="275">
        <v>13274</v>
      </c>
      <c r="I43" s="275">
        <v>1494</v>
      </c>
      <c r="J43" s="274">
        <v>97</v>
      </c>
      <c r="K43" s="275">
        <v>31759</v>
      </c>
      <c r="L43" s="274">
        <v>27.504000000000001</v>
      </c>
      <c r="M43" s="274">
        <v>21.082000000000001</v>
      </c>
      <c r="N43" s="274">
        <v>6.4219999999999997</v>
      </c>
      <c r="O43" s="275">
        <v>563600000</v>
      </c>
      <c r="P43" s="275">
        <v>28300000</v>
      </c>
      <c r="Q43" s="275">
        <v>122600000</v>
      </c>
      <c r="R43" s="275"/>
      <c r="S43" s="275"/>
      <c r="T43" s="275"/>
      <c r="U43" s="275"/>
      <c r="V43" s="274"/>
      <c r="W43" s="274"/>
      <c r="X43" s="274"/>
      <c r="Y43" s="274"/>
      <c r="Z43" s="274"/>
      <c r="AA43" s="274"/>
      <c r="AB43" s="274"/>
      <c r="AC43" s="274"/>
      <c r="AD43" s="274"/>
      <c r="AE43" s="274"/>
      <c r="AF43" s="274"/>
      <c r="AG43" s="274"/>
      <c r="AH43" s="275">
        <v>810681</v>
      </c>
      <c r="AI43" s="275">
        <v>261175</v>
      </c>
      <c r="AJ43" s="275">
        <v>2621</v>
      </c>
      <c r="AK43" s="275"/>
      <c r="AL43" s="275"/>
      <c r="AM43" s="273"/>
      <c r="AN43" s="273"/>
      <c r="AO43" s="273"/>
      <c r="AP43" s="275"/>
      <c r="AQ43" s="276"/>
      <c r="AR43" s="276"/>
      <c r="AS43" s="275">
        <v>300000000</v>
      </c>
      <c r="AT43" s="275"/>
      <c r="AU43" s="275"/>
      <c r="AV43" s="275">
        <v>3064000</v>
      </c>
      <c r="AW43" s="275"/>
      <c r="AX43" s="275"/>
      <c r="AY43" s="275"/>
      <c r="AZ43" s="275">
        <v>153703008</v>
      </c>
      <c r="BA43" s="275">
        <v>6169476</v>
      </c>
      <c r="BB43" s="275"/>
      <c r="BC43" s="275"/>
      <c r="BD43" s="275">
        <v>5897000</v>
      </c>
      <c r="BE43" s="275">
        <v>33799000</v>
      </c>
      <c r="BF43" s="275">
        <v>10423220</v>
      </c>
      <c r="BG43" s="275">
        <v>7973075</v>
      </c>
      <c r="BH43" s="275">
        <v>473731008</v>
      </c>
      <c r="BI43" s="275">
        <v>917374848</v>
      </c>
      <c r="BJ43" s="275">
        <v>2384916480</v>
      </c>
      <c r="BK43" s="275">
        <v>849398656</v>
      </c>
      <c r="BL43" s="273">
        <v>0</v>
      </c>
      <c r="BM43" s="273">
        <v>0</v>
      </c>
      <c r="BN43" s="275">
        <v>-139944992</v>
      </c>
      <c r="BO43" s="275">
        <v>7619279</v>
      </c>
      <c r="BP43" s="275">
        <v>5145142</v>
      </c>
      <c r="BQ43" s="275">
        <v>110460272</v>
      </c>
      <c r="BR43" s="275">
        <v>253939024</v>
      </c>
      <c r="BS43" s="275">
        <v>679038208</v>
      </c>
      <c r="BT43" s="275">
        <v>237888048</v>
      </c>
      <c r="BU43" s="275">
        <v>277093824</v>
      </c>
      <c r="BV43" s="275">
        <v>90460120</v>
      </c>
      <c r="BW43" s="277">
        <v>9.5600000000000004E-2</v>
      </c>
      <c r="BX43" s="275">
        <v>49500000</v>
      </c>
      <c r="BY43" s="275"/>
      <c r="BZ43" s="275"/>
      <c r="CA43" s="275">
        <v>76600000</v>
      </c>
    </row>
    <row r="44" spans="2:79" s="278" customFormat="1" ht="12.75" x14ac:dyDescent="0.2">
      <c r="B44" s="273" t="s">
        <v>417</v>
      </c>
      <c r="C44" s="279">
        <v>1999</v>
      </c>
      <c r="D44" s="280">
        <v>3913</v>
      </c>
      <c r="E44" s="280">
        <v>4754</v>
      </c>
      <c r="F44" s="280">
        <v>3641</v>
      </c>
      <c r="G44" s="275">
        <v>1103636</v>
      </c>
      <c r="H44" s="275">
        <v>14602</v>
      </c>
      <c r="I44" s="275">
        <v>1569</v>
      </c>
      <c r="J44" s="274">
        <v>99</v>
      </c>
      <c r="K44" s="275">
        <v>34574</v>
      </c>
      <c r="L44" s="274">
        <v>30.968</v>
      </c>
      <c r="M44" s="274">
        <v>18.279</v>
      </c>
      <c r="N44" s="274">
        <v>12.689</v>
      </c>
      <c r="O44" s="275">
        <v>569200000</v>
      </c>
      <c r="P44" s="275">
        <v>23010000</v>
      </c>
      <c r="Q44" s="275">
        <v>117719000</v>
      </c>
      <c r="R44" s="275"/>
      <c r="S44" s="275"/>
      <c r="T44" s="275"/>
      <c r="U44" s="275"/>
      <c r="V44" s="274">
        <v>102.49926000000001</v>
      </c>
      <c r="W44" s="274"/>
      <c r="X44" s="274">
        <v>71.467380000000006</v>
      </c>
      <c r="Y44" s="274">
        <v>30.091529999999999</v>
      </c>
      <c r="Z44" s="274">
        <v>1.8807199999999999</v>
      </c>
      <c r="AA44" s="274"/>
      <c r="AB44" s="274">
        <v>267.06229000000002</v>
      </c>
      <c r="AC44" s="274">
        <v>90.27458</v>
      </c>
      <c r="AD44" s="274">
        <v>21.62828</v>
      </c>
      <c r="AE44" s="281"/>
      <c r="AF44" s="281"/>
      <c r="AG44" s="274"/>
      <c r="AH44" s="275">
        <v>836601</v>
      </c>
      <c r="AI44" s="275">
        <v>263686</v>
      </c>
      <c r="AJ44" s="275">
        <v>2631</v>
      </c>
      <c r="AK44" s="275"/>
      <c r="AL44" s="275">
        <v>3748</v>
      </c>
      <c r="AM44" s="273">
        <v>844</v>
      </c>
      <c r="AN44" s="273">
        <v>355</v>
      </c>
      <c r="AO44" s="281"/>
      <c r="AP44" s="275">
        <v>9641</v>
      </c>
      <c r="AQ44" s="276"/>
      <c r="AR44" s="276"/>
      <c r="AS44" s="275">
        <v>267455392</v>
      </c>
      <c r="AT44" s="275">
        <f>(AS44-BA44)*AU44</f>
        <v>248117327.18359879</v>
      </c>
      <c r="AU44" s="282">
        <f t="shared" ref="AU44:AU49" si="0">$AU$51</f>
        <v>0.96339705312723245</v>
      </c>
      <c r="AV44" s="275">
        <v>3663000</v>
      </c>
      <c r="AW44" s="275"/>
      <c r="AX44" s="275"/>
      <c r="AY44" s="275"/>
      <c r="AZ44" s="275">
        <v>131100000</v>
      </c>
      <c r="BA44" s="275">
        <v>9911188</v>
      </c>
      <c r="BB44" s="275"/>
      <c r="BC44" s="275"/>
      <c r="BD44" s="275">
        <v>-102000</v>
      </c>
      <c r="BE44" s="275">
        <v>16500000</v>
      </c>
      <c r="BF44" s="275">
        <v>10423220</v>
      </c>
      <c r="BG44" s="275">
        <v>10041189</v>
      </c>
      <c r="BH44" s="275">
        <v>490387552</v>
      </c>
      <c r="BI44" s="275">
        <v>978968512</v>
      </c>
      <c r="BJ44" s="275">
        <v>2493140224</v>
      </c>
      <c r="BK44" s="275">
        <v>258850944</v>
      </c>
      <c r="BL44" s="273">
        <v>0</v>
      </c>
      <c r="BM44" s="273">
        <v>0</v>
      </c>
      <c r="BN44" s="275">
        <v>-146970400</v>
      </c>
      <c r="BO44" s="275">
        <v>7490623</v>
      </c>
      <c r="BP44" s="275">
        <v>2935187.5</v>
      </c>
      <c r="BQ44" s="275">
        <v>124012272</v>
      </c>
      <c r="BR44" s="275">
        <v>274026208</v>
      </c>
      <c r="BS44" s="275">
        <v>704026368</v>
      </c>
      <c r="BT44" s="275">
        <v>99823040</v>
      </c>
      <c r="BU44" s="275">
        <v>220112096</v>
      </c>
      <c r="BV44" s="275">
        <v>20155676</v>
      </c>
      <c r="BW44" s="277">
        <v>9.4100000000000003E-2</v>
      </c>
      <c r="BX44" s="275">
        <v>54000000</v>
      </c>
      <c r="BY44" s="275"/>
      <c r="BZ44" s="275"/>
      <c r="CA44" s="275">
        <v>40000000</v>
      </c>
    </row>
    <row r="45" spans="2:79" s="297" customFormat="1" ht="12.75" x14ac:dyDescent="0.2">
      <c r="B45" s="283" t="s">
        <v>417</v>
      </c>
      <c r="C45" s="283">
        <v>2000</v>
      </c>
      <c r="D45" s="286">
        <v>4204</v>
      </c>
      <c r="E45" s="286">
        <v>5158</v>
      </c>
      <c r="F45" s="286">
        <v>3877</v>
      </c>
      <c r="G45" s="287">
        <v>1123523</v>
      </c>
      <c r="H45" s="287">
        <v>14933</v>
      </c>
      <c r="I45" s="287">
        <v>1766</v>
      </c>
      <c r="J45" s="288">
        <v>98</v>
      </c>
      <c r="K45" s="287">
        <v>35764</v>
      </c>
      <c r="L45" s="284">
        <v>32.344999999999999</v>
      </c>
      <c r="M45" s="274">
        <v>16.672999999999998</v>
      </c>
      <c r="N45" s="284">
        <v>15.672000000000001</v>
      </c>
      <c r="O45" s="285">
        <v>605299968</v>
      </c>
      <c r="P45" s="285">
        <v>29150000</v>
      </c>
      <c r="Q45" s="289">
        <v>121985000</v>
      </c>
      <c r="R45" s="275">
        <f t="shared" ref="R45:R60" si="1">O45+P45+Q45</f>
        <v>756434968</v>
      </c>
      <c r="S45" s="275">
        <f t="shared" ref="S45:S61" si="2">R45-P45</f>
        <v>727284968</v>
      </c>
      <c r="T45" s="275">
        <f>S45*U45</f>
        <v>6148624.9373662891</v>
      </c>
      <c r="U45" s="290">
        <f>$U$49</f>
        <v>8.4542169959523888E-3</v>
      </c>
      <c r="V45" s="288">
        <v>109</v>
      </c>
      <c r="W45" s="284"/>
      <c r="X45" s="288">
        <v>76</v>
      </c>
      <c r="Y45" s="288">
        <v>32</v>
      </c>
      <c r="Z45" s="288">
        <v>2</v>
      </c>
      <c r="AA45" s="284"/>
      <c r="AB45" s="284">
        <v>284</v>
      </c>
      <c r="AC45" s="284">
        <v>96</v>
      </c>
      <c r="AD45" s="288">
        <v>23</v>
      </c>
      <c r="AE45" s="291">
        <v>73.272599430000056</v>
      </c>
      <c r="AF45" s="291">
        <v>51.068496387241701</v>
      </c>
      <c r="AG45" s="284"/>
      <c r="AH45" s="287">
        <v>848719</v>
      </c>
      <c r="AI45" s="287">
        <v>271537</v>
      </c>
      <c r="AJ45" s="287">
        <v>2631</v>
      </c>
      <c r="AK45" s="285"/>
      <c r="AL45" s="287">
        <v>3898</v>
      </c>
      <c r="AM45" s="279">
        <v>945</v>
      </c>
      <c r="AN45" s="289">
        <v>386</v>
      </c>
      <c r="AO45" s="289">
        <v>629</v>
      </c>
      <c r="AP45" s="289">
        <v>9694</v>
      </c>
      <c r="AQ45" s="292">
        <v>2.5539999999999998</v>
      </c>
      <c r="AR45" s="292">
        <v>2.1280000000000001</v>
      </c>
      <c r="AS45" s="285">
        <v>270560800</v>
      </c>
      <c r="AT45" s="275">
        <f>(AS45-BA45)*AU45</f>
        <v>242154818.50552991</v>
      </c>
      <c r="AU45" s="282">
        <f t="shared" si="0"/>
        <v>0.96339705312723245</v>
      </c>
      <c r="AV45" s="285">
        <v>4422000</v>
      </c>
      <c r="AW45" s="275">
        <f t="shared" ref="AW45:AW50" si="3">AV45*AY45</f>
        <v>3057955.2736689914</v>
      </c>
      <c r="AX45" s="275">
        <f t="shared" ref="AX45:AX57" si="4">AV45-AW45</f>
        <v>1364044.7263310086</v>
      </c>
      <c r="AY45" s="293">
        <f t="shared" ref="AY45:AY50" si="5">$AY$51</f>
        <v>0.69153217405449829</v>
      </c>
      <c r="AZ45" s="287">
        <v>116304800</v>
      </c>
      <c r="BA45" s="287">
        <v>19205642</v>
      </c>
      <c r="BB45" s="275">
        <f t="shared" ref="BB45:BB51" si="6">BC45*BA45</f>
        <v>17750826.432907339</v>
      </c>
      <c r="BC45" s="294">
        <v>0.92425061515295037</v>
      </c>
      <c r="BD45" s="287">
        <v>7900000</v>
      </c>
      <c r="BE45" s="287">
        <v>21509600</v>
      </c>
      <c r="BF45" s="287">
        <v>11081884</v>
      </c>
      <c r="BG45" s="287">
        <v>10177022</v>
      </c>
      <c r="BH45" s="287">
        <v>538127936</v>
      </c>
      <c r="BI45" s="287">
        <v>995149824</v>
      </c>
      <c r="BJ45" s="295">
        <v>2599400991.3400002</v>
      </c>
      <c r="BK45" s="287">
        <v>250856992</v>
      </c>
      <c r="BL45" s="279">
        <v>0</v>
      </c>
      <c r="BM45" s="279">
        <v>0</v>
      </c>
      <c r="BN45" s="287">
        <v>-153231264</v>
      </c>
      <c r="BO45" s="287">
        <v>7654389</v>
      </c>
      <c r="BP45" s="287">
        <v>3325951</v>
      </c>
      <c r="BQ45" s="287">
        <v>137213888</v>
      </c>
      <c r="BR45" s="287">
        <v>299661888</v>
      </c>
      <c r="BS45" s="287">
        <v>770309568</v>
      </c>
      <c r="BT45" s="287">
        <v>95313240</v>
      </c>
      <c r="BU45" s="287">
        <v>209989024</v>
      </c>
      <c r="BV45" s="287">
        <v>30858148</v>
      </c>
      <c r="BW45" s="296">
        <v>9.3399999999999997E-2</v>
      </c>
      <c r="BX45" s="287">
        <v>54000000</v>
      </c>
      <c r="BY45" s="275">
        <f t="shared" ref="BY45:BY52" si="7">BZ45*BX45</f>
        <v>53832932.739277624</v>
      </c>
      <c r="BZ45" s="294">
        <f t="shared" ref="BZ45:BZ50" si="8">$BZ$52</f>
        <v>0.99690616183847447</v>
      </c>
      <c r="CA45" s="285">
        <v>57000000</v>
      </c>
    </row>
    <row r="46" spans="2:79" s="297" customFormat="1" ht="12.75" x14ac:dyDescent="0.2">
      <c r="B46" s="283" t="s">
        <v>417</v>
      </c>
      <c r="C46" s="283">
        <v>2001</v>
      </c>
      <c r="D46" s="286">
        <v>3745</v>
      </c>
      <c r="E46" s="286">
        <v>4592</v>
      </c>
      <c r="F46" s="286">
        <v>3467</v>
      </c>
      <c r="G46" s="287">
        <v>1146376</v>
      </c>
      <c r="H46" s="287">
        <v>13896</v>
      </c>
      <c r="I46" s="287">
        <v>1786</v>
      </c>
      <c r="J46" s="288">
        <v>106</v>
      </c>
      <c r="K46" s="287">
        <v>32509</v>
      </c>
      <c r="L46" s="284">
        <v>48.026000000000003</v>
      </c>
      <c r="M46" s="274">
        <v>21.718000000000004</v>
      </c>
      <c r="N46" s="284">
        <v>26.308</v>
      </c>
      <c r="O46" s="285">
        <v>583985024</v>
      </c>
      <c r="P46" s="285">
        <v>34666000</v>
      </c>
      <c r="Q46" s="289">
        <v>116559000</v>
      </c>
      <c r="R46" s="275">
        <f t="shared" si="1"/>
        <v>735210024</v>
      </c>
      <c r="S46" s="275">
        <f t="shared" si="2"/>
        <v>700544024</v>
      </c>
      <c r="T46" s="275">
        <f>S46*U46</f>
        <v>5922551.1941136783</v>
      </c>
      <c r="U46" s="290">
        <f>$U$49</f>
        <v>8.4542169959523888E-3</v>
      </c>
      <c r="V46" s="288">
        <v>112</v>
      </c>
      <c r="W46" s="284"/>
      <c r="X46" s="288">
        <v>77</v>
      </c>
      <c r="Y46" s="288">
        <v>33</v>
      </c>
      <c r="Z46" s="288">
        <v>2</v>
      </c>
      <c r="AA46" s="284"/>
      <c r="AB46" s="284">
        <v>266</v>
      </c>
      <c r="AC46" s="284">
        <v>87</v>
      </c>
      <c r="AD46" s="288">
        <v>18</v>
      </c>
      <c r="AE46" s="291">
        <v>69.88890380870815</v>
      </c>
      <c r="AF46" s="291">
        <v>55.668567962982294</v>
      </c>
      <c r="AG46" s="284"/>
      <c r="AH46" s="287">
        <v>869021</v>
      </c>
      <c r="AI46" s="287">
        <v>274087</v>
      </c>
      <c r="AJ46" s="287">
        <v>2632</v>
      </c>
      <c r="AK46" s="285"/>
      <c r="AL46" s="287">
        <v>3668</v>
      </c>
      <c r="AM46" s="279">
        <v>855</v>
      </c>
      <c r="AN46" s="289">
        <v>348</v>
      </c>
      <c r="AO46" s="289">
        <v>607</v>
      </c>
      <c r="AP46" s="289">
        <v>9022</v>
      </c>
      <c r="AQ46" s="292">
        <v>2.5630000000000002</v>
      </c>
      <c r="AR46" s="292">
        <v>2.1349999999999998</v>
      </c>
      <c r="AS46" s="285">
        <v>276535808</v>
      </c>
      <c r="AT46" s="275">
        <f>(AS46-BA46)*AU46</f>
        <v>244570665.71145156</v>
      </c>
      <c r="AU46" s="282">
        <f t="shared" si="0"/>
        <v>0.96339705312723245</v>
      </c>
      <c r="AV46" s="285">
        <v>3833000</v>
      </c>
      <c r="AW46" s="275">
        <f t="shared" si="3"/>
        <v>2650642.8231508918</v>
      </c>
      <c r="AX46" s="275">
        <f t="shared" si="4"/>
        <v>1182357.1768491082</v>
      </c>
      <c r="AY46" s="293">
        <f t="shared" si="5"/>
        <v>0.69153217405449829</v>
      </c>
      <c r="AZ46" s="287">
        <v>118136600</v>
      </c>
      <c r="BA46" s="287">
        <v>22673016</v>
      </c>
      <c r="BB46" s="275">
        <f t="shared" si="6"/>
        <v>20955548.985372685</v>
      </c>
      <c r="BC46" s="294">
        <v>0.92425061515295037</v>
      </c>
      <c r="BD46" s="287">
        <v>4400000</v>
      </c>
      <c r="BE46" s="287">
        <v>21598100</v>
      </c>
      <c r="BF46" s="287">
        <v>11265884</v>
      </c>
      <c r="BG46" s="287">
        <v>10926022</v>
      </c>
      <c r="BH46" s="287">
        <v>562158976</v>
      </c>
      <c r="BI46" s="287">
        <v>1045951808</v>
      </c>
      <c r="BJ46" s="295">
        <v>2700473712.23</v>
      </c>
      <c r="BK46" s="287">
        <v>262716896</v>
      </c>
      <c r="BL46" s="279">
        <v>0</v>
      </c>
      <c r="BM46" s="279">
        <v>0</v>
      </c>
      <c r="BN46" s="287">
        <v>-158334256</v>
      </c>
      <c r="BO46" s="287">
        <v>7831534</v>
      </c>
      <c r="BP46" s="287">
        <v>3732994.75</v>
      </c>
      <c r="BQ46" s="287">
        <v>152842176</v>
      </c>
      <c r="BR46" s="287">
        <v>325119104</v>
      </c>
      <c r="BS46" s="287">
        <v>840012032</v>
      </c>
      <c r="BT46" s="287">
        <v>108468248</v>
      </c>
      <c r="BU46" s="287">
        <v>214001616</v>
      </c>
      <c r="BV46" s="287">
        <v>34026600</v>
      </c>
      <c r="BW46" s="296">
        <v>9.1800000000000007E-2</v>
      </c>
      <c r="BX46" s="287">
        <v>55000000</v>
      </c>
      <c r="BY46" s="275">
        <f t="shared" si="7"/>
        <v>54829838.901116095</v>
      </c>
      <c r="BZ46" s="294">
        <f t="shared" si="8"/>
        <v>0.99690616183847447</v>
      </c>
      <c r="CA46" s="285">
        <v>42000000</v>
      </c>
    </row>
    <row r="47" spans="2:79" s="297" customFormat="1" ht="12.75" x14ac:dyDescent="0.2">
      <c r="B47" s="283" t="s">
        <v>417</v>
      </c>
      <c r="C47" s="283">
        <v>2002</v>
      </c>
      <c r="D47" s="286">
        <v>3974</v>
      </c>
      <c r="E47" s="286">
        <v>4997</v>
      </c>
      <c r="F47" s="286">
        <v>3636</v>
      </c>
      <c r="G47" s="287">
        <v>1171277</v>
      </c>
      <c r="H47" s="287">
        <v>14918</v>
      </c>
      <c r="I47" s="287">
        <v>1870</v>
      </c>
      <c r="J47" s="288">
        <v>108</v>
      </c>
      <c r="K47" s="287">
        <v>37230</v>
      </c>
      <c r="L47" s="284">
        <v>42.895000000000003</v>
      </c>
      <c r="M47" s="274">
        <v>25.203000000000003</v>
      </c>
      <c r="N47" s="284">
        <v>17.692</v>
      </c>
      <c r="O47" s="285">
        <v>630556992</v>
      </c>
      <c r="P47" s="285">
        <v>53176000</v>
      </c>
      <c r="Q47" s="289">
        <v>126066000</v>
      </c>
      <c r="R47" s="275">
        <f t="shared" si="1"/>
        <v>809798992</v>
      </c>
      <c r="S47" s="275">
        <f t="shared" si="2"/>
        <v>756622992</v>
      </c>
      <c r="T47" s="275">
        <f>S47*U47</f>
        <v>6396654.958494748</v>
      </c>
      <c r="U47" s="290">
        <f>$U$49</f>
        <v>8.4542169959523888E-3</v>
      </c>
      <c r="V47" s="288">
        <v>114</v>
      </c>
      <c r="W47" s="284"/>
      <c r="X47" s="288">
        <v>79</v>
      </c>
      <c r="Y47" s="288">
        <v>33</v>
      </c>
      <c r="Z47" s="288">
        <v>2</v>
      </c>
      <c r="AA47" s="284"/>
      <c r="AB47" s="284">
        <v>289</v>
      </c>
      <c r="AC47" s="284">
        <v>97</v>
      </c>
      <c r="AD47" s="288">
        <v>23</v>
      </c>
      <c r="AE47" s="291">
        <v>71.258836497979999</v>
      </c>
      <c r="AF47" s="291">
        <v>58.991401880757905</v>
      </c>
      <c r="AG47" s="284"/>
      <c r="AH47" s="287">
        <v>890233</v>
      </c>
      <c r="AI47" s="287">
        <v>277588</v>
      </c>
      <c r="AJ47" s="287">
        <v>2841</v>
      </c>
      <c r="AK47" s="285"/>
      <c r="AL47" s="287">
        <v>3911</v>
      </c>
      <c r="AM47" s="279">
        <v>912</v>
      </c>
      <c r="AN47" s="289">
        <v>382</v>
      </c>
      <c r="AO47" s="289">
        <v>585</v>
      </c>
      <c r="AP47" s="289">
        <v>9711</v>
      </c>
      <c r="AQ47" s="292">
        <v>2.5470000000000002</v>
      </c>
      <c r="AR47" s="292">
        <v>2.1219999999999999</v>
      </c>
      <c r="AS47" s="285">
        <v>301653312</v>
      </c>
      <c r="AT47" s="275">
        <f>(AS47-BA47)*AU47</f>
        <v>270595472.93145651</v>
      </c>
      <c r="AU47" s="282">
        <f t="shared" si="0"/>
        <v>0.96339705312723245</v>
      </c>
      <c r="AV47" s="285">
        <v>3005000</v>
      </c>
      <c r="AW47" s="275">
        <f t="shared" si="3"/>
        <v>2078054.1830337674</v>
      </c>
      <c r="AX47" s="275">
        <f t="shared" si="4"/>
        <v>926945.81696623261</v>
      </c>
      <c r="AY47" s="293">
        <f t="shared" si="5"/>
        <v>0.69153217405449829</v>
      </c>
      <c r="AZ47" s="287">
        <v>124852000</v>
      </c>
      <c r="BA47" s="287">
        <v>20776936</v>
      </c>
      <c r="BB47" s="275">
        <f t="shared" si="6"/>
        <v>19203095.878993481</v>
      </c>
      <c r="BC47" s="294">
        <v>0.92425061515295037</v>
      </c>
      <c r="BD47" s="287">
        <v>4800000</v>
      </c>
      <c r="BE47" s="287">
        <v>20396800</v>
      </c>
      <c r="BF47" s="287">
        <v>11468884</v>
      </c>
      <c r="BG47" s="287">
        <v>12163022</v>
      </c>
      <c r="BH47" s="287">
        <v>571033984</v>
      </c>
      <c r="BI47" s="287">
        <v>1106308864</v>
      </c>
      <c r="BJ47" s="287">
        <v>2806591232</v>
      </c>
      <c r="BK47" s="287">
        <v>231697264</v>
      </c>
      <c r="BL47" s="279">
        <v>0</v>
      </c>
      <c r="BM47" s="279">
        <v>0</v>
      </c>
      <c r="BN47" s="287">
        <v>-162249264</v>
      </c>
      <c r="BO47" s="287">
        <v>8015389</v>
      </c>
      <c r="BP47" s="287">
        <v>4177951</v>
      </c>
      <c r="BQ47" s="287">
        <v>169133856</v>
      </c>
      <c r="BR47" s="287">
        <v>350901536</v>
      </c>
      <c r="BS47" s="287">
        <v>911657024</v>
      </c>
      <c r="BT47" s="287">
        <v>93414208</v>
      </c>
      <c r="BU47" s="287">
        <v>207913232</v>
      </c>
      <c r="BV47" s="287">
        <v>22673176</v>
      </c>
      <c r="BW47" s="296">
        <v>9.2499999999999999E-2</v>
      </c>
      <c r="BX47" s="287">
        <v>59000000</v>
      </c>
      <c r="BY47" s="275">
        <f t="shared" si="7"/>
        <v>58817463.54846999</v>
      </c>
      <c r="BZ47" s="294">
        <f t="shared" si="8"/>
        <v>0.99690616183847447</v>
      </c>
      <c r="CA47" s="285">
        <v>63000000</v>
      </c>
    </row>
    <row r="48" spans="2:79" s="297" customFormat="1" ht="12.75" x14ac:dyDescent="0.2">
      <c r="B48" s="283" t="s">
        <v>417</v>
      </c>
      <c r="C48" s="283">
        <v>2003</v>
      </c>
      <c r="D48" s="286">
        <v>4240</v>
      </c>
      <c r="E48" s="286">
        <v>5111</v>
      </c>
      <c r="F48" s="286">
        <v>3958</v>
      </c>
      <c r="G48" s="287">
        <v>1195115</v>
      </c>
      <c r="H48" s="287">
        <v>14822</v>
      </c>
      <c r="I48" s="287">
        <v>1821</v>
      </c>
      <c r="J48" s="288">
        <v>110.16007</v>
      </c>
      <c r="K48" s="287">
        <v>35597</v>
      </c>
      <c r="L48" s="284">
        <v>38.859000000000002</v>
      </c>
      <c r="M48" s="274">
        <v>23.192</v>
      </c>
      <c r="N48" s="284">
        <v>15.667</v>
      </c>
      <c r="O48" s="285">
        <v>641356992</v>
      </c>
      <c r="P48" s="298">
        <v>47208000</v>
      </c>
      <c r="Q48" s="289">
        <v>121892456</v>
      </c>
      <c r="R48" s="275">
        <f t="shared" si="1"/>
        <v>810457448</v>
      </c>
      <c r="S48" s="275">
        <f t="shared" si="2"/>
        <v>763249448</v>
      </c>
      <c r="T48" s="275">
        <f>S48*U48</f>
        <v>6452676.4554328788</v>
      </c>
      <c r="U48" s="290">
        <f>$U$49</f>
        <v>8.4542169959523888E-3</v>
      </c>
      <c r="V48" s="288">
        <v>137</v>
      </c>
      <c r="W48" s="284"/>
      <c r="X48" s="288">
        <v>101</v>
      </c>
      <c r="Y48" s="288">
        <v>33</v>
      </c>
      <c r="Z48" s="288">
        <v>2</v>
      </c>
      <c r="AA48" s="284"/>
      <c r="AB48" s="284">
        <v>292</v>
      </c>
      <c r="AC48" s="284">
        <v>101</v>
      </c>
      <c r="AD48" s="288">
        <v>22</v>
      </c>
      <c r="AE48" s="291">
        <v>78.700537910000008</v>
      </c>
      <c r="AF48" s="291">
        <v>48.620074529999997</v>
      </c>
      <c r="AG48" s="284"/>
      <c r="AH48" s="287">
        <v>911282</v>
      </c>
      <c r="AI48" s="287">
        <v>280373</v>
      </c>
      <c r="AJ48" s="287">
        <v>2842</v>
      </c>
      <c r="AK48" s="285"/>
      <c r="AL48" s="287">
        <v>4164</v>
      </c>
      <c r="AM48" s="279">
        <v>957</v>
      </c>
      <c r="AN48" s="289">
        <v>394</v>
      </c>
      <c r="AO48" s="289">
        <v>620</v>
      </c>
      <c r="AP48" s="289">
        <v>9307</v>
      </c>
      <c r="AQ48" s="292">
        <v>2.4900000000000002</v>
      </c>
      <c r="AR48" s="292">
        <v>2.0739999999999998</v>
      </c>
      <c r="AS48" s="286">
        <v>281787557.99000001</v>
      </c>
      <c r="AT48" s="275">
        <f>AU48*AS48</f>
        <v>271473302.97548515</v>
      </c>
      <c r="AU48" s="282">
        <f t="shared" si="0"/>
        <v>0.96339705312723245</v>
      </c>
      <c r="AV48" s="285">
        <v>3855000</v>
      </c>
      <c r="AW48" s="275">
        <f t="shared" si="3"/>
        <v>2665856.5309800911</v>
      </c>
      <c r="AX48" s="275">
        <f t="shared" si="4"/>
        <v>1189143.4690199089</v>
      </c>
      <c r="AY48" s="293">
        <f t="shared" si="5"/>
        <v>0.69153217405449829</v>
      </c>
      <c r="AZ48" s="287">
        <v>124479848</v>
      </c>
      <c r="BA48" s="287">
        <v>35891592</v>
      </c>
      <c r="BB48" s="275">
        <f t="shared" si="6"/>
        <v>33172825.984818712</v>
      </c>
      <c r="BC48" s="294">
        <v>0.92425061515295037</v>
      </c>
      <c r="BD48" s="287">
        <v>9192746</v>
      </c>
      <c r="BE48" s="287">
        <v>21962770</v>
      </c>
      <c r="BF48" s="287">
        <v>11457417</v>
      </c>
      <c r="BG48" s="287">
        <v>12195908</v>
      </c>
      <c r="BH48" s="287">
        <v>574880256</v>
      </c>
      <c r="BI48" s="287">
        <v>1105423104</v>
      </c>
      <c r="BJ48" s="287">
        <v>2753707264</v>
      </c>
      <c r="BK48" s="287">
        <v>230246720</v>
      </c>
      <c r="BL48" s="279">
        <v>0</v>
      </c>
      <c r="BM48" s="279">
        <v>0</v>
      </c>
      <c r="BN48" s="287">
        <v>-4007365.25</v>
      </c>
      <c r="BO48" s="287">
        <v>8201174.5</v>
      </c>
      <c r="BP48" s="287">
        <v>4644998.5</v>
      </c>
      <c r="BQ48" s="287">
        <v>187995968</v>
      </c>
      <c r="BR48" s="287">
        <v>373092256</v>
      </c>
      <c r="BS48" s="287">
        <v>952117440</v>
      </c>
      <c r="BT48" s="287">
        <v>104469192</v>
      </c>
      <c r="BU48" s="287">
        <v>135179456</v>
      </c>
      <c r="BV48" s="287">
        <v>14436441</v>
      </c>
      <c r="BW48" s="296">
        <v>9.9500000000000005E-2</v>
      </c>
      <c r="BX48" s="287">
        <v>58000000</v>
      </c>
      <c r="BY48" s="275">
        <f t="shared" si="7"/>
        <v>57820557.386631519</v>
      </c>
      <c r="BZ48" s="294">
        <f t="shared" si="8"/>
        <v>0.99690616183847447</v>
      </c>
      <c r="CA48" s="285">
        <v>56000000</v>
      </c>
    </row>
    <row r="49" spans="1:97" s="297" customFormat="1" ht="12.75" x14ac:dyDescent="0.2">
      <c r="B49" s="283" t="s">
        <v>417</v>
      </c>
      <c r="C49" s="283">
        <v>2004</v>
      </c>
      <c r="D49" s="286">
        <v>4124</v>
      </c>
      <c r="E49" s="286">
        <v>5148</v>
      </c>
      <c r="F49" s="286">
        <v>3786</v>
      </c>
      <c r="G49" s="287">
        <v>1224276</v>
      </c>
      <c r="H49" s="287">
        <v>14454</v>
      </c>
      <c r="I49" s="287">
        <v>1911.4758300000001</v>
      </c>
      <c r="J49" s="288">
        <v>111.13983</v>
      </c>
      <c r="K49" s="287">
        <v>36418</v>
      </c>
      <c r="L49" s="284">
        <v>55.610999999999997</v>
      </c>
      <c r="M49" s="274">
        <v>21.024999999999999</v>
      </c>
      <c r="N49" s="284">
        <v>34.585999999999999</v>
      </c>
      <c r="O49" s="285">
        <v>649209984</v>
      </c>
      <c r="P49" s="298">
        <v>47766000</v>
      </c>
      <c r="Q49" s="289">
        <v>122986440</v>
      </c>
      <c r="R49" s="275">
        <f t="shared" si="1"/>
        <v>819962424</v>
      </c>
      <c r="S49" s="275">
        <f t="shared" si="2"/>
        <v>772196424</v>
      </c>
      <c r="T49" s="275">
        <f>S49*U49</f>
        <v>6528316.131994457</v>
      </c>
      <c r="U49" s="290">
        <f>AVERAGE(U50:U57)</f>
        <v>8.4542169959523888E-3</v>
      </c>
      <c r="V49" s="288">
        <v>166</v>
      </c>
      <c r="W49" s="284"/>
      <c r="X49" s="288">
        <v>126</v>
      </c>
      <c r="Y49" s="288">
        <v>38</v>
      </c>
      <c r="Z49" s="288">
        <v>2</v>
      </c>
      <c r="AA49" s="284"/>
      <c r="AB49" s="284">
        <v>265</v>
      </c>
      <c r="AC49" s="284">
        <v>91</v>
      </c>
      <c r="AD49" s="288">
        <v>18</v>
      </c>
      <c r="AE49" s="291">
        <v>87.776984319999997</v>
      </c>
      <c r="AF49" s="291">
        <v>33.068308020000003</v>
      </c>
      <c r="AG49" s="284"/>
      <c r="AH49" s="287">
        <v>935557</v>
      </c>
      <c r="AI49" s="287">
        <v>285201</v>
      </c>
      <c r="AJ49" s="287">
        <v>2914</v>
      </c>
      <c r="AK49" s="285"/>
      <c r="AL49" s="287">
        <v>3945</v>
      </c>
      <c r="AM49" s="279">
        <v>919</v>
      </c>
      <c r="AN49" s="289">
        <v>384</v>
      </c>
      <c r="AO49" s="289">
        <v>609</v>
      </c>
      <c r="AP49" s="289">
        <v>9205</v>
      </c>
      <c r="AQ49" s="292">
        <v>2.3340000000000001</v>
      </c>
      <c r="AR49" s="292">
        <v>1.968</v>
      </c>
      <c r="AS49" s="286">
        <v>298622621.22000003</v>
      </c>
      <c r="AT49" s="275">
        <f>AU49*AS49</f>
        <v>287692153.28047776</v>
      </c>
      <c r="AU49" s="282">
        <f t="shared" si="0"/>
        <v>0.96339705312723245</v>
      </c>
      <c r="AV49" s="285">
        <v>5905000</v>
      </c>
      <c r="AW49" s="275">
        <f t="shared" si="3"/>
        <v>4083497.4877918125</v>
      </c>
      <c r="AX49" s="275">
        <f t="shared" si="4"/>
        <v>1821502.5122081875</v>
      </c>
      <c r="AY49" s="293">
        <f t="shared" si="5"/>
        <v>0.69153217405449829</v>
      </c>
      <c r="AZ49" s="289">
        <v>119901600.31</v>
      </c>
      <c r="BA49" s="289">
        <v>34361527.380000003</v>
      </c>
      <c r="BB49" s="275">
        <f t="shared" si="6"/>
        <v>31758662.818559948</v>
      </c>
      <c r="BC49" s="294">
        <v>0.92425061515295037</v>
      </c>
      <c r="BD49" s="287">
        <v>17354776</v>
      </c>
      <c r="BE49" s="287">
        <v>25831318</v>
      </c>
      <c r="BF49" s="287">
        <v>11460686</v>
      </c>
      <c r="BG49" s="287">
        <v>12242618</v>
      </c>
      <c r="BH49" s="287">
        <v>577283840</v>
      </c>
      <c r="BI49" s="287">
        <v>1122963968</v>
      </c>
      <c r="BJ49" s="287">
        <v>2845384192</v>
      </c>
      <c r="BK49" s="287">
        <v>218145744</v>
      </c>
      <c r="BL49" s="279">
        <v>0</v>
      </c>
      <c r="BM49" s="279">
        <v>0</v>
      </c>
      <c r="BN49" s="287">
        <v>-1037011</v>
      </c>
      <c r="BO49" s="287">
        <v>8246503.5</v>
      </c>
      <c r="BP49" s="287">
        <v>11781479</v>
      </c>
      <c r="BQ49" s="287">
        <v>202811280</v>
      </c>
      <c r="BR49" s="287">
        <v>394440256</v>
      </c>
      <c r="BS49" s="287">
        <v>1026502976</v>
      </c>
      <c r="BT49" s="287">
        <v>102956696</v>
      </c>
      <c r="BU49" s="287">
        <v>141856880</v>
      </c>
      <c r="BV49" s="287">
        <v>17959862</v>
      </c>
      <c r="BW49" s="296">
        <v>9.6199999999999994E-2</v>
      </c>
      <c r="BX49" s="287">
        <v>59000000</v>
      </c>
      <c r="BY49" s="275">
        <f t="shared" si="7"/>
        <v>58817463.54846999</v>
      </c>
      <c r="BZ49" s="294">
        <f t="shared" si="8"/>
        <v>0.99690616183847447</v>
      </c>
      <c r="CA49" s="285">
        <v>40000000</v>
      </c>
    </row>
    <row r="50" spans="1:97" s="297" customFormat="1" ht="12.75" x14ac:dyDescent="0.2">
      <c r="B50" s="283" t="s">
        <v>417</v>
      </c>
      <c r="C50" s="283">
        <v>2005</v>
      </c>
      <c r="D50" s="286">
        <v>4030</v>
      </c>
      <c r="E50" s="286">
        <v>4829</v>
      </c>
      <c r="F50" s="286">
        <v>3778</v>
      </c>
      <c r="G50" s="287">
        <v>1248510</v>
      </c>
      <c r="H50" s="287">
        <v>14204</v>
      </c>
      <c r="I50" s="287">
        <v>1759.32483</v>
      </c>
      <c r="J50" s="288">
        <v>109.01653</v>
      </c>
      <c r="K50" s="287">
        <v>37930</v>
      </c>
      <c r="L50" s="284">
        <v>64.793999999999997</v>
      </c>
      <c r="M50" s="274">
        <v>22.116</v>
      </c>
      <c r="N50" s="284">
        <v>42.677999999999997</v>
      </c>
      <c r="O50" s="285">
        <v>639497024</v>
      </c>
      <c r="P50" s="298">
        <v>49799000</v>
      </c>
      <c r="Q50" s="289">
        <v>122518288</v>
      </c>
      <c r="R50" s="275">
        <f t="shared" si="1"/>
        <v>811814312</v>
      </c>
      <c r="S50" s="275">
        <f t="shared" si="2"/>
        <v>762015312</v>
      </c>
      <c r="T50" s="275">
        <v>12400000</v>
      </c>
      <c r="U50" s="290">
        <f t="shared" ref="U50:U61" si="9">T50/S50</f>
        <v>1.6272638888915135E-2</v>
      </c>
      <c r="V50" s="288">
        <v>209</v>
      </c>
      <c r="W50" s="284"/>
      <c r="X50" s="288">
        <v>159</v>
      </c>
      <c r="Y50" s="288">
        <v>48</v>
      </c>
      <c r="Z50" s="288">
        <v>3</v>
      </c>
      <c r="AA50" s="284"/>
      <c r="AB50" s="284">
        <v>222.97209799706388</v>
      </c>
      <c r="AC50" s="284">
        <v>79</v>
      </c>
      <c r="AD50" s="288">
        <v>17</v>
      </c>
      <c r="AE50" s="291">
        <v>82.190362180000008</v>
      </c>
      <c r="AF50" s="291">
        <v>29.337411070000002</v>
      </c>
      <c r="AG50" s="284"/>
      <c r="AH50" s="287">
        <v>956004</v>
      </c>
      <c r="AI50" s="287">
        <v>288801</v>
      </c>
      <c r="AJ50" s="287">
        <v>3114</v>
      </c>
      <c r="AK50" s="285"/>
      <c r="AL50" s="287">
        <v>4028</v>
      </c>
      <c r="AM50" s="279">
        <v>886</v>
      </c>
      <c r="AN50" s="289">
        <v>385</v>
      </c>
      <c r="AO50" s="289">
        <v>591</v>
      </c>
      <c r="AP50" s="289">
        <v>8906</v>
      </c>
      <c r="AQ50" s="292">
        <v>0</v>
      </c>
      <c r="AR50" s="292">
        <v>0</v>
      </c>
      <c r="AS50" s="286">
        <v>303505898.32999998</v>
      </c>
      <c r="AT50" s="275">
        <f>AU50*AS50</f>
        <v>292396688.05785543</v>
      </c>
      <c r="AU50" s="282">
        <f>$AU$51</f>
        <v>0.96339705312723245</v>
      </c>
      <c r="AV50" s="285">
        <v>8092000</v>
      </c>
      <c r="AW50" s="275">
        <f t="shared" si="3"/>
        <v>5595878.3524489999</v>
      </c>
      <c r="AX50" s="275">
        <f t="shared" si="4"/>
        <v>2496121.6475510001</v>
      </c>
      <c r="AY50" s="293">
        <f t="shared" si="5"/>
        <v>0.69153217405449829</v>
      </c>
      <c r="AZ50" s="289">
        <v>125270688</v>
      </c>
      <c r="BA50" s="289">
        <v>38941262.479999997</v>
      </c>
      <c r="BB50" s="275">
        <f t="shared" si="6"/>
        <v>35991485.801972501</v>
      </c>
      <c r="BC50" s="294">
        <v>0.92425061515295037</v>
      </c>
      <c r="BD50" s="287">
        <v>19932590</v>
      </c>
      <c r="BE50" s="287">
        <v>27798112</v>
      </c>
      <c r="BF50" s="287">
        <v>11472152</v>
      </c>
      <c r="BG50" s="287">
        <v>12424346</v>
      </c>
      <c r="BH50" s="287">
        <v>584274304</v>
      </c>
      <c r="BI50" s="287">
        <v>1130377344</v>
      </c>
      <c r="BJ50" s="287">
        <v>2952843264</v>
      </c>
      <c r="BK50" s="287">
        <v>226342800</v>
      </c>
      <c r="BL50" s="279">
        <v>0</v>
      </c>
      <c r="BM50" s="279">
        <v>0</v>
      </c>
      <c r="BN50" s="287">
        <v>-1037011</v>
      </c>
      <c r="BO50" s="287">
        <v>8470773</v>
      </c>
      <c r="BP50" s="287">
        <v>12182294</v>
      </c>
      <c r="BQ50" s="287">
        <v>218487568</v>
      </c>
      <c r="BR50" s="287">
        <v>416138368</v>
      </c>
      <c r="BS50" s="287">
        <v>1102162432</v>
      </c>
      <c r="BT50" s="289">
        <v>96969928.900000006</v>
      </c>
      <c r="BU50" s="287">
        <v>178546016</v>
      </c>
      <c r="BV50" s="287">
        <v>40464668</v>
      </c>
      <c r="BW50" s="296">
        <v>9.9500000000000005E-2</v>
      </c>
      <c r="BX50" s="287">
        <v>62000000</v>
      </c>
      <c r="BY50" s="275">
        <f t="shared" si="7"/>
        <v>61808182.033985414</v>
      </c>
      <c r="BZ50" s="294">
        <f t="shared" si="8"/>
        <v>0.99690616183847447</v>
      </c>
      <c r="CA50" s="285">
        <v>50000000</v>
      </c>
    </row>
    <row r="51" spans="1:97" s="278" customFormat="1" ht="12.75" x14ac:dyDescent="0.2">
      <c r="A51" s="297"/>
      <c r="B51" s="283" t="s">
        <v>417</v>
      </c>
      <c r="C51" s="283">
        <v>2006</v>
      </c>
      <c r="D51" s="287">
        <v>3673.7250000000004</v>
      </c>
      <c r="E51" s="287">
        <v>4472.7000000000007</v>
      </c>
      <c r="F51" s="287">
        <v>3407.4</v>
      </c>
      <c r="G51" s="275">
        <v>1267900</v>
      </c>
      <c r="H51" s="275">
        <v>13207</v>
      </c>
      <c r="I51" s="275">
        <v>0</v>
      </c>
      <c r="J51" s="299">
        <v>141</v>
      </c>
      <c r="K51" s="275">
        <v>33810</v>
      </c>
      <c r="L51" s="274">
        <v>90</v>
      </c>
      <c r="M51" s="300">
        <v>39.750215835000027</v>
      </c>
      <c r="N51" s="300">
        <f>L51-M51</f>
        <v>50.249784164999973</v>
      </c>
      <c r="O51" s="275">
        <v>606314345</v>
      </c>
      <c r="P51" s="275">
        <v>0</v>
      </c>
      <c r="Q51" s="275">
        <v>121649000</v>
      </c>
      <c r="R51" s="275">
        <f t="shared" si="1"/>
        <v>727963345</v>
      </c>
      <c r="S51" s="275">
        <f t="shared" si="2"/>
        <v>727963345</v>
      </c>
      <c r="T51" s="275">
        <v>3600000</v>
      </c>
      <c r="U51" s="290">
        <f t="shared" si="9"/>
        <v>4.9453039424670478E-3</v>
      </c>
      <c r="V51" s="300">
        <f t="shared" ref="V51:V56" si="10">SUM(W51:Z51)</f>
        <v>213.13367600000001</v>
      </c>
      <c r="W51" s="274"/>
      <c r="X51" s="300">
        <v>161.79251199999999</v>
      </c>
      <c r="Y51" s="300">
        <v>48.701884</v>
      </c>
      <c r="Z51" s="274">
        <v>2.6392799999999998</v>
      </c>
      <c r="AA51" s="274"/>
      <c r="AB51" s="274">
        <v>210.84998124326071</v>
      </c>
      <c r="AC51" s="274">
        <v>71.923080451456258</v>
      </c>
      <c r="AD51" s="288">
        <v>17.59398681262136</v>
      </c>
      <c r="AE51" s="291">
        <v>83.289412999999982</v>
      </c>
      <c r="AF51" s="291">
        <v>25.804369770000005</v>
      </c>
      <c r="AG51" s="287"/>
      <c r="AH51" s="287">
        <v>972180</v>
      </c>
      <c r="AI51" s="287">
        <v>292070</v>
      </c>
      <c r="AJ51" s="287">
        <v>3137</v>
      </c>
      <c r="AK51" s="287"/>
      <c r="AL51" s="287">
        <v>3672.4359332010522</v>
      </c>
      <c r="AM51" s="287">
        <v>803.61224679239751</v>
      </c>
      <c r="AN51" s="289">
        <v>364.17744631873512</v>
      </c>
      <c r="AO51" s="289">
        <v>536</v>
      </c>
      <c r="AP51" s="289">
        <v>8371.2554464703608</v>
      </c>
      <c r="AQ51" s="301" t="s">
        <v>418</v>
      </c>
      <c r="AR51" s="301" t="s">
        <v>418</v>
      </c>
      <c r="AS51" s="275">
        <v>310755899</v>
      </c>
      <c r="AT51" s="275">
        <f>AU51*AS51</f>
        <v>299381317.3385039</v>
      </c>
      <c r="AU51" s="294">
        <f>AVERAGE(AU52:AU57)</f>
        <v>0.96339705312723245</v>
      </c>
      <c r="AV51" s="275">
        <v>12882340</v>
      </c>
      <c r="AW51" s="275">
        <f>AV51*AY51</f>
        <v>8908552.5871092249</v>
      </c>
      <c r="AX51" s="275">
        <f t="shared" si="4"/>
        <v>3973787.4128907751</v>
      </c>
      <c r="AY51" s="293">
        <f>AVERAGE(AY52:AY57)</f>
        <v>0.69153217405449829</v>
      </c>
      <c r="AZ51" s="275">
        <v>127568698</v>
      </c>
      <c r="BA51" s="275">
        <v>32563599</v>
      </c>
      <c r="BB51" s="275">
        <f t="shared" si="6"/>
        <v>30096926.407343999</v>
      </c>
      <c r="BC51" s="294">
        <f>AVERAGE(BC52:BC56)</f>
        <v>0.92425061515295037</v>
      </c>
      <c r="BD51" s="275">
        <v>23917487.550000001</v>
      </c>
      <c r="BE51" s="275">
        <v>29447270.790000003</v>
      </c>
      <c r="BF51" s="275">
        <v>11472152.149999999</v>
      </c>
      <c r="BG51" s="275">
        <v>14502816.949999999</v>
      </c>
      <c r="BH51" s="275">
        <v>639423492.40999997</v>
      </c>
      <c r="BI51" s="275">
        <v>1265822399.0200002</v>
      </c>
      <c r="BJ51" s="275">
        <v>3073398911.75</v>
      </c>
      <c r="BK51" s="275">
        <v>238720092.34000003</v>
      </c>
      <c r="BL51" s="275" t="s">
        <v>176</v>
      </c>
      <c r="BM51" s="283">
        <v>0</v>
      </c>
      <c r="BN51" s="275">
        <v>0</v>
      </c>
      <c r="BO51" s="275">
        <v>8695332.3699999992</v>
      </c>
      <c r="BP51" s="275">
        <v>12330097.25</v>
      </c>
      <c r="BQ51" s="275">
        <v>234203159.05000001</v>
      </c>
      <c r="BR51" s="275">
        <v>445367735.59000003</v>
      </c>
      <c r="BS51" s="275">
        <v>1179342555.3799999</v>
      </c>
      <c r="BT51" s="275">
        <v>103283990.13</v>
      </c>
      <c r="BU51" s="275">
        <v>358415312.73000008</v>
      </c>
      <c r="BV51" s="285">
        <v>32464220.699999999</v>
      </c>
      <c r="BW51" s="277">
        <v>8.8900000000000007E-2</v>
      </c>
      <c r="BX51" s="275">
        <v>62681000</v>
      </c>
      <c r="BY51" s="275">
        <f t="shared" si="7"/>
        <v>62487075.130197421</v>
      </c>
      <c r="BZ51" s="294">
        <f>$BZ$52</f>
        <v>0.99690616183847447</v>
      </c>
      <c r="CA51" s="275">
        <v>36838000</v>
      </c>
      <c r="CC51" s="275">
        <v>69641000</v>
      </c>
      <c r="CD51" s="275">
        <v>1840</v>
      </c>
    </row>
    <row r="52" spans="1:97" s="278" customFormat="1" ht="12.75" x14ac:dyDescent="0.2">
      <c r="A52" s="297"/>
      <c r="B52" s="283" t="s">
        <v>417</v>
      </c>
      <c r="C52" s="283">
        <v>2007</v>
      </c>
      <c r="D52" s="287">
        <v>3996.8749999999995</v>
      </c>
      <c r="E52" s="287">
        <v>4887.7999999999993</v>
      </c>
      <c r="F52" s="287">
        <v>3699.9000000000005</v>
      </c>
      <c r="G52" s="275">
        <v>1289360</v>
      </c>
      <c r="H52" s="275">
        <v>13878</v>
      </c>
      <c r="I52" s="275">
        <v>0</v>
      </c>
      <c r="J52" s="299">
        <v>151</v>
      </c>
      <c r="K52" s="275">
        <v>37594</v>
      </c>
      <c r="L52" s="274">
        <v>56</v>
      </c>
      <c r="M52" s="300">
        <v>23.788</v>
      </c>
      <c r="N52" s="300">
        <f>L52-M52</f>
        <v>32.212000000000003</v>
      </c>
      <c r="O52" s="275">
        <v>655138588</v>
      </c>
      <c r="P52" s="275">
        <v>0</v>
      </c>
      <c r="Q52" s="275">
        <v>126271000</v>
      </c>
      <c r="R52" s="275">
        <f t="shared" si="1"/>
        <v>781409588</v>
      </c>
      <c r="S52" s="275">
        <f t="shared" si="2"/>
        <v>781409588</v>
      </c>
      <c r="T52" s="275">
        <v>7300000</v>
      </c>
      <c r="U52" s="290">
        <f t="shared" si="9"/>
        <v>9.3420916662722078E-3</v>
      </c>
      <c r="V52" s="300">
        <f t="shared" si="10"/>
        <v>246.96309200000002</v>
      </c>
      <c r="W52" s="274"/>
      <c r="X52" s="274">
        <v>188.20648</v>
      </c>
      <c r="Y52" s="274">
        <v>56.465615999999997</v>
      </c>
      <c r="Z52" s="274">
        <v>2.2909959999999998</v>
      </c>
      <c r="AA52" s="274"/>
      <c r="AB52" s="274">
        <v>216.49499819937114</v>
      </c>
      <c r="AC52" s="274">
        <v>75.300866020294691</v>
      </c>
      <c r="AD52" s="288">
        <v>18.842777707303856</v>
      </c>
      <c r="AE52" s="291">
        <v>96.089759609999987</v>
      </c>
      <c r="AF52" s="291">
        <v>32.717140849999993</v>
      </c>
      <c r="AG52" s="287"/>
      <c r="AH52" s="287">
        <v>989531</v>
      </c>
      <c r="AI52" s="287">
        <v>296979</v>
      </c>
      <c r="AJ52" s="287">
        <v>2326</v>
      </c>
      <c r="AK52" s="287"/>
      <c r="AL52" s="287">
        <v>3999.3252094959921</v>
      </c>
      <c r="AM52" s="287">
        <v>891.29478969289335</v>
      </c>
      <c r="AN52" s="289">
        <v>366.63513362366211</v>
      </c>
      <c r="AO52" s="289">
        <v>528</v>
      </c>
      <c r="AP52" s="289">
        <v>8619.274974078</v>
      </c>
      <c r="AQ52" s="301" t="s">
        <v>418</v>
      </c>
      <c r="AR52" s="301" t="s">
        <v>418</v>
      </c>
      <c r="AS52" s="275">
        <v>327429352</v>
      </c>
      <c r="AT52" s="302">
        <v>318041400</v>
      </c>
      <c r="AU52" s="303">
        <f t="shared" ref="AU52:AU61" si="11">AT52/AS52</f>
        <v>0.97132831267979913</v>
      </c>
      <c r="AV52" s="275">
        <v>16131496</v>
      </c>
      <c r="AW52" s="275">
        <v>11569100</v>
      </c>
      <c r="AX52" s="275">
        <f t="shared" si="4"/>
        <v>4562396</v>
      </c>
      <c r="AY52" s="304">
        <f t="shared" ref="AY52:AY61" si="12">AW52/AV52</f>
        <v>0.7171746501378421</v>
      </c>
      <c r="AZ52" s="275">
        <v>134012106</v>
      </c>
      <c r="BA52" s="275">
        <v>46046452.170000002</v>
      </c>
      <c r="BB52" s="275">
        <v>43116000</v>
      </c>
      <c r="BC52" s="305">
        <f t="shared" ref="BC52:BC61" si="13">BB52/BA52</f>
        <v>0.93635878483795032</v>
      </c>
      <c r="BD52" s="275">
        <v>23084061</v>
      </c>
      <c r="BE52" s="275">
        <v>20872782</v>
      </c>
      <c r="BF52" s="275">
        <v>11472152.149999999</v>
      </c>
      <c r="BG52" s="275">
        <v>14721045.65</v>
      </c>
      <c r="BH52" s="275">
        <v>646449203.54999995</v>
      </c>
      <c r="BI52" s="275">
        <v>1364615102.3500001</v>
      </c>
      <c r="BJ52" s="275">
        <v>3161508374.3499999</v>
      </c>
      <c r="BK52" s="275">
        <v>262934607.47</v>
      </c>
      <c r="BL52" s="275" t="s">
        <v>176</v>
      </c>
      <c r="BM52" s="283">
        <v>0</v>
      </c>
      <c r="BN52" s="275">
        <v>0</v>
      </c>
      <c r="BO52" s="275">
        <v>8919871.3699999992</v>
      </c>
      <c r="BP52" s="275">
        <v>12812351.949999999</v>
      </c>
      <c r="BQ52" s="275">
        <v>249126339.94999999</v>
      </c>
      <c r="BR52" s="275">
        <v>478871144.9000001</v>
      </c>
      <c r="BS52" s="275">
        <v>1250411052.2900002</v>
      </c>
      <c r="BT52" s="275">
        <v>110821867.25999999</v>
      </c>
      <c r="BU52" s="275">
        <v>265125433.56</v>
      </c>
      <c r="BV52" s="285">
        <v>47256825.909999996</v>
      </c>
      <c r="BW52" s="305">
        <v>8.5400000000000004E-2</v>
      </c>
      <c r="BX52" s="275">
        <v>65439000</v>
      </c>
      <c r="BY52" s="275">
        <f t="shared" si="7"/>
        <v>65236542.324547932</v>
      </c>
      <c r="BZ52" s="294">
        <f>AVERAGE(BZ53:BZ57)</f>
        <v>0.99690616183847447</v>
      </c>
      <c r="CA52" s="275">
        <v>20322000</v>
      </c>
      <c r="CC52" s="275">
        <v>86492000</v>
      </c>
      <c r="CD52" s="275">
        <v>1942</v>
      </c>
      <c r="CE52" s="305"/>
    </row>
    <row r="53" spans="1:97" s="278" customFormat="1" ht="12.75" x14ac:dyDescent="0.2">
      <c r="A53" s="297"/>
      <c r="B53" s="283" t="s">
        <v>417</v>
      </c>
      <c r="C53" s="283">
        <v>2008</v>
      </c>
      <c r="D53" s="287">
        <v>4161.3091412421545</v>
      </c>
      <c r="E53" s="287">
        <v>5052.9564274686154</v>
      </c>
      <c r="F53" s="287">
        <v>3864.0933791666666</v>
      </c>
      <c r="G53" s="275">
        <v>1309430</v>
      </c>
      <c r="H53" s="275">
        <v>13844</v>
      </c>
      <c r="I53" s="275">
        <v>0</v>
      </c>
      <c r="J53" s="299">
        <v>151</v>
      </c>
      <c r="K53" s="275">
        <v>39025</v>
      </c>
      <c r="L53" s="274">
        <v>62</v>
      </c>
      <c r="M53" s="300">
        <v>22.306999999999999</v>
      </c>
      <c r="N53" s="300">
        <f>L53-M53</f>
        <v>39.692999999999998</v>
      </c>
      <c r="O53" s="275">
        <v>675257375</v>
      </c>
      <c r="P53" s="275">
        <v>0</v>
      </c>
      <c r="Q53" s="275">
        <v>165087000</v>
      </c>
      <c r="R53" s="275">
        <f t="shared" si="1"/>
        <v>840344375</v>
      </c>
      <c r="S53" s="275">
        <f t="shared" si="2"/>
        <v>840344375</v>
      </c>
      <c r="T53" s="275">
        <v>9100000</v>
      </c>
      <c r="U53" s="290">
        <f t="shared" si="9"/>
        <v>1.0828893809160084E-2</v>
      </c>
      <c r="V53" s="300">
        <f t="shared" si="10"/>
        <v>267.52799708000009</v>
      </c>
      <c r="W53" s="274">
        <v>200.24608301000009</v>
      </c>
      <c r="X53" s="274">
        <v>5.0879680699999987</v>
      </c>
      <c r="Y53" s="274">
        <v>60.194758999999998</v>
      </c>
      <c r="Z53" s="274">
        <v>1.999187</v>
      </c>
      <c r="AA53" s="274">
        <v>168.00839687802014</v>
      </c>
      <c r="AB53" s="274">
        <v>46.380714717135817</v>
      </c>
      <c r="AC53" s="274">
        <v>75.823820694595994</v>
      </c>
      <c r="AD53" s="288">
        <v>15.137306593317264</v>
      </c>
      <c r="AE53" s="291">
        <v>97.287883230000006</v>
      </c>
      <c r="AF53" s="291">
        <v>30.106334359999991</v>
      </c>
      <c r="AG53" s="287">
        <v>999490</v>
      </c>
      <c r="AH53" s="287">
        <v>5990</v>
      </c>
      <c r="AI53" s="287">
        <v>301020</v>
      </c>
      <c r="AJ53" s="287">
        <v>2405</v>
      </c>
      <c r="AK53" s="287">
        <v>3029.5697210740918</v>
      </c>
      <c r="AL53" s="287">
        <v>1130.0557678969703</v>
      </c>
      <c r="AM53" s="287">
        <v>931.87157404851928</v>
      </c>
      <c r="AN53" s="289">
        <v>362.05113901827463</v>
      </c>
      <c r="AO53" s="289">
        <v>525</v>
      </c>
      <c r="AP53" s="289">
        <v>8389.3148530880007</v>
      </c>
      <c r="AQ53" s="301" t="s">
        <v>418</v>
      </c>
      <c r="AR53" s="301" t="s">
        <v>418</v>
      </c>
      <c r="AS53" s="306">
        <v>335115276</v>
      </c>
      <c r="AT53" s="275">
        <v>322731500</v>
      </c>
      <c r="AU53" s="305">
        <f t="shared" si="11"/>
        <v>0.96304622054889555</v>
      </c>
      <c r="AV53" s="307">
        <v>20258900</v>
      </c>
      <c r="AW53" s="275">
        <v>12471300</v>
      </c>
      <c r="AX53" s="275">
        <f t="shared" si="4"/>
        <v>7787600</v>
      </c>
      <c r="AY53" s="304">
        <f t="shared" si="12"/>
        <v>0.61559610837705903</v>
      </c>
      <c r="AZ53" s="275">
        <v>136519136</v>
      </c>
      <c r="BA53" s="275">
        <v>44957330</v>
      </c>
      <c r="BB53" s="275">
        <v>41262000</v>
      </c>
      <c r="BC53" s="305">
        <f t="shared" si="13"/>
        <v>0.91780361511682296</v>
      </c>
      <c r="BD53" s="275">
        <v>18240600</v>
      </c>
      <c r="BE53" s="275">
        <v>21833240</v>
      </c>
      <c r="BF53" s="275">
        <v>11472152.149999999</v>
      </c>
      <c r="BG53" s="275">
        <v>14745985.189999999</v>
      </c>
      <c r="BH53" s="275">
        <v>697608642.10000002</v>
      </c>
      <c r="BI53" s="275">
        <v>1544645601.4599998</v>
      </c>
      <c r="BJ53" s="275">
        <v>3299078429.2900004</v>
      </c>
      <c r="BK53" s="275">
        <v>269250241.40999997</v>
      </c>
      <c r="BL53" s="275" t="s">
        <v>176</v>
      </c>
      <c r="BM53" s="283">
        <v>0</v>
      </c>
      <c r="BN53" s="275">
        <v>0</v>
      </c>
      <c r="BO53" s="275">
        <v>9143974.3699999992</v>
      </c>
      <c r="BP53" s="275">
        <v>13295451.49</v>
      </c>
      <c r="BQ53" s="275">
        <v>264733278.5</v>
      </c>
      <c r="BR53" s="275">
        <v>516825817.07999998</v>
      </c>
      <c r="BS53" s="275">
        <v>1328856135.6200001</v>
      </c>
      <c r="BT53" s="275">
        <v>118039265.19999999</v>
      </c>
      <c r="BU53" s="275">
        <v>417823786.56999999</v>
      </c>
      <c r="BV53" s="285">
        <v>33139234.739999998</v>
      </c>
      <c r="BW53" s="305">
        <v>8.5400000000000004E-2</v>
      </c>
      <c r="BX53" s="275">
        <v>64492000</v>
      </c>
      <c r="BY53" s="275">
        <v>64942000</v>
      </c>
      <c r="BZ53" s="305">
        <f>BY53/BX53</f>
        <v>1.0069776096260001</v>
      </c>
      <c r="CA53" s="275">
        <v>31300000</v>
      </c>
      <c r="CC53" s="275">
        <v>78230000</v>
      </c>
      <c r="CD53" s="275">
        <v>2067</v>
      </c>
      <c r="CE53" s="305">
        <v>0.1249</v>
      </c>
    </row>
    <row r="54" spans="1:97" s="278" customFormat="1" ht="12.75" x14ac:dyDescent="0.2">
      <c r="A54" s="297"/>
      <c r="B54" s="283" t="s">
        <v>417</v>
      </c>
      <c r="C54" s="283">
        <v>2009</v>
      </c>
      <c r="D54" s="287">
        <v>4130.2286401437304</v>
      </c>
      <c r="E54" s="287">
        <v>5048.8633705749189</v>
      </c>
      <c r="F54" s="287">
        <v>3824.0170633333337</v>
      </c>
      <c r="G54" s="275">
        <v>1325043</v>
      </c>
      <c r="H54" s="275">
        <v>12849</v>
      </c>
      <c r="I54" s="275">
        <v>0</v>
      </c>
      <c r="J54" s="299">
        <v>158</v>
      </c>
      <c r="K54" s="275">
        <v>35517</v>
      </c>
      <c r="L54" s="274">
        <v>93</v>
      </c>
      <c r="M54" s="300">
        <v>33.193325413126054</v>
      </c>
      <c r="N54" s="300">
        <f>L54-M54</f>
        <v>59.806674586873946</v>
      </c>
      <c r="O54" s="275">
        <v>658265302</v>
      </c>
      <c r="P54" s="275">
        <v>0</v>
      </c>
      <c r="Q54" s="308">
        <v>177325000</v>
      </c>
      <c r="R54" s="275">
        <f t="shared" si="1"/>
        <v>835590302</v>
      </c>
      <c r="S54" s="275">
        <f t="shared" si="2"/>
        <v>835590302</v>
      </c>
      <c r="T54" s="275">
        <v>8600000</v>
      </c>
      <c r="U54" s="290">
        <f t="shared" si="9"/>
        <v>1.0292125195105483E-2</v>
      </c>
      <c r="V54" s="300">
        <f t="shared" si="10"/>
        <v>282.35826221000002</v>
      </c>
      <c r="W54" s="274">
        <v>211.53156735999997</v>
      </c>
      <c r="X54" s="274">
        <v>5.3655524699999999</v>
      </c>
      <c r="Y54" s="274">
        <v>63.497833050000018</v>
      </c>
      <c r="Z54" s="274">
        <v>1.96330933</v>
      </c>
      <c r="AA54" s="274">
        <v>155.69694335859137</v>
      </c>
      <c r="AB54" s="274">
        <v>46.273911795022322</v>
      </c>
      <c r="AC54" s="274">
        <v>72.889864245742032</v>
      </c>
      <c r="AD54" s="288">
        <v>15.347947148758635</v>
      </c>
      <c r="AE54" s="291">
        <v>95.99687763999998</v>
      </c>
      <c r="AF54" s="291">
        <v>26.647536890000001</v>
      </c>
      <c r="AG54" s="287">
        <v>1011147</v>
      </c>
      <c r="AH54" s="287">
        <v>6566</v>
      </c>
      <c r="AI54" s="287">
        <v>304583</v>
      </c>
      <c r="AJ54" s="287">
        <v>2247</v>
      </c>
      <c r="AK54" s="287">
        <v>2918.5507354835672</v>
      </c>
      <c r="AL54" s="287">
        <v>1096.9197552655173</v>
      </c>
      <c r="AM54" s="287">
        <v>919.77631956783091</v>
      </c>
      <c r="AN54" s="289">
        <v>354.71723417369822</v>
      </c>
      <c r="AO54" s="289">
        <v>500</v>
      </c>
      <c r="AP54" s="289">
        <v>7559.3082610600004</v>
      </c>
      <c r="AQ54" s="301" t="s">
        <v>418</v>
      </c>
      <c r="AR54" s="301" t="s">
        <v>418</v>
      </c>
      <c r="AS54" s="306">
        <v>335484023</v>
      </c>
      <c r="AT54" s="275">
        <v>318063800</v>
      </c>
      <c r="AU54" s="305">
        <f t="shared" si="11"/>
        <v>0.9480743588197641</v>
      </c>
      <c r="AV54" s="307">
        <v>22222457</v>
      </c>
      <c r="AW54" s="275">
        <v>14391300</v>
      </c>
      <c r="AX54" s="275">
        <f t="shared" si="4"/>
        <v>7831157</v>
      </c>
      <c r="AY54" s="304">
        <f t="shared" si="12"/>
        <v>0.64760165808848225</v>
      </c>
      <c r="AZ54" s="275">
        <v>140506286</v>
      </c>
      <c r="BA54" s="275">
        <v>38612532</v>
      </c>
      <c r="BB54" s="275">
        <v>35102000</v>
      </c>
      <c r="BC54" s="309">
        <f t="shared" si="13"/>
        <v>0.90908309250478581</v>
      </c>
      <c r="BD54" s="275">
        <v>20489400</v>
      </c>
      <c r="BE54" s="275">
        <v>21276545</v>
      </c>
      <c r="BF54" s="275">
        <v>7691696.4000000004</v>
      </c>
      <c r="BG54" s="275">
        <v>15771527.470000001</v>
      </c>
      <c r="BH54" s="275">
        <v>784115711.50999999</v>
      </c>
      <c r="BI54" s="275">
        <v>1586432560.72</v>
      </c>
      <c r="BJ54" s="275">
        <v>3440392837.4200001</v>
      </c>
      <c r="BK54" s="275">
        <v>249608099.72999999</v>
      </c>
      <c r="BL54" s="275" t="s">
        <v>176</v>
      </c>
      <c r="BM54" s="283">
        <v>0</v>
      </c>
      <c r="BN54" s="275">
        <v>0</v>
      </c>
      <c r="BO54" s="275">
        <v>5568364.6199999992</v>
      </c>
      <c r="BP54" s="275">
        <v>14600710.77</v>
      </c>
      <c r="BQ54" s="275">
        <v>275336108.83999997</v>
      </c>
      <c r="BR54" s="275">
        <v>540241996.64999998</v>
      </c>
      <c r="BS54" s="275">
        <v>1405810493.2700002</v>
      </c>
      <c r="BT54" s="275">
        <v>109730332.52</v>
      </c>
      <c r="BU54" s="275">
        <v>331921316.97000003</v>
      </c>
      <c r="BV54" s="280">
        <v>21797673.920000002</v>
      </c>
      <c r="BW54" s="305">
        <v>8.5400000000000004E-2</v>
      </c>
      <c r="BX54" s="275">
        <v>66638000</v>
      </c>
      <c r="BY54" s="275">
        <v>66638000</v>
      </c>
      <c r="BZ54" s="305">
        <f>BY54/BX54</f>
        <v>1</v>
      </c>
      <c r="CA54" s="275">
        <v>28767000</v>
      </c>
      <c r="CC54" s="275">
        <v>119909000</v>
      </c>
      <c r="CD54" s="275">
        <v>2215</v>
      </c>
      <c r="CE54" s="305">
        <v>0.11219999999999999</v>
      </c>
    </row>
    <row r="55" spans="1:97" s="278" customFormat="1" ht="12.75" x14ac:dyDescent="0.2">
      <c r="A55" s="297"/>
      <c r="B55" s="283" t="s">
        <v>417</v>
      </c>
      <c r="C55" s="283">
        <v>2010</v>
      </c>
      <c r="D55" s="287">
        <v>3795.6386198676655</v>
      </c>
      <c r="E55" s="287">
        <v>4461.6287049706589</v>
      </c>
      <c r="F55" s="287">
        <v>3573.6419248333341</v>
      </c>
      <c r="G55" s="275">
        <v>1343795</v>
      </c>
      <c r="H55" s="275">
        <v>13314</v>
      </c>
      <c r="I55" s="275">
        <v>0</v>
      </c>
      <c r="J55" s="299">
        <v>164</v>
      </c>
      <c r="K55" s="275">
        <v>38891</v>
      </c>
      <c r="L55" s="274">
        <v>113</v>
      </c>
      <c r="M55" s="300">
        <v>22.559677000000001</v>
      </c>
      <c r="N55" s="300">
        <f>L55-M55</f>
        <v>90.440323000000006</v>
      </c>
      <c r="O55" s="275">
        <v>699528483</v>
      </c>
      <c r="P55" s="275">
        <v>0</v>
      </c>
      <c r="Q55" s="275">
        <v>183331000</v>
      </c>
      <c r="R55" s="275">
        <f t="shared" si="1"/>
        <v>882859483</v>
      </c>
      <c r="S55" s="275">
        <f t="shared" si="2"/>
        <v>882859483</v>
      </c>
      <c r="T55" s="275">
        <v>5075300</v>
      </c>
      <c r="U55" s="290">
        <f t="shared" si="9"/>
        <v>5.7487064450549713E-3</v>
      </c>
      <c r="V55" s="300">
        <f t="shared" si="10"/>
        <v>305.50616966999991</v>
      </c>
      <c r="W55" s="274">
        <v>229.28843759999995</v>
      </c>
      <c r="X55" s="274">
        <v>5.5398958100000009</v>
      </c>
      <c r="Y55" s="274">
        <v>68.886962979999993</v>
      </c>
      <c r="Z55" s="274">
        <v>1.7908732799999993</v>
      </c>
      <c r="AA55" s="274">
        <v>136.71973647819834</v>
      </c>
      <c r="AB55" s="274">
        <v>44.59941706721424</v>
      </c>
      <c r="AC55" s="274">
        <v>63.380143915148466</v>
      </c>
      <c r="AD55" s="288">
        <v>12.246458812219085</v>
      </c>
      <c r="AE55" s="291">
        <v>96.81368166</v>
      </c>
      <c r="AF55" s="291">
        <v>24.49192051</v>
      </c>
      <c r="AG55" s="287">
        <v>1025698</v>
      </c>
      <c r="AH55" s="287">
        <v>6607</v>
      </c>
      <c r="AI55" s="287">
        <v>308846</v>
      </c>
      <c r="AJ55" s="287">
        <v>2154</v>
      </c>
      <c r="AK55" s="287">
        <v>2782.3307837109742</v>
      </c>
      <c r="AL55" s="287">
        <v>1032.8581556186898</v>
      </c>
      <c r="AM55" s="287">
        <v>837.60191733695535</v>
      </c>
      <c r="AN55" s="289">
        <v>316.30328403865735</v>
      </c>
      <c r="AO55" s="289">
        <v>490</v>
      </c>
      <c r="AP55" s="289">
        <v>8344.9154369909993</v>
      </c>
      <c r="AQ55" s="301" t="s">
        <v>418</v>
      </c>
      <c r="AR55" s="301" t="s">
        <v>418</v>
      </c>
      <c r="AS55" s="306">
        <v>363409519</v>
      </c>
      <c r="AT55" s="275">
        <v>349372600</v>
      </c>
      <c r="AU55" s="305">
        <f t="shared" si="11"/>
        <v>0.9613743772077693</v>
      </c>
      <c r="AV55" s="310">
        <v>21532363</v>
      </c>
      <c r="AW55" s="275">
        <v>16437600</v>
      </c>
      <c r="AX55" s="275">
        <f t="shared" si="4"/>
        <v>5094763</v>
      </c>
      <c r="AY55" s="304">
        <f t="shared" si="12"/>
        <v>0.7633904369901251</v>
      </c>
      <c r="AZ55" s="275">
        <v>149887624</v>
      </c>
      <c r="BA55" s="275">
        <v>38384504</v>
      </c>
      <c r="BB55" s="275">
        <v>35921000</v>
      </c>
      <c r="BC55" s="305">
        <f t="shared" si="13"/>
        <v>0.93582035083741089</v>
      </c>
      <c r="BD55" s="275">
        <v>33494486</v>
      </c>
      <c r="BE55" s="275">
        <v>25910609</v>
      </c>
      <c r="BF55" s="275">
        <v>7691696.4000000004</v>
      </c>
      <c r="BG55" s="275">
        <v>17255907.640000001</v>
      </c>
      <c r="BH55" s="275">
        <v>789711188.66999996</v>
      </c>
      <c r="BI55" s="275">
        <v>1608013048.45</v>
      </c>
      <c r="BJ55" s="275">
        <v>3549212776.2199998</v>
      </c>
      <c r="BK55" s="275">
        <v>255784480.99000001</v>
      </c>
      <c r="BL55" s="275" t="s">
        <v>176</v>
      </c>
      <c r="BM55" s="283">
        <v>0</v>
      </c>
      <c r="BN55" s="275">
        <v>0</v>
      </c>
      <c r="BO55" s="275">
        <v>5749487.6200000001</v>
      </c>
      <c r="BP55" s="275">
        <v>14987522.939999999</v>
      </c>
      <c r="BQ55" s="275">
        <v>283654485.48000002</v>
      </c>
      <c r="BR55" s="275">
        <v>581696881.79999995</v>
      </c>
      <c r="BS55" s="275">
        <v>1485857716.74</v>
      </c>
      <c r="BT55" s="275">
        <v>111828675.77999999</v>
      </c>
      <c r="BU55" s="275">
        <v>206956601.75</v>
      </c>
      <c r="BV55" s="280">
        <v>30294129.16</v>
      </c>
      <c r="BW55" s="305">
        <v>8.5400000000000004E-2</v>
      </c>
      <c r="BX55" s="275">
        <v>65130000</v>
      </c>
      <c r="BY55" s="275">
        <v>65131000</v>
      </c>
      <c r="BZ55" s="305">
        <f>BY55/BX55</f>
        <v>1.0000153539075696</v>
      </c>
      <c r="CA55" s="275">
        <v>25035000</v>
      </c>
      <c r="CC55" s="275">
        <v>123904000</v>
      </c>
      <c r="CD55" s="275">
        <v>2650</v>
      </c>
      <c r="CE55" s="305">
        <v>0.1091</v>
      </c>
    </row>
    <row r="56" spans="1:97" ht="12.75" x14ac:dyDescent="0.2">
      <c r="B56" s="283" t="s">
        <v>417</v>
      </c>
      <c r="C56" s="283">
        <v>2011</v>
      </c>
      <c r="D56" s="275">
        <v>3956.589981669908</v>
      </c>
      <c r="E56" s="275">
        <v>4741.0473266796334</v>
      </c>
      <c r="F56" s="275">
        <v>3695.1042000000002</v>
      </c>
      <c r="G56" s="315">
        <v>1360056</v>
      </c>
      <c r="H56" s="275">
        <v>14137.126042974969</v>
      </c>
      <c r="I56" s="275">
        <v>0</v>
      </c>
      <c r="J56" s="274">
        <v>153</v>
      </c>
      <c r="K56" s="275">
        <v>37752</v>
      </c>
      <c r="L56" s="274">
        <v>163.76631101099332</v>
      </c>
      <c r="M56" s="274">
        <v>25.27693978088578</v>
      </c>
      <c r="N56" s="274">
        <v>138.48937123010754</v>
      </c>
      <c r="O56" s="275">
        <v>713187740.61000013</v>
      </c>
      <c r="P56" s="275">
        <v>0</v>
      </c>
      <c r="Q56" s="280">
        <v>193605000</v>
      </c>
      <c r="R56" s="275">
        <f t="shared" si="1"/>
        <v>906792740.61000013</v>
      </c>
      <c r="S56" s="275">
        <f t="shared" si="2"/>
        <v>906792740.61000013</v>
      </c>
      <c r="T56" s="275">
        <v>4455100</v>
      </c>
      <c r="U56" s="290">
        <f t="shared" si="9"/>
        <v>4.9130300679326687E-3</v>
      </c>
      <c r="V56" s="300">
        <f t="shared" si="10"/>
        <v>325.73317975999993</v>
      </c>
      <c r="W56" s="274">
        <v>244.78888999</v>
      </c>
      <c r="X56" s="274">
        <v>5.5378448699999989</v>
      </c>
      <c r="Y56" s="274">
        <v>73.664796199999984</v>
      </c>
      <c r="Z56" s="274">
        <v>1.7416487</v>
      </c>
      <c r="AA56" s="274">
        <v>127.8508527130867</v>
      </c>
      <c r="AB56" s="274">
        <v>45.668398641706432</v>
      </c>
      <c r="AC56" s="274">
        <v>63.824949846110954</v>
      </c>
      <c r="AD56" s="274">
        <v>12.885712225143925</v>
      </c>
      <c r="AE56" s="274">
        <v>99.035235700000001</v>
      </c>
      <c r="AF56" s="274">
        <v>23.164254299999996</v>
      </c>
      <c r="AG56" s="275">
        <v>1037146</v>
      </c>
      <c r="AH56" s="275">
        <v>6637</v>
      </c>
      <c r="AI56" s="275">
        <v>313633</v>
      </c>
      <c r="AJ56" s="275">
        <v>2160</v>
      </c>
      <c r="AK56" s="275">
        <v>2921.5546313324057</v>
      </c>
      <c r="AL56" s="275">
        <v>1131.884964526555</v>
      </c>
      <c r="AM56" s="273">
        <v>906.25513892497099</v>
      </c>
      <c r="AN56" s="273">
        <v>340.43128454603732</v>
      </c>
      <c r="AO56" s="273">
        <v>480</v>
      </c>
      <c r="AP56" s="275">
        <v>8837.0000236450014</v>
      </c>
      <c r="AQ56" s="276"/>
      <c r="AR56" s="276"/>
      <c r="AS56" s="316">
        <v>378370930</v>
      </c>
      <c r="AT56" s="287">
        <v>369470000</v>
      </c>
      <c r="AU56" s="305">
        <f t="shared" si="11"/>
        <v>0.9764756504946086</v>
      </c>
      <c r="AV56" s="275">
        <v>27970646.169999998</v>
      </c>
      <c r="AW56" s="275">
        <v>17925300</v>
      </c>
      <c r="AX56" s="275">
        <f t="shared" si="4"/>
        <v>10045346.169999998</v>
      </c>
      <c r="AY56" s="317">
        <f t="shared" si="12"/>
        <v>0.64086113316988136</v>
      </c>
      <c r="AZ56" s="275">
        <v>155457795.16</v>
      </c>
      <c r="BA56" s="275">
        <v>31096722</v>
      </c>
      <c r="BB56" s="275">
        <v>28677000</v>
      </c>
      <c r="BC56" s="305">
        <f t="shared" si="13"/>
        <v>0.92218723246778234</v>
      </c>
      <c r="BD56" s="275">
        <v>40157964.660000004</v>
      </c>
      <c r="BE56" s="275">
        <v>26012953.959999993</v>
      </c>
      <c r="BF56" s="275">
        <v>7691696</v>
      </c>
      <c r="BG56" s="275">
        <v>17891676.110000003</v>
      </c>
      <c r="BH56" s="275">
        <v>840665425.35000002</v>
      </c>
      <c r="BI56" s="275">
        <v>1679559170.71</v>
      </c>
      <c r="BJ56" s="275">
        <v>3671884386.4000001</v>
      </c>
      <c r="BK56" s="275">
        <v>253996163.88999999</v>
      </c>
      <c r="BL56" s="273">
        <v>0</v>
      </c>
      <c r="BM56" s="273">
        <v>0</v>
      </c>
      <c r="BN56" s="275">
        <v>0</v>
      </c>
      <c r="BO56" s="275">
        <v>5934354.6200000001</v>
      </c>
      <c r="BP56" s="275">
        <v>15426776.41</v>
      </c>
      <c r="BQ56" s="275">
        <v>304300620.48999995</v>
      </c>
      <c r="BR56" s="275">
        <v>623688497.13</v>
      </c>
      <c r="BS56" s="275">
        <v>1575992083.0800002</v>
      </c>
      <c r="BT56" s="275">
        <v>101011726.61</v>
      </c>
      <c r="BU56" s="275">
        <v>301800843.89999998</v>
      </c>
      <c r="BV56" s="275">
        <v>37095897.600000001</v>
      </c>
      <c r="BW56" s="305">
        <v>8.5400000000000004E-2</v>
      </c>
      <c r="BX56" s="275">
        <v>60699000</v>
      </c>
      <c r="BY56" s="275">
        <v>60700000</v>
      </c>
      <c r="BZ56" s="318">
        <f>BY56/BX56</f>
        <v>1.0000164747359923</v>
      </c>
      <c r="CA56" s="314">
        <v>25197000</v>
      </c>
      <c r="CB56" s="278"/>
      <c r="CC56" s="275">
        <v>116314000</v>
      </c>
      <c r="CD56" s="275">
        <v>2676</v>
      </c>
      <c r="CE56" s="319">
        <v>0.1157</v>
      </c>
      <c r="CF56" s="57"/>
      <c r="CG56" s="57"/>
      <c r="CH56" s="57"/>
      <c r="CI56" s="57"/>
      <c r="CJ56" s="57"/>
      <c r="CK56" s="57"/>
      <c r="CL56" s="57"/>
      <c r="CM56" s="57"/>
      <c r="CN56" s="57"/>
      <c r="CO56" s="57"/>
      <c r="CP56" s="57"/>
      <c r="CQ56" s="57"/>
      <c r="CR56" s="57"/>
      <c r="CS56" s="57"/>
    </row>
    <row r="57" spans="1:97" ht="12.75" x14ac:dyDescent="0.2">
      <c r="B57" s="283" t="s">
        <v>417</v>
      </c>
      <c r="C57" s="283">
        <v>2012</v>
      </c>
      <c r="D57" s="275">
        <v>3547</v>
      </c>
      <c r="E57" s="275">
        <v>4367</v>
      </c>
      <c r="F57" s="275">
        <v>3274</v>
      </c>
      <c r="G57" s="280">
        <v>1378953</v>
      </c>
      <c r="H57" s="275">
        <v>13900.751781950001</v>
      </c>
      <c r="I57" s="280">
        <v>0</v>
      </c>
      <c r="J57" s="320">
        <v>156</v>
      </c>
      <c r="K57" s="275">
        <v>36674</v>
      </c>
      <c r="L57" s="321">
        <v>137.30000000000001</v>
      </c>
      <c r="M57" s="321">
        <v>23.3</v>
      </c>
      <c r="N57" s="321">
        <v>114</v>
      </c>
      <c r="O57" s="275">
        <v>726695507.09000015</v>
      </c>
      <c r="P57" s="275">
        <v>0</v>
      </c>
      <c r="Q57" s="275">
        <v>210188000</v>
      </c>
      <c r="R57" s="275">
        <f t="shared" si="1"/>
        <v>936883507.09000015</v>
      </c>
      <c r="S57" s="275">
        <f t="shared" si="2"/>
        <v>936883507.09000015</v>
      </c>
      <c r="T57" s="275">
        <v>4957000</v>
      </c>
      <c r="U57" s="290">
        <f t="shared" si="9"/>
        <v>5.2909459527115087E-3</v>
      </c>
      <c r="V57" s="274">
        <v>347.12857443000001</v>
      </c>
      <c r="W57" s="274">
        <v>260.47250959000002</v>
      </c>
      <c r="X57" s="274">
        <v>6.1900339100000004</v>
      </c>
      <c r="Y57" s="274">
        <v>78.73792259999999</v>
      </c>
      <c r="Z57" s="274">
        <v>1.72810833</v>
      </c>
      <c r="AA57" s="274">
        <v>107.78966167999998</v>
      </c>
      <c r="AB57" s="274">
        <v>41.878959469999998</v>
      </c>
      <c r="AC57" s="274">
        <v>57.669633080000011</v>
      </c>
      <c r="AD57" s="274">
        <v>11.183048509999999</v>
      </c>
      <c r="AE57" s="274">
        <v>78.288301899999993</v>
      </c>
      <c r="AF57" s="274">
        <v>41.488492249998998</v>
      </c>
      <c r="AG57" s="275">
        <v>1050659</v>
      </c>
      <c r="AH57" s="275">
        <v>6689</v>
      </c>
      <c r="AI57" s="275">
        <v>319027</v>
      </c>
      <c r="AJ57" s="275">
        <v>2094</v>
      </c>
      <c r="AK57" s="275">
        <v>2575.0055844200001</v>
      </c>
      <c r="AL57" s="275">
        <v>1015.29427916</v>
      </c>
      <c r="AM57" s="273">
        <v>847.92527995</v>
      </c>
      <c r="AN57" s="273">
        <v>327.25047011999999</v>
      </c>
      <c r="AO57" s="273">
        <v>484</v>
      </c>
      <c r="AP57" s="275">
        <v>9135.276168299999</v>
      </c>
      <c r="AQ57" s="276"/>
      <c r="AR57" s="276"/>
      <c r="AS57" s="314">
        <v>380113853</v>
      </c>
      <c r="AT57" s="275">
        <v>364941000</v>
      </c>
      <c r="AU57" s="305">
        <f t="shared" si="11"/>
        <v>0.96008339901255846</v>
      </c>
      <c r="AV57" s="275">
        <v>31441241</v>
      </c>
      <c r="AW57" s="275">
        <v>24039000</v>
      </c>
      <c r="AX57" s="275">
        <f t="shared" si="4"/>
        <v>7402241</v>
      </c>
      <c r="AY57" s="317">
        <f t="shared" si="12"/>
        <v>0.76456905756359939</v>
      </c>
      <c r="AZ57" s="275">
        <v>147369897.43000001</v>
      </c>
      <c r="BA57" s="275">
        <v>22924948</v>
      </c>
      <c r="BB57" s="275">
        <v>21854000</v>
      </c>
      <c r="BC57" s="305">
        <f t="shared" si="13"/>
        <v>0.95328460505123069</v>
      </c>
      <c r="BD57" s="275">
        <v>41779275.57</v>
      </c>
      <c r="BE57" s="275">
        <v>27009969.390000001</v>
      </c>
      <c r="BF57" s="275">
        <v>7691696</v>
      </c>
      <c r="BG57" s="275">
        <v>19248168.430000003</v>
      </c>
      <c r="BH57" s="275">
        <v>847007037.17999995</v>
      </c>
      <c r="BI57" s="275">
        <v>1691905852.54</v>
      </c>
      <c r="BJ57" s="275">
        <v>3814635278.9400001</v>
      </c>
      <c r="BK57" s="275">
        <v>264893042.34999999</v>
      </c>
      <c r="BL57" s="273">
        <v>0</v>
      </c>
      <c r="BM57" s="273">
        <v>0</v>
      </c>
      <c r="BN57" s="275">
        <v>0</v>
      </c>
      <c r="BO57" s="275">
        <v>6119222</v>
      </c>
      <c r="BP57" s="275">
        <v>15926668.76</v>
      </c>
      <c r="BQ57" s="275">
        <v>318595878.58999997</v>
      </c>
      <c r="BR57" s="275">
        <v>665650451.63</v>
      </c>
      <c r="BS57" s="275">
        <v>1664372579.4099998</v>
      </c>
      <c r="BT57" s="275">
        <v>97197330.100000009</v>
      </c>
      <c r="BU57" s="275">
        <v>244059087</v>
      </c>
      <c r="BV57" s="275">
        <v>42790261.359999999</v>
      </c>
      <c r="BW57" s="305">
        <v>8.5400000000000004E-2</v>
      </c>
      <c r="BX57" s="275">
        <v>62819000</v>
      </c>
      <c r="BY57" s="275">
        <v>61406915</v>
      </c>
      <c r="BZ57" s="318">
        <f>BY57/BX57</f>
        <v>0.97752137092281</v>
      </c>
      <c r="CA57" s="314">
        <v>24091000</v>
      </c>
      <c r="CB57" s="278"/>
      <c r="CC57" s="275">
        <v>111225000</v>
      </c>
      <c r="CD57" s="275">
        <v>2603</v>
      </c>
      <c r="CE57" s="319">
        <v>0.11070000000000001</v>
      </c>
      <c r="CF57" s="57"/>
      <c r="CG57" s="57"/>
      <c r="CH57" s="57"/>
      <c r="CI57" s="57"/>
      <c r="CJ57" s="57"/>
      <c r="CK57" s="57"/>
      <c r="CL57" s="57"/>
      <c r="CM57" s="57"/>
      <c r="CN57" s="57"/>
      <c r="CO57" s="57"/>
      <c r="CP57" s="57"/>
      <c r="CQ57" s="57"/>
      <c r="CR57" s="57"/>
      <c r="CS57" s="57"/>
    </row>
    <row r="58" spans="1:97" ht="12.75" x14ac:dyDescent="0.2">
      <c r="B58" s="283" t="s">
        <v>417</v>
      </c>
      <c r="C58" s="283">
        <v>2013</v>
      </c>
      <c r="D58" s="287">
        <v>4188.6360400000003</v>
      </c>
      <c r="E58" s="287">
        <v>5130.6307222094001</v>
      </c>
      <c r="F58" s="287">
        <v>3874.6378</v>
      </c>
      <c r="G58" s="275">
        <v>1398680</v>
      </c>
      <c r="H58" s="275">
        <v>14545.276747628999</v>
      </c>
      <c r="I58" s="275">
        <v>226</v>
      </c>
      <c r="J58" s="299">
        <v>154</v>
      </c>
      <c r="K58" s="280">
        <v>39727.067499999997</v>
      </c>
      <c r="L58" s="300">
        <f>+M58+N58</f>
        <v>179.96656387079997</v>
      </c>
      <c r="M58" s="300">
        <v>23.584078904999995</v>
      </c>
      <c r="N58" s="300">
        <v>156.38248496579999</v>
      </c>
      <c r="O58" s="275">
        <v>758043990.24257302</v>
      </c>
      <c r="P58" s="275">
        <v>8844000</v>
      </c>
      <c r="Q58" s="275">
        <v>160108000</v>
      </c>
      <c r="R58" s="275">
        <f t="shared" si="1"/>
        <v>926995990.24257302</v>
      </c>
      <c r="S58" s="275">
        <f t="shared" si="2"/>
        <v>918151990.24257302</v>
      </c>
      <c r="T58" s="275">
        <v>4811155</v>
      </c>
      <c r="U58" s="290">
        <f t="shared" si="9"/>
        <v>5.2400420095249228E-3</v>
      </c>
      <c r="V58" s="300">
        <v>351.75490634000005</v>
      </c>
      <c r="W58" s="274">
        <v>263.86366608000003</v>
      </c>
      <c r="X58" s="300">
        <v>6.07387079</v>
      </c>
      <c r="Y58" s="300">
        <v>80.141422129999995</v>
      </c>
      <c r="Z58" s="274">
        <v>1.67594734</v>
      </c>
      <c r="AA58" s="274">
        <v>126.19034855999998</v>
      </c>
      <c r="AB58" s="274">
        <v>47.314976160000001</v>
      </c>
      <c r="AC58" s="274">
        <v>85.807891770000012</v>
      </c>
      <c r="AD58" s="288">
        <v>18.57417864</v>
      </c>
      <c r="AE58" s="291">
        <v>86.285377560000001</v>
      </c>
      <c r="AF58" s="291">
        <v>41.642311212572992</v>
      </c>
      <c r="AG58" s="287">
        <v>1064399</v>
      </c>
      <c r="AH58" s="287">
        <v>6723</v>
      </c>
      <c r="AI58" s="287">
        <v>325057</v>
      </c>
      <c r="AJ58" s="287">
        <v>2016</v>
      </c>
      <c r="AK58" s="287">
        <v>3030.675256946</v>
      </c>
      <c r="AL58" s="287">
        <v>1176.964205257</v>
      </c>
      <c r="AM58" s="287">
        <v>979.53444491300002</v>
      </c>
      <c r="AN58" s="289">
        <v>362.07339543300003</v>
      </c>
      <c r="AO58" s="289">
        <v>485</v>
      </c>
      <c r="AP58" s="289">
        <v>8996.0294450799993</v>
      </c>
      <c r="AQ58" s="323"/>
      <c r="AR58" s="323"/>
      <c r="AS58" s="280">
        <v>397275053</v>
      </c>
      <c r="AT58" s="280">
        <v>381038000</v>
      </c>
      <c r="AU58" s="305">
        <f t="shared" si="11"/>
        <v>0.95912893881106598</v>
      </c>
      <c r="AV58" s="280">
        <v>31641476</v>
      </c>
      <c r="AW58" s="280">
        <v>25643851</v>
      </c>
      <c r="AX58" s="280">
        <v>5997625</v>
      </c>
      <c r="AY58" s="317">
        <f t="shared" si="12"/>
        <v>0.8104505301838637</v>
      </c>
      <c r="AZ58" s="280">
        <v>162508210</v>
      </c>
      <c r="BA58" s="275">
        <v>27641924.899999999</v>
      </c>
      <c r="BB58" s="324">
        <v>24012540</v>
      </c>
      <c r="BC58" s="294">
        <f t="shared" si="13"/>
        <v>0.86869999418889965</v>
      </c>
      <c r="BD58" s="275">
        <v>33654832</v>
      </c>
      <c r="BE58" s="275">
        <v>24992718</v>
      </c>
      <c r="BF58" s="275">
        <v>7615503.8600000003</v>
      </c>
      <c r="BG58" s="275">
        <v>23530862.48</v>
      </c>
      <c r="BH58" s="275">
        <v>858779869.44000006</v>
      </c>
      <c r="BI58" s="275">
        <v>1763958946.6700001</v>
      </c>
      <c r="BJ58" s="275">
        <v>3970430352.5700002</v>
      </c>
      <c r="BK58" s="275">
        <v>273630717.62</v>
      </c>
      <c r="BL58" s="275"/>
      <c r="BM58" s="275"/>
      <c r="BN58" s="275"/>
      <c r="BO58" s="275">
        <v>6240295.8600000003</v>
      </c>
      <c r="BP58" s="275">
        <v>10961282.779999999</v>
      </c>
      <c r="BQ58" s="275">
        <v>342860583.38999999</v>
      </c>
      <c r="BR58" s="275">
        <v>706321828.25999987</v>
      </c>
      <c r="BS58" s="275">
        <v>1704236614.9200001</v>
      </c>
      <c r="BT58" s="275">
        <v>108074755.83000001</v>
      </c>
      <c r="BU58" s="275">
        <v>346997333.72000003</v>
      </c>
      <c r="BV58" s="275">
        <v>30255129</v>
      </c>
      <c r="BW58" s="305">
        <v>8.9300000000000004E-2</v>
      </c>
      <c r="BX58" s="275">
        <v>65288000</v>
      </c>
      <c r="BY58" s="275">
        <v>63845000</v>
      </c>
      <c r="BZ58" s="318">
        <f t="shared" ref="BZ58:BZ61" si="14">BY58/BX58</f>
        <v>0.97789792917534613</v>
      </c>
      <c r="CA58" s="275">
        <v>25815000</v>
      </c>
      <c r="CB58" s="275">
        <v>6752210</v>
      </c>
      <c r="CC58" s="275">
        <v>81828000</v>
      </c>
      <c r="CD58" s="275">
        <v>2700</v>
      </c>
      <c r="CE58" s="319">
        <v>0.1067</v>
      </c>
      <c r="CF58" s="57"/>
      <c r="CG58" s="57"/>
      <c r="CH58" s="57"/>
      <c r="CI58" s="57"/>
      <c r="CJ58" s="57"/>
      <c r="CK58" s="57"/>
      <c r="CL58" s="57"/>
      <c r="CM58" s="57"/>
      <c r="CN58" s="57"/>
      <c r="CO58" s="57"/>
      <c r="CP58" s="57"/>
      <c r="CQ58" s="57"/>
      <c r="CR58" s="57"/>
      <c r="CS58" s="57"/>
    </row>
    <row r="59" spans="1:97" ht="12.75" x14ac:dyDescent="0.2">
      <c r="B59" s="283" t="s">
        <v>417</v>
      </c>
      <c r="C59" s="283">
        <v>2014</v>
      </c>
      <c r="D59" s="287">
        <v>4506.01829</v>
      </c>
      <c r="E59" s="287">
        <v>5360.722488294</v>
      </c>
      <c r="F59" s="287">
        <v>4221.1169</v>
      </c>
      <c r="G59" s="275">
        <v>1419499</v>
      </c>
      <c r="H59" s="275">
        <v>14747.083425552999</v>
      </c>
      <c r="I59" s="275">
        <v>167</v>
      </c>
      <c r="J59" s="299">
        <v>151</v>
      </c>
      <c r="K59" s="280">
        <v>34444.550499999998</v>
      </c>
      <c r="L59" s="300">
        <f t="shared" ref="L59:L60" si="15">+M59+N59</f>
        <v>131.8250224084</v>
      </c>
      <c r="M59" s="300">
        <v>27.069502179499999</v>
      </c>
      <c r="N59" s="300">
        <v>104.7555202289</v>
      </c>
      <c r="O59" s="275">
        <v>765977650.765028</v>
      </c>
      <c r="P59" s="275">
        <v>7783000</v>
      </c>
      <c r="Q59" s="275">
        <v>151373000</v>
      </c>
      <c r="R59" s="275">
        <f t="shared" si="1"/>
        <v>925133650.765028</v>
      </c>
      <c r="S59" s="275">
        <f t="shared" si="2"/>
        <v>917350650.765028</v>
      </c>
      <c r="T59" s="275">
        <v>4700000</v>
      </c>
      <c r="U59" s="290">
        <f t="shared" si="9"/>
        <v>5.1234497910699877E-3</v>
      </c>
      <c r="V59" s="300">
        <v>356.56886073999993</v>
      </c>
      <c r="W59" s="274">
        <v>267.07230306999998</v>
      </c>
      <c r="X59" s="300">
        <v>6.1321062</v>
      </c>
      <c r="Y59" s="300">
        <v>81.675197359999999</v>
      </c>
      <c r="Z59" s="274">
        <v>1.68925411</v>
      </c>
      <c r="AA59" s="274">
        <v>140.86514056999999</v>
      </c>
      <c r="AB59" s="274">
        <v>49.38880095999999</v>
      </c>
      <c r="AC59" s="274">
        <v>90.043647419999999</v>
      </c>
      <c r="AD59" s="288">
        <v>18.489653370000003</v>
      </c>
      <c r="AE59" s="291">
        <v>88.851559150434497</v>
      </c>
      <c r="AF59" s="291">
        <v>41.445196554593501</v>
      </c>
      <c r="AG59" s="287">
        <v>1078289</v>
      </c>
      <c r="AH59" s="287">
        <v>6940</v>
      </c>
      <c r="AI59" s="287">
        <v>331780</v>
      </c>
      <c r="AJ59" s="287">
        <v>2019</v>
      </c>
      <c r="AK59" s="287">
        <v>3328.692472272</v>
      </c>
      <c r="AL59" s="287">
        <v>1284.4279201310001</v>
      </c>
      <c r="AM59" s="287">
        <v>1053.0673926889999</v>
      </c>
      <c r="AN59" s="289">
        <v>379.43042852100001</v>
      </c>
      <c r="AO59" s="289">
        <v>471</v>
      </c>
      <c r="AP59" s="289">
        <v>8701.4652119399998</v>
      </c>
      <c r="AQ59" s="323"/>
      <c r="AR59" s="323"/>
      <c r="AS59" s="280">
        <v>396931727</v>
      </c>
      <c r="AT59" s="280">
        <v>379760000</v>
      </c>
      <c r="AU59" s="305">
        <f t="shared" si="11"/>
        <v>0.95673883987610797</v>
      </c>
      <c r="AV59" s="280">
        <v>32049441</v>
      </c>
      <c r="AW59" s="280">
        <v>25479688</v>
      </c>
      <c r="AX59" s="280">
        <v>6569753</v>
      </c>
      <c r="AY59" s="317">
        <f t="shared" si="12"/>
        <v>0.79501193172136764</v>
      </c>
      <c r="AZ59" s="280">
        <v>166198515</v>
      </c>
      <c r="BA59" s="275">
        <v>19650693.239999998</v>
      </c>
      <c r="BB59" s="324">
        <v>16339551</v>
      </c>
      <c r="BC59" s="294">
        <f t="shared" si="13"/>
        <v>0.83149997816565591</v>
      </c>
      <c r="BD59" s="275">
        <v>23621706</v>
      </c>
      <c r="BE59" s="275">
        <v>26194325</v>
      </c>
      <c r="BF59" s="275">
        <v>7593759.4900000002</v>
      </c>
      <c r="BG59" s="275">
        <v>25618299</v>
      </c>
      <c r="BH59" s="275">
        <v>869846563</v>
      </c>
      <c r="BI59" s="275">
        <v>1902120522.04</v>
      </c>
      <c r="BJ59" s="275">
        <v>4134933277.4899998</v>
      </c>
      <c r="BK59" s="275">
        <v>288269749.44</v>
      </c>
      <c r="BL59" s="275"/>
      <c r="BM59" s="275"/>
      <c r="BN59" s="275"/>
      <c r="BO59" s="275">
        <v>6404358.4900000002</v>
      </c>
      <c r="BP59" s="275">
        <v>11549369.619999999</v>
      </c>
      <c r="BQ59" s="275">
        <v>362782014.60000002</v>
      </c>
      <c r="BR59" s="275">
        <v>739879349.98999989</v>
      </c>
      <c r="BS59" s="275">
        <v>1787005292.6800001</v>
      </c>
      <c r="BT59" s="275">
        <v>118813761.06</v>
      </c>
      <c r="BU59" s="275">
        <v>388577566.75999999</v>
      </c>
      <c r="BV59" s="275">
        <v>34245760.409999996</v>
      </c>
      <c r="BW59" s="305">
        <v>8.9300000000000004E-2</v>
      </c>
      <c r="BX59" s="275">
        <v>65791000</v>
      </c>
      <c r="BY59" s="275">
        <v>64324000</v>
      </c>
      <c r="BZ59" s="318">
        <f t="shared" si="14"/>
        <v>0.97770211731087842</v>
      </c>
      <c r="CA59" s="275">
        <v>24006000</v>
      </c>
      <c r="CB59" s="275">
        <v>6806016</v>
      </c>
      <c r="CC59" s="275">
        <v>74546000</v>
      </c>
      <c r="CD59" s="275">
        <v>2924</v>
      </c>
      <c r="CE59" s="319">
        <v>0.1069</v>
      </c>
      <c r="CF59" s="57"/>
      <c r="CG59" s="57"/>
      <c r="CH59" s="57"/>
      <c r="CI59" s="57"/>
      <c r="CJ59" s="57"/>
      <c r="CK59" s="57"/>
      <c r="CL59" s="57"/>
      <c r="CM59" s="57"/>
      <c r="CN59" s="57"/>
      <c r="CO59" s="57"/>
      <c r="CP59" s="57"/>
      <c r="CQ59" s="57"/>
      <c r="CR59" s="57"/>
      <c r="CS59" s="57"/>
    </row>
    <row r="60" spans="1:97" ht="12.75" x14ac:dyDescent="0.2">
      <c r="B60" s="283" t="s">
        <v>417</v>
      </c>
      <c r="C60" s="283">
        <v>2015</v>
      </c>
      <c r="D60" s="287">
        <v>4103.7156199999999</v>
      </c>
      <c r="E60" s="287">
        <v>4912.0236677925004</v>
      </c>
      <c r="F60" s="287">
        <v>3834.2795999999998</v>
      </c>
      <c r="G60" s="275">
        <v>1436924</v>
      </c>
      <c r="H60" s="275">
        <v>13879.410539304999</v>
      </c>
      <c r="I60" s="275">
        <v>130</v>
      </c>
      <c r="J60" s="299">
        <v>157</v>
      </c>
      <c r="K60" s="280">
        <v>34703.583200000001</v>
      </c>
      <c r="L60" s="325">
        <f t="shared" si="15"/>
        <v>108.065143654</v>
      </c>
      <c r="M60" s="325">
        <v>24.704765194599997</v>
      </c>
      <c r="N60" s="325">
        <v>83.360378459399996</v>
      </c>
      <c r="O60" s="302">
        <v>781143131.74000001</v>
      </c>
      <c r="P60" s="302">
        <v>7368000</v>
      </c>
      <c r="Q60" s="302">
        <v>156244000</v>
      </c>
      <c r="R60" s="302">
        <f t="shared" si="1"/>
        <v>944755131.74000001</v>
      </c>
      <c r="S60" s="302">
        <f t="shared" si="2"/>
        <v>937387131.74000001</v>
      </c>
      <c r="T60" s="302">
        <v>5700000</v>
      </c>
      <c r="U60" s="326">
        <f t="shared" si="9"/>
        <v>6.0807320764255917E-3</v>
      </c>
      <c r="V60" s="327">
        <v>361.36191601000007</v>
      </c>
      <c r="W60" s="328">
        <v>269.98255555000003</v>
      </c>
      <c r="X60" s="327">
        <v>6.4848029199999999</v>
      </c>
      <c r="Y60" s="327">
        <v>83.08936245000001</v>
      </c>
      <c r="Z60" s="328">
        <v>1.80519509</v>
      </c>
      <c r="AA60" s="328">
        <v>133.61284538999999</v>
      </c>
      <c r="AB60" s="328">
        <v>50.212381289999996</v>
      </c>
      <c r="AC60" s="328">
        <v>86.162333899999993</v>
      </c>
      <c r="AD60" s="329">
        <v>18.659376100000003</v>
      </c>
      <c r="AE60" s="330">
        <v>94.233661409999996</v>
      </c>
      <c r="AF60" s="330">
        <v>36.194409640000003</v>
      </c>
      <c r="AG60" s="331">
        <v>1089633</v>
      </c>
      <c r="AH60" s="331">
        <v>7752</v>
      </c>
      <c r="AI60" s="331">
        <v>336857</v>
      </c>
      <c r="AJ60" s="331">
        <v>2220</v>
      </c>
      <c r="AK60" s="331">
        <v>3020.627772202</v>
      </c>
      <c r="AL60" s="331">
        <v>1226.5060970239999</v>
      </c>
      <c r="AM60" s="331">
        <v>962.03326862899996</v>
      </c>
      <c r="AN60" s="332">
        <v>351.7469605</v>
      </c>
      <c r="AO60" s="332">
        <v>462</v>
      </c>
      <c r="AP60" s="332">
        <v>8318.4964409499989</v>
      </c>
      <c r="AQ60" s="333"/>
      <c r="AR60" s="333"/>
      <c r="AS60" s="334">
        <v>399069687</v>
      </c>
      <c r="AT60" s="334">
        <v>382984000</v>
      </c>
      <c r="AU60" s="305">
        <f t="shared" si="11"/>
        <v>0.95969203494025346</v>
      </c>
      <c r="AV60" s="334">
        <v>32587879</v>
      </c>
      <c r="AW60" s="334">
        <v>25566928</v>
      </c>
      <c r="AX60" s="334">
        <v>7020951</v>
      </c>
      <c r="AY60" s="317">
        <f t="shared" si="12"/>
        <v>0.78455329970999343</v>
      </c>
      <c r="AZ60" s="280">
        <v>161060140</v>
      </c>
      <c r="BA60" s="275">
        <v>22745169.050000001</v>
      </c>
      <c r="BB60" s="335">
        <v>18787510</v>
      </c>
      <c r="BC60" s="336">
        <f t="shared" si="13"/>
        <v>0.82600001603417406</v>
      </c>
      <c r="BD60" s="275">
        <v>24400787</v>
      </c>
      <c r="BE60" s="275">
        <v>24463096</v>
      </c>
      <c r="BF60" s="275">
        <v>7572843.9000000004</v>
      </c>
      <c r="BG60" s="275">
        <v>26343627.490000002</v>
      </c>
      <c r="BH60" s="275">
        <v>927829121.08000004</v>
      </c>
      <c r="BI60" s="275">
        <v>2293942523.7799997</v>
      </c>
      <c r="BJ60" s="275">
        <v>4308206966.9299994</v>
      </c>
      <c r="BK60" s="275">
        <v>310069182.50999999</v>
      </c>
      <c r="BL60" s="275"/>
      <c r="BM60" s="275"/>
      <c r="BN60" s="275"/>
      <c r="BO60" s="275">
        <v>6568474.9000000004</v>
      </c>
      <c r="BP60" s="275">
        <v>12393041.789999999</v>
      </c>
      <c r="BQ60" s="275">
        <v>393322583</v>
      </c>
      <c r="BR60" s="275">
        <v>790876260.99000001</v>
      </c>
      <c r="BS60" s="275">
        <v>1869419542.3900001</v>
      </c>
      <c r="BT60" s="275">
        <v>119170579.13</v>
      </c>
      <c r="BU60" s="275">
        <v>664276448</v>
      </c>
      <c r="BV60" s="275">
        <v>52515708.93</v>
      </c>
      <c r="BW60" s="305">
        <v>8.9300000000000004E-2</v>
      </c>
      <c r="BX60" s="275">
        <v>67468000</v>
      </c>
      <c r="BY60" s="275">
        <v>65848000</v>
      </c>
      <c r="BZ60" s="318">
        <f t="shared" si="14"/>
        <v>0.97598861682575444</v>
      </c>
      <c r="CA60" s="275">
        <v>15684000</v>
      </c>
      <c r="CB60" s="275">
        <v>7071240</v>
      </c>
      <c r="CC60" s="275">
        <v>75794000</v>
      </c>
      <c r="CD60" s="275">
        <v>2679</v>
      </c>
      <c r="CE60" s="319">
        <v>9.8900000000000002E-2</v>
      </c>
      <c r="CF60" s="57"/>
      <c r="CG60" s="57"/>
      <c r="CH60" s="57"/>
      <c r="CI60" s="57"/>
      <c r="CJ60" s="57"/>
      <c r="CK60" s="57"/>
      <c r="CL60" s="57"/>
      <c r="CM60" s="57"/>
      <c r="CN60" s="57"/>
      <c r="CO60" s="57"/>
      <c r="CP60" s="57"/>
      <c r="CQ60" s="57"/>
      <c r="CR60" s="57"/>
      <c r="CS60" s="57"/>
    </row>
    <row r="61" spans="1:97" ht="12.75" x14ac:dyDescent="0.2">
      <c r="B61" s="283" t="s">
        <v>417</v>
      </c>
      <c r="C61" s="283">
        <v>2016</v>
      </c>
      <c r="D61" s="287">
        <v>3789.2687000000001</v>
      </c>
      <c r="E61" s="287">
        <v>4627.8554304105</v>
      </c>
      <c r="F61" s="287">
        <v>3509.7397999999998</v>
      </c>
      <c r="G61" s="275">
        <v>1458720</v>
      </c>
      <c r="H61" s="275">
        <v>13375.152611127001</v>
      </c>
      <c r="I61" s="275">
        <v>165</v>
      </c>
      <c r="J61" s="274">
        <v>169</v>
      </c>
      <c r="K61" s="275">
        <v>34135.152611127</v>
      </c>
      <c r="L61" s="337">
        <v>90.267211000000003</v>
      </c>
      <c r="M61" s="337">
        <v>22.567613000000001</v>
      </c>
      <c r="N61" s="337">
        <v>67.699597999999995</v>
      </c>
      <c r="O61" s="275">
        <v>794228500.63016009</v>
      </c>
      <c r="P61" s="275">
        <v>8503000</v>
      </c>
      <c r="Q61" s="275">
        <v>182647000</v>
      </c>
      <c r="R61" s="275">
        <v>1072021664.8901601</v>
      </c>
      <c r="S61" s="275">
        <f t="shared" si="2"/>
        <v>1063518664.8901601</v>
      </c>
      <c r="T61" s="275">
        <v>3649998</v>
      </c>
      <c r="U61" s="290">
        <f t="shared" si="9"/>
        <v>3.432001826105206E-3</v>
      </c>
      <c r="V61" s="274">
        <v>366.53942533000003</v>
      </c>
      <c r="W61" s="274">
        <v>273.62198548000003</v>
      </c>
      <c r="X61" s="274">
        <v>6.5484146599999997</v>
      </c>
      <c r="Y61" s="274">
        <v>84.52397191</v>
      </c>
      <c r="Z61" s="274">
        <v>1.8450532800000001</v>
      </c>
      <c r="AA61" s="274">
        <v>133.96478507999998</v>
      </c>
      <c r="AB61" s="274">
        <v>53.021863109999998</v>
      </c>
      <c r="AC61" s="274">
        <v>83.516810670000012</v>
      </c>
      <c r="AD61" s="274">
        <v>19.757808939999997</v>
      </c>
      <c r="AE61" s="274">
        <v>97.4186781967245</v>
      </c>
      <c r="AF61" s="274">
        <v>36.921229303435503</v>
      </c>
      <c r="AG61" s="287">
        <v>1105497</v>
      </c>
      <c r="AH61" s="287">
        <v>7608</v>
      </c>
      <c r="AI61" s="287">
        <v>342946</v>
      </c>
      <c r="AJ61" s="287">
        <v>2190</v>
      </c>
      <c r="AK61" s="287">
        <v>2779.1650348020003</v>
      </c>
      <c r="AL61" s="275">
        <v>1174.9628034979999</v>
      </c>
      <c r="AM61" s="273">
        <v>908.44730187499999</v>
      </c>
      <c r="AN61" s="273">
        <v>342.88396885200001</v>
      </c>
      <c r="AO61" s="273">
        <v>479</v>
      </c>
      <c r="AP61" s="275">
        <v>8169.6935020999999</v>
      </c>
      <c r="AQ61" s="323"/>
      <c r="AR61" s="323"/>
      <c r="AS61" s="280">
        <v>414495501</v>
      </c>
      <c r="AT61" s="280">
        <v>397858000</v>
      </c>
      <c r="AU61" s="305">
        <f t="shared" si="11"/>
        <v>0.95986084056434673</v>
      </c>
      <c r="AV61" s="280">
        <v>56821373</v>
      </c>
      <c r="AW61" s="280">
        <v>48552162.009999998</v>
      </c>
      <c r="AX61" s="280">
        <v>8269210.9900000002</v>
      </c>
      <c r="AY61" s="317">
        <f t="shared" si="12"/>
        <v>0.85447006023596084</v>
      </c>
      <c r="AZ61" s="280">
        <v>157566272</v>
      </c>
      <c r="BA61" s="275">
        <v>13280418</v>
      </c>
      <c r="BB61" s="275">
        <v>10976266</v>
      </c>
      <c r="BC61" s="294">
        <f t="shared" si="13"/>
        <v>0.82650003938129057</v>
      </c>
      <c r="BD61" s="275">
        <v>19948927</v>
      </c>
      <c r="BE61" s="275">
        <v>23971858</v>
      </c>
      <c r="BF61" s="275">
        <v>7542856.6900000004</v>
      </c>
      <c r="BG61" s="275">
        <v>27791421.970000003</v>
      </c>
      <c r="BH61" s="275">
        <v>962553535.47000003</v>
      </c>
      <c r="BI61" s="275">
        <v>2845284644.2300005</v>
      </c>
      <c r="BJ61" s="275">
        <v>4533298294.210001</v>
      </c>
      <c r="BK61" s="275">
        <v>300047947.01999998</v>
      </c>
      <c r="BL61" s="273"/>
      <c r="BM61" s="273"/>
      <c r="BN61" s="306"/>
      <c r="BO61" s="275">
        <v>6722133.6900000004</v>
      </c>
      <c r="BP61" s="275">
        <v>13267747.27</v>
      </c>
      <c r="BQ61" s="275">
        <v>410739028.05000001</v>
      </c>
      <c r="BR61" s="275">
        <v>847497184.51000011</v>
      </c>
      <c r="BS61" s="275">
        <v>1969726435.54</v>
      </c>
      <c r="BT61" s="275">
        <v>118989111.64000002</v>
      </c>
      <c r="BU61" s="275">
        <v>862107287.33000004</v>
      </c>
      <c r="BV61" s="275">
        <v>20043002.09</v>
      </c>
      <c r="BW61" s="305">
        <v>8.9300000000000004E-2</v>
      </c>
      <c r="BX61" s="275">
        <v>71199000</v>
      </c>
      <c r="BY61" s="275">
        <v>69564000</v>
      </c>
      <c r="BZ61" s="318">
        <f t="shared" si="14"/>
        <v>0.97703619432857203</v>
      </c>
      <c r="CA61" s="306">
        <v>4398000</v>
      </c>
      <c r="CB61" s="275">
        <v>7255254</v>
      </c>
      <c r="CC61" s="275">
        <v>87095000</v>
      </c>
      <c r="CD61" s="275">
        <v>2796</v>
      </c>
      <c r="CE61" s="305">
        <v>9.2399999999999996E-2</v>
      </c>
      <c r="CF61" s="57"/>
      <c r="CG61" s="57"/>
      <c r="CH61" s="57"/>
      <c r="CI61" s="57"/>
      <c r="CJ61" s="57"/>
      <c r="CK61" s="57"/>
      <c r="CL61" s="57"/>
      <c r="CM61" s="57"/>
      <c r="CN61" s="57"/>
      <c r="CO61" s="57"/>
      <c r="CP61" s="57"/>
      <c r="CQ61" s="57"/>
      <c r="CR61" s="57"/>
      <c r="CS61" s="57"/>
    </row>
    <row r="62" spans="1:97" ht="12.75" x14ac:dyDescent="0.2">
      <c r="D62" s="312"/>
      <c r="E62" s="312"/>
      <c r="F62" s="312"/>
      <c r="G62" s="314"/>
      <c r="H62" s="314"/>
      <c r="I62" s="314"/>
      <c r="K62" s="314"/>
      <c r="L62" s="312"/>
      <c r="M62" s="312"/>
      <c r="N62" s="312"/>
      <c r="O62" s="314"/>
      <c r="P62" s="314"/>
      <c r="Q62" s="314"/>
      <c r="R62" s="314"/>
      <c r="S62" s="314"/>
      <c r="V62" s="312"/>
      <c r="X62" s="312"/>
      <c r="AB62" s="312"/>
      <c r="AC62" s="312"/>
      <c r="AD62" s="312"/>
      <c r="AE62" s="312"/>
      <c r="AF62" s="312"/>
      <c r="AG62" s="312"/>
      <c r="AH62" s="312"/>
      <c r="AL62" s="314"/>
      <c r="AM62" s="311"/>
      <c r="AN62" s="311"/>
      <c r="AO62" s="311"/>
      <c r="AP62" s="314"/>
      <c r="AQ62" s="322"/>
      <c r="AR62" s="322"/>
      <c r="AS62" s="314"/>
      <c r="AT62" s="314"/>
      <c r="AU62" s="314"/>
      <c r="AV62" s="314"/>
      <c r="AW62" s="314"/>
      <c r="AX62" s="314"/>
      <c r="AZ62" s="314"/>
      <c r="BA62" s="314"/>
      <c r="BB62" s="314"/>
      <c r="BD62" s="314"/>
      <c r="BE62" s="314"/>
      <c r="BL62" s="311"/>
      <c r="BM62" s="311"/>
      <c r="BW62" s="338"/>
      <c r="BZ62" s="314"/>
      <c r="CA62" s="314"/>
      <c r="CB62" s="57"/>
      <c r="CC62" s="57"/>
      <c r="CD62" s="57"/>
      <c r="CE62" s="57"/>
      <c r="CF62" s="57"/>
      <c r="CG62" s="57"/>
      <c r="CH62" s="57"/>
      <c r="CI62" s="57"/>
      <c r="CJ62" s="57"/>
      <c r="CK62" s="57"/>
      <c r="CL62" s="57"/>
      <c r="CM62" s="57"/>
      <c r="CN62" s="57"/>
      <c r="CO62" s="57"/>
      <c r="CP62" s="57"/>
      <c r="CQ62" s="57"/>
      <c r="CR62" s="57"/>
      <c r="CS62" s="57"/>
    </row>
    <row r="63" spans="1:97" ht="12.75" x14ac:dyDescent="0.2">
      <c r="D63" s="312"/>
      <c r="E63" s="312"/>
      <c r="F63" s="312"/>
      <c r="G63" s="314"/>
      <c r="H63" s="314"/>
      <c r="I63" s="314"/>
      <c r="K63" s="314"/>
      <c r="L63" s="373" t="s">
        <v>419</v>
      </c>
      <c r="M63" s="373"/>
      <c r="N63" s="373"/>
      <c r="O63" s="314"/>
      <c r="P63" s="314"/>
      <c r="Q63" s="314"/>
      <c r="R63" s="314"/>
      <c r="S63" s="314"/>
      <c r="V63" s="312"/>
      <c r="X63" s="312"/>
      <c r="AB63" s="312"/>
      <c r="AC63" s="312"/>
      <c r="AD63" s="312"/>
      <c r="AE63" s="312"/>
      <c r="AF63" s="312"/>
      <c r="AG63" s="312"/>
      <c r="AH63" s="312"/>
      <c r="AL63" s="314"/>
      <c r="AM63" s="311"/>
      <c r="AN63" s="311"/>
      <c r="AO63" s="311"/>
      <c r="AP63" s="314"/>
      <c r="AQ63" s="322"/>
      <c r="AR63" s="322"/>
      <c r="AS63" s="314"/>
      <c r="AT63" s="314"/>
      <c r="AU63" s="314"/>
      <c r="AV63" s="314"/>
      <c r="AW63" s="314"/>
      <c r="AX63" s="314"/>
      <c r="AZ63" s="314"/>
      <c r="BA63" s="314"/>
      <c r="BB63" s="314"/>
      <c r="BD63" s="314"/>
      <c r="BE63" s="314"/>
      <c r="BL63" s="311"/>
      <c r="BM63" s="311"/>
      <c r="BW63" s="338"/>
      <c r="BZ63" s="314"/>
      <c r="CA63" s="314"/>
      <c r="CB63" s="57"/>
      <c r="CC63" s="373" t="s">
        <v>419</v>
      </c>
      <c r="CD63" s="373"/>
      <c r="CE63" s="373"/>
      <c r="CF63" s="57"/>
      <c r="CG63" s="57"/>
      <c r="CH63" s="57"/>
      <c r="CI63" s="57"/>
      <c r="CJ63" s="57"/>
      <c r="CK63" s="57"/>
      <c r="CL63" s="57"/>
      <c r="CM63" s="57"/>
      <c r="CN63" s="57"/>
      <c r="CO63" s="57"/>
      <c r="CP63" s="57"/>
      <c r="CQ63" s="57"/>
      <c r="CR63" s="57"/>
      <c r="CS63" s="57"/>
    </row>
    <row r="64" spans="1:97" ht="12.75" x14ac:dyDescent="0.2">
      <c r="D64" s="312"/>
      <c r="E64" s="312"/>
      <c r="F64" s="312"/>
      <c r="G64" s="314"/>
      <c r="H64" s="314"/>
      <c r="I64" s="314"/>
      <c r="K64" s="314"/>
      <c r="L64" s="312"/>
      <c r="M64" s="312"/>
      <c r="N64" s="312"/>
      <c r="O64" s="314"/>
      <c r="P64" s="314"/>
      <c r="Q64" s="314"/>
      <c r="R64" s="314"/>
      <c r="S64" s="314"/>
      <c r="V64" s="312"/>
      <c r="X64" s="312"/>
      <c r="AB64" s="312"/>
      <c r="AC64" s="312"/>
      <c r="AD64" s="312"/>
      <c r="AE64" s="312"/>
      <c r="AF64" s="312"/>
      <c r="AG64" s="312"/>
      <c r="AH64" s="312"/>
      <c r="AL64" s="314"/>
      <c r="AM64" s="311"/>
      <c r="AN64" s="311"/>
      <c r="AO64" s="311"/>
      <c r="AP64" s="314"/>
      <c r="AQ64" s="322"/>
      <c r="AR64" s="322"/>
      <c r="AS64" s="314"/>
      <c r="AT64" s="314"/>
      <c r="AU64" s="314"/>
      <c r="AV64" s="314"/>
      <c r="AW64" s="314"/>
      <c r="AX64" s="314"/>
      <c r="AZ64" s="314"/>
      <c r="BA64" s="314"/>
      <c r="BB64" s="314"/>
      <c r="BD64" s="314"/>
      <c r="BE64" s="314"/>
      <c r="BL64" s="311"/>
      <c r="BM64" s="311"/>
      <c r="BW64" s="338"/>
      <c r="BZ64" s="314"/>
      <c r="CA64" s="314"/>
      <c r="CB64" s="57"/>
      <c r="CC64" s="57"/>
      <c r="CD64" s="57"/>
      <c r="CE64" s="57"/>
      <c r="CF64" s="57"/>
      <c r="CG64" s="57"/>
      <c r="CH64" s="57"/>
      <c r="CI64" s="57"/>
      <c r="CJ64" s="57"/>
      <c r="CK64" s="57"/>
      <c r="CL64" s="57"/>
      <c r="CM64" s="57"/>
      <c r="CN64" s="57"/>
      <c r="CO64" s="57"/>
      <c r="CP64" s="57"/>
      <c r="CQ64" s="57"/>
      <c r="CR64" s="57"/>
      <c r="CS64" s="57"/>
    </row>
    <row r="65" spans="4:97" ht="12.75" x14ac:dyDescent="0.2">
      <c r="D65" s="312"/>
      <c r="E65" s="312"/>
      <c r="F65" s="312"/>
      <c r="G65" s="314"/>
      <c r="H65" s="314"/>
      <c r="I65" s="314"/>
      <c r="K65" s="314"/>
      <c r="L65" s="374" t="s">
        <v>420</v>
      </c>
      <c r="M65" s="374"/>
      <c r="N65" s="374"/>
      <c r="O65" s="314"/>
      <c r="P65" s="314"/>
      <c r="Q65" s="314"/>
      <c r="R65" s="314"/>
      <c r="S65" s="314"/>
      <c r="V65" s="312"/>
      <c r="X65" s="312"/>
      <c r="AB65" s="312"/>
      <c r="AC65" s="312"/>
      <c r="AD65" s="312"/>
      <c r="AE65" s="312"/>
      <c r="AF65" s="312"/>
      <c r="AG65" s="312"/>
      <c r="AH65" s="312"/>
      <c r="AL65" s="314"/>
      <c r="AM65" s="311"/>
      <c r="AN65" s="311"/>
      <c r="AO65" s="311"/>
      <c r="AP65" s="314"/>
      <c r="AQ65" s="322"/>
      <c r="AR65" s="322"/>
      <c r="AS65" s="314"/>
      <c r="AT65" s="314"/>
      <c r="AU65" s="314"/>
      <c r="AV65" s="314"/>
      <c r="AW65" s="314"/>
      <c r="AX65" s="314"/>
      <c r="AZ65" s="314"/>
      <c r="BA65" s="314"/>
      <c r="BB65" s="314"/>
      <c r="BD65" s="314"/>
      <c r="BE65" s="314"/>
      <c r="BL65" s="311"/>
      <c r="BM65" s="311"/>
      <c r="BW65" s="338"/>
      <c r="BZ65" s="314"/>
      <c r="CA65" s="314"/>
      <c r="CB65" s="57"/>
      <c r="CC65" s="57"/>
      <c r="CD65" s="57"/>
      <c r="CE65" s="57"/>
      <c r="CF65" s="57"/>
      <c r="CG65" s="57"/>
      <c r="CH65" s="57"/>
      <c r="CI65" s="57"/>
      <c r="CJ65" s="57"/>
      <c r="CK65" s="57"/>
      <c r="CL65" s="57"/>
      <c r="CM65" s="57"/>
      <c r="CN65" s="57"/>
      <c r="CO65" s="57"/>
      <c r="CP65" s="57"/>
      <c r="CQ65" s="57"/>
      <c r="CR65" s="57"/>
      <c r="CS65" s="57"/>
    </row>
    <row r="66" spans="4:97" ht="12.75" x14ac:dyDescent="0.2">
      <c r="D66" s="312"/>
      <c r="E66" s="312"/>
      <c r="F66" s="312"/>
      <c r="G66" s="314"/>
      <c r="H66" s="314"/>
      <c r="I66" s="314"/>
      <c r="K66" s="314"/>
      <c r="L66" s="312"/>
      <c r="M66" s="312"/>
      <c r="N66" s="312"/>
      <c r="O66" s="314"/>
      <c r="P66" s="314"/>
      <c r="Q66" s="314"/>
      <c r="R66" s="314"/>
      <c r="S66" s="314"/>
      <c r="V66" s="312"/>
      <c r="X66" s="312"/>
      <c r="AB66" s="312"/>
      <c r="AC66" s="312"/>
      <c r="AD66" s="312"/>
      <c r="AE66" s="312"/>
      <c r="AF66" s="312"/>
      <c r="AG66" s="312"/>
      <c r="AH66" s="312"/>
      <c r="AL66" s="314"/>
      <c r="AM66" s="311"/>
      <c r="AN66" s="311"/>
      <c r="AO66" s="311"/>
      <c r="AP66" s="314"/>
      <c r="AQ66" s="322"/>
      <c r="AR66" s="322"/>
      <c r="AS66" s="314"/>
      <c r="AT66" s="314"/>
      <c r="AU66" s="314"/>
      <c r="AV66" s="314"/>
      <c r="AW66" s="314"/>
      <c r="AX66" s="314"/>
      <c r="AZ66" s="314"/>
      <c r="BA66" s="314"/>
      <c r="BB66" s="314"/>
      <c r="BD66" s="314"/>
      <c r="BE66" s="314"/>
      <c r="BL66" s="311"/>
      <c r="BM66" s="311"/>
      <c r="BW66" s="338"/>
      <c r="BZ66" s="314"/>
      <c r="CA66" s="314"/>
      <c r="CB66" s="57"/>
      <c r="CC66" s="57"/>
      <c r="CD66" s="57"/>
      <c r="CE66" s="57"/>
      <c r="CF66" s="57"/>
      <c r="CG66" s="57"/>
      <c r="CH66" s="57"/>
      <c r="CI66" s="57"/>
      <c r="CJ66" s="57"/>
      <c r="CK66" s="57"/>
      <c r="CL66" s="57"/>
      <c r="CM66" s="57"/>
      <c r="CN66" s="57"/>
      <c r="CO66" s="57"/>
      <c r="CP66" s="57"/>
      <c r="CQ66" s="57"/>
      <c r="CR66" s="57"/>
      <c r="CS66" s="57"/>
    </row>
    <row r="67" spans="4:97" ht="12.75" x14ac:dyDescent="0.2">
      <c r="D67" s="312"/>
      <c r="E67" s="312"/>
      <c r="F67" s="312"/>
      <c r="G67" s="314"/>
      <c r="H67" s="314"/>
      <c r="I67" s="314"/>
      <c r="K67" s="314"/>
      <c r="L67" s="312"/>
      <c r="M67" s="312"/>
      <c r="N67" s="312"/>
      <c r="O67" s="314"/>
      <c r="P67" s="314"/>
      <c r="Q67" s="314"/>
      <c r="R67" s="314"/>
      <c r="S67" s="314"/>
      <c r="V67" s="312"/>
      <c r="X67" s="312"/>
      <c r="AB67" s="312"/>
      <c r="AC67" s="312"/>
      <c r="AD67" s="312"/>
      <c r="AE67" s="312"/>
      <c r="AF67" s="312"/>
      <c r="AG67" s="312"/>
      <c r="AH67" s="312"/>
      <c r="AL67" s="314"/>
      <c r="AM67" s="311"/>
      <c r="AN67" s="311"/>
      <c r="AO67" s="311"/>
      <c r="AP67" s="314"/>
      <c r="AQ67" s="322"/>
      <c r="AR67" s="322"/>
      <c r="AS67" s="314"/>
      <c r="AT67" s="314"/>
      <c r="AU67" s="314"/>
      <c r="AV67" s="314"/>
      <c r="AW67" s="314"/>
      <c r="AX67" s="314"/>
      <c r="AZ67" s="314"/>
      <c r="BA67" s="314"/>
      <c r="BB67" s="314"/>
      <c r="BD67" s="314"/>
      <c r="BE67" s="314"/>
      <c r="BL67" s="311"/>
      <c r="BM67" s="311"/>
      <c r="BW67" s="338"/>
      <c r="BZ67" s="314"/>
      <c r="CA67" s="314"/>
      <c r="CB67" s="57"/>
      <c r="CC67" s="57"/>
      <c r="CD67" s="57"/>
      <c r="CE67" s="57"/>
      <c r="CF67" s="57"/>
      <c r="CG67" s="57"/>
      <c r="CH67" s="57"/>
      <c r="CI67" s="57"/>
      <c r="CJ67" s="57"/>
      <c r="CK67" s="57"/>
      <c r="CL67" s="57"/>
      <c r="CM67" s="57"/>
      <c r="CN67" s="57"/>
      <c r="CO67" s="57"/>
      <c r="CP67" s="57"/>
      <c r="CQ67" s="57"/>
      <c r="CR67" s="57"/>
      <c r="CS67" s="57"/>
    </row>
    <row r="68" spans="4:97" ht="12.75" x14ac:dyDescent="0.2">
      <c r="D68" s="312"/>
      <c r="E68" s="312"/>
      <c r="F68" s="312"/>
      <c r="G68" s="314"/>
      <c r="H68" s="314"/>
      <c r="I68" s="314"/>
      <c r="K68" s="314"/>
      <c r="L68" s="312"/>
      <c r="M68" s="312"/>
      <c r="N68" s="312"/>
      <c r="O68" s="314"/>
      <c r="P68" s="314"/>
      <c r="Q68" s="314"/>
      <c r="R68" s="314"/>
      <c r="S68" s="314"/>
      <c r="V68" s="312"/>
      <c r="X68" s="312"/>
      <c r="AB68" s="312"/>
      <c r="AC68" s="312"/>
      <c r="AD68" s="312"/>
      <c r="AE68" s="312"/>
      <c r="AF68" s="312"/>
      <c r="AG68" s="312"/>
      <c r="AH68" s="312"/>
      <c r="AL68" s="314"/>
      <c r="AM68" s="311"/>
      <c r="AN68" s="311"/>
      <c r="AO68" s="311"/>
      <c r="AP68" s="314"/>
      <c r="AQ68" s="322"/>
      <c r="AR68" s="322"/>
      <c r="AS68" s="314"/>
      <c r="AT68" s="314"/>
      <c r="AU68" s="314"/>
      <c r="AV68" s="314"/>
      <c r="AW68" s="314"/>
      <c r="AX68" s="314"/>
      <c r="AZ68" s="314"/>
      <c r="BA68" s="314"/>
      <c r="BB68" s="314"/>
      <c r="BD68" s="314"/>
      <c r="BE68" s="314"/>
      <c r="BL68" s="311"/>
      <c r="BM68" s="311"/>
      <c r="BW68" s="338"/>
      <c r="BZ68" s="314"/>
      <c r="CA68" s="314"/>
      <c r="CB68" s="57"/>
      <c r="CC68" s="57"/>
      <c r="CD68" s="57"/>
      <c r="CE68" s="57"/>
      <c r="CF68" s="57"/>
      <c r="CG68" s="57"/>
      <c r="CH68" s="57"/>
      <c r="CI68" s="57"/>
      <c r="CJ68" s="57"/>
      <c r="CK68" s="57"/>
      <c r="CL68" s="57"/>
      <c r="CM68" s="57"/>
      <c r="CN68" s="57"/>
      <c r="CO68" s="57"/>
      <c r="CP68" s="57"/>
      <c r="CQ68" s="57"/>
      <c r="CR68" s="57"/>
      <c r="CS68" s="57"/>
    </row>
    <row r="69" spans="4:97" ht="12.75" x14ac:dyDescent="0.2">
      <c r="D69" s="312"/>
      <c r="E69" s="312"/>
      <c r="F69" s="312"/>
      <c r="G69" s="314"/>
      <c r="H69" s="314"/>
      <c r="I69" s="314"/>
      <c r="K69" s="314"/>
      <c r="L69" s="312"/>
      <c r="M69" s="312"/>
      <c r="N69" s="312"/>
      <c r="O69" s="314"/>
      <c r="P69" s="314"/>
      <c r="Q69" s="314"/>
      <c r="R69" s="314"/>
      <c r="S69" s="314"/>
      <c r="V69" s="312"/>
      <c r="X69" s="312"/>
      <c r="AB69" s="312"/>
      <c r="AC69" s="312"/>
      <c r="AD69" s="312"/>
      <c r="AE69" s="312"/>
      <c r="AF69" s="312"/>
      <c r="AG69" s="312"/>
      <c r="AH69" s="312"/>
      <c r="AL69" s="314"/>
      <c r="AM69" s="311"/>
      <c r="AN69" s="311"/>
      <c r="AO69" s="311"/>
      <c r="AP69" s="314"/>
      <c r="AQ69" s="322"/>
      <c r="AR69" s="322"/>
      <c r="AS69" s="314"/>
      <c r="AT69" s="314"/>
      <c r="AU69" s="314"/>
      <c r="AV69" s="314"/>
      <c r="AW69" s="314"/>
      <c r="AX69" s="314"/>
      <c r="AZ69" s="314"/>
      <c r="BA69" s="314"/>
      <c r="BB69" s="314"/>
      <c r="BD69" s="314"/>
      <c r="BE69" s="314"/>
      <c r="BL69" s="311"/>
      <c r="BM69" s="311"/>
      <c r="BW69" s="338"/>
      <c r="BZ69" s="314"/>
      <c r="CA69" s="314"/>
      <c r="CB69" s="57"/>
      <c r="CC69" s="57"/>
      <c r="CD69" s="57"/>
      <c r="CE69" s="57"/>
      <c r="CF69" s="57"/>
      <c r="CG69" s="57"/>
      <c r="CH69" s="57"/>
      <c r="CI69" s="57"/>
      <c r="CJ69" s="278"/>
      <c r="CK69" s="57"/>
      <c r="CL69" s="57"/>
      <c r="CM69" s="57"/>
      <c r="CN69" s="57"/>
      <c r="CO69" s="57"/>
      <c r="CP69" s="57"/>
      <c r="CQ69" s="57"/>
      <c r="CR69" s="57"/>
      <c r="CS69" s="57"/>
    </row>
  </sheetData>
  <mergeCells count="4">
    <mergeCell ref="D1:CA1"/>
    <mergeCell ref="L63:N63"/>
    <mergeCell ref="CC63:CE63"/>
    <mergeCell ref="L65:N65"/>
  </mergeCells>
  <pageMargins left="0.74803149606299202" right="0.74803149606299202" top="0.98425196850393704" bottom="0.98425196850393704" header="0.511811023622047" footer="0.511811023622047"/>
  <pageSetup paperSize="17" scale="45" orientation="landscape" cellComments="asDisplayed"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D22"/>
  <sheetViews>
    <sheetView workbookViewId="0">
      <selection activeCell="C38" sqref="C38"/>
    </sheetView>
  </sheetViews>
  <sheetFormatPr defaultRowHeight="15" x14ac:dyDescent="0.25"/>
  <cols>
    <col min="2" max="2" width="16.7109375" style="355" customWidth="1"/>
    <col min="3" max="3" width="18.7109375" style="355" customWidth="1"/>
    <col min="4" max="4" width="16.7109375" style="355" customWidth="1"/>
  </cols>
  <sheetData>
    <row r="1" spans="1:4" x14ac:dyDescent="0.25">
      <c r="B1" s="354" t="s">
        <v>451</v>
      </c>
      <c r="C1" s="355" t="s">
        <v>456</v>
      </c>
      <c r="D1" s="355" t="s">
        <v>457</v>
      </c>
    </row>
    <row r="2" spans="1:4" x14ac:dyDescent="0.25">
      <c r="B2" s="355" t="s">
        <v>439</v>
      </c>
      <c r="C2" s="355" t="s">
        <v>458</v>
      </c>
      <c r="D2" s="355" t="s">
        <v>439</v>
      </c>
    </row>
    <row r="3" spans="1:4" x14ac:dyDescent="0.25">
      <c r="A3">
        <v>2000</v>
      </c>
      <c r="B3" s="356">
        <v>209989024</v>
      </c>
      <c r="C3" s="356">
        <v>3821167</v>
      </c>
      <c r="D3" s="356">
        <f>B3-C3</f>
        <v>206167857</v>
      </c>
    </row>
    <row r="4" spans="1:4" x14ac:dyDescent="0.25">
      <c r="A4">
        <v>2001</v>
      </c>
      <c r="B4" s="356">
        <v>214001616</v>
      </c>
      <c r="C4" s="356">
        <v>47378255</v>
      </c>
      <c r="D4" s="356">
        <f t="shared" ref="D4:D19" si="0">B4-C4</f>
        <v>166623361</v>
      </c>
    </row>
    <row r="5" spans="1:4" x14ac:dyDescent="0.25">
      <c r="A5">
        <v>2002</v>
      </c>
      <c r="B5" s="356">
        <v>207913232</v>
      </c>
      <c r="C5" s="356">
        <v>42535820</v>
      </c>
      <c r="D5" s="356">
        <f t="shared" si="0"/>
        <v>165377412</v>
      </c>
    </row>
    <row r="6" spans="1:4" x14ac:dyDescent="0.25">
      <c r="A6">
        <v>2003</v>
      </c>
      <c r="B6" s="356">
        <v>135179456</v>
      </c>
      <c r="C6" s="356">
        <v>4360252</v>
      </c>
      <c r="D6" s="356">
        <f>B6-C6</f>
        <v>130819204</v>
      </c>
    </row>
    <row r="7" spans="1:4" x14ac:dyDescent="0.25">
      <c r="A7">
        <v>2004</v>
      </c>
      <c r="B7" s="356">
        <v>141856880</v>
      </c>
      <c r="C7" s="356">
        <v>6630017</v>
      </c>
      <c r="D7" s="356">
        <f t="shared" si="0"/>
        <v>135226863</v>
      </c>
    </row>
    <row r="8" spans="1:4" x14ac:dyDescent="0.25">
      <c r="A8">
        <v>2005</v>
      </c>
      <c r="B8" s="356">
        <v>178546016</v>
      </c>
      <c r="C8" s="356">
        <v>1347752</v>
      </c>
      <c r="D8" s="356">
        <f t="shared" si="0"/>
        <v>177198264</v>
      </c>
    </row>
    <row r="9" spans="1:4" x14ac:dyDescent="0.25">
      <c r="A9">
        <v>2006</v>
      </c>
      <c r="B9" s="356">
        <v>358415313</v>
      </c>
      <c r="C9" s="356">
        <v>121476361</v>
      </c>
      <c r="D9" s="356">
        <f t="shared" si="0"/>
        <v>236938952</v>
      </c>
    </row>
    <row r="10" spans="1:4" x14ac:dyDescent="0.25">
      <c r="A10">
        <v>2007</v>
      </c>
      <c r="B10" s="356">
        <v>265125434</v>
      </c>
      <c r="C10" s="356">
        <v>81407427</v>
      </c>
      <c r="D10" s="356">
        <f t="shared" si="0"/>
        <v>183718007</v>
      </c>
    </row>
    <row r="11" spans="1:4" x14ac:dyDescent="0.25">
      <c r="A11">
        <v>2008</v>
      </c>
      <c r="B11" s="356">
        <v>417823787</v>
      </c>
      <c r="C11" s="356">
        <v>163983544</v>
      </c>
      <c r="D11" s="356">
        <f t="shared" si="0"/>
        <v>253840243</v>
      </c>
    </row>
    <row r="12" spans="1:4" x14ac:dyDescent="0.25">
      <c r="A12">
        <v>2009</v>
      </c>
      <c r="B12" s="356">
        <v>331921317</v>
      </c>
      <c r="C12" s="356">
        <v>23242085</v>
      </c>
      <c r="D12" s="356">
        <f t="shared" si="0"/>
        <v>308679232</v>
      </c>
    </row>
    <row r="13" spans="1:4" x14ac:dyDescent="0.25">
      <c r="A13">
        <v>2010</v>
      </c>
      <c r="B13" s="356">
        <v>206956602</v>
      </c>
      <c r="C13" s="356">
        <v>16352325</v>
      </c>
      <c r="D13" s="356">
        <f t="shared" si="0"/>
        <v>190604277</v>
      </c>
    </row>
    <row r="14" spans="1:4" x14ac:dyDescent="0.25">
      <c r="A14">
        <v>2011</v>
      </c>
      <c r="B14" s="356">
        <v>301800844</v>
      </c>
      <c r="C14" s="356">
        <v>57010462</v>
      </c>
      <c r="D14" s="356">
        <f t="shared" si="0"/>
        <v>244790382</v>
      </c>
    </row>
    <row r="15" spans="1:4" x14ac:dyDescent="0.25">
      <c r="A15">
        <v>2012</v>
      </c>
      <c r="B15" s="356">
        <v>244059087</v>
      </c>
      <c r="C15" s="356">
        <v>16701836</v>
      </c>
      <c r="D15" s="356">
        <f t="shared" si="0"/>
        <v>227357251</v>
      </c>
    </row>
    <row r="16" spans="1:4" x14ac:dyDescent="0.25">
      <c r="A16">
        <v>2013</v>
      </c>
      <c r="B16" s="356">
        <v>346997334</v>
      </c>
      <c r="C16" s="356">
        <v>12795131</v>
      </c>
      <c r="D16" s="356">
        <f t="shared" si="0"/>
        <v>334202203</v>
      </c>
    </row>
    <row r="17" spans="1:4" x14ac:dyDescent="0.25">
      <c r="A17">
        <v>2014</v>
      </c>
      <c r="B17" s="356">
        <v>388577567</v>
      </c>
      <c r="C17" s="356">
        <v>109490144</v>
      </c>
      <c r="D17" s="356">
        <f t="shared" si="0"/>
        <v>279087423</v>
      </c>
    </row>
    <row r="18" spans="1:4" x14ac:dyDescent="0.25">
      <c r="A18">
        <v>2015</v>
      </c>
      <c r="B18" s="356">
        <v>664276448</v>
      </c>
      <c r="C18" s="356">
        <v>352600196</v>
      </c>
      <c r="D18" s="356">
        <f>B18-C18</f>
        <v>311676252</v>
      </c>
    </row>
    <row r="19" spans="1:4" x14ac:dyDescent="0.25">
      <c r="A19">
        <v>2016</v>
      </c>
      <c r="B19" s="356">
        <v>862107287</v>
      </c>
      <c r="C19" s="356">
        <v>423049263</v>
      </c>
      <c r="D19" s="356">
        <f t="shared" si="0"/>
        <v>439058024</v>
      </c>
    </row>
    <row r="20" spans="1:4" x14ac:dyDescent="0.25">
      <c r="A20" s="357"/>
      <c r="B20" s="356"/>
      <c r="C20" s="356"/>
      <c r="D20" s="356"/>
    </row>
    <row r="21" spans="1:4" x14ac:dyDescent="0.25">
      <c r="A21" s="358"/>
    </row>
    <row r="22" spans="1:4" x14ac:dyDescent="0.25">
      <c r="A22" s="358"/>
    </row>
  </sheetData>
  <pageMargins left="1.2" right="0.7" top="1.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2:C46"/>
  <sheetViews>
    <sheetView zoomScale="80" zoomScaleNormal="80" workbookViewId="0">
      <selection activeCell="E20" sqref="E20"/>
    </sheetView>
  </sheetViews>
  <sheetFormatPr defaultColWidth="9.140625" defaultRowHeight="12.75" x14ac:dyDescent="0.2"/>
  <cols>
    <col min="1" max="1" width="24.85546875" style="341" customWidth="1"/>
    <col min="2" max="2" width="10" style="341" bestFit="1" customWidth="1"/>
    <col min="3" max="4" width="9.140625" style="341"/>
    <col min="5" max="5" width="20.28515625" style="341" customWidth="1"/>
    <col min="6" max="16384" width="9.140625" style="341"/>
  </cols>
  <sheetData>
    <row r="2" spans="1:3" x14ac:dyDescent="0.2">
      <c r="B2" s="365" t="s">
        <v>441</v>
      </c>
    </row>
    <row r="3" spans="1:3" ht="38.25" x14ac:dyDescent="0.2">
      <c r="C3" s="342" t="s">
        <v>442</v>
      </c>
    </row>
    <row r="4" spans="1:3" x14ac:dyDescent="0.2">
      <c r="A4" s="343" t="s">
        <v>1</v>
      </c>
      <c r="B4" s="343" t="s">
        <v>0</v>
      </c>
    </row>
    <row r="5" spans="1:3" x14ac:dyDescent="0.2">
      <c r="A5" s="344" t="s">
        <v>165</v>
      </c>
      <c r="B5" s="345">
        <v>2000</v>
      </c>
      <c r="C5" s="341">
        <v>53.3</v>
      </c>
    </row>
    <row r="6" spans="1:3" x14ac:dyDescent="0.2">
      <c r="A6" s="344" t="s">
        <v>165</v>
      </c>
      <c r="B6" s="345">
        <v>2001</v>
      </c>
      <c r="C6" s="341">
        <v>30.4</v>
      </c>
    </row>
    <row r="7" spans="1:3" x14ac:dyDescent="0.2">
      <c r="A7" s="344" t="s">
        <v>165</v>
      </c>
      <c r="B7" s="345">
        <v>2002</v>
      </c>
      <c r="C7" s="341">
        <v>67.400000000000006</v>
      </c>
    </row>
    <row r="8" spans="1:3" x14ac:dyDescent="0.2">
      <c r="A8" s="344" t="s">
        <v>165</v>
      </c>
      <c r="B8" s="345">
        <v>2003</v>
      </c>
      <c r="C8" s="341">
        <v>28.3</v>
      </c>
    </row>
    <row r="9" spans="1:3" x14ac:dyDescent="0.2">
      <c r="A9" s="344" t="s">
        <v>165</v>
      </c>
      <c r="B9" s="345">
        <v>2004</v>
      </c>
      <c r="C9" s="341">
        <v>40.700000000000003</v>
      </c>
    </row>
    <row r="10" spans="1:3" x14ac:dyDescent="0.2">
      <c r="A10" s="344" t="s">
        <v>165</v>
      </c>
      <c r="B10" s="345">
        <v>2005</v>
      </c>
      <c r="C10" s="341">
        <v>48.3</v>
      </c>
    </row>
    <row r="11" spans="1:3" x14ac:dyDescent="0.2">
      <c r="A11" s="344" t="s">
        <v>165</v>
      </c>
      <c r="B11" s="345">
        <v>2006</v>
      </c>
      <c r="C11" s="348">
        <f>AVERAGE(C10,C12)</f>
        <v>47.55</v>
      </c>
    </row>
    <row r="12" spans="1:3" x14ac:dyDescent="0.2">
      <c r="A12" s="344" t="s">
        <v>165</v>
      </c>
      <c r="B12" s="345">
        <v>2007</v>
      </c>
      <c r="C12" s="341">
        <v>46.8</v>
      </c>
    </row>
    <row r="13" spans="1:3" x14ac:dyDescent="0.2">
      <c r="A13" s="344" t="s">
        <v>165</v>
      </c>
      <c r="B13" s="345">
        <v>2008</v>
      </c>
      <c r="C13" s="341">
        <v>42.2</v>
      </c>
    </row>
    <row r="14" spans="1:3" x14ac:dyDescent="0.2">
      <c r="A14" s="344" t="s">
        <v>165</v>
      </c>
      <c r="B14" s="345">
        <v>2009</v>
      </c>
      <c r="C14" s="341">
        <v>82.5</v>
      </c>
    </row>
    <row r="15" spans="1:3" x14ac:dyDescent="0.2">
      <c r="A15" s="344" t="s">
        <v>165</v>
      </c>
      <c r="B15" s="345">
        <v>2010</v>
      </c>
      <c r="C15" s="341">
        <v>59.7</v>
      </c>
    </row>
    <row r="16" spans="1:3" x14ac:dyDescent="0.2">
      <c r="A16" s="344" t="s">
        <v>165</v>
      </c>
      <c r="B16" s="345">
        <v>2011</v>
      </c>
      <c r="C16" s="341">
        <v>56.2</v>
      </c>
    </row>
    <row r="17" spans="1:3" x14ac:dyDescent="0.2">
      <c r="A17" s="344" t="s">
        <v>165</v>
      </c>
      <c r="B17" s="345">
        <v>2012</v>
      </c>
      <c r="C17" s="341">
        <v>67.400000000000006</v>
      </c>
    </row>
    <row r="18" spans="1:3" x14ac:dyDescent="0.2">
      <c r="A18" s="344" t="s">
        <v>165</v>
      </c>
      <c r="B18" s="345">
        <v>2013</v>
      </c>
      <c r="C18" s="341">
        <v>93.3</v>
      </c>
    </row>
    <row r="19" spans="1:3" x14ac:dyDescent="0.2">
      <c r="A19" s="344" t="s">
        <v>165</v>
      </c>
      <c r="B19" s="345">
        <v>2014</v>
      </c>
      <c r="C19" s="341">
        <v>55.6</v>
      </c>
    </row>
    <row r="20" spans="1:3" x14ac:dyDescent="0.2">
      <c r="A20" s="344" t="s">
        <v>165</v>
      </c>
      <c r="B20" s="345">
        <v>2015</v>
      </c>
      <c r="C20" s="341">
        <v>61.4</v>
      </c>
    </row>
    <row r="21" spans="1:3" x14ac:dyDescent="0.2">
      <c r="A21" s="344" t="s">
        <v>165</v>
      </c>
      <c r="B21" s="345">
        <v>2016</v>
      </c>
      <c r="C21" s="341">
        <v>54.1</v>
      </c>
    </row>
    <row r="29" spans="1:3" x14ac:dyDescent="0.2">
      <c r="B29" s="346"/>
    </row>
    <row r="31" spans="1:3" x14ac:dyDescent="0.2">
      <c r="B31" s="346"/>
    </row>
    <row r="32" spans="1:3" x14ac:dyDescent="0.2">
      <c r="B32" s="346"/>
    </row>
    <row r="33" spans="2:2" x14ac:dyDescent="0.2">
      <c r="B33" s="346"/>
    </row>
    <row r="34" spans="2:2" x14ac:dyDescent="0.2">
      <c r="B34" s="346"/>
    </row>
    <row r="35" spans="2:2" x14ac:dyDescent="0.2">
      <c r="B35" s="346"/>
    </row>
    <row r="36" spans="2:2" x14ac:dyDescent="0.2">
      <c r="B36" s="346"/>
    </row>
    <row r="37" spans="2:2" x14ac:dyDescent="0.2">
      <c r="B37" s="346"/>
    </row>
    <row r="38" spans="2:2" x14ac:dyDescent="0.2">
      <c r="B38" s="346"/>
    </row>
    <row r="39" spans="2:2" x14ac:dyDescent="0.2">
      <c r="B39" s="346"/>
    </row>
    <row r="40" spans="2:2" x14ac:dyDescent="0.2">
      <c r="B40" s="346"/>
    </row>
    <row r="41" spans="2:2" x14ac:dyDescent="0.2">
      <c r="B41" s="346"/>
    </row>
    <row r="42" spans="2:2" x14ac:dyDescent="0.2">
      <c r="B42" s="346"/>
    </row>
    <row r="43" spans="2:2" x14ac:dyDescent="0.2">
      <c r="B43" s="346"/>
    </row>
    <row r="44" spans="2:2" x14ac:dyDescent="0.2">
      <c r="B44" s="346"/>
    </row>
    <row r="45" spans="2:2" x14ac:dyDescent="0.2">
      <c r="B45" s="346"/>
    </row>
    <row r="46" spans="2:2" x14ac:dyDescent="0.2">
      <c r="B46" s="346"/>
    </row>
  </sheetData>
  <pageMargins left="1.75" right="0.7" top="1.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2:S109"/>
  <sheetViews>
    <sheetView workbookViewId="0">
      <selection activeCell="A2" sqref="A2"/>
    </sheetView>
  </sheetViews>
  <sheetFormatPr defaultColWidth="9.140625" defaultRowHeight="12.75" x14ac:dyDescent="0.2"/>
  <cols>
    <col min="1" max="1" width="9.140625" style="1"/>
    <col min="2" max="2" width="13.140625" style="1" bestFit="1" customWidth="1"/>
    <col min="3" max="3" width="12.85546875" style="1" bestFit="1" customWidth="1"/>
    <col min="4" max="4" width="12.5703125" style="1" bestFit="1" customWidth="1"/>
    <col min="5" max="5" width="12.42578125" style="1" bestFit="1" customWidth="1"/>
    <col min="6" max="6" width="7.85546875" style="1" customWidth="1"/>
    <col min="7" max="7" width="6.85546875" style="1" bestFit="1" customWidth="1"/>
    <col min="8" max="10" width="9.140625" style="1"/>
    <col min="11" max="11" width="9.140625" style="7"/>
    <col min="12" max="12" width="9.140625" style="1"/>
    <col min="13" max="13" width="9.140625" style="7"/>
    <col min="14" max="16384" width="9.140625" style="1"/>
  </cols>
  <sheetData>
    <row r="2" spans="1:19" x14ac:dyDescent="0.2">
      <c r="B2" s="1" t="s">
        <v>29</v>
      </c>
      <c r="C2" s="1" t="s">
        <v>31</v>
      </c>
      <c r="D2" s="1" t="s">
        <v>32</v>
      </c>
      <c r="E2" s="1" t="s">
        <v>33</v>
      </c>
      <c r="F2" s="1" t="s">
        <v>34</v>
      </c>
      <c r="G2" s="1" t="s">
        <v>35</v>
      </c>
    </row>
    <row r="3" spans="1:19" x14ac:dyDescent="0.2">
      <c r="A3" s="1">
        <v>1912</v>
      </c>
      <c r="B3" s="1">
        <v>11</v>
      </c>
      <c r="C3" s="1">
        <v>11</v>
      </c>
      <c r="D3" s="1">
        <v>13</v>
      </c>
      <c r="E3" s="1">
        <v>13</v>
      </c>
      <c r="F3" s="1">
        <v>14</v>
      </c>
      <c r="G3" s="1">
        <v>13</v>
      </c>
    </row>
    <row r="4" spans="1:19" x14ac:dyDescent="0.2">
      <c r="A4" s="8">
        <v>1913</v>
      </c>
      <c r="B4" s="8">
        <v>11</v>
      </c>
      <c r="C4" s="8">
        <v>12</v>
      </c>
      <c r="D4" s="8">
        <v>12</v>
      </c>
      <c r="E4" s="8">
        <v>13</v>
      </c>
      <c r="F4" s="8">
        <v>13</v>
      </c>
      <c r="G4" s="8">
        <v>13</v>
      </c>
      <c r="M4" s="9"/>
      <c r="N4" s="10"/>
      <c r="O4" s="10"/>
      <c r="P4" s="10"/>
      <c r="Q4" s="10"/>
      <c r="R4" s="6"/>
      <c r="S4" s="6"/>
    </row>
    <row r="5" spans="1:19" x14ac:dyDescent="0.2">
      <c r="A5" s="8">
        <v>1914</v>
      </c>
      <c r="B5" s="8">
        <v>11</v>
      </c>
      <c r="C5" s="8">
        <v>11</v>
      </c>
      <c r="D5" s="8">
        <v>12</v>
      </c>
      <c r="E5" s="8">
        <v>13</v>
      </c>
      <c r="F5" s="8">
        <v>13</v>
      </c>
      <c r="G5" s="8">
        <v>12</v>
      </c>
      <c r="M5" s="11"/>
      <c r="N5" s="11"/>
      <c r="O5" s="11"/>
      <c r="P5" s="11"/>
      <c r="Q5" s="11"/>
      <c r="R5" s="11"/>
      <c r="S5" s="11"/>
    </row>
    <row r="6" spans="1:19" x14ac:dyDescent="0.2">
      <c r="A6" s="8">
        <v>1915</v>
      </c>
      <c r="B6" s="8">
        <v>11</v>
      </c>
      <c r="C6" s="8">
        <v>12</v>
      </c>
      <c r="D6" s="8">
        <v>13</v>
      </c>
      <c r="E6" s="8">
        <v>13</v>
      </c>
      <c r="F6" s="8">
        <v>13</v>
      </c>
      <c r="G6" s="8">
        <v>13</v>
      </c>
      <c r="M6" s="11"/>
      <c r="N6" s="11"/>
      <c r="O6" s="11"/>
      <c r="P6" s="11"/>
      <c r="Q6" s="11"/>
      <c r="R6" s="11"/>
      <c r="S6" s="11"/>
    </row>
    <row r="7" spans="1:19" x14ac:dyDescent="0.2">
      <c r="A7" s="8">
        <v>1916</v>
      </c>
      <c r="B7" s="8">
        <v>13</v>
      </c>
      <c r="C7" s="8">
        <v>13</v>
      </c>
      <c r="D7" s="8">
        <v>14</v>
      </c>
      <c r="E7" s="8">
        <v>15</v>
      </c>
      <c r="F7" s="8">
        <v>16</v>
      </c>
      <c r="G7" s="8">
        <v>15</v>
      </c>
      <c r="M7" s="11"/>
      <c r="N7" s="11"/>
      <c r="O7" s="11"/>
      <c r="P7" s="11"/>
      <c r="Q7" s="11"/>
      <c r="R7" s="11"/>
      <c r="S7" s="11"/>
    </row>
    <row r="8" spans="1:19" x14ac:dyDescent="0.2">
      <c r="A8" s="8">
        <v>1917</v>
      </c>
      <c r="B8" s="8">
        <v>15</v>
      </c>
      <c r="C8" s="8">
        <v>15</v>
      </c>
      <c r="D8" s="8">
        <v>17</v>
      </c>
      <c r="E8" s="8">
        <v>17</v>
      </c>
      <c r="F8" s="8">
        <v>18</v>
      </c>
      <c r="G8" s="8">
        <v>17</v>
      </c>
      <c r="M8" s="11"/>
      <c r="N8" s="11"/>
      <c r="O8" s="11"/>
      <c r="P8" s="11"/>
      <c r="Q8" s="11"/>
      <c r="R8" s="11"/>
      <c r="S8" s="11"/>
    </row>
    <row r="9" spans="1:19" x14ac:dyDescent="0.2">
      <c r="A9" s="8">
        <v>1918</v>
      </c>
      <c r="B9" s="8">
        <v>19</v>
      </c>
      <c r="C9" s="8">
        <v>19</v>
      </c>
      <c r="D9" s="8">
        <v>20</v>
      </c>
      <c r="E9" s="8">
        <v>20</v>
      </c>
      <c r="F9" s="8">
        <v>22</v>
      </c>
      <c r="G9" s="8">
        <v>21</v>
      </c>
      <c r="M9" s="11"/>
      <c r="N9" s="11"/>
      <c r="O9" s="11"/>
      <c r="P9" s="11"/>
      <c r="Q9" s="11"/>
      <c r="R9" s="11"/>
      <c r="S9" s="11"/>
    </row>
    <row r="10" spans="1:19" x14ac:dyDescent="0.2">
      <c r="A10" s="8">
        <v>1919</v>
      </c>
      <c r="B10" s="8">
        <v>20</v>
      </c>
      <c r="C10" s="8">
        <v>21</v>
      </c>
      <c r="D10" s="8">
        <v>22</v>
      </c>
      <c r="E10" s="8">
        <v>23</v>
      </c>
      <c r="F10" s="8">
        <v>24</v>
      </c>
      <c r="G10" s="8">
        <v>22</v>
      </c>
      <c r="M10" s="11"/>
      <c r="N10" s="11"/>
      <c r="O10" s="11"/>
      <c r="P10" s="11"/>
      <c r="Q10" s="11"/>
      <c r="R10" s="11"/>
      <c r="S10" s="11"/>
    </row>
    <row r="11" spans="1:19" x14ac:dyDescent="0.2">
      <c r="A11" s="8">
        <v>1920</v>
      </c>
      <c r="B11" s="8">
        <v>22</v>
      </c>
      <c r="C11" s="8">
        <v>22</v>
      </c>
      <c r="D11" s="8">
        <v>24</v>
      </c>
      <c r="E11" s="8">
        <v>25</v>
      </c>
      <c r="F11" s="8">
        <v>25</v>
      </c>
      <c r="G11" s="8">
        <v>24</v>
      </c>
      <c r="M11" s="11"/>
      <c r="N11" s="11"/>
      <c r="O11" s="11"/>
      <c r="P11" s="11"/>
      <c r="Q11" s="11"/>
      <c r="R11" s="11"/>
      <c r="S11" s="11"/>
    </row>
    <row r="12" spans="1:19" x14ac:dyDescent="0.2">
      <c r="A12" s="8">
        <v>1921</v>
      </c>
      <c r="B12" s="8">
        <v>21</v>
      </c>
      <c r="C12" s="8">
        <v>21</v>
      </c>
      <c r="D12" s="8">
        <v>22</v>
      </c>
      <c r="E12" s="8">
        <v>24</v>
      </c>
      <c r="F12" s="8">
        <v>24</v>
      </c>
      <c r="G12" s="8">
        <v>23</v>
      </c>
      <c r="M12" s="11"/>
      <c r="N12" s="11"/>
      <c r="O12" s="11"/>
      <c r="P12" s="11"/>
      <c r="Q12" s="11"/>
      <c r="R12" s="11"/>
      <c r="S12" s="11"/>
    </row>
    <row r="13" spans="1:19" x14ac:dyDescent="0.2">
      <c r="A13" s="8">
        <v>1922</v>
      </c>
      <c r="B13" s="8">
        <v>20</v>
      </c>
      <c r="C13" s="8">
        <v>19</v>
      </c>
      <c r="D13" s="8">
        <v>21</v>
      </c>
      <c r="E13" s="8">
        <v>22</v>
      </c>
      <c r="F13" s="8">
        <v>22</v>
      </c>
      <c r="G13" s="8">
        <v>21</v>
      </c>
      <c r="M13" s="11"/>
      <c r="N13" s="11"/>
      <c r="O13" s="11"/>
      <c r="P13" s="11"/>
      <c r="Q13" s="11"/>
      <c r="R13" s="11"/>
      <c r="S13" s="11"/>
    </row>
    <row r="14" spans="1:19" x14ac:dyDescent="0.2">
      <c r="A14" s="8">
        <v>1923</v>
      </c>
      <c r="B14" s="8">
        <v>20</v>
      </c>
      <c r="C14" s="8">
        <v>19</v>
      </c>
      <c r="D14" s="8">
        <v>21</v>
      </c>
      <c r="E14" s="8">
        <v>21</v>
      </c>
      <c r="F14" s="8">
        <v>22</v>
      </c>
      <c r="G14" s="8">
        <v>21</v>
      </c>
      <c r="M14" s="11"/>
      <c r="N14" s="11"/>
      <c r="O14" s="11"/>
      <c r="P14" s="11"/>
      <c r="Q14" s="11"/>
      <c r="R14" s="11"/>
      <c r="S14" s="11"/>
    </row>
    <row r="15" spans="1:19" x14ac:dyDescent="0.2">
      <c r="A15" s="8">
        <v>1924</v>
      </c>
      <c r="B15" s="8">
        <v>20</v>
      </c>
      <c r="C15" s="8">
        <v>20</v>
      </c>
      <c r="D15" s="8">
        <v>22</v>
      </c>
      <c r="E15" s="8">
        <v>22</v>
      </c>
      <c r="F15" s="8">
        <v>22</v>
      </c>
      <c r="G15" s="8">
        <v>21</v>
      </c>
      <c r="M15" s="11"/>
      <c r="N15" s="11"/>
      <c r="O15" s="11"/>
      <c r="P15" s="11"/>
      <c r="Q15" s="11"/>
      <c r="R15" s="11"/>
      <c r="S15" s="11"/>
    </row>
    <row r="16" spans="1:19" x14ac:dyDescent="0.2">
      <c r="A16" s="8">
        <v>1925</v>
      </c>
      <c r="B16" s="8">
        <v>20</v>
      </c>
      <c r="C16" s="8">
        <v>20</v>
      </c>
      <c r="D16" s="8">
        <v>22</v>
      </c>
      <c r="E16" s="8">
        <v>22</v>
      </c>
      <c r="F16" s="8">
        <v>23</v>
      </c>
      <c r="G16" s="8">
        <v>21</v>
      </c>
      <c r="M16" s="11"/>
      <c r="N16" s="11"/>
      <c r="O16" s="11"/>
      <c r="P16" s="11"/>
      <c r="Q16" s="11"/>
      <c r="R16" s="11"/>
      <c r="S16" s="11"/>
    </row>
    <row r="17" spans="1:19" x14ac:dyDescent="0.2">
      <c r="A17" s="8">
        <v>1926</v>
      </c>
      <c r="B17" s="8">
        <v>20</v>
      </c>
      <c r="C17" s="8">
        <v>19</v>
      </c>
      <c r="D17" s="8">
        <v>21</v>
      </c>
      <c r="E17" s="8">
        <v>21</v>
      </c>
      <c r="F17" s="8">
        <v>22</v>
      </c>
      <c r="G17" s="8">
        <v>20</v>
      </c>
      <c r="M17" s="11"/>
      <c r="N17" s="11"/>
      <c r="O17" s="11"/>
      <c r="P17" s="11"/>
      <c r="Q17" s="11"/>
      <c r="R17" s="11"/>
      <c r="S17" s="11"/>
    </row>
    <row r="18" spans="1:19" x14ac:dyDescent="0.2">
      <c r="A18" s="8">
        <v>1927</v>
      </c>
      <c r="B18" s="8">
        <v>20</v>
      </c>
      <c r="C18" s="8">
        <v>19</v>
      </c>
      <c r="D18" s="8">
        <v>20</v>
      </c>
      <c r="E18" s="8">
        <v>20</v>
      </c>
      <c r="F18" s="8">
        <v>21</v>
      </c>
      <c r="G18" s="8">
        <v>20</v>
      </c>
      <c r="M18" s="11"/>
      <c r="N18" s="11"/>
      <c r="O18" s="11"/>
      <c r="P18" s="11"/>
      <c r="Q18" s="11"/>
      <c r="R18" s="11"/>
      <c r="S18" s="11"/>
    </row>
    <row r="19" spans="1:19" x14ac:dyDescent="0.2">
      <c r="A19" s="8">
        <v>1928</v>
      </c>
      <c r="B19" s="8">
        <v>20</v>
      </c>
      <c r="C19" s="8">
        <v>19</v>
      </c>
      <c r="D19" s="8">
        <v>21</v>
      </c>
      <c r="E19" s="8">
        <v>21</v>
      </c>
      <c r="F19" s="8">
        <v>21</v>
      </c>
      <c r="G19" s="8">
        <v>20</v>
      </c>
      <c r="M19" s="11"/>
      <c r="N19" s="11"/>
      <c r="O19" s="11"/>
      <c r="P19" s="11"/>
      <c r="Q19" s="11"/>
      <c r="R19" s="11"/>
      <c r="S19" s="11"/>
    </row>
    <row r="20" spans="1:19" x14ac:dyDescent="0.2">
      <c r="A20" s="8">
        <v>1929</v>
      </c>
      <c r="B20" s="8">
        <v>21</v>
      </c>
      <c r="C20" s="8">
        <v>20</v>
      </c>
      <c r="D20" s="8">
        <v>22</v>
      </c>
      <c r="E20" s="8">
        <v>21</v>
      </c>
      <c r="F20" s="8">
        <v>22</v>
      </c>
      <c r="G20" s="8">
        <v>21</v>
      </c>
      <c r="M20" s="11"/>
      <c r="N20" s="11"/>
      <c r="O20" s="11"/>
      <c r="P20" s="11"/>
      <c r="Q20" s="11"/>
      <c r="R20" s="11"/>
      <c r="S20" s="11"/>
    </row>
    <row r="21" spans="1:19" x14ac:dyDescent="0.2">
      <c r="A21" s="8">
        <v>1930</v>
      </c>
      <c r="B21" s="8">
        <v>20</v>
      </c>
      <c r="C21" s="8">
        <v>19</v>
      </c>
      <c r="D21" s="8">
        <v>21</v>
      </c>
      <c r="E21" s="8">
        <v>21</v>
      </c>
      <c r="F21" s="8">
        <v>22</v>
      </c>
      <c r="G21" s="8">
        <v>20</v>
      </c>
      <c r="M21" s="11"/>
      <c r="N21" s="11"/>
      <c r="O21" s="11"/>
      <c r="P21" s="11"/>
      <c r="Q21" s="11"/>
      <c r="R21" s="11"/>
      <c r="S21" s="11"/>
    </row>
    <row r="22" spans="1:19" x14ac:dyDescent="0.2">
      <c r="A22" s="8">
        <v>1931</v>
      </c>
      <c r="B22" s="8">
        <v>20</v>
      </c>
      <c r="C22" s="8">
        <v>18</v>
      </c>
      <c r="D22" s="8">
        <v>20</v>
      </c>
      <c r="E22" s="8">
        <v>20</v>
      </c>
      <c r="F22" s="8">
        <v>21</v>
      </c>
      <c r="G22" s="8">
        <v>20</v>
      </c>
      <c r="M22" s="11"/>
      <c r="N22" s="11"/>
      <c r="O22" s="11"/>
      <c r="P22" s="11"/>
      <c r="Q22" s="11"/>
      <c r="R22" s="11"/>
      <c r="S22" s="11"/>
    </row>
    <row r="23" spans="1:19" x14ac:dyDescent="0.2">
      <c r="A23" s="8">
        <v>1932</v>
      </c>
      <c r="B23" s="8">
        <v>19</v>
      </c>
      <c r="C23" s="8">
        <v>17</v>
      </c>
      <c r="D23" s="8">
        <v>19</v>
      </c>
      <c r="E23" s="8">
        <v>19</v>
      </c>
      <c r="F23" s="8">
        <v>20</v>
      </c>
      <c r="G23" s="8">
        <v>18</v>
      </c>
      <c r="M23" s="11"/>
      <c r="N23" s="11"/>
      <c r="O23" s="11"/>
      <c r="P23" s="11"/>
      <c r="Q23" s="11"/>
      <c r="R23" s="11"/>
      <c r="S23" s="11"/>
    </row>
    <row r="24" spans="1:19" x14ac:dyDescent="0.2">
      <c r="A24" s="8">
        <v>1933</v>
      </c>
      <c r="B24" s="8">
        <v>19</v>
      </c>
      <c r="C24" s="8">
        <v>17</v>
      </c>
      <c r="D24" s="8">
        <v>19</v>
      </c>
      <c r="E24" s="8">
        <v>19</v>
      </c>
      <c r="F24" s="8">
        <v>20</v>
      </c>
      <c r="G24" s="8">
        <v>19</v>
      </c>
      <c r="M24" s="11"/>
      <c r="N24" s="11"/>
      <c r="O24" s="11"/>
      <c r="P24" s="11"/>
      <c r="Q24" s="11"/>
      <c r="R24" s="11"/>
      <c r="S24" s="11"/>
    </row>
    <row r="25" spans="1:19" x14ac:dyDescent="0.2">
      <c r="A25" s="8">
        <v>1934</v>
      </c>
      <c r="B25" s="8">
        <v>20</v>
      </c>
      <c r="C25" s="8">
        <v>19</v>
      </c>
      <c r="D25" s="8">
        <v>20</v>
      </c>
      <c r="E25" s="8">
        <v>20</v>
      </c>
      <c r="F25" s="8">
        <v>22</v>
      </c>
      <c r="G25" s="8">
        <v>20</v>
      </c>
      <c r="M25" s="11"/>
      <c r="N25" s="11"/>
      <c r="O25" s="11"/>
      <c r="P25" s="11"/>
      <c r="Q25" s="11"/>
      <c r="R25" s="11"/>
      <c r="S25" s="11"/>
    </row>
    <row r="26" spans="1:19" x14ac:dyDescent="0.2">
      <c r="A26" s="8">
        <v>1935</v>
      </c>
      <c r="B26" s="8">
        <v>20</v>
      </c>
      <c r="C26" s="8">
        <v>19</v>
      </c>
      <c r="D26" s="8">
        <v>20</v>
      </c>
      <c r="E26" s="8">
        <v>21</v>
      </c>
      <c r="F26" s="8">
        <v>22</v>
      </c>
      <c r="G26" s="8">
        <v>21</v>
      </c>
      <c r="M26" s="11"/>
      <c r="N26" s="11"/>
      <c r="O26" s="11"/>
      <c r="P26" s="11"/>
      <c r="Q26" s="11"/>
      <c r="R26" s="11"/>
      <c r="S26" s="11"/>
    </row>
    <row r="27" spans="1:19" x14ac:dyDescent="0.2">
      <c r="A27" s="8">
        <v>1936</v>
      </c>
      <c r="B27" s="8">
        <v>20</v>
      </c>
      <c r="C27" s="8">
        <v>19</v>
      </c>
      <c r="D27" s="8">
        <v>22</v>
      </c>
      <c r="E27" s="8">
        <v>21</v>
      </c>
      <c r="F27" s="8">
        <v>23</v>
      </c>
      <c r="G27" s="8">
        <v>21</v>
      </c>
      <c r="M27" s="11"/>
      <c r="N27" s="11"/>
      <c r="O27" s="11"/>
      <c r="P27" s="11"/>
      <c r="Q27" s="11"/>
      <c r="R27" s="11"/>
      <c r="S27" s="11"/>
    </row>
    <row r="28" spans="1:19" x14ac:dyDescent="0.2">
      <c r="A28" s="8">
        <v>1937</v>
      </c>
      <c r="B28" s="8">
        <v>22</v>
      </c>
      <c r="C28" s="8">
        <v>21</v>
      </c>
      <c r="D28" s="8">
        <v>23</v>
      </c>
      <c r="E28" s="8">
        <v>22</v>
      </c>
      <c r="F28" s="8">
        <v>24</v>
      </c>
      <c r="G28" s="8">
        <v>23</v>
      </c>
      <c r="M28" s="11"/>
      <c r="N28" s="11"/>
      <c r="O28" s="11"/>
      <c r="P28" s="11"/>
      <c r="Q28" s="11"/>
      <c r="R28" s="11"/>
      <c r="S28" s="11"/>
    </row>
    <row r="29" spans="1:19" x14ac:dyDescent="0.2">
      <c r="A29" s="8">
        <v>1938</v>
      </c>
      <c r="B29" s="8">
        <v>22</v>
      </c>
      <c r="C29" s="8">
        <v>21</v>
      </c>
      <c r="D29" s="8">
        <v>23</v>
      </c>
      <c r="E29" s="8">
        <v>22</v>
      </c>
      <c r="F29" s="8">
        <v>24</v>
      </c>
      <c r="G29" s="8">
        <v>23</v>
      </c>
      <c r="M29" s="11"/>
      <c r="N29" s="11"/>
      <c r="O29" s="11"/>
      <c r="P29" s="11"/>
      <c r="Q29" s="11"/>
      <c r="R29" s="11"/>
      <c r="S29" s="11"/>
    </row>
    <row r="30" spans="1:19" x14ac:dyDescent="0.2">
      <c r="A30" s="8">
        <v>1939</v>
      </c>
      <c r="B30" s="8">
        <v>22</v>
      </c>
      <c r="C30" s="8">
        <v>21</v>
      </c>
      <c r="D30" s="8">
        <v>24</v>
      </c>
      <c r="E30" s="8">
        <v>23</v>
      </c>
      <c r="F30" s="8">
        <v>24</v>
      </c>
      <c r="G30" s="8">
        <v>23</v>
      </c>
      <c r="M30" s="11"/>
      <c r="N30" s="11"/>
      <c r="O30" s="11"/>
      <c r="P30" s="11"/>
      <c r="Q30" s="11"/>
      <c r="R30" s="11"/>
      <c r="S30" s="11"/>
    </row>
    <row r="31" spans="1:19" x14ac:dyDescent="0.2">
      <c r="A31" s="8">
        <v>1940</v>
      </c>
      <c r="B31" s="8">
        <v>23</v>
      </c>
      <c r="C31" s="8">
        <v>21</v>
      </c>
      <c r="D31" s="8">
        <v>24</v>
      </c>
      <c r="E31" s="8">
        <v>23</v>
      </c>
      <c r="F31" s="8">
        <v>25</v>
      </c>
      <c r="G31" s="8">
        <v>23</v>
      </c>
      <c r="M31" s="11"/>
      <c r="N31" s="11"/>
      <c r="O31" s="11"/>
      <c r="P31" s="11"/>
      <c r="Q31" s="11"/>
      <c r="R31" s="11"/>
      <c r="S31" s="11"/>
    </row>
    <row r="32" spans="1:19" x14ac:dyDescent="0.2">
      <c r="A32" s="8">
        <v>1941</v>
      </c>
      <c r="B32" s="8">
        <v>24</v>
      </c>
      <c r="C32" s="8">
        <v>23</v>
      </c>
      <c r="D32" s="8">
        <v>25</v>
      </c>
      <c r="E32" s="8">
        <v>24</v>
      </c>
      <c r="F32" s="8">
        <v>26</v>
      </c>
      <c r="G32" s="8">
        <v>25</v>
      </c>
      <c r="M32" s="11"/>
      <c r="N32" s="11"/>
      <c r="O32" s="11"/>
      <c r="P32" s="11"/>
      <c r="Q32" s="11"/>
      <c r="R32" s="11"/>
      <c r="S32" s="11"/>
    </row>
    <row r="33" spans="1:19" x14ac:dyDescent="0.2">
      <c r="A33" s="8">
        <v>1942</v>
      </c>
      <c r="B33" s="8">
        <v>25</v>
      </c>
      <c r="C33" s="8">
        <v>24</v>
      </c>
      <c r="D33" s="8">
        <v>26</v>
      </c>
      <c r="E33" s="8">
        <v>26</v>
      </c>
      <c r="F33" s="8">
        <v>27</v>
      </c>
      <c r="G33" s="8">
        <v>26</v>
      </c>
      <c r="M33" s="11"/>
      <c r="N33" s="11"/>
      <c r="O33" s="11"/>
      <c r="P33" s="11"/>
      <c r="Q33" s="11"/>
      <c r="R33" s="11"/>
      <c r="S33" s="11"/>
    </row>
    <row r="34" spans="1:19" x14ac:dyDescent="0.2">
      <c r="A34" s="8">
        <v>1943</v>
      </c>
      <c r="B34" s="8">
        <v>25</v>
      </c>
      <c r="C34" s="8">
        <v>25</v>
      </c>
      <c r="D34" s="8">
        <v>26</v>
      </c>
      <c r="E34" s="8">
        <v>26</v>
      </c>
      <c r="F34" s="8">
        <v>27</v>
      </c>
      <c r="G34" s="8">
        <v>26</v>
      </c>
      <c r="M34" s="11"/>
      <c r="N34" s="11"/>
      <c r="O34" s="11"/>
      <c r="P34" s="11"/>
      <c r="Q34" s="11"/>
      <c r="R34" s="11"/>
      <c r="S34" s="11"/>
    </row>
    <row r="35" spans="1:19" x14ac:dyDescent="0.2">
      <c r="A35" s="8">
        <v>1944</v>
      </c>
      <c r="B35" s="8">
        <v>26</v>
      </c>
      <c r="C35" s="8">
        <v>26</v>
      </c>
      <c r="D35" s="8">
        <v>26</v>
      </c>
      <c r="E35" s="8">
        <v>27</v>
      </c>
      <c r="F35" s="8">
        <v>28</v>
      </c>
      <c r="G35" s="8">
        <v>27</v>
      </c>
      <c r="M35" s="11"/>
      <c r="N35" s="11"/>
      <c r="O35" s="11"/>
      <c r="P35" s="11"/>
      <c r="Q35" s="11"/>
      <c r="R35" s="11"/>
      <c r="S35" s="11"/>
    </row>
    <row r="36" spans="1:19" x14ac:dyDescent="0.2">
      <c r="A36" s="8">
        <v>1945</v>
      </c>
      <c r="B36" s="8">
        <v>26</v>
      </c>
      <c r="C36" s="8">
        <v>26</v>
      </c>
      <c r="D36" s="8">
        <v>27</v>
      </c>
      <c r="E36" s="8">
        <v>28</v>
      </c>
      <c r="F36" s="8">
        <v>28</v>
      </c>
      <c r="G36" s="8">
        <v>28</v>
      </c>
      <c r="M36" s="11"/>
      <c r="N36" s="11"/>
      <c r="O36" s="11"/>
      <c r="P36" s="11"/>
      <c r="Q36" s="11"/>
      <c r="R36" s="11"/>
      <c r="S36" s="11"/>
    </row>
    <row r="37" spans="1:19" ht="13.15" x14ac:dyDescent="0.25">
      <c r="A37" s="8">
        <v>1946</v>
      </c>
      <c r="B37" s="8">
        <v>29</v>
      </c>
      <c r="C37" s="8">
        <v>29</v>
      </c>
      <c r="D37" s="8">
        <v>30</v>
      </c>
      <c r="E37" s="8">
        <v>31</v>
      </c>
      <c r="F37" s="8">
        <v>31</v>
      </c>
      <c r="G37" s="8">
        <v>30</v>
      </c>
      <c r="M37" s="11"/>
      <c r="N37" s="11"/>
      <c r="O37" s="11"/>
      <c r="P37" s="11"/>
      <c r="Q37" s="11"/>
      <c r="R37" s="11"/>
      <c r="S37" s="11"/>
    </row>
    <row r="38" spans="1:19" x14ac:dyDescent="0.2">
      <c r="A38" s="8">
        <v>1947</v>
      </c>
      <c r="B38" s="8">
        <v>34</v>
      </c>
      <c r="C38" s="8">
        <v>34</v>
      </c>
      <c r="D38" s="8">
        <v>36</v>
      </c>
      <c r="E38" s="8">
        <v>37</v>
      </c>
      <c r="F38" s="8">
        <v>37</v>
      </c>
      <c r="G38" s="8">
        <v>37</v>
      </c>
      <c r="M38" s="11"/>
      <c r="N38" s="11"/>
      <c r="O38" s="11"/>
      <c r="P38" s="11"/>
      <c r="Q38" s="11"/>
      <c r="R38" s="11"/>
      <c r="S38" s="11"/>
    </row>
    <row r="39" spans="1:19" x14ac:dyDescent="0.2">
      <c r="A39" s="8">
        <v>1948</v>
      </c>
      <c r="B39" s="8">
        <v>37</v>
      </c>
      <c r="C39" s="8">
        <v>38</v>
      </c>
      <c r="D39" s="8">
        <v>39</v>
      </c>
      <c r="E39" s="8">
        <v>39</v>
      </c>
      <c r="F39" s="8">
        <v>40</v>
      </c>
      <c r="G39" s="8">
        <v>39</v>
      </c>
      <c r="M39" s="11"/>
      <c r="N39" s="11"/>
      <c r="O39" s="11"/>
      <c r="P39" s="11"/>
      <c r="Q39" s="11"/>
      <c r="R39" s="11"/>
      <c r="S39" s="11"/>
    </row>
    <row r="40" spans="1:19" x14ac:dyDescent="0.2">
      <c r="A40" s="8">
        <v>1949</v>
      </c>
      <c r="B40" s="8">
        <v>39</v>
      </c>
      <c r="C40" s="8">
        <v>39</v>
      </c>
      <c r="D40" s="8">
        <v>40</v>
      </c>
      <c r="E40" s="8">
        <v>41</v>
      </c>
      <c r="F40" s="8">
        <v>41</v>
      </c>
      <c r="G40" s="8">
        <v>41</v>
      </c>
      <c r="M40" s="11"/>
      <c r="N40" s="11"/>
      <c r="O40" s="11"/>
      <c r="P40" s="11"/>
      <c r="Q40" s="11"/>
      <c r="R40" s="11"/>
      <c r="S40" s="11"/>
    </row>
    <row r="41" spans="1:19" x14ac:dyDescent="0.2">
      <c r="A41" s="8">
        <v>1950</v>
      </c>
      <c r="B41" s="8">
        <v>41</v>
      </c>
      <c r="C41" s="8">
        <v>40</v>
      </c>
      <c r="D41" s="8">
        <v>41</v>
      </c>
      <c r="E41" s="8">
        <v>42</v>
      </c>
      <c r="F41" s="8">
        <v>42</v>
      </c>
      <c r="G41" s="8">
        <v>42</v>
      </c>
      <c r="M41" s="11"/>
      <c r="N41" s="11"/>
      <c r="O41" s="11"/>
      <c r="P41" s="11"/>
      <c r="Q41" s="11"/>
      <c r="R41" s="11"/>
      <c r="S41" s="11"/>
    </row>
    <row r="42" spans="1:19" x14ac:dyDescent="0.2">
      <c r="A42" s="8">
        <v>1951</v>
      </c>
      <c r="B42" s="8">
        <v>44</v>
      </c>
      <c r="C42" s="8">
        <v>44</v>
      </c>
      <c r="D42" s="8">
        <v>45</v>
      </c>
      <c r="E42" s="8">
        <v>46</v>
      </c>
      <c r="F42" s="8">
        <v>46</v>
      </c>
      <c r="G42" s="8">
        <v>47</v>
      </c>
      <c r="M42" s="11"/>
      <c r="N42" s="11"/>
      <c r="O42" s="11"/>
      <c r="P42" s="11"/>
      <c r="Q42" s="11"/>
      <c r="R42" s="11"/>
      <c r="S42" s="11"/>
    </row>
    <row r="43" spans="1:19" x14ac:dyDescent="0.2">
      <c r="A43" s="8">
        <v>1952</v>
      </c>
      <c r="B43" s="8">
        <v>45</v>
      </c>
      <c r="C43" s="8">
        <v>45</v>
      </c>
      <c r="D43" s="8">
        <v>47</v>
      </c>
      <c r="E43" s="8">
        <v>47</v>
      </c>
      <c r="F43" s="8">
        <v>48</v>
      </c>
      <c r="G43" s="8">
        <v>48</v>
      </c>
      <c r="M43" s="11"/>
      <c r="N43" s="11"/>
      <c r="O43" s="11"/>
      <c r="P43" s="11"/>
      <c r="Q43" s="11"/>
      <c r="R43" s="11"/>
      <c r="S43" s="11"/>
    </row>
    <row r="44" spans="1:19" x14ac:dyDescent="0.2">
      <c r="A44" s="8">
        <v>1953</v>
      </c>
      <c r="B44" s="8">
        <v>48</v>
      </c>
      <c r="C44" s="8">
        <v>48</v>
      </c>
      <c r="D44" s="8">
        <v>50</v>
      </c>
      <c r="E44" s="8">
        <v>50</v>
      </c>
      <c r="F44" s="8">
        <v>50</v>
      </c>
      <c r="G44" s="8">
        <v>50</v>
      </c>
      <c r="M44" s="11"/>
      <c r="N44" s="11"/>
      <c r="O44" s="11"/>
      <c r="P44" s="11"/>
      <c r="Q44" s="11"/>
      <c r="R44" s="11"/>
      <c r="S44" s="11"/>
    </row>
    <row r="45" spans="1:19" x14ac:dyDescent="0.2">
      <c r="A45" s="8">
        <v>1954</v>
      </c>
      <c r="B45" s="8">
        <v>49</v>
      </c>
      <c r="C45" s="8">
        <v>49</v>
      </c>
      <c r="D45" s="8">
        <v>51</v>
      </c>
      <c r="E45" s="8">
        <v>51</v>
      </c>
      <c r="F45" s="8">
        <v>52</v>
      </c>
      <c r="G45" s="8">
        <v>51</v>
      </c>
      <c r="M45" s="11"/>
      <c r="N45" s="11"/>
      <c r="O45" s="11"/>
      <c r="P45" s="11"/>
      <c r="Q45" s="11"/>
      <c r="R45" s="11"/>
      <c r="S45" s="11"/>
    </row>
    <row r="46" spans="1:19" x14ac:dyDescent="0.2">
      <c r="A46" s="8">
        <v>1955</v>
      </c>
      <c r="B46" s="8">
        <v>50</v>
      </c>
      <c r="C46" s="8">
        <v>51</v>
      </c>
      <c r="D46" s="8">
        <v>52</v>
      </c>
      <c r="E46" s="8">
        <v>53</v>
      </c>
      <c r="F46" s="8">
        <v>52</v>
      </c>
      <c r="G46" s="8">
        <v>52</v>
      </c>
      <c r="M46" s="11"/>
      <c r="N46" s="11"/>
      <c r="O46" s="11"/>
      <c r="P46" s="11"/>
      <c r="Q46" s="11"/>
      <c r="R46" s="11"/>
      <c r="S46" s="11"/>
    </row>
    <row r="47" spans="1:19" x14ac:dyDescent="0.2">
      <c r="A47" s="8">
        <v>1956</v>
      </c>
      <c r="B47" s="8">
        <v>53</v>
      </c>
      <c r="C47" s="8">
        <v>54</v>
      </c>
      <c r="D47" s="8">
        <v>55</v>
      </c>
      <c r="E47" s="8">
        <v>56</v>
      </c>
      <c r="F47" s="8">
        <v>56</v>
      </c>
      <c r="G47" s="8">
        <v>55</v>
      </c>
      <c r="M47" s="11"/>
      <c r="N47" s="11"/>
      <c r="O47" s="11"/>
      <c r="P47" s="11"/>
      <c r="Q47" s="11"/>
      <c r="R47" s="11"/>
      <c r="S47" s="11"/>
    </row>
    <row r="48" spans="1:19" x14ac:dyDescent="0.2">
      <c r="A48" s="8">
        <v>1957</v>
      </c>
      <c r="B48" s="8">
        <v>54</v>
      </c>
      <c r="C48" s="8">
        <v>55</v>
      </c>
      <c r="D48" s="8">
        <v>57</v>
      </c>
      <c r="E48" s="8">
        <v>58</v>
      </c>
      <c r="F48" s="8">
        <v>58</v>
      </c>
      <c r="G48" s="8">
        <v>57</v>
      </c>
      <c r="M48" s="11"/>
      <c r="N48" s="11"/>
      <c r="O48" s="11"/>
      <c r="P48" s="11"/>
      <c r="Q48" s="11"/>
      <c r="R48" s="11"/>
      <c r="S48" s="11"/>
    </row>
    <row r="49" spans="1:19" x14ac:dyDescent="0.2">
      <c r="A49" s="8">
        <v>1958</v>
      </c>
      <c r="B49" s="8">
        <v>56</v>
      </c>
      <c r="C49" s="8">
        <v>56</v>
      </c>
      <c r="D49" s="8">
        <v>57</v>
      </c>
      <c r="E49" s="8">
        <v>59</v>
      </c>
      <c r="F49" s="8">
        <v>59</v>
      </c>
      <c r="G49" s="8">
        <v>59</v>
      </c>
      <c r="M49" s="11"/>
      <c r="N49" s="11"/>
      <c r="O49" s="11"/>
      <c r="P49" s="11"/>
      <c r="Q49" s="11"/>
      <c r="R49" s="11"/>
      <c r="S49" s="11"/>
    </row>
    <row r="50" spans="1:19" x14ac:dyDescent="0.2">
      <c r="A50" s="8">
        <v>1959</v>
      </c>
      <c r="B50" s="8">
        <v>56</v>
      </c>
      <c r="C50" s="8">
        <v>57</v>
      </c>
      <c r="D50" s="8">
        <v>59</v>
      </c>
      <c r="E50" s="8">
        <v>60</v>
      </c>
      <c r="F50" s="8">
        <v>59</v>
      </c>
      <c r="G50" s="8">
        <v>60</v>
      </c>
      <c r="M50" s="11"/>
      <c r="N50" s="11"/>
      <c r="O50" s="11"/>
      <c r="P50" s="11"/>
      <c r="Q50" s="11"/>
      <c r="R50" s="11"/>
      <c r="S50" s="11"/>
    </row>
    <row r="51" spans="1:19" x14ac:dyDescent="0.2">
      <c r="A51" s="8">
        <v>1960</v>
      </c>
      <c r="B51" s="8">
        <v>57</v>
      </c>
      <c r="C51" s="8">
        <v>58</v>
      </c>
      <c r="D51" s="8">
        <v>59</v>
      </c>
      <c r="E51" s="8">
        <v>60</v>
      </c>
      <c r="F51" s="8">
        <v>60</v>
      </c>
      <c r="G51" s="8">
        <v>61</v>
      </c>
      <c r="M51" s="11"/>
      <c r="N51" s="11"/>
      <c r="O51" s="11"/>
      <c r="P51" s="11"/>
      <c r="Q51" s="11"/>
      <c r="R51" s="11"/>
      <c r="S51" s="11"/>
    </row>
    <row r="52" spans="1:19" x14ac:dyDescent="0.2">
      <c r="A52" s="8">
        <v>1961</v>
      </c>
      <c r="B52" s="8">
        <v>57</v>
      </c>
      <c r="C52" s="8">
        <v>58</v>
      </c>
      <c r="D52" s="8">
        <v>59</v>
      </c>
      <c r="E52" s="8">
        <v>60</v>
      </c>
      <c r="F52" s="8">
        <v>60</v>
      </c>
      <c r="G52" s="8">
        <v>61</v>
      </c>
      <c r="M52" s="11"/>
      <c r="N52" s="11"/>
      <c r="O52" s="11"/>
      <c r="P52" s="11"/>
      <c r="Q52" s="11"/>
      <c r="R52" s="11"/>
      <c r="S52" s="11"/>
    </row>
    <row r="53" spans="1:19" x14ac:dyDescent="0.2">
      <c r="A53" s="8">
        <v>1962</v>
      </c>
      <c r="B53" s="8">
        <v>58</v>
      </c>
      <c r="C53" s="8">
        <v>58</v>
      </c>
      <c r="D53" s="8">
        <v>59</v>
      </c>
      <c r="E53" s="8">
        <v>60</v>
      </c>
      <c r="F53" s="8">
        <v>61</v>
      </c>
      <c r="G53" s="8">
        <v>61</v>
      </c>
      <c r="M53" s="11"/>
      <c r="N53" s="11"/>
      <c r="O53" s="11"/>
      <c r="P53" s="11"/>
      <c r="Q53" s="11"/>
      <c r="R53" s="11"/>
      <c r="S53" s="11"/>
    </row>
    <row r="54" spans="1:19" x14ac:dyDescent="0.2">
      <c r="A54" s="8">
        <v>1963</v>
      </c>
      <c r="B54" s="8">
        <v>58</v>
      </c>
      <c r="C54" s="8">
        <v>59</v>
      </c>
      <c r="D54" s="8">
        <v>59</v>
      </c>
      <c r="E54" s="8">
        <v>60</v>
      </c>
      <c r="F54" s="8">
        <v>61</v>
      </c>
      <c r="G54" s="8">
        <v>61</v>
      </c>
      <c r="M54" s="11"/>
      <c r="N54" s="11"/>
      <c r="O54" s="11"/>
      <c r="P54" s="11"/>
      <c r="Q54" s="11"/>
      <c r="R54" s="11"/>
      <c r="S54" s="11"/>
    </row>
    <row r="55" spans="1:19" x14ac:dyDescent="0.2">
      <c r="A55" s="8">
        <v>1964</v>
      </c>
      <c r="B55" s="8">
        <v>60</v>
      </c>
      <c r="C55" s="8">
        <v>60</v>
      </c>
      <c r="D55" s="8">
        <v>61</v>
      </c>
      <c r="E55" s="8">
        <v>62</v>
      </c>
      <c r="F55" s="8">
        <v>62</v>
      </c>
      <c r="G55" s="8">
        <v>63</v>
      </c>
      <c r="M55" s="11"/>
      <c r="N55" s="11"/>
      <c r="O55" s="11"/>
      <c r="P55" s="11"/>
      <c r="Q55" s="11"/>
      <c r="R55" s="11"/>
      <c r="S55" s="11"/>
    </row>
    <row r="56" spans="1:19" x14ac:dyDescent="0.2">
      <c r="A56" s="8">
        <v>1965</v>
      </c>
      <c r="B56" s="8">
        <v>62</v>
      </c>
      <c r="C56" s="8">
        <v>62</v>
      </c>
      <c r="D56" s="8">
        <v>63</v>
      </c>
      <c r="E56" s="8">
        <v>64</v>
      </c>
      <c r="F56" s="8">
        <v>64</v>
      </c>
      <c r="G56" s="8">
        <v>65</v>
      </c>
      <c r="M56" s="11"/>
      <c r="N56" s="11"/>
      <c r="O56" s="11"/>
      <c r="P56" s="11"/>
      <c r="Q56" s="11"/>
      <c r="R56" s="11"/>
      <c r="S56" s="11"/>
    </row>
    <row r="57" spans="1:19" x14ac:dyDescent="0.2">
      <c r="A57" s="8">
        <v>1966</v>
      </c>
      <c r="B57" s="8">
        <v>64</v>
      </c>
      <c r="C57" s="8">
        <v>64</v>
      </c>
      <c r="D57" s="8">
        <v>65</v>
      </c>
      <c r="E57" s="8">
        <v>66</v>
      </c>
      <c r="F57" s="8">
        <v>66</v>
      </c>
      <c r="G57" s="8">
        <v>68</v>
      </c>
      <c r="M57" s="11"/>
      <c r="N57" s="11"/>
      <c r="O57" s="11"/>
      <c r="P57" s="11"/>
      <c r="Q57" s="11"/>
      <c r="R57" s="11"/>
      <c r="S57" s="11"/>
    </row>
    <row r="58" spans="1:19" x14ac:dyDescent="0.2">
      <c r="A58" s="8">
        <v>1967</v>
      </c>
      <c r="B58" s="8">
        <v>67</v>
      </c>
      <c r="C58" s="8">
        <v>67</v>
      </c>
      <c r="D58" s="8">
        <v>68</v>
      </c>
      <c r="E58" s="8">
        <v>69</v>
      </c>
      <c r="F58" s="8">
        <v>70</v>
      </c>
      <c r="G58" s="8">
        <v>71</v>
      </c>
      <c r="M58" s="11"/>
      <c r="N58" s="11"/>
      <c r="O58" s="11"/>
      <c r="P58" s="11"/>
      <c r="Q58" s="11"/>
      <c r="R58" s="11"/>
      <c r="S58" s="11"/>
    </row>
    <row r="59" spans="1:19" x14ac:dyDescent="0.2">
      <c r="A59" s="8">
        <v>1968</v>
      </c>
      <c r="B59" s="8">
        <v>70</v>
      </c>
      <c r="C59" s="8">
        <v>70</v>
      </c>
      <c r="D59" s="8">
        <v>71</v>
      </c>
      <c r="E59" s="8">
        <v>73</v>
      </c>
      <c r="F59" s="8">
        <v>72</v>
      </c>
      <c r="G59" s="8">
        <v>74</v>
      </c>
      <c r="M59" s="11"/>
      <c r="N59" s="11"/>
      <c r="O59" s="11"/>
      <c r="P59" s="11"/>
      <c r="Q59" s="11"/>
      <c r="R59" s="11"/>
      <c r="S59" s="11"/>
    </row>
    <row r="60" spans="1:19" x14ac:dyDescent="0.2">
      <c r="A60" s="8">
        <v>1969</v>
      </c>
      <c r="B60" s="8">
        <v>74</v>
      </c>
      <c r="C60" s="8">
        <v>76</v>
      </c>
      <c r="D60" s="8">
        <v>78</v>
      </c>
      <c r="E60" s="8">
        <v>77</v>
      </c>
      <c r="F60" s="8">
        <v>76</v>
      </c>
      <c r="G60" s="8">
        <v>78</v>
      </c>
      <c r="M60" s="11"/>
      <c r="N60" s="11"/>
      <c r="O60" s="11"/>
      <c r="P60" s="11"/>
      <c r="Q60" s="11"/>
      <c r="R60" s="11"/>
      <c r="S60" s="11"/>
    </row>
    <row r="61" spans="1:19" x14ac:dyDescent="0.2">
      <c r="A61" s="8">
        <v>1970</v>
      </c>
      <c r="B61" s="8">
        <v>81</v>
      </c>
      <c r="C61" s="8">
        <v>82</v>
      </c>
      <c r="D61" s="8">
        <v>85</v>
      </c>
      <c r="E61" s="8">
        <v>83</v>
      </c>
      <c r="F61" s="8">
        <v>82</v>
      </c>
      <c r="G61" s="8">
        <v>83</v>
      </c>
      <c r="M61" s="11"/>
      <c r="N61" s="11"/>
      <c r="O61" s="11"/>
      <c r="P61" s="11"/>
      <c r="Q61" s="11"/>
      <c r="R61" s="11"/>
      <c r="S61" s="11"/>
    </row>
    <row r="62" spans="1:19" x14ac:dyDescent="0.2">
      <c r="A62" s="8">
        <v>1971</v>
      </c>
      <c r="B62" s="8">
        <v>87</v>
      </c>
      <c r="C62" s="8">
        <v>87</v>
      </c>
      <c r="D62" s="8">
        <v>91</v>
      </c>
      <c r="E62" s="8">
        <v>88</v>
      </c>
      <c r="F62" s="8">
        <v>89</v>
      </c>
      <c r="G62" s="8">
        <v>88</v>
      </c>
      <c r="M62" s="11"/>
      <c r="N62" s="11"/>
      <c r="O62" s="11"/>
      <c r="P62" s="11"/>
      <c r="Q62" s="11"/>
      <c r="R62" s="11"/>
      <c r="S62" s="11"/>
    </row>
    <row r="63" spans="1:19" x14ac:dyDescent="0.2">
      <c r="A63" s="8">
        <v>1972</v>
      </c>
      <c r="B63" s="8">
        <v>92</v>
      </c>
      <c r="C63" s="8">
        <v>93</v>
      </c>
      <c r="D63" s="8">
        <v>95</v>
      </c>
      <c r="E63" s="8">
        <v>92</v>
      </c>
      <c r="F63" s="8">
        <v>92</v>
      </c>
      <c r="G63" s="8">
        <v>93</v>
      </c>
      <c r="M63" s="11"/>
      <c r="N63" s="11"/>
      <c r="O63" s="11"/>
      <c r="P63" s="11"/>
      <c r="Q63" s="11"/>
      <c r="R63" s="11"/>
      <c r="S63" s="11"/>
    </row>
    <row r="64" spans="1:19" x14ac:dyDescent="0.2">
      <c r="A64" s="8">
        <v>1973</v>
      </c>
      <c r="B64" s="8">
        <v>100</v>
      </c>
      <c r="C64" s="8">
        <v>100</v>
      </c>
      <c r="D64" s="8">
        <v>100</v>
      </c>
      <c r="E64" s="8">
        <v>100</v>
      </c>
      <c r="F64" s="8">
        <v>100</v>
      </c>
      <c r="G64" s="8">
        <v>100</v>
      </c>
      <c r="M64" s="11"/>
      <c r="N64" s="11"/>
      <c r="O64" s="11"/>
      <c r="P64" s="11"/>
      <c r="Q64" s="11"/>
      <c r="R64" s="11"/>
      <c r="S64" s="11"/>
    </row>
    <row r="65" spans="1:19" x14ac:dyDescent="0.2">
      <c r="A65" s="8">
        <v>1974</v>
      </c>
      <c r="B65" s="8">
        <v>118</v>
      </c>
      <c r="C65" s="8">
        <v>119</v>
      </c>
      <c r="D65" s="8">
        <v>119</v>
      </c>
      <c r="E65" s="8">
        <v>121</v>
      </c>
      <c r="F65" s="8">
        <v>120</v>
      </c>
      <c r="G65" s="8">
        <v>120</v>
      </c>
      <c r="M65" s="11"/>
      <c r="N65" s="11"/>
      <c r="O65" s="11"/>
      <c r="P65" s="11"/>
      <c r="Q65" s="11"/>
      <c r="R65" s="11"/>
      <c r="S65" s="11"/>
    </row>
    <row r="66" spans="1:19" x14ac:dyDescent="0.2">
      <c r="A66" s="8">
        <v>1975</v>
      </c>
      <c r="B66" s="8">
        <v>136</v>
      </c>
      <c r="C66" s="8">
        <v>139</v>
      </c>
      <c r="D66" s="8">
        <v>138</v>
      </c>
      <c r="E66" s="8">
        <v>142</v>
      </c>
      <c r="F66" s="8">
        <v>143</v>
      </c>
      <c r="G66" s="8">
        <v>139</v>
      </c>
      <c r="M66" s="11"/>
      <c r="N66" s="11"/>
      <c r="O66" s="11"/>
      <c r="P66" s="11"/>
      <c r="Q66" s="11"/>
      <c r="R66" s="11"/>
      <c r="S66" s="11"/>
    </row>
    <row r="67" spans="1:19" x14ac:dyDescent="0.2">
      <c r="A67" s="8">
        <v>1976</v>
      </c>
      <c r="B67" s="8">
        <v>142</v>
      </c>
      <c r="C67" s="8">
        <v>147</v>
      </c>
      <c r="D67" s="8">
        <v>144</v>
      </c>
      <c r="E67" s="8">
        <v>151</v>
      </c>
      <c r="F67" s="8">
        <v>151</v>
      </c>
      <c r="G67" s="8">
        <v>150</v>
      </c>
      <c r="M67" s="11"/>
      <c r="N67" s="11"/>
      <c r="O67" s="11"/>
      <c r="P67" s="11"/>
      <c r="Q67" s="11"/>
      <c r="R67" s="11"/>
      <c r="S67" s="11"/>
    </row>
    <row r="68" spans="1:19" x14ac:dyDescent="0.2">
      <c r="A68" s="8">
        <v>1977</v>
      </c>
      <c r="B68" s="8">
        <v>149</v>
      </c>
      <c r="C68" s="8">
        <v>155</v>
      </c>
      <c r="D68" s="8">
        <v>154</v>
      </c>
      <c r="E68" s="8">
        <v>160</v>
      </c>
      <c r="F68" s="8">
        <v>161</v>
      </c>
      <c r="G68" s="8">
        <v>162</v>
      </c>
      <c r="M68" s="11"/>
      <c r="N68" s="11"/>
      <c r="O68" s="11"/>
      <c r="P68" s="11"/>
      <c r="Q68" s="11"/>
      <c r="R68" s="11"/>
      <c r="S68" s="11"/>
    </row>
    <row r="69" spans="1:19" x14ac:dyDescent="0.2">
      <c r="A69" s="8">
        <v>1978</v>
      </c>
      <c r="B69" s="8">
        <v>156</v>
      </c>
      <c r="C69" s="8">
        <v>163</v>
      </c>
      <c r="D69" s="8">
        <v>162</v>
      </c>
      <c r="E69" s="8">
        <v>168</v>
      </c>
      <c r="F69" s="8">
        <v>169</v>
      </c>
      <c r="G69" s="8">
        <v>172</v>
      </c>
      <c r="M69" s="11"/>
      <c r="N69" s="11"/>
      <c r="O69" s="11"/>
      <c r="P69" s="11"/>
      <c r="Q69" s="11"/>
      <c r="R69" s="11"/>
      <c r="S69" s="11"/>
    </row>
    <row r="70" spans="1:19" x14ac:dyDescent="0.2">
      <c r="A70" s="8">
        <v>1979</v>
      </c>
      <c r="B70" s="8">
        <v>173</v>
      </c>
      <c r="C70" s="8">
        <v>177</v>
      </c>
      <c r="D70" s="8">
        <v>178</v>
      </c>
      <c r="E70" s="8">
        <v>185</v>
      </c>
      <c r="F70" s="8">
        <v>185</v>
      </c>
      <c r="G70" s="8">
        <v>190</v>
      </c>
      <c r="M70" s="11"/>
      <c r="N70" s="11"/>
      <c r="O70" s="11"/>
      <c r="P70" s="11"/>
      <c r="Q70" s="11"/>
      <c r="R70" s="11"/>
      <c r="S70" s="11"/>
    </row>
    <row r="71" spans="1:19" x14ac:dyDescent="0.2">
      <c r="A71" s="8">
        <v>1980</v>
      </c>
      <c r="B71" s="8">
        <v>186</v>
      </c>
      <c r="C71" s="8">
        <v>192</v>
      </c>
      <c r="D71" s="8">
        <v>191</v>
      </c>
      <c r="E71" s="8">
        <v>198</v>
      </c>
      <c r="F71" s="8">
        <v>199</v>
      </c>
      <c r="G71" s="8">
        <v>208</v>
      </c>
      <c r="M71" s="11"/>
      <c r="N71" s="11"/>
      <c r="O71" s="11"/>
      <c r="P71" s="11"/>
      <c r="Q71" s="11"/>
      <c r="R71" s="11"/>
      <c r="S71" s="11"/>
    </row>
    <row r="72" spans="1:19" x14ac:dyDescent="0.2">
      <c r="A72" s="8">
        <v>1981</v>
      </c>
      <c r="B72" s="8">
        <v>202</v>
      </c>
      <c r="C72" s="8">
        <v>210</v>
      </c>
      <c r="D72" s="8">
        <v>211</v>
      </c>
      <c r="E72" s="8">
        <v>217</v>
      </c>
      <c r="F72" s="8">
        <v>218</v>
      </c>
      <c r="G72" s="8">
        <v>229</v>
      </c>
      <c r="M72" s="11"/>
      <c r="N72" s="11"/>
      <c r="O72" s="11"/>
      <c r="P72" s="11"/>
      <c r="Q72" s="11"/>
      <c r="R72" s="11"/>
      <c r="S72" s="11"/>
    </row>
    <row r="73" spans="1:19" x14ac:dyDescent="0.2">
      <c r="A73" s="8">
        <v>1982</v>
      </c>
      <c r="B73" s="8">
        <v>215</v>
      </c>
      <c r="C73" s="8">
        <v>221</v>
      </c>
      <c r="D73" s="8">
        <v>224</v>
      </c>
      <c r="E73" s="8">
        <v>232</v>
      </c>
      <c r="F73" s="8">
        <v>233</v>
      </c>
      <c r="G73" s="8">
        <v>246</v>
      </c>
      <c r="M73" s="11"/>
      <c r="N73" s="11"/>
      <c r="O73" s="11"/>
      <c r="P73" s="11"/>
      <c r="Q73" s="11"/>
      <c r="R73" s="11"/>
      <c r="S73" s="11"/>
    </row>
    <row r="74" spans="1:19" x14ac:dyDescent="0.2">
      <c r="A74" s="8">
        <v>1983</v>
      </c>
      <c r="B74" s="8">
        <v>223</v>
      </c>
      <c r="C74" s="8">
        <v>225</v>
      </c>
      <c r="D74" s="8">
        <v>229</v>
      </c>
      <c r="E74" s="8">
        <v>238</v>
      </c>
      <c r="F74" s="8">
        <v>239</v>
      </c>
      <c r="G74" s="8">
        <v>253</v>
      </c>
      <c r="M74" s="11"/>
      <c r="N74" s="11"/>
      <c r="O74" s="11"/>
      <c r="P74" s="11"/>
      <c r="Q74" s="11"/>
      <c r="R74" s="11"/>
      <c r="S74" s="11"/>
    </row>
    <row r="75" spans="1:19" x14ac:dyDescent="0.2">
      <c r="A75" s="8">
        <v>1984</v>
      </c>
      <c r="B75" s="8">
        <v>229</v>
      </c>
      <c r="C75" s="8">
        <v>227</v>
      </c>
      <c r="D75" s="8">
        <v>232</v>
      </c>
      <c r="E75" s="8">
        <v>240</v>
      </c>
      <c r="F75" s="8">
        <v>239</v>
      </c>
      <c r="G75" s="8">
        <v>254</v>
      </c>
      <c r="M75" s="11"/>
      <c r="N75" s="11"/>
      <c r="O75" s="11"/>
      <c r="P75" s="11"/>
      <c r="Q75" s="11"/>
      <c r="R75" s="11"/>
      <c r="S75" s="11"/>
    </row>
    <row r="76" spans="1:19" x14ac:dyDescent="0.2">
      <c r="A76" s="8">
        <v>1985</v>
      </c>
      <c r="B76" s="8">
        <v>234</v>
      </c>
      <c r="C76" s="8">
        <v>228</v>
      </c>
      <c r="D76" s="8">
        <v>235</v>
      </c>
      <c r="E76" s="8">
        <v>241</v>
      </c>
      <c r="F76" s="8">
        <v>236</v>
      </c>
      <c r="G76" s="8">
        <v>250</v>
      </c>
      <c r="M76" s="11"/>
      <c r="N76" s="11"/>
      <c r="O76" s="11"/>
      <c r="P76" s="11"/>
      <c r="Q76" s="11"/>
      <c r="R76" s="11"/>
      <c r="S76" s="11"/>
    </row>
    <row r="77" spans="1:19" x14ac:dyDescent="0.2">
      <c r="A77" s="8">
        <v>1986</v>
      </c>
      <c r="B77" s="8">
        <v>237</v>
      </c>
      <c r="C77" s="8">
        <v>229</v>
      </c>
      <c r="D77" s="8">
        <v>238</v>
      </c>
      <c r="E77" s="8">
        <v>241</v>
      </c>
      <c r="F77" s="8">
        <v>235</v>
      </c>
      <c r="G77" s="8">
        <v>251</v>
      </c>
      <c r="M77" s="11"/>
      <c r="N77" s="11"/>
      <c r="O77" s="11"/>
      <c r="P77" s="11"/>
      <c r="Q77" s="11"/>
      <c r="R77" s="11"/>
      <c r="S77" s="11"/>
    </row>
    <row r="78" spans="1:19" x14ac:dyDescent="0.2">
      <c r="A78" s="8">
        <v>1987</v>
      </c>
      <c r="B78" s="8">
        <v>239</v>
      </c>
      <c r="C78" s="8">
        <v>231</v>
      </c>
      <c r="D78" s="8">
        <v>240</v>
      </c>
      <c r="E78" s="8">
        <v>241</v>
      </c>
      <c r="F78" s="8">
        <v>235</v>
      </c>
      <c r="G78" s="8">
        <v>253</v>
      </c>
      <c r="M78" s="11"/>
      <c r="N78" s="11"/>
      <c r="O78" s="11"/>
      <c r="P78" s="11"/>
      <c r="Q78" s="11"/>
      <c r="R78" s="11"/>
      <c r="S78" s="11"/>
    </row>
    <row r="79" spans="1:19" x14ac:dyDescent="0.2">
      <c r="A79" s="8">
        <v>1988</v>
      </c>
      <c r="B79" s="8">
        <v>256.75</v>
      </c>
      <c r="C79" s="8">
        <v>242.25</v>
      </c>
      <c r="D79" s="8">
        <v>254.75</v>
      </c>
      <c r="E79" s="8">
        <v>252.75</v>
      </c>
      <c r="F79" s="8">
        <v>246</v>
      </c>
      <c r="G79" s="8">
        <v>266.75</v>
      </c>
      <c r="M79" s="11"/>
      <c r="N79" s="11"/>
      <c r="O79" s="11"/>
      <c r="P79" s="11"/>
      <c r="Q79" s="11"/>
      <c r="R79" s="11"/>
      <c r="S79" s="11"/>
    </row>
    <row r="80" spans="1:19" x14ac:dyDescent="0.2">
      <c r="A80" s="8">
        <v>1989</v>
      </c>
      <c r="B80" s="8">
        <v>272</v>
      </c>
      <c r="C80" s="8">
        <v>255.25</v>
      </c>
      <c r="D80" s="8">
        <v>267.5</v>
      </c>
      <c r="E80" s="8">
        <v>264</v>
      </c>
      <c r="F80" s="8">
        <v>255.25</v>
      </c>
      <c r="G80" s="8">
        <v>279.5</v>
      </c>
      <c r="M80" s="11"/>
      <c r="N80" s="11"/>
      <c r="O80" s="11"/>
      <c r="P80" s="11"/>
      <c r="Q80" s="11"/>
      <c r="R80" s="11"/>
      <c r="S80" s="11"/>
    </row>
    <row r="81" spans="1:19" x14ac:dyDescent="0.2">
      <c r="A81" s="8">
        <v>1990</v>
      </c>
      <c r="B81" s="8">
        <v>279.5</v>
      </c>
      <c r="C81" s="8">
        <v>261.75</v>
      </c>
      <c r="D81" s="8">
        <v>275.5</v>
      </c>
      <c r="E81" s="8">
        <v>271</v>
      </c>
      <c r="F81" s="8">
        <v>263</v>
      </c>
      <c r="G81" s="8">
        <v>286.75</v>
      </c>
      <c r="M81" s="11"/>
      <c r="N81" s="11"/>
      <c r="O81" s="11"/>
      <c r="P81" s="11"/>
      <c r="Q81" s="11"/>
      <c r="R81" s="11"/>
      <c r="S81" s="11"/>
    </row>
    <row r="82" spans="1:19" x14ac:dyDescent="0.2">
      <c r="A82" s="8">
        <v>1991</v>
      </c>
      <c r="B82" s="8">
        <v>286.75</v>
      </c>
      <c r="C82" s="8">
        <v>264.25</v>
      </c>
      <c r="D82" s="8">
        <v>279.5</v>
      </c>
      <c r="E82" s="8">
        <v>274.5</v>
      </c>
      <c r="F82" s="8">
        <v>267</v>
      </c>
      <c r="G82" s="8">
        <v>292</v>
      </c>
      <c r="M82" s="11"/>
      <c r="N82" s="11"/>
      <c r="O82" s="11"/>
      <c r="P82" s="11"/>
      <c r="Q82" s="11"/>
      <c r="R82" s="11"/>
      <c r="S82" s="11"/>
    </row>
    <row r="83" spans="1:19" x14ac:dyDescent="0.2">
      <c r="A83" s="8">
        <v>1992</v>
      </c>
      <c r="B83" s="8">
        <v>290.25</v>
      </c>
      <c r="C83" s="8">
        <v>266.75</v>
      </c>
      <c r="D83" s="8">
        <v>282.75</v>
      </c>
      <c r="E83" s="8">
        <v>274.75</v>
      </c>
      <c r="F83" s="8">
        <v>272</v>
      </c>
      <c r="G83" s="8">
        <v>295.25</v>
      </c>
      <c r="M83" s="11"/>
      <c r="N83" s="11"/>
      <c r="O83" s="11"/>
      <c r="P83" s="11"/>
      <c r="Q83" s="11"/>
      <c r="R83" s="11"/>
      <c r="S83" s="11"/>
    </row>
    <row r="84" spans="1:19" x14ac:dyDescent="0.2">
      <c r="A84" s="8">
        <v>1993</v>
      </c>
      <c r="B84" s="8">
        <v>298</v>
      </c>
      <c r="C84" s="8">
        <v>271.5</v>
      </c>
      <c r="D84" s="8">
        <v>288.5</v>
      </c>
      <c r="E84" s="8">
        <v>279</v>
      </c>
      <c r="F84" s="8">
        <v>276</v>
      </c>
      <c r="G84" s="8">
        <v>303</v>
      </c>
      <c r="M84" s="11"/>
      <c r="N84" s="11"/>
      <c r="O84" s="11"/>
      <c r="P84" s="11"/>
      <c r="Q84" s="11"/>
      <c r="R84" s="11"/>
      <c r="S84" s="11"/>
    </row>
    <row r="85" spans="1:19" x14ac:dyDescent="0.2">
      <c r="A85" s="8">
        <v>1994</v>
      </c>
      <c r="B85" s="8">
        <v>307.25</v>
      </c>
      <c r="C85" s="8">
        <v>280</v>
      </c>
      <c r="D85" s="8">
        <v>298.25</v>
      </c>
      <c r="E85" s="8">
        <v>289</v>
      </c>
      <c r="F85" s="8">
        <v>282.5</v>
      </c>
      <c r="G85" s="8">
        <v>310.75</v>
      </c>
      <c r="M85" s="11"/>
      <c r="N85" s="11"/>
      <c r="O85" s="11"/>
      <c r="P85" s="11"/>
      <c r="Q85" s="11"/>
      <c r="R85" s="11"/>
      <c r="S85" s="11"/>
    </row>
    <row r="86" spans="1:19" x14ac:dyDescent="0.2">
      <c r="A86" s="8">
        <v>1995</v>
      </c>
      <c r="B86" s="8">
        <v>316.5</v>
      </c>
      <c r="C86" s="8">
        <v>288.75</v>
      </c>
      <c r="D86" s="8">
        <v>309.25</v>
      </c>
      <c r="E86" s="8">
        <v>296</v>
      </c>
      <c r="F86" s="8">
        <v>294.75</v>
      </c>
      <c r="G86" s="8">
        <v>322</v>
      </c>
      <c r="M86" s="11"/>
      <c r="N86" s="11"/>
      <c r="O86" s="11"/>
      <c r="P86" s="11"/>
      <c r="Q86" s="11"/>
      <c r="R86" s="11"/>
      <c r="S86" s="11"/>
    </row>
    <row r="87" spans="1:19" x14ac:dyDescent="0.2">
      <c r="A87" s="8">
        <v>1996</v>
      </c>
      <c r="B87" s="8">
        <v>321.75</v>
      </c>
      <c r="C87" s="8">
        <v>289</v>
      </c>
      <c r="D87" s="8">
        <v>313</v>
      </c>
      <c r="E87" s="8">
        <v>297.75</v>
      </c>
      <c r="F87" s="8">
        <v>298.5</v>
      </c>
      <c r="G87" s="8">
        <v>325.25</v>
      </c>
      <c r="M87" s="11"/>
      <c r="N87" s="11"/>
      <c r="O87" s="11"/>
      <c r="P87" s="11"/>
      <c r="Q87" s="11"/>
      <c r="R87" s="11"/>
      <c r="S87" s="11"/>
    </row>
    <row r="88" spans="1:19" x14ac:dyDescent="0.2">
      <c r="A88" s="8">
        <v>1997</v>
      </c>
      <c r="B88" s="8">
        <v>326.75</v>
      </c>
      <c r="C88" s="8">
        <v>291.25</v>
      </c>
      <c r="D88" s="8">
        <v>317.5</v>
      </c>
      <c r="E88" s="8">
        <v>296.75</v>
      </c>
      <c r="F88" s="8">
        <v>296.5</v>
      </c>
      <c r="G88" s="8">
        <v>328.75</v>
      </c>
      <c r="M88" s="11"/>
      <c r="N88" s="11"/>
      <c r="O88" s="11"/>
      <c r="P88" s="11"/>
      <c r="Q88" s="11"/>
      <c r="R88" s="11"/>
      <c r="S88" s="11"/>
    </row>
    <row r="89" spans="1:19" x14ac:dyDescent="0.2">
      <c r="A89" s="8">
        <v>1998</v>
      </c>
      <c r="B89" s="8">
        <v>334.25</v>
      </c>
      <c r="C89" s="8">
        <v>298.5</v>
      </c>
      <c r="D89" s="8">
        <v>324.5</v>
      </c>
      <c r="E89" s="8">
        <v>303</v>
      </c>
      <c r="F89" s="8">
        <v>305</v>
      </c>
      <c r="G89" s="8">
        <v>336.25</v>
      </c>
      <c r="M89" s="11"/>
      <c r="N89" s="11"/>
      <c r="O89" s="11"/>
      <c r="P89" s="11"/>
      <c r="Q89" s="11"/>
      <c r="R89" s="11"/>
      <c r="S89" s="11"/>
    </row>
    <row r="90" spans="1:19" x14ac:dyDescent="0.2">
      <c r="A90" s="8">
        <v>1999</v>
      </c>
      <c r="B90" s="8">
        <v>336.75</v>
      </c>
      <c r="C90" s="8">
        <v>298.25</v>
      </c>
      <c r="D90" s="8">
        <v>325.5</v>
      </c>
      <c r="E90" s="8">
        <v>302.75</v>
      </c>
      <c r="F90" s="8">
        <v>307</v>
      </c>
      <c r="G90" s="8">
        <v>337.25</v>
      </c>
      <c r="M90" s="11"/>
      <c r="N90" s="11"/>
      <c r="O90" s="11"/>
      <c r="P90" s="11"/>
      <c r="Q90" s="11"/>
      <c r="R90" s="11"/>
      <c r="S90" s="11"/>
    </row>
    <row r="91" spans="1:19" x14ac:dyDescent="0.2">
      <c r="A91" s="8">
        <v>2000</v>
      </c>
      <c r="B91" s="8">
        <v>345.5</v>
      </c>
      <c r="C91" s="8">
        <v>304.5</v>
      </c>
      <c r="D91" s="8">
        <v>333.75</v>
      </c>
      <c r="E91" s="8">
        <v>310</v>
      </c>
      <c r="F91" s="8">
        <v>313.5</v>
      </c>
      <c r="G91" s="8">
        <v>345</v>
      </c>
      <c r="M91" s="11"/>
      <c r="N91" s="11"/>
      <c r="O91" s="11"/>
      <c r="P91" s="11"/>
      <c r="Q91" s="11"/>
      <c r="R91" s="11"/>
      <c r="S91" s="11"/>
    </row>
    <row r="92" spans="1:19" x14ac:dyDescent="0.2">
      <c r="A92" s="8">
        <v>2001</v>
      </c>
      <c r="B92" s="8">
        <v>355.75</v>
      </c>
      <c r="C92" s="8">
        <v>314</v>
      </c>
      <c r="D92" s="8">
        <v>345.75</v>
      </c>
      <c r="E92" s="8">
        <v>320.5</v>
      </c>
      <c r="F92" s="8">
        <v>325.75</v>
      </c>
      <c r="G92" s="8">
        <v>354.5</v>
      </c>
      <c r="M92" s="11"/>
      <c r="N92" s="11"/>
      <c r="O92" s="11"/>
      <c r="P92" s="11"/>
      <c r="Q92" s="11"/>
      <c r="R92" s="11"/>
      <c r="S92" s="11"/>
    </row>
    <row r="93" spans="1:19" x14ac:dyDescent="0.2">
      <c r="A93" s="8">
        <v>2002</v>
      </c>
      <c r="B93" s="8">
        <v>367.5</v>
      </c>
      <c r="C93" s="8">
        <v>321.75</v>
      </c>
      <c r="D93" s="8">
        <v>359.25</v>
      </c>
      <c r="E93" s="8">
        <v>326.75</v>
      </c>
      <c r="F93" s="8">
        <v>332.25</v>
      </c>
      <c r="G93" s="8">
        <v>370</v>
      </c>
      <c r="M93" s="11"/>
      <c r="N93" s="11"/>
      <c r="O93" s="11"/>
      <c r="P93" s="11"/>
      <c r="Q93" s="11"/>
      <c r="R93" s="11"/>
      <c r="S93" s="11"/>
    </row>
    <row r="94" spans="1:19" x14ac:dyDescent="0.2">
      <c r="A94" s="8">
        <v>2003</v>
      </c>
      <c r="B94" s="8">
        <v>374.75</v>
      </c>
      <c r="C94" s="8">
        <v>327</v>
      </c>
      <c r="D94" s="8">
        <v>369.5</v>
      </c>
      <c r="E94" s="8">
        <v>331.5</v>
      </c>
      <c r="F94" s="8">
        <v>338.5</v>
      </c>
      <c r="G94" s="8">
        <v>378.75</v>
      </c>
      <c r="M94" s="11"/>
      <c r="N94" s="11"/>
      <c r="O94" s="11"/>
      <c r="P94" s="11"/>
      <c r="Q94" s="11"/>
      <c r="R94" s="11"/>
      <c r="S94" s="11"/>
    </row>
    <row r="95" spans="1:19" x14ac:dyDescent="0.2">
      <c r="A95" s="8">
        <v>2004</v>
      </c>
      <c r="B95" s="8">
        <v>399.25</v>
      </c>
      <c r="C95" s="8">
        <v>351.5</v>
      </c>
      <c r="D95" s="8">
        <v>390.75</v>
      </c>
      <c r="E95" s="8">
        <v>353.25</v>
      </c>
      <c r="F95" s="8">
        <v>360.5</v>
      </c>
      <c r="G95" s="8">
        <v>400.5</v>
      </c>
      <c r="M95" s="11"/>
      <c r="N95" s="11"/>
      <c r="O95" s="11"/>
      <c r="P95" s="11"/>
      <c r="Q95" s="11"/>
      <c r="R95" s="11"/>
      <c r="S95" s="11"/>
    </row>
    <row r="96" spans="1:19" x14ac:dyDescent="0.2">
      <c r="A96" s="8">
        <v>2005</v>
      </c>
      <c r="B96" s="8">
        <v>432.5</v>
      </c>
      <c r="C96" s="8">
        <v>379</v>
      </c>
      <c r="D96" s="8">
        <v>422</v>
      </c>
      <c r="E96" s="8">
        <v>380.75</v>
      </c>
      <c r="F96" s="8">
        <v>389.75</v>
      </c>
      <c r="G96" s="8">
        <v>429.75</v>
      </c>
      <c r="M96" s="11"/>
      <c r="N96" s="11"/>
      <c r="O96" s="11"/>
      <c r="P96" s="11"/>
      <c r="Q96" s="11"/>
      <c r="R96" s="11"/>
      <c r="S96" s="11"/>
    </row>
    <row r="97" spans="1:19" x14ac:dyDescent="0.2">
      <c r="A97" s="8">
        <v>2006</v>
      </c>
      <c r="B97" s="8">
        <v>478.5</v>
      </c>
      <c r="C97" s="8">
        <v>423.25</v>
      </c>
      <c r="D97" s="8">
        <v>469.25</v>
      </c>
      <c r="E97" s="8">
        <v>424</v>
      </c>
      <c r="F97" s="8">
        <v>434.25</v>
      </c>
      <c r="G97" s="8">
        <v>474.75</v>
      </c>
      <c r="M97" s="11"/>
      <c r="N97" s="11"/>
      <c r="O97" s="11"/>
      <c r="P97" s="11"/>
      <c r="Q97" s="11"/>
      <c r="R97" s="11"/>
      <c r="S97" s="11"/>
    </row>
    <row r="98" spans="1:19" x14ac:dyDescent="0.2">
      <c r="A98" s="8">
        <v>2007</v>
      </c>
      <c r="B98" s="8">
        <v>532.44704139288206</v>
      </c>
      <c r="C98" s="8">
        <v>473.46873235988983</v>
      </c>
      <c r="D98" s="8">
        <v>519</v>
      </c>
      <c r="E98" s="8">
        <v>472.49004192763516</v>
      </c>
      <c r="F98" s="8">
        <v>482.57796742579484</v>
      </c>
      <c r="G98" s="8">
        <v>523.5425187462414</v>
      </c>
      <c r="M98" s="11"/>
      <c r="N98" s="11"/>
      <c r="O98" s="11"/>
      <c r="P98" s="11"/>
      <c r="Q98" s="11"/>
      <c r="R98" s="11"/>
      <c r="S98" s="11"/>
    </row>
    <row r="99" spans="1:19" x14ac:dyDescent="0.2">
      <c r="A99" s="8">
        <v>2008</v>
      </c>
      <c r="B99" s="8">
        <v>582.25</v>
      </c>
      <c r="C99" s="8">
        <v>518.25</v>
      </c>
      <c r="D99" s="8">
        <v>567</v>
      </c>
      <c r="E99" s="8">
        <v>521</v>
      </c>
      <c r="F99" s="8">
        <v>527.25</v>
      </c>
      <c r="G99" s="8">
        <v>572.5</v>
      </c>
      <c r="M99" s="11"/>
      <c r="N99" s="11"/>
      <c r="O99" s="11"/>
      <c r="P99" s="11"/>
      <c r="Q99" s="11"/>
      <c r="R99" s="11"/>
      <c r="S99" s="11"/>
    </row>
    <row r="100" spans="1:19" x14ac:dyDescent="0.2">
      <c r="A100" s="8">
        <v>2009</v>
      </c>
      <c r="B100" s="8">
        <v>598.25</v>
      </c>
      <c r="C100" s="8">
        <v>529.75</v>
      </c>
      <c r="D100" s="8">
        <v>574.5</v>
      </c>
      <c r="E100" s="8">
        <v>530.75</v>
      </c>
      <c r="F100" s="8">
        <v>538.5</v>
      </c>
      <c r="G100" s="8">
        <v>585.5</v>
      </c>
      <c r="M100" s="11"/>
      <c r="N100" s="11"/>
      <c r="O100" s="11"/>
      <c r="P100" s="11"/>
      <c r="Q100" s="11"/>
      <c r="R100" s="11"/>
      <c r="S100" s="11"/>
    </row>
    <row r="101" spans="1:19" x14ac:dyDescent="0.2">
      <c r="A101" s="8">
        <v>2010</v>
      </c>
      <c r="B101" s="8">
        <v>619.25</v>
      </c>
      <c r="C101" s="8">
        <v>547.75</v>
      </c>
      <c r="D101" s="8">
        <v>592.75</v>
      </c>
      <c r="E101" s="8">
        <v>553.25</v>
      </c>
      <c r="F101" s="8">
        <v>560.5</v>
      </c>
      <c r="G101" s="8">
        <v>610</v>
      </c>
      <c r="M101" s="11"/>
      <c r="N101" s="11"/>
      <c r="O101" s="11"/>
      <c r="P101" s="11"/>
      <c r="Q101" s="11"/>
      <c r="R101" s="11"/>
      <c r="S101" s="11"/>
    </row>
    <row r="102" spans="1:19" x14ac:dyDescent="0.2">
      <c r="A102" s="8">
        <v>2011</v>
      </c>
      <c r="B102" s="8">
        <v>649.75</v>
      </c>
      <c r="C102" s="8">
        <v>572.5</v>
      </c>
      <c r="D102" s="8">
        <v>618.75</v>
      </c>
      <c r="E102" s="8">
        <v>575.25</v>
      </c>
      <c r="F102" s="8">
        <v>585.5</v>
      </c>
      <c r="G102" s="8">
        <v>636</v>
      </c>
      <c r="M102" s="11"/>
      <c r="N102" s="11"/>
      <c r="O102" s="11"/>
      <c r="P102" s="11"/>
      <c r="Q102" s="11"/>
      <c r="R102" s="11"/>
      <c r="S102" s="11"/>
    </row>
    <row r="103" spans="1:19" x14ac:dyDescent="0.2">
      <c r="A103" s="8">
        <v>2012</v>
      </c>
      <c r="B103" s="8">
        <v>678.5</v>
      </c>
      <c r="C103" s="8">
        <v>591.5</v>
      </c>
      <c r="D103" s="8">
        <v>637.5</v>
      </c>
      <c r="E103" s="8">
        <v>593.125</v>
      </c>
      <c r="F103" s="8">
        <v>608.75</v>
      </c>
      <c r="G103" s="8">
        <v>658</v>
      </c>
      <c r="M103" s="11"/>
      <c r="N103" s="11"/>
      <c r="O103" s="11"/>
      <c r="P103" s="11"/>
      <c r="Q103" s="11"/>
      <c r="R103" s="11"/>
      <c r="S103" s="11"/>
    </row>
    <row r="104" spans="1:19" x14ac:dyDescent="0.2">
      <c r="A104" s="8">
        <v>2013</v>
      </c>
      <c r="B104" s="8">
        <v>701</v>
      </c>
      <c r="C104" s="8">
        <v>612.875</v>
      </c>
      <c r="D104" s="8">
        <v>659.25</v>
      </c>
      <c r="E104" s="8">
        <v>616.375</v>
      </c>
      <c r="F104" s="8">
        <v>630.375</v>
      </c>
      <c r="G104" s="8">
        <v>681.75</v>
      </c>
    </row>
    <row r="105" spans="1:19" x14ac:dyDescent="0.2">
      <c r="A105" s="8">
        <v>2014</v>
      </c>
      <c r="B105" s="8">
        <v>722</v>
      </c>
      <c r="C105" s="8">
        <v>630.375</v>
      </c>
      <c r="D105" s="8">
        <v>678</v>
      </c>
      <c r="E105" s="8">
        <v>635.875</v>
      </c>
      <c r="F105" s="8">
        <v>649.5</v>
      </c>
      <c r="G105" s="8">
        <v>703</v>
      </c>
    </row>
    <row r="106" spans="1:19" x14ac:dyDescent="0.2">
      <c r="A106" s="8">
        <v>2015</v>
      </c>
      <c r="B106" s="8">
        <v>737.25</v>
      </c>
      <c r="C106" s="8">
        <v>643</v>
      </c>
      <c r="D106" s="8">
        <v>690.25</v>
      </c>
      <c r="E106" s="8">
        <v>650.875</v>
      </c>
      <c r="F106" s="8">
        <v>668.125</v>
      </c>
      <c r="G106" s="8">
        <v>719.75</v>
      </c>
    </row>
    <row r="107" spans="1:19" s="7" customFormat="1" x14ac:dyDescent="0.2">
      <c r="A107" s="12">
        <v>2016</v>
      </c>
      <c r="B107" s="12">
        <v>746.5</v>
      </c>
      <c r="C107" s="12">
        <v>650</v>
      </c>
      <c r="D107" s="12">
        <v>692.75</v>
      </c>
      <c r="E107" s="12">
        <v>661.5</v>
      </c>
      <c r="F107" s="12">
        <v>674.25</v>
      </c>
      <c r="G107" s="12">
        <v>731</v>
      </c>
    </row>
    <row r="108" spans="1:19" x14ac:dyDescent="0.2">
      <c r="A108" s="8"/>
      <c r="B108" s="8"/>
      <c r="C108" s="8"/>
      <c r="D108" s="8"/>
      <c r="E108" s="8"/>
      <c r="F108" s="8"/>
      <c r="G108" s="8"/>
    </row>
    <row r="109" spans="1:19" s="7" customFormat="1" x14ac:dyDescent="0.2">
      <c r="A109" s="12"/>
      <c r="B109" s="12"/>
      <c r="C109" s="12"/>
      <c r="D109" s="12"/>
      <c r="E109" s="12"/>
      <c r="F109" s="12"/>
      <c r="G109" s="12"/>
    </row>
  </sheetData>
  <conditionalFormatting sqref="U4:AA103">
    <cfRule type="cellIs" dxfId="0" priority="1" operator="greaterThan">
      <formula>0</formula>
    </cfRule>
  </conditionalFormatting>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C11"/>
  <sheetViews>
    <sheetView workbookViewId="0">
      <selection activeCell="G13" sqref="G13"/>
    </sheetView>
  </sheetViews>
  <sheetFormatPr defaultRowHeight="15" x14ac:dyDescent="0.25"/>
  <cols>
    <col min="1" max="1" width="14.140625" customWidth="1"/>
    <col min="2" max="2" width="10.7109375" customWidth="1"/>
    <col min="3" max="3" width="24" customWidth="1"/>
  </cols>
  <sheetData>
    <row r="1" spans="1:3" s="1" customFormat="1" ht="12.75" x14ac:dyDescent="0.2"/>
    <row r="2" spans="1:3" x14ac:dyDescent="0.25">
      <c r="A2" s="14" t="s">
        <v>36</v>
      </c>
      <c r="B2" s="15"/>
      <c r="C2" s="15"/>
    </row>
    <row r="3" spans="1:3" x14ac:dyDescent="0.25">
      <c r="A3" s="16"/>
      <c r="B3" s="16"/>
      <c r="C3" s="16"/>
    </row>
    <row r="4" spans="1:3" x14ac:dyDescent="0.25">
      <c r="A4" s="17" t="s">
        <v>13</v>
      </c>
      <c r="B4" s="18" t="s">
        <v>37</v>
      </c>
      <c r="C4" s="19" t="s">
        <v>17</v>
      </c>
    </row>
    <row r="5" spans="1:3" ht="63" customHeight="1" x14ac:dyDescent="0.25">
      <c r="A5" s="17"/>
      <c r="B5" s="18"/>
    </row>
    <row r="6" spans="1:3" x14ac:dyDescent="0.25">
      <c r="A6" s="20" t="s">
        <v>29</v>
      </c>
      <c r="B6" s="21">
        <v>210</v>
      </c>
      <c r="C6" s="22">
        <v>0.52876190476190477</v>
      </c>
    </row>
    <row r="7" spans="1:3" x14ac:dyDescent="0.25">
      <c r="A7" s="20" t="s">
        <v>31</v>
      </c>
      <c r="B7" s="21">
        <v>210</v>
      </c>
      <c r="C7" s="22">
        <v>0.53357142857142859</v>
      </c>
    </row>
    <row r="8" spans="1:3" x14ac:dyDescent="0.25">
      <c r="A8" s="20" t="s">
        <v>33</v>
      </c>
      <c r="B8" s="21">
        <v>210</v>
      </c>
      <c r="C8" s="22">
        <v>0.54542857142857148</v>
      </c>
    </row>
    <row r="9" spans="1:3" x14ac:dyDescent="0.25">
      <c r="A9" s="20" t="s">
        <v>32</v>
      </c>
      <c r="B9" s="21">
        <v>210</v>
      </c>
      <c r="C9" s="22">
        <v>0.55461904761904768</v>
      </c>
    </row>
    <row r="10" spans="1:3" x14ac:dyDescent="0.25">
      <c r="A10" s="20" t="s">
        <v>34</v>
      </c>
      <c r="B10" s="21">
        <v>210</v>
      </c>
      <c r="C10" s="22">
        <v>0.55619047619047624</v>
      </c>
    </row>
    <row r="11" spans="1:3" x14ac:dyDescent="0.25">
      <c r="A11" s="20" t="s">
        <v>35</v>
      </c>
      <c r="B11" s="21">
        <v>210</v>
      </c>
      <c r="C11" s="22">
        <v>0.55780952380952376</v>
      </c>
    </row>
  </sheetData>
  <pageMargins left="1.75" right="0.7" top="1.75" bottom="0.75" header="0.3" footer="0.3"/>
  <pageSetup orientation="portrait" r:id="rId1"/>
  <drawing r:id="rId2"/>
  <legacyDrawing r:id="rId3"/>
  <oleObjects>
    <mc:AlternateContent xmlns:mc="http://schemas.openxmlformats.org/markup-compatibility/2006">
      <mc:Choice Requires="x14">
        <oleObject progId="Equation.3" shapeId="8193" r:id="rId4">
          <objectPr defaultSize="0" autoPict="0" r:id="rId5">
            <anchor moveWithCells="1" sizeWithCells="1">
              <from>
                <xdr:col>2</xdr:col>
                <xdr:colOff>238125</xdr:colOff>
                <xdr:row>4</xdr:row>
                <xdr:rowOff>47625</xdr:rowOff>
              </from>
              <to>
                <xdr:col>2</xdr:col>
                <xdr:colOff>1485900</xdr:colOff>
                <xdr:row>4</xdr:row>
                <xdr:rowOff>704850</xdr:rowOff>
              </to>
            </anchor>
          </objectPr>
        </oleObject>
      </mc:Choice>
      <mc:Fallback>
        <oleObject progId="Equation.3" shapeId="8193" r:id="rId4"/>
      </mc:Fallback>
    </mc:AlternateContent>
  </oleObjec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
  <sheetViews>
    <sheetView workbookViewId="0"/>
  </sheetViews>
  <sheetFormatPr defaultRowHeight="15" x14ac:dyDescent="0.25"/>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C20"/>
  <sheetViews>
    <sheetView workbookViewId="0">
      <selection activeCell="J35" sqref="J35"/>
    </sheetView>
  </sheetViews>
  <sheetFormatPr defaultRowHeight="15" x14ac:dyDescent="0.25"/>
  <cols>
    <col min="1" max="1" width="33.5703125" bestFit="1" customWidth="1"/>
    <col min="2" max="2" width="6.5703125" bestFit="1" customWidth="1"/>
    <col min="3" max="3" width="9.7109375" bestFit="1" customWidth="1"/>
    <col min="4" max="4" width="3.5703125" customWidth="1"/>
    <col min="5" max="5" width="3.7109375" customWidth="1"/>
    <col min="6" max="6" width="6.42578125" customWidth="1"/>
  </cols>
  <sheetData>
    <row r="1" spans="1:3" x14ac:dyDescent="0.25">
      <c r="A1" t="s">
        <v>160</v>
      </c>
    </row>
    <row r="3" spans="1:3" x14ac:dyDescent="0.25">
      <c r="A3" t="s">
        <v>161</v>
      </c>
    </row>
    <row r="4" spans="1:3" x14ac:dyDescent="0.25">
      <c r="A4" t="s">
        <v>75</v>
      </c>
      <c r="B4" t="s">
        <v>76</v>
      </c>
      <c r="C4" t="s">
        <v>77</v>
      </c>
    </row>
    <row r="6" spans="1:3" x14ac:dyDescent="0.25">
      <c r="A6" t="s">
        <v>79</v>
      </c>
      <c r="B6" t="s">
        <v>162</v>
      </c>
      <c r="C6" s="82">
        <v>42794</v>
      </c>
    </row>
    <row r="7" spans="1:3" x14ac:dyDescent="0.25">
      <c r="A7" t="s">
        <v>78</v>
      </c>
      <c r="B7" t="s">
        <v>163</v>
      </c>
      <c r="C7" s="82">
        <v>42619</v>
      </c>
    </row>
    <row r="8" spans="1:3" x14ac:dyDescent="0.25">
      <c r="A8" t="s">
        <v>78</v>
      </c>
      <c r="B8" t="s">
        <v>162</v>
      </c>
      <c r="C8" s="82">
        <v>41582</v>
      </c>
    </row>
    <row r="9" spans="1:3" x14ac:dyDescent="0.25">
      <c r="A9" t="s">
        <v>78</v>
      </c>
      <c r="B9" t="s">
        <v>80</v>
      </c>
      <c r="C9" s="82">
        <v>41442</v>
      </c>
    </row>
    <row r="10" spans="1:3" x14ac:dyDescent="0.25">
      <c r="A10" t="s">
        <v>78</v>
      </c>
      <c r="B10" t="s">
        <v>162</v>
      </c>
      <c r="C10" s="82">
        <v>39084</v>
      </c>
    </row>
    <row r="11" spans="1:3" x14ac:dyDescent="0.25">
      <c r="A11" t="s">
        <v>71</v>
      </c>
      <c r="B11" t="s">
        <v>162</v>
      </c>
      <c r="C11" s="82">
        <v>38610</v>
      </c>
    </row>
    <row r="12" spans="1:3" x14ac:dyDescent="0.25">
      <c r="A12" t="s">
        <v>71</v>
      </c>
      <c r="B12" t="s">
        <v>80</v>
      </c>
      <c r="C12" s="82">
        <v>38482</v>
      </c>
    </row>
    <row r="13" spans="1:3" x14ac:dyDescent="0.25">
      <c r="A13" t="s">
        <v>71</v>
      </c>
      <c r="B13" t="s">
        <v>162</v>
      </c>
      <c r="C13" s="82">
        <v>38027</v>
      </c>
    </row>
    <row r="14" spans="1:3" x14ac:dyDescent="0.25">
      <c r="A14" t="s">
        <v>78</v>
      </c>
      <c r="B14" t="s">
        <v>162</v>
      </c>
      <c r="C14" s="82">
        <v>37789</v>
      </c>
    </row>
    <row r="15" spans="1:3" x14ac:dyDescent="0.25">
      <c r="A15" s="44" t="s">
        <v>79</v>
      </c>
      <c r="B15" s="44"/>
      <c r="C15" s="45">
        <v>37652</v>
      </c>
    </row>
    <row r="16" spans="1:3" x14ac:dyDescent="0.25">
      <c r="A16" s="44" t="s">
        <v>70</v>
      </c>
      <c r="B16" s="44"/>
      <c r="C16" s="45">
        <v>37482</v>
      </c>
    </row>
    <row r="17" spans="1:3" x14ac:dyDescent="0.25">
      <c r="A17" s="44" t="s">
        <v>83</v>
      </c>
      <c r="B17" s="44" t="s">
        <v>80</v>
      </c>
      <c r="C17" s="45">
        <v>37453</v>
      </c>
    </row>
    <row r="18" spans="1:3" x14ac:dyDescent="0.25">
      <c r="A18" s="44" t="s">
        <v>83</v>
      </c>
      <c r="B18" s="44"/>
      <c r="C18" s="45">
        <v>37340</v>
      </c>
    </row>
    <row r="19" spans="1:3" x14ac:dyDescent="0.25">
      <c r="A19" s="44" t="s">
        <v>79</v>
      </c>
      <c r="B19" s="44" t="s">
        <v>163</v>
      </c>
      <c r="C19" s="45">
        <v>37158</v>
      </c>
    </row>
    <row r="20" spans="1:3" x14ac:dyDescent="0.25">
      <c r="A20" s="44" t="s">
        <v>79</v>
      </c>
      <c r="B20" s="44"/>
      <c r="C20" s="45">
        <v>36948</v>
      </c>
    </row>
  </sheetData>
  <pageMargins left="0.7" right="0.7" top="1.5" bottom="0.75" header="0.3" footer="0.3"/>
  <pageSetup scale="7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J322"/>
  <sheetViews>
    <sheetView workbookViewId="0">
      <selection activeCell="A2" sqref="A2"/>
    </sheetView>
  </sheetViews>
  <sheetFormatPr defaultColWidth="9.140625" defaultRowHeight="12.75" x14ac:dyDescent="0.2"/>
  <cols>
    <col min="1" max="2" width="9.140625" style="1"/>
    <col min="3" max="3" width="10.5703125" style="1" customWidth="1"/>
    <col min="4" max="7" width="15.7109375" style="1" customWidth="1"/>
    <col min="8" max="8" width="21.140625" style="1" customWidth="1"/>
    <col min="9" max="10" width="15.85546875" style="1" customWidth="1"/>
    <col min="11" max="16384" width="9.140625" style="1"/>
  </cols>
  <sheetData>
    <row r="1" spans="1:10" ht="6" customHeight="1" x14ac:dyDescent="0.2"/>
    <row r="2" spans="1:10" ht="6.75" customHeight="1" x14ac:dyDescent="0.2"/>
    <row r="4" spans="1:10" s="2" customFormat="1" ht="25.5" x14ac:dyDescent="0.2">
      <c r="D4" s="5" t="s">
        <v>62</v>
      </c>
      <c r="E4" s="5" t="s">
        <v>62</v>
      </c>
      <c r="F4" s="5" t="s">
        <v>62</v>
      </c>
      <c r="G4" s="5" t="s">
        <v>63</v>
      </c>
      <c r="H4" s="5" t="s">
        <v>64</v>
      </c>
      <c r="I4" s="5" t="s">
        <v>65</v>
      </c>
      <c r="J4" s="5" t="s">
        <v>65</v>
      </c>
    </row>
    <row r="5" spans="1:10" s="5" customFormat="1" ht="25.5" x14ac:dyDescent="0.25">
      <c r="A5" s="5" t="s">
        <v>0</v>
      </c>
      <c r="B5" s="5" t="s">
        <v>66</v>
      </c>
      <c r="C5" s="5" t="s">
        <v>67</v>
      </c>
      <c r="D5" s="3" t="s">
        <v>68</v>
      </c>
      <c r="E5" s="3" t="s">
        <v>69</v>
      </c>
      <c r="F5" s="3" t="s">
        <v>70</v>
      </c>
      <c r="G5" s="3" t="s">
        <v>71</v>
      </c>
      <c r="H5" s="3" t="s">
        <v>72</v>
      </c>
      <c r="I5" s="3" t="s">
        <v>73</v>
      </c>
      <c r="J5" s="3" t="s">
        <v>74</v>
      </c>
    </row>
    <row r="6" spans="1:10" x14ac:dyDescent="0.2">
      <c r="A6" s="1">
        <v>1992</v>
      </c>
      <c r="B6" s="1">
        <v>1</v>
      </c>
      <c r="C6" s="4" t="str">
        <f>CONCATENATE(A6,"M",B6)</f>
        <v>1992M1</v>
      </c>
      <c r="H6" s="13"/>
    </row>
    <row r="7" spans="1:10" x14ac:dyDescent="0.2">
      <c r="A7" s="1">
        <v>1992</v>
      </c>
      <c r="B7" s="1">
        <v>2</v>
      </c>
      <c r="C7" s="4" t="str">
        <f t="shared" ref="C7:C70" si="0">CONCATENATE(A7,"M",B7)</f>
        <v>1992M2</v>
      </c>
      <c r="H7" s="13"/>
    </row>
    <row r="8" spans="1:10" x14ac:dyDescent="0.2">
      <c r="A8" s="1">
        <v>1992</v>
      </c>
      <c r="B8" s="1">
        <v>3</v>
      </c>
      <c r="C8" s="4" t="str">
        <f t="shared" si="0"/>
        <v>1992M3</v>
      </c>
      <c r="H8" s="13"/>
    </row>
    <row r="9" spans="1:10" x14ac:dyDescent="0.2">
      <c r="A9" s="1">
        <v>1992</v>
      </c>
      <c r="B9" s="1">
        <v>4</v>
      </c>
      <c r="C9" s="4" t="str">
        <f t="shared" si="0"/>
        <v>1992M4</v>
      </c>
      <c r="H9" s="13"/>
    </row>
    <row r="10" spans="1:10" x14ac:dyDescent="0.2">
      <c r="A10" s="1">
        <v>1992</v>
      </c>
      <c r="B10" s="1">
        <v>5</v>
      </c>
      <c r="C10" s="4" t="str">
        <f t="shared" si="0"/>
        <v>1992M5</v>
      </c>
      <c r="H10" s="13"/>
    </row>
    <row r="11" spans="1:10" x14ac:dyDescent="0.2">
      <c r="A11" s="1">
        <v>1992</v>
      </c>
      <c r="B11" s="1">
        <v>6</v>
      </c>
      <c r="C11" s="4" t="str">
        <f t="shared" si="0"/>
        <v>1992M6</v>
      </c>
      <c r="H11" s="13"/>
    </row>
    <row r="12" spans="1:10" x14ac:dyDescent="0.2">
      <c r="A12" s="1">
        <v>1992</v>
      </c>
      <c r="B12" s="1">
        <v>7</v>
      </c>
      <c r="C12" s="4" t="str">
        <f t="shared" si="0"/>
        <v>1992M7</v>
      </c>
      <c r="H12" s="13"/>
    </row>
    <row r="13" spans="1:10" x14ac:dyDescent="0.2">
      <c r="A13" s="1">
        <v>1992</v>
      </c>
      <c r="B13" s="1">
        <v>8</v>
      </c>
      <c r="C13" s="4" t="str">
        <f t="shared" si="0"/>
        <v>1992M8</v>
      </c>
      <c r="H13" s="13"/>
    </row>
    <row r="14" spans="1:10" x14ac:dyDescent="0.2">
      <c r="A14" s="1">
        <v>1992</v>
      </c>
      <c r="B14" s="1">
        <v>9</v>
      </c>
      <c r="C14" s="4" t="str">
        <f t="shared" si="0"/>
        <v>1992M9</v>
      </c>
      <c r="H14" s="13"/>
    </row>
    <row r="15" spans="1:10" x14ac:dyDescent="0.2">
      <c r="A15" s="1">
        <v>1992</v>
      </c>
      <c r="B15" s="1">
        <v>10</v>
      </c>
      <c r="C15" s="4" t="str">
        <f t="shared" si="0"/>
        <v>1992M10</v>
      </c>
      <c r="H15" s="13"/>
    </row>
    <row r="16" spans="1:10" x14ac:dyDescent="0.2">
      <c r="A16" s="1">
        <v>1992</v>
      </c>
      <c r="B16" s="1">
        <v>11</v>
      </c>
      <c r="C16" s="4" t="str">
        <f t="shared" si="0"/>
        <v>1992M11</v>
      </c>
      <c r="H16" s="13"/>
    </row>
    <row r="17" spans="1:8" x14ac:dyDescent="0.2">
      <c r="A17" s="1">
        <v>1992</v>
      </c>
      <c r="B17" s="1">
        <v>12</v>
      </c>
      <c r="C17" s="4" t="str">
        <f t="shared" si="0"/>
        <v>1992M12</v>
      </c>
      <c r="D17" s="41">
        <v>7.9379999999999997</v>
      </c>
      <c r="E17" s="41">
        <v>8.2480000000000011</v>
      </c>
      <c r="F17" s="41">
        <v>8.3620000000000001</v>
      </c>
      <c r="G17" s="41">
        <v>8.61</v>
      </c>
      <c r="H17" s="42">
        <v>10.541043326568413</v>
      </c>
    </row>
    <row r="18" spans="1:8" x14ac:dyDescent="0.2">
      <c r="A18" s="1">
        <v>1993</v>
      </c>
      <c r="B18" s="1">
        <v>1</v>
      </c>
      <c r="C18" s="4" t="str">
        <f t="shared" si="0"/>
        <v>1993M1</v>
      </c>
      <c r="D18" s="41">
        <v>7.9352631578947355</v>
      </c>
      <c r="E18" s="41">
        <v>8.14</v>
      </c>
      <c r="F18" s="41">
        <v>8.2705263157894766</v>
      </c>
      <c r="G18" s="41">
        <v>8.5642105263157866</v>
      </c>
      <c r="H18" s="42">
        <v>10.48498422947131</v>
      </c>
    </row>
    <row r="19" spans="1:8" x14ac:dyDescent="0.2">
      <c r="A19" s="1">
        <v>1993</v>
      </c>
      <c r="B19" s="1">
        <v>2</v>
      </c>
      <c r="C19" s="4" t="str">
        <f t="shared" si="0"/>
        <v>1993M2</v>
      </c>
      <c r="D19" s="41">
        <v>7.7536842105263153</v>
      </c>
      <c r="E19" s="41">
        <v>7.9142105263157898</v>
      </c>
      <c r="F19" s="41">
        <v>8.0357894736842095</v>
      </c>
      <c r="G19" s="41">
        <v>8.3168421052631558</v>
      </c>
      <c r="H19" s="42">
        <v>10.182136233659394</v>
      </c>
    </row>
    <row r="20" spans="1:8" x14ac:dyDescent="0.2">
      <c r="A20" s="1">
        <v>1993</v>
      </c>
      <c r="B20" s="1">
        <v>3</v>
      </c>
      <c r="C20" s="4" t="str">
        <f t="shared" si="0"/>
        <v>1993M3</v>
      </c>
      <c r="D20" s="41">
        <v>7.6408695652173906</v>
      </c>
      <c r="E20" s="41">
        <v>7.7578260869565216</v>
      </c>
      <c r="F20" s="41">
        <v>7.9034782608695648</v>
      </c>
      <c r="G20" s="41">
        <v>8.095217391304347</v>
      </c>
      <c r="H20" s="42">
        <v>9.9108057212229088</v>
      </c>
    </row>
    <row r="21" spans="1:8" x14ac:dyDescent="0.2">
      <c r="A21" s="1">
        <v>1993</v>
      </c>
      <c r="B21" s="1">
        <v>4</v>
      </c>
      <c r="C21" s="4" t="str">
        <f t="shared" si="0"/>
        <v>1993M4</v>
      </c>
      <c r="D21" s="41">
        <v>7.5047619047619047</v>
      </c>
      <c r="E21" s="41">
        <v>7.6380952380952385</v>
      </c>
      <c r="F21" s="41">
        <v>7.8138095238095238</v>
      </c>
      <c r="G21" s="41">
        <v>8.1052380952380965</v>
      </c>
      <c r="H21" s="42">
        <v>9.9230738599370056</v>
      </c>
    </row>
    <row r="22" spans="1:8" x14ac:dyDescent="0.2">
      <c r="A22" s="1">
        <v>1993</v>
      </c>
      <c r="B22" s="1">
        <v>5</v>
      </c>
      <c r="C22" s="4" t="str">
        <f t="shared" si="0"/>
        <v>1993M5</v>
      </c>
      <c r="D22" s="41">
        <v>7.4394999999999998</v>
      </c>
      <c r="E22" s="41">
        <v>7.6370000000000022</v>
      </c>
      <c r="F22" s="41">
        <v>7.8519999999999994</v>
      </c>
      <c r="G22" s="41">
        <v>8.1844999999999999</v>
      </c>
      <c r="H22" s="42">
        <v>10.020112555900022</v>
      </c>
    </row>
    <row r="23" spans="1:8" x14ac:dyDescent="0.2">
      <c r="A23" s="1">
        <v>1993</v>
      </c>
      <c r="B23" s="1">
        <v>6</v>
      </c>
      <c r="C23" s="4" t="str">
        <f t="shared" si="0"/>
        <v>1993M6</v>
      </c>
      <c r="D23" s="41">
        <v>7.3659090909090912</v>
      </c>
      <c r="E23" s="41">
        <v>7.5359090909090902</v>
      </c>
      <c r="F23" s="41">
        <v>7.748636363636364</v>
      </c>
      <c r="G23" s="41">
        <v>8.0504545454545422</v>
      </c>
      <c r="H23" s="42">
        <v>9.8560035031598083</v>
      </c>
    </row>
    <row r="24" spans="1:8" x14ac:dyDescent="0.2">
      <c r="A24" s="1">
        <v>1993</v>
      </c>
      <c r="B24" s="1">
        <v>7</v>
      </c>
      <c r="C24" s="4" t="str">
        <f t="shared" si="0"/>
        <v>1993M7</v>
      </c>
      <c r="D24" s="41">
        <v>7.2494999999999994</v>
      </c>
      <c r="E24" s="41">
        <v>7.3789999999999996</v>
      </c>
      <c r="F24" s="41">
        <v>7.5344999999999995</v>
      </c>
      <c r="G24" s="41">
        <v>7.9359999999999999</v>
      </c>
      <c r="H24" s="42">
        <v>9.7158791915966241</v>
      </c>
    </row>
    <row r="25" spans="1:8" x14ac:dyDescent="0.2">
      <c r="A25" s="1">
        <v>1993</v>
      </c>
      <c r="B25" s="1">
        <v>8</v>
      </c>
      <c r="C25" s="4" t="str">
        <f t="shared" si="0"/>
        <v>1993M8</v>
      </c>
      <c r="D25" s="41">
        <v>6.9445454545454535</v>
      </c>
      <c r="E25" s="41">
        <v>7.0668181818181814</v>
      </c>
      <c r="F25" s="41">
        <v>7.250909090909091</v>
      </c>
      <c r="G25" s="41">
        <v>7.592727272727271</v>
      </c>
      <c r="H25" s="42">
        <v>9.2956175550099651</v>
      </c>
    </row>
    <row r="26" spans="1:8" x14ac:dyDescent="0.2">
      <c r="A26" s="1">
        <v>1993</v>
      </c>
      <c r="B26" s="1">
        <v>9</v>
      </c>
      <c r="C26" s="4" t="str">
        <f t="shared" si="0"/>
        <v>1993M9</v>
      </c>
      <c r="D26" s="41">
        <v>6.7566666666666677</v>
      </c>
      <c r="E26" s="41">
        <v>6.8938095238095256</v>
      </c>
      <c r="F26" s="41">
        <v>7.0376190476190477</v>
      </c>
      <c r="G26" s="41">
        <v>7.3547619047619026</v>
      </c>
      <c r="H26" s="42">
        <v>9.0042815208699238</v>
      </c>
    </row>
    <row r="27" spans="1:8" x14ac:dyDescent="0.2">
      <c r="A27" s="1">
        <v>1993</v>
      </c>
      <c r="B27" s="1">
        <v>10</v>
      </c>
      <c r="C27" s="4" t="str">
        <f t="shared" si="0"/>
        <v>1993M10</v>
      </c>
      <c r="D27" s="41">
        <v>6.7733333333333352</v>
      </c>
      <c r="E27" s="41">
        <v>6.9052380952380963</v>
      </c>
      <c r="F27" s="41">
        <v>7.0280952380952382</v>
      </c>
      <c r="G27" s="41">
        <v>7.269047619047619</v>
      </c>
      <c r="H27" s="42">
        <v>8.8993433095551602</v>
      </c>
    </row>
    <row r="28" spans="1:8" x14ac:dyDescent="0.2">
      <c r="A28" s="1">
        <v>1993</v>
      </c>
      <c r="B28" s="1">
        <v>11</v>
      </c>
      <c r="C28" s="4" t="str">
        <f t="shared" si="0"/>
        <v>1993M11</v>
      </c>
      <c r="D28" s="41">
        <v>7.06</v>
      </c>
      <c r="E28" s="41">
        <v>7.1714999999999991</v>
      </c>
      <c r="F28" s="41">
        <v>7.3009999999999993</v>
      </c>
      <c r="G28" s="41">
        <v>7.6854999999999976</v>
      </c>
      <c r="H28" s="42">
        <v>9.4091972690292121</v>
      </c>
    </row>
    <row r="29" spans="1:8" x14ac:dyDescent="0.2">
      <c r="A29" s="1">
        <v>1993</v>
      </c>
      <c r="B29" s="1">
        <v>12</v>
      </c>
      <c r="C29" s="4" t="str">
        <f t="shared" si="0"/>
        <v>1993M12</v>
      </c>
      <c r="D29" s="41">
        <v>7.0604545454545464</v>
      </c>
      <c r="E29" s="41">
        <v>7.1818181818181834</v>
      </c>
      <c r="F29" s="41">
        <v>7.3395454545454548</v>
      </c>
      <c r="G29" s="41">
        <v>7.7318181818181815</v>
      </c>
      <c r="H29" s="42">
        <v>9.4659036524616571</v>
      </c>
    </row>
    <row r="30" spans="1:8" x14ac:dyDescent="0.2">
      <c r="A30" s="1">
        <v>1994</v>
      </c>
      <c r="B30" s="1">
        <v>1</v>
      </c>
      <c r="C30" s="4" t="str">
        <f t="shared" si="0"/>
        <v>1994M1</v>
      </c>
      <c r="D30" s="41">
        <v>7.0476190476190474</v>
      </c>
      <c r="E30" s="41">
        <v>7.1852380952380948</v>
      </c>
      <c r="F30" s="41">
        <v>7.3252380952380962</v>
      </c>
      <c r="G30" s="41">
        <v>7.6623809523809534</v>
      </c>
      <c r="H30" s="42">
        <v>9.3808931014773727</v>
      </c>
    </row>
    <row r="31" spans="1:8" x14ac:dyDescent="0.2">
      <c r="A31" s="1">
        <v>1994</v>
      </c>
      <c r="B31" s="1">
        <v>2</v>
      </c>
      <c r="C31" s="4" t="str">
        <f t="shared" si="0"/>
        <v>1994M2</v>
      </c>
      <c r="D31" s="41">
        <v>7.19</v>
      </c>
      <c r="E31" s="41">
        <v>7.3336842105263162</v>
      </c>
      <c r="F31" s="41">
        <v>7.4594736842105274</v>
      </c>
      <c r="G31" s="41">
        <v>7.7642105263157886</v>
      </c>
      <c r="H31" s="42">
        <v>9.5055609238668151</v>
      </c>
    </row>
    <row r="32" spans="1:8" x14ac:dyDescent="0.2">
      <c r="A32" s="1">
        <v>1994</v>
      </c>
      <c r="B32" s="1">
        <v>3</v>
      </c>
      <c r="C32" s="4" t="str">
        <f t="shared" si="0"/>
        <v>1994M3</v>
      </c>
      <c r="D32" s="41">
        <v>7.6013043478260878</v>
      </c>
      <c r="E32" s="41">
        <v>7.7443478260869565</v>
      </c>
      <c r="F32" s="41">
        <v>7.8473913043478252</v>
      </c>
      <c r="G32" s="41">
        <v>8.11</v>
      </c>
      <c r="H32" s="42">
        <v>9.9289037605656016</v>
      </c>
    </row>
    <row r="33" spans="1:8" x14ac:dyDescent="0.2">
      <c r="A33" s="1">
        <v>1994</v>
      </c>
      <c r="B33" s="1">
        <v>4</v>
      </c>
      <c r="C33" s="4" t="str">
        <f t="shared" si="0"/>
        <v>1994M4</v>
      </c>
      <c r="D33" s="41">
        <v>7.9952631578947368</v>
      </c>
      <c r="E33" s="41">
        <v>8.1221052631578949</v>
      </c>
      <c r="F33" s="41">
        <v>8.2221052631578946</v>
      </c>
      <c r="G33" s="41">
        <v>8.4721052631578928</v>
      </c>
      <c r="H33" s="42">
        <v>10.372221677839216</v>
      </c>
    </row>
    <row r="34" spans="1:8" x14ac:dyDescent="0.2">
      <c r="A34" s="1">
        <v>1994</v>
      </c>
      <c r="B34" s="1">
        <v>5</v>
      </c>
      <c r="C34" s="4" t="str">
        <f t="shared" si="0"/>
        <v>1994M5</v>
      </c>
      <c r="D34" s="41">
        <v>8.1090476190476188</v>
      </c>
      <c r="E34" s="41">
        <v>8.2380952380952372</v>
      </c>
      <c r="F34" s="41">
        <v>8.3328571428571436</v>
      </c>
      <c r="G34" s="41">
        <v>8.61</v>
      </c>
      <c r="H34" s="42">
        <v>10.541043326568413</v>
      </c>
    </row>
    <row r="35" spans="1:8" x14ac:dyDescent="0.2">
      <c r="A35" s="1">
        <v>1994</v>
      </c>
      <c r="B35" s="1">
        <v>6</v>
      </c>
      <c r="C35" s="4" t="str">
        <f t="shared" si="0"/>
        <v>1994M6</v>
      </c>
      <c r="D35" s="41">
        <v>8.0672727272727247</v>
      </c>
      <c r="E35" s="41">
        <v>8.2131818181818197</v>
      </c>
      <c r="F35" s="41">
        <v>8.3140909090909076</v>
      </c>
      <c r="G35" s="41">
        <v>8.6381818181818169</v>
      </c>
      <c r="H35" s="42">
        <v>10.575545738470389</v>
      </c>
    </row>
    <row r="36" spans="1:8" x14ac:dyDescent="0.2">
      <c r="A36" s="1">
        <v>1994</v>
      </c>
      <c r="B36" s="1">
        <v>7</v>
      </c>
      <c r="C36" s="4" t="str">
        <f t="shared" si="0"/>
        <v>1994M7</v>
      </c>
      <c r="D36" s="41">
        <v>8.2099999999999991</v>
      </c>
      <c r="E36" s="41">
        <v>8.3749999999999982</v>
      </c>
      <c r="F36" s="41">
        <v>8.4649999999999981</v>
      </c>
      <c r="G36" s="41">
        <v>8.8000000000000007</v>
      </c>
      <c r="H36" s="42">
        <v>10.773656361649483</v>
      </c>
    </row>
    <row r="37" spans="1:8" x14ac:dyDescent="0.2">
      <c r="A37" s="1">
        <v>1994</v>
      </c>
      <c r="B37" s="1">
        <v>8</v>
      </c>
      <c r="C37" s="4" t="str">
        <f t="shared" si="0"/>
        <v>1994M8</v>
      </c>
      <c r="D37" s="41">
        <v>8.1513043478260876</v>
      </c>
      <c r="E37" s="41">
        <v>8.3169565217391295</v>
      </c>
      <c r="F37" s="41">
        <v>8.4117391304347819</v>
      </c>
      <c r="G37" s="41">
        <v>8.7443478260869565</v>
      </c>
      <c r="H37" s="42">
        <v>10.705522566476995</v>
      </c>
    </row>
    <row r="38" spans="1:8" x14ac:dyDescent="0.2">
      <c r="A38" s="1">
        <v>1994</v>
      </c>
      <c r="B38" s="1">
        <v>9</v>
      </c>
      <c r="C38" s="4" t="str">
        <f t="shared" si="0"/>
        <v>1994M9</v>
      </c>
      <c r="D38" s="41">
        <v>8.4057894736842087</v>
      </c>
      <c r="E38" s="41">
        <v>8.5505263157894742</v>
      </c>
      <c r="F38" s="41">
        <v>8.6331578947368453</v>
      </c>
      <c r="G38" s="41">
        <v>8.9799999999999986</v>
      </c>
      <c r="H38" s="42">
        <v>10.994026605410493</v>
      </c>
    </row>
    <row r="39" spans="1:8" x14ac:dyDescent="0.2">
      <c r="A39" s="1">
        <v>1994</v>
      </c>
      <c r="B39" s="1">
        <v>10</v>
      </c>
      <c r="C39" s="4" t="str">
        <f t="shared" si="0"/>
        <v>1994M10</v>
      </c>
      <c r="D39" s="41">
        <v>8.6552380952380936</v>
      </c>
      <c r="E39" s="41">
        <v>8.7823809523809544</v>
      </c>
      <c r="F39" s="41">
        <v>8.8595238095238109</v>
      </c>
      <c r="G39" s="41">
        <v>9.2476190476190467</v>
      </c>
      <c r="H39" s="42">
        <v>11.321667020737712</v>
      </c>
    </row>
    <row r="40" spans="1:8" x14ac:dyDescent="0.2">
      <c r="A40" s="1">
        <v>1994</v>
      </c>
      <c r="B40" s="1">
        <v>11</v>
      </c>
      <c r="C40" s="4" t="str">
        <f t="shared" si="0"/>
        <v>1994M11</v>
      </c>
      <c r="D40" s="41">
        <v>8.763499999999997</v>
      </c>
      <c r="E40" s="41">
        <v>8.9009999999999998</v>
      </c>
      <c r="F40" s="41">
        <v>8.9740000000000002</v>
      </c>
      <c r="G40" s="41">
        <v>9.3490000000000002</v>
      </c>
      <c r="H40" s="42">
        <v>11.44578560512057</v>
      </c>
    </row>
    <row r="41" spans="1:8" x14ac:dyDescent="0.2">
      <c r="A41" s="1">
        <v>1994</v>
      </c>
      <c r="B41" s="1">
        <v>12</v>
      </c>
      <c r="C41" s="4" t="str">
        <f t="shared" si="0"/>
        <v>1994M12</v>
      </c>
      <c r="D41" s="41">
        <v>8.5519047619047619</v>
      </c>
      <c r="E41" s="41">
        <v>8.6880952380952383</v>
      </c>
      <c r="F41" s="41">
        <v>8.7638095238095239</v>
      </c>
      <c r="G41" s="41">
        <v>9.1552380952380936</v>
      </c>
      <c r="H41" s="42">
        <v>11.208566948542906</v>
      </c>
    </row>
    <row r="42" spans="1:8" x14ac:dyDescent="0.2">
      <c r="A42" s="1">
        <v>1995</v>
      </c>
      <c r="B42" s="1">
        <v>1</v>
      </c>
      <c r="C42" s="4" t="str">
        <f t="shared" si="0"/>
        <v>1995M1</v>
      </c>
      <c r="D42" s="41">
        <v>8.534285714285712</v>
      </c>
      <c r="E42" s="41">
        <v>8.6642857142857146</v>
      </c>
      <c r="F42" s="41">
        <v>8.7338095238095228</v>
      </c>
      <c r="G42" s="41">
        <v>9.1533333333333342</v>
      </c>
      <c r="H42" s="42">
        <v>11.20623498829147</v>
      </c>
    </row>
    <row r="43" spans="1:8" x14ac:dyDescent="0.2">
      <c r="A43" s="1">
        <v>1995</v>
      </c>
      <c r="B43" s="1">
        <v>2</v>
      </c>
      <c r="C43" s="4" t="str">
        <f t="shared" si="0"/>
        <v>1995M2</v>
      </c>
      <c r="D43" s="41">
        <v>8.3242105263157882</v>
      </c>
      <c r="E43" s="41">
        <v>8.4484210526315788</v>
      </c>
      <c r="F43" s="41">
        <v>8.5205263157894748</v>
      </c>
      <c r="G43" s="41">
        <v>8.9284210526315793</v>
      </c>
      <c r="H43" s="42">
        <v>10.930879576496521</v>
      </c>
    </row>
    <row r="44" spans="1:8" x14ac:dyDescent="0.2">
      <c r="A44" s="1">
        <v>1995</v>
      </c>
      <c r="B44" s="1">
        <v>3</v>
      </c>
      <c r="C44" s="4" t="str">
        <f t="shared" si="0"/>
        <v>1995M3</v>
      </c>
      <c r="D44" s="41">
        <v>8.1756521739130399</v>
      </c>
      <c r="E44" s="41">
        <v>8.2934782608695663</v>
      </c>
      <c r="F44" s="41">
        <v>8.371739130434781</v>
      </c>
      <c r="G44" s="41">
        <v>8.7752173913043467</v>
      </c>
      <c r="H44" s="42">
        <v>10.743315530986733</v>
      </c>
    </row>
    <row r="45" spans="1:8" x14ac:dyDescent="0.2">
      <c r="A45" s="1">
        <v>1995</v>
      </c>
      <c r="B45" s="1">
        <v>4</v>
      </c>
      <c r="C45" s="4" t="str">
        <f t="shared" si="0"/>
        <v>1995M4</v>
      </c>
      <c r="D45" s="41">
        <v>8.0757894736842086</v>
      </c>
      <c r="E45" s="41">
        <v>8.1747368421052631</v>
      </c>
      <c r="F45" s="41">
        <v>8.2726315789473688</v>
      </c>
      <c r="G45" s="41">
        <v>8.6731578947368408</v>
      </c>
      <c r="H45" s="42">
        <v>10.618366219116137</v>
      </c>
    </row>
    <row r="46" spans="1:8" x14ac:dyDescent="0.2">
      <c r="A46" s="1">
        <v>1995</v>
      </c>
      <c r="B46" s="1">
        <v>5</v>
      </c>
      <c r="C46" s="4" t="str">
        <f t="shared" si="0"/>
        <v>1995M5</v>
      </c>
      <c r="D46" s="41">
        <v>7.709090909090909</v>
      </c>
      <c r="E46" s="41">
        <v>7.7977272727272728</v>
      </c>
      <c r="F46" s="41">
        <v>7.9050000000000011</v>
      </c>
      <c r="G46" s="41">
        <v>8.2995454545454539</v>
      </c>
      <c r="H46" s="42">
        <v>10.160960305132122</v>
      </c>
    </row>
    <row r="47" spans="1:8" x14ac:dyDescent="0.2">
      <c r="A47" s="1">
        <v>1995</v>
      </c>
      <c r="B47" s="1">
        <v>6</v>
      </c>
      <c r="C47" s="4" t="str">
        <f t="shared" si="0"/>
        <v>1995M6</v>
      </c>
      <c r="D47" s="41">
        <v>7.3945454545454545</v>
      </c>
      <c r="E47" s="41">
        <v>7.49</v>
      </c>
      <c r="F47" s="41">
        <v>7.6022727272727275</v>
      </c>
      <c r="G47" s="41">
        <v>8.0081818181818178</v>
      </c>
      <c r="H47" s="42">
        <v>9.8042498853068469</v>
      </c>
    </row>
    <row r="48" spans="1:8" x14ac:dyDescent="0.2">
      <c r="A48" s="1">
        <v>1995</v>
      </c>
      <c r="B48" s="1">
        <v>7</v>
      </c>
      <c r="C48" s="4" t="str">
        <f t="shared" si="0"/>
        <v>1995M7</v>
      </c>
      <c r="D48" s="41">
        <v>7.5145000000000008</v>
      </c>
      <c r="E48" s="41">
        <v>7.6005000000000011</v>
      </c>
      <c r="F48" s="41">
        <v>7.6959999999999997</v>
      </c>
      <c r="G48" s="41">
        <v>8.1020000000000003</v>
      </c>
      <c r="H48" s="42">
        <v>9.9191095275095584</v>
      </c>
    </row>
    <row r="49" spans="1:8" x14ac:dyDescent="0.2">
      <c r="A49" s="1">
        <v>1995</v>
      </c>
      <c r="B49" s="1">
        <v>8</v>
      </c>
      <c r="C49" s="4" t="str">
        <f t="shared" si="0"/>
        <v>1995M8</v>
      </c>
      <c r="D49" s="41">
        <v>7.6634782608695646</v>
      </c>
      <c r="E49" s="41">
        <v>7.7126086956521736</v>
      </c>
      <c r="F49" s="41">
        <v>7.83</v>
      </c>
      <c r="G49" s="41">
        <v>8.2356521739130439</v>
      </c>
      <c r="H49" s="42">
        <v>10.082737094978484</v>
      </c>
    </row>
    <row r="50" spans="1:8" x14ac:dyDescent="0.2">
      <c r="A50" s="1">
        <v>1995</v>
      </c>
      <c r="B50" s="1">
        <v>9</v>
      </c>
      <c r="C50" s="4" t="str">
        <f t="shared" si="0"/>
        <v>1995M9</v>
      </c>
      <c r="D50" s="41">
        <v>7.4229999999999992</v>
      </c>
      <c r="E50" s="41">
        <v>7.4784999999999995</v>
      </c>
      <c r="F50" s="41">
        <v>7.6174999999999997</v>
      </c>
      <c r="G50" s="41">
        <v>7.9835000000000012</v>
      </c>
      <c r="H50" s="42">
        <v>9.7740324503668923</v>
      </c>
    </row>
    <row r="51" spans="1:8" x14ac:dyDescent="0.2">
      <c r="A51" s="1">
        <v>1995</v>
      </c>
      <c r="B51" s="1">
        <v>10</v>
      </c>
      <c r="C51" s="4" t="str">
        <f t="shared" si="0"/>
        <v>1995M10</v>
      </c>
      <c r="D51" s="41">
        <v>7.2277272727272726</v>
      </c>
      <c r="E51" s="41">
        <v>7.3040909090909079</v>
      </c>
      <c r="F51" s="41">
        <v>7.464090909090908</v>
      </c>
      <c r="G51" s="41">
        <v>7.8195454545454561</v>
      </c>
      <c r="H51" s="42">
        <v>9.5733063217694259</v>
      </c>
    </row>
    <row r="52" spans="1:8" x14ac:dyDescent="0.2">
      <c r="A52" s="1">
        <v>1995</v>
      </c>
      <c r="B52" s="1">
        <v>11</v>
      </c>
      <c r="C52" s="4" t="str">
        <f t="shared" si="0"/>
        <v>1995M11</v>
      </c>
      <c r="D52" s="41">
        <v>7.1260000000000003</v>
      </c>
      <c r="E52" s="41">
        <v>7.2189999999999985</v>
      </c>
      <c r="F52" s="41">
        <v>7.4329999999999998</v>
      </c>
      <c r="G52" s="41">
        <v>7.8114999999999979</v>
      </c>
      <c r="H52" s="42">
        <v>9.5634564396619215</v>
      </c>
    </row>
    <row r="53" spans="1:8" x14ac:dyDescent="0.2">
      <c r="A53" s="1">
        <v>1995</v>
      </c>
      <c r="B53" s="1">
        <v>12</v>
      </c>
      <c r="C53" s="4" t="str">
        <f t="shared" si="0"/>
        <v>1995M12</v>
      </c>
      <c r="D53" s="41">
        <v>6.9375</v>
      </c>
      <c r="E53" s="41">
        <v>7.0314999999999994</v>
      </c>
      <c r="F53" s="41">
        <v>7.243999999999998</v>
      </c>
      <c r="G53" s="41">
        <v>7.6285000000000007</v>
      </c>
      <c r="H53" s="42">
        <v>9.3394133585048955</v>
      </c>
    </row>
    <row r="54" spans="1:8" x14ac:dyDescent="0.2">
      <c r="A54" s="1">
        <v>1996</v>
      </c>
      <c r="B54" s="1">
        <v>1</v>
      </c>
      <c r="C54" s="4" t="str">
        <f t="shared" si="0"/>
        <v>1996M1</v>
      </c>
      <c r="D54" s="41">
        <v>6.9249999999999989</v>
      </c>
      <c r="E54" s="41">
        <v>7.0125000000000011</v>
      </c>
      <c r="F54" s="41">
        <v>7.2129999999999992</v>
      </c>
      <c r="G54" s="41">
        <v>7.6360000000000001</v>
      </c>
      <c r="H54" s="42">
        <v>9.348595451994937</v>
      </c>
    </row>
    <row r="55" spans="1:8" x14ac:dyDescent="0.2">
      <c r="A55" s="1">
        <v>1996</v>
      </c>
      <c r="B55" s="1">
        <v>2</v>
      </c>
      <c r="C55" s="4" t="str">
        <f t="shared" si="0"/>
        <v>1996M2</v>
      </c>
      <c r="D55" s="41">
        <v>7.1064999999999996</v>
      </c>
      <c r="E55" s="41">
        <v>7.2015000000000002</v>
      </c>
      <c r="F55" s="41">
        <v>7.3719999999999999</v>
      </c>
      <c r="G55" s="41">
        <v>7.7810000000000006</v>
      </c>
      <c r="H55" s="42">
        <v>9.5261159261357538</v>
      </c>
    </row>
    <row r="56" spans="1:8" x14ac:dyDescent="0.2">
      <c r="A56" s="1">
        <v>1996</v>
      </c>
      <c r="B56" s="1">
        <v>3</v>
      </c>
      <c r="C56" s="4" t="str">
        <f t="shared" si="0"/>
        <v>1996M3</v>
      </c>
      <c r="D56" s="41">
        <v>7.4547619047619049</v>
      </c>
      <c r="E56" s="41">
        <v>7.5499999999999989</v>
      </c>
      <c r="F56" s="41">
        <v>7.7309523809523837</v>
      </c>
      <c r="G56" s="41">
        <v>8.1547619047619051</v>
      </c>
      <c r="H56" s="42">
        <v>9.9837048264744261</v>
      </c>
    </row>
    <row r="57" spans="1:8" x14ac:dyDescent="0.2">
      <c r="A57" s="1">
        <v>1996</v>
      </c>
      <c r="B57" s="1">
        <v>4</v>
      </c>
      <c r="C57" s="4" t="str">
        <f t="shared" si="0"/>
        <v>1996M4</v>
      </c>
      <c r="D57" s="41">
        <v>7.6080952380952382</v>
      </c>
      <c r="E57" s="41">
        <v>7.7028571428571437</v>
      </c>
      <c r="F57" s="41">
        <v>7.8880952380952367</v>
      </c>
      <c r="G57" s="41">
        <v>8.3290476190476195</v>
      </c>
      <c r="H57" s="42">
        <v>10.197079189481121</v>
      </c>
    </row>
    <row r="58" spans="1:8" x14ac:dyDescent="0.2">
      <c r="A58" s="1">
        <v>1996</v>
      </c>
      <c r="B58" s="1">
        <v>5</v>
      </c>
      <c r="C58" s="4" t="str">
        <f t="shared" si="0"/>
        <v>1996M5</v>
      </c>
      <c r="D58" s="41">
        <v>7.7290909090909086</v>
      </c>
      <c r="E58" s="41">
        <v>7.7863636363636353</v>
      </c>
      <c r="F58" s="41">
        <v>7.9827272727272716</v>
      </c>
      <c r="G58" s="41">
        <v>8.4495454545454542</v>
      </c>
      <c r="H58" s="42">
        <v>10.344602174932966</v>
      </c>
    </row>
    <row r="59" spans="1:8" x14ac:dyDescent="0.2">
      <c r="A59" s="1">
        <v>1996</v>
      </c>
      <c r="B59" s="1">
        <v>6</v>
      </c>
      <c r="C59" s="4" t="str">
        <f t="shared" si="0"/>
        <v>1996M6</v>
      </c>
      <c r="D59" s="41">
        <v>7.8274999999999988</v>
      </c>
      <c r="E59" s="41">
        <v>7.8720000000000017</v>
      </c>
      <c r="F59" s="41">
        <v>8.0569999999999986</v>
      </c>
      <c r="G59" s="41">
        <v>8.495000000000001</v>
      </c>
      <c r="H59" s="42">
        <v>10.400251226387768</v>
      </c>
    </row>
    <row r="60" spans="1:8" x14ac:dyDescent="0.2">
      <c r="A60" s="1">
        <v>1996</v>
      </c>
      <c r="B60" s="1">
        <v>7</v>
      </c>
      <c r="C60" s="4" t="str">
        <f t="shared" si="0"/>
        <v>1996M7</v>
      </c>
      <c r="D60" s="41">
        <v>7.7754545454545454</v>
      </c>
      <c r="E60" s="41">
        <v>7.8277272727272731</v>
      </c>
      <c r="F60" s="41">
        <v>8.0240909090909085</v>
      </c>
      <c r="G60" s="41">
        <v>8.4413636363636364</v>
      </c>
      <c r="H60" s="42">
        <v>10.334585345671103</v>
      </c>
    </row>
    <row r="61" spans="1:8" x14ac:dyDescent="0.2">
      <c r="A61" s="1">
        <v>1996</v>
      </c>
      <c r="B61" s="1">
        <v>8</v>
      </c>
      <c r="C61" s="4" t="str">
        <f t="shared" si="0"/>
        <v>1996M8</v>
      </c>
      <c r="D61" s="41">
        <v>7.5872727272727278</v>
      </c>
      <c r="E61" s="41">
        <v>7.6622727272727271</v>
      </c>
      <c r="F61" s="41">
        <v>7.8440909090909088</v>
      </c>
      <c r="G61" s="41">
        <v>8.2536363636363621</v>
      </c>
      <c r="H61" s="42">
        <v>10.104754763162772</v>
      </c>
    </row>
    <row r="62" spans="1:8" x14ac:dyDescent="0.2">
      <c r="A62" s="1">
        <v>1996</v>
      </c>
      <c r="B62" s="1">
        <v>9</v>
      </c>
      <c r="C62" s="4" t="str">
        <f t="shared" si="0"/>
        <v>1996M9</v>
      </c>
      <c r="D62" s="41">
        <v>7.76</v>
      </c>
      <c r="E62" s="41">
        <v>7.8400000000000007</v>
      </c>
      <c r="F62" s="41">
        <v>8.0064999999999991</v>
      </c>
      <c r="G62" s="41">
        <v>8.4089999999999989</v>
      </c>
      <c r="H62" s="42">
        <v>10.294963221035282</v>
      </c>
    </row>
    <row r="63" spans="1:8" x14ac:dyDescent="0.2">
      <c r="A63" s="1">
        <v>1996</v>
      </c>
      <c r="B63" s="1">
        <v>10</v>
      </c>
      <c r="C63" s="4" t="str">
        <f t="shared" si="0"/>
        <v>1996M10</v>
      </c>
      <c r="D63" s="41">
        <v>7.4890909090909084</v>
      </c>
      <c r="E63" s="41">
        <v>7.5950000000000015</v>
      </c>
      <c r="F63" s="41">
        <v>7.7590909090909097</v>
      </c>
      <c r="G63" s="41">
        <v>8.1463636363636365</v>
      </c>
      <c r="H63" s="42">
        <v>9.9734230017294436</v>
      </c>
    </row>
    <row r="64" spans="1:8" x14ac:dyDescent="0.2">
      <c r="A64" s="1">
        <v>1996</v>
      </c>
      <c r="B64" s="1">
        <v>11</v>
      </c>
      <c r="C64" s="4" t="str">
        <f t="shared" si="0"/>
        <v>1996M11</v>
      </c>
      <c r="D64" s="41">
        <v>7.2199999999999989</v>
      </c>
      <c r="E64" s="41">
        <v>7.3227777777777776</v>
      </c>
      <c r="F64" s="41">
        <v>7.4944444444444436</v>
      </c>
      <c r="G64" s="41">
        <v>7.8783333333333339</v>
      </c>
      <c r="H64" s="42">
        <v>9.6452790949842999</v>
      </c>
    </row>
    <row r="65" spans="1:8" x14ac:dyDescent="0.2">
      <c r="A65" s="1">
        <v>1996</v>
      </c>
      <c r="B65" s="1">
        <v>12</v>
      </c>
      <c r="C65" s="4" t="str">
        <f t="shared" si="0"/>
        <v>1996M12</v>
      </c>
      <c r="D65" s="41">
        <v>7.3290476190476186</v>
      </c>
      <c r="E65" s="41">
        <v>7.4366666666666674</v>
      </c>
      <c r="F65" s="41">
        <v>7.5852380952380951</v>
      </c>
      <c r="G65" s="41">
        <v>7.9795238095238092</v>
      </c>
      <c r="H65" s="42">
        <v>9.7691644833420117</v>
      </c>
    </row>
    <row r="66" spans="1:8" x14ac:dyDescent="0.2">
      <c r="A66" s="1">
        <v>1997</v>
      </c>
      <c r="B66" s="1">
        <v>1</v>
      </c>
      <c r="C66" s="4" t="str">
        <f t="shared" si="0"/>
        <v>1997M1</v>
      </c>
      <c r="D66" s="41">
        <v>7.5361904761904768</v>
      </c>
      <c r="E66" s="41">
        <v>7.6823809523809512</v>
      </c>
      <c r="F66" s="41">
        <v>7.7685714285714296</v>
      </c>
      <c r="G66" s="41">
        <v>8.1833333333333336</v>
      </c>
      <c r="H66" s="42">
        <v>10.018684230246015</v>
      </c>
    </row>
    <row r="67" spans="1:8" x14ac:dyDescent="0.2">
      <c r="A67" s="1">
        <v>1997</v>
      </c>
      <c r="B67" s="1">
        <v>2</v>
      </c>
      <c r="C67" s="4" t="str">
        <f t="shared" si="0"/>
        <v>1997M2</v>
      </c>
      <c r="D67" s="41">
        <v>7.4652631578947384</v>
      </c>
      <c r="E67" s="41">
        <v>7.5973684210526313</v>
      </c>
      <c r="F67" s="41">
        <v>7.6447368421052646</v>
      </c>
      <c r="G67" s="41">
        <v>8.0210526315789483</v>
      </c>
      <c r="H67" s="42">
        <v>9.8200073535608929</v>
      </c>
    </row>
    <row r="68" spans="1:8" x14ac:dyDescent="0.2">
      <c r="A68" s="1">
        <v>1997</v>
      </c>
      <c r="B68" s="1">
        <v>3</v>
      </c>
      <c r="C68" s="4" t="str">
        <f t="shared" si="0"/>
        <v>1997M3</v>
      </c>
      <c r="D68" s="41">
        <v>7.7120000000000015</v>
      </c>
      <c r="E68" s="41">
        <v>7.8495000000000008</v>
      </c>
      <c r="F68" s="41">
        <v>7.8790000000000004</v>
      </c>
      <c r="G68" s="41">
        <v>8.2684999999999995</v>
      </c>
      <c r="H68" s="42">
        <v>10.122952002988493</v>
      </c>
    </row>
    <row r="69" spans="1:8" x14ac:dyDescent="0.2">
      <c r="A69" s="1">
        <v>1997</v>
      </c>
      <c r="B69" s="1">
        <v>4</v>
      </c>
      <c r="C69" s="4" t="str">
        <f t="shared" si="0"/>
        <v>1997M4</v>
      </c>
      <c r="D69" s="41">
        <v>7.8722727272727262</v>
      </c>
      <c r="E69" s="41">
        <v>8.0013636363636369</v>
      </c>
      <c r="F69" s="41">
        <v>8.0318181818181813</v>
      </c>
      <c r="G69" s="41">
        <v>8.4168181818181811</v>
      </c>
      <c r="H69" s="42">
        <v>10.304534857885509</v>
      </c>
    </row>
    <row r="70" spans="1:8" x14ac:dyDescent="0.2">
      <c r="A70" s="1">
        <v>1997</v>
      </c>
      <c r="B70" s="1">
        <v>5</v>
      </c>
      <c r="C70" s="4" t="str">
        <f t="shared" si="0"/>
        <v>1997M5</v>
      </c>
      <c r="D70" s="41">
        <v>7.7209523809523803</v>
      </c>
      <c r="E70" s="41">
        <v>7.8552380952380947</v>
      </c>
      <c r="F70" s="41">
        <v>7.8880952380952394</v>
      </c>
      <c r="G70" s="41">
        <v>8.2795238095238091</v>
      </c>
      <c r="H70" s="42">
        <v>10.136448222943699</v>
      </c>
    </row>
    <row r="71" spans="1:8" x14ac:dyDescent="0.2">
      <c r="A71" s="1">
        <v>1997</v>
      </c>
      <c r="B71" s="1">
        <v>6</v>
      </c>
      <c r="C71" s="4" t="str">
        <f t="shared" ref="C71:C134" si="1">CONCATENATE(A71,"M",B71)</f>
        <v>1997M6</v>
      </c>
      <c r="D71" s="41">
        <v>7.5538095238095249</v>
      </c>
      <c r="E71" s="41">
        <v>7.68190476190476</v>
      </c>
      <c r="F71" s="41">
        <v>7.7180952380952377</v>
      </c>
      <c r="G71" s="41">
        <v>8.1209523809523798</v>
      </c>
      <c r="H71" s="42">
        <v>9.9423125320113765</v>
      </c>
    </row>
    <row r="72" spans="1:8" x14ac:dyDescent="0.2">
      <c r="A72" s="1">
        <v>1997</v>
      </c>
      <c r="B72" s="1">
        <v>7</v>
      </c>
      <c r="C72" s="4" t="str">
        <f t="shared" si="1"/>
        <v>1997M7</v>
      </c>
      <c r="D72" s="41">
        <v>7.293181818181818</v>
      </c>
      <c r="E72" s="41">
        <v>7.4286363636363637</v>
      </c>
      <c r="F72" s="41">
        <v>7.4750000000000005</v>
      </c>
      <c r="G72" s="41">
        <v>7.8695454545454542</v>
      </c>
      <c r="H72" s="42">
        <v>9.6345202783697044</v>
      </c>
    </row>
    <row r="73" spans="1:8" x14ac:dyDescent="0.2">
      <c r="A73" s="1">
        <v>1997</v>
      </c>
      <c r="B73" s="1">
        <v>8</v>
      </c>
      <c r="C73" s="4" t="str">
        <f t="shared" si="1"/>
        <v>1997M8</v>
      </c>
      <c r="D73" s="41">
        <v>7.3928571428571432</v>
      </c>
      <c r="E73" s="41">
        <v>7.4585714285714282</v>
      </c>
      <c r="F73" s="41">
        <v>7.5104761904761901</v>
      </c>
      <c r="G73" s="41">
        <v>7.9214285714285735</v>
      </c>
      <c r="H73" s="42">
        <v>9.698039695673117</v>
      </c>
    </row>
    <row r="74" spans="1:8" x14ac:dyDescent="0.2">
      <c r="A74" s="1">
        <v>1997</v>
      </c>
      <c r="B74" s="1">
        <v>9</v>
      </c>
      <c r="C74" s="4" t="str">
        <f t="shared" si="1"/>
        <v>1997M9</v>
      </c>
      <c r="D74" s="41">
        <v>7.3266666666666671</v>
      </c>
      <c r="E74" s="41">
        <v>7.4266666666666685</v>
      </c>
      <c r="F74" s="41">
        <v>7.4680952380952386</v>
      </c>
      <c r="G74" s="41">
        <v>7.7852380952380944</v>
      </c>
      <c r="H74" s="42">
        <v>9.5313045376952044</v>
      </c>
    </row>
    <row r="75" spans="1:8" x14ac:dyDescent="0.2">
      <c r="A75" s="1">
        <v>1997</v>
      </c>
      <c r="B75" s="1">
        <v>10</v>
      </c>
      <c r="C75" s="4" t="str">
        <f t="shared" si="1"/>
        <v>1997M10</v>
      </c>
      <c r="D75" s="41">
        <v>7.1809090909090889</v>
      </c>
      <c r="E75" s="41">
        <v>7.2809090909090912</v>
      </c>
      <c r="F75" s="41">
        <v>7.3427272727272728</v>
      </c>
      <c r="G75" s="41">
        <v>7.6640909090909082</v>
      </c>
      <c r="H75" s="42">
        <v>9.3829865657940026</v>
      </c>
    </row>
    <row r="76" spans="1:8" x14ac:dyDescent="0.2">
      <c r="A76" s="1">
        <v>1997</v>
      </c>
      <c r="B76" s="1">
        <v>11</v>
      </c>
      <c r="C76" s="4" t="str">
        <f t="shared" si="1"/>
        <v>1997M11</v>
      </c>
      <c r="D76" s="41">
        <v>7.0850000000000009</v>
      </c>
      <c r="E76" s="41">
        <v>7.1438888888888892</v>
      </c>
      <c r="F76" s="41">
        <v>7.2427777777777784</v>
      </c>
      <c r="G76" s="41">
        <v>7.4877777777777776</v>
      </c>
      <c r="H76" s="42">
        <v>9.1671300784287695</v>
      </c>
    </row>
    <row r="77" spans="1:8" x14ac:dyDescent="0.2">
      <c r="A77" s="1">
        <v>1997</v>
      </c>
      <c r="B77" s="1">
        <v>12</v>
      </c>
      <c r="C77" s="4" t="str">
        <f t="shared" si="1"/>
        <v>1997M12</v>
      </c>
      <c r="D77" s="41">
        <v>6.9989999999999997</v>
      </c>
      <c r="E77" s="41">
        <v>7.0755000000000008</v>
      </c>
      <c r="F77" s="41">
        <v>7.1660000000000013</v>
      </c>
      <c r="G77" s="41">
        <v>7.4120000000000008</v>
      </c>
      <c r="H77" s="42">
        <v>9.0743569264256791</v>
      </c>
    </row>
    <row r="78" spans="1:8" x14ac:dyDescent="0.2">
      <c r="A78" s="1">
        <v>1998</v>
      </c>
      <c r="B78" s="1">
        <v>1</v>
      </c>
      <c r="C78" s="4" t="str">
        <f t="shared" si="1"/>
        <v>1998M1</v>
      </c>
      <c r="D78" s="41">
        <v>6.8449999999999989</v>
      </c>
      <c r="E78" s="41">
        <v>6.94</v>
      </c>
      <c r="F78" s="41">
        <v>7.0495000000000001</v>
      </c>
      <c r="G78" s="41">
        <v>7.2830000000000013</v>
      </c>
      <c r="H78" s="42">
        <v>8.9164249183969542</v>
      </c>
    </row>
    <row r="79" spans="1:8" x14ac:dyDescent="0.2">
      <c r="A79" s="1">
        <v>1998</v>
      </c>
      <c r="B79" s="1">
        <v>2</v>
      </c>
      <c r="C79" s="4" t="str">
        <f t="shared" si="1"/>
        <v>1998M2</v>
      </c>
      <c r="D79" s="41">
        <v>6.9105263157894745</v>
      </c>
      <c r="E79" s="41">
        <v>6.9910526315789463</v>
      </c>
      <c r="F79" s="41">
        <v>7.1226315789473693</v>
      </c>
      <c r="G79" s="41">
        <v>7.3568421052631594</v>
      </c>
      <c r="H79" s="42">
        <v>9.0068282669340007</v>
      </c>
    </row>
    <row r="80" spans="1:8" x14ac:dyDescent="0.2">
      <c r="A80" s="1">
        <v>1998</v>
      </c>
      <c r="B80" s="1">
        <v>3</v>
      </c>
      <c r="C80" s="4" t="str">
        <f t="shared" si="1"/>
        <v>1998M3</v>
      </c>
      <c r="D80" s="41">
        <v>6.9572727272727271</v>
      </c>
      <c r="E80" s="41">
        <v>7.0354545454545452</v>
      </c>
      <c r="F80" s="41">
        <v>7.1622727272727271</v>
      </c>
      <c r="G80" s="41">
        <v>7.3731818181818189</v>
      </c>
      <c r="H80" s="42">
        <v>9.0268326364832792</v>
      </c>
    </row>
    <row r="81" spans="1:10" x14ac:dyDescent="0.2">
      <c r="A81" s="1">
        <v>1998</v>
      </c>
      <c r="B81" s="1">
        <v>4</v>
      </c>
      <c r="C81" s="4" t="str">
        <f t="shared" si="1"/>
        <v>1998M4</v>
      </c>
      <c r="D81" s="41">
        <v>6.9304761904761918</v>
      </c>
      <c r="E81" s="41">
        <v>7.0152380952380948</v>
      </c>
      <c r="F81" s="41">
        <v>7.1571428571428592</v>
      </c>
      <c r="G81" s="41">
        <v>7.3642857142857148</v>
      </c>
      <c r="H81" s="42">
        <v>9.0159413221271247</v>
      </c>
    </row>
    <row r="82" spans="1:10" x14ac:dyDescent="0.2">
      <c r="A82" s="1">
        <v>1998</v>
      </c>
      <c r="B82" s="1">
        <v>5</v>
      </c>
      <c r="C82" s="4" t="str">
        <f t="shared" si="1"/>
        <v>1998M5</v>
      </c>
      <c r="D82" s="41">
        <v>6.9444999999999997</v>
      </c>
      <c r="E82" s="41">
        <v>7.0155000000000003</v>
      </c>
      <c r="F82" s="41">
        <v>7.1574999999999989</v>
      </c>
      <c r="G82" s="41">
        <v>7.3375000000000012</v>
      </c>
      <c r="H82" s="42">
        <v>8.9831481310912604</v>
      </c>
    </row>
    <row r="83" spans="1:10" x14ac:dyDescent="0.2">
      <c r="A83" s="1">
        <v>1998</v>
      </c>
      <c r="B83" s="1">
        <v>6</v>
      </c>
      <c r="C83" s="4" t="str">
        <f t="shared" si="1"/>
        <v>1998M6</v>
      </c>
      <c r="D83" s="41">
        <v>6.8031818181818187</v>
      </c>
      <c r="E83" s="41">
        <v>6.9068181818181813</v>
      </c>
      <c r="F83" s="41">
        <v>7.0336363636363641</v>
      </c>
      <c r="G83" s="41">
        <v>7.206818181818182</v>
      </c>
      <c r="H83" s="42">
        <v>8.8231571081587052</v>
      </c>
    </row>
    <row r="84" spans="1:10" x14ac:dyDescent="0.2">
      <c r="A84" s="1">
        <v>1998</v>
      </c>
      <c r="B84" s="1">
        <v>7</v>
      </c>
      <c r="C84" s="4" t="str">
        <f t="shared" si="1"/>
        <v>1998M7</v>
      </c>
      <c r="D84" s="41">
        <v>6.8022727272727277</v>
      </c>
      <c r="E84" s="41">
        <v>6.9127272727272722</v>
      </c>
      <c r="F84" s="41">
        <v>7.0263636363636373</v>
      </c>
      <c r="G84" s="41">
        <v>7.2331818181818193</v>
      </c>
      <c r="H84" s="42">
        <v>8.8554335580024919</v>
      </c>
    </row>
    <row r="85" spans="1:10" x14ac:dyDescent="0.2">
      <c r="A85" s="1">
        <v>1998</v>
      </c>
      <c r="B85" s="1">
        <v>8</v>
      </c>
      <c r="C85" s="4" t="str">
        <f t="shared" si="1"/>
        <v>1998M8</v>
      </c>
      <c r="D85" s="41">
        <v>6.7542857142857144</v>
      </c>
      <c r="E85" s="41">
        <v>6.8728571428571437</v>
      </c>
      <c r="F85" s="41">
        <v>6.9980952380952388</v>
      </c>
      <c r="G85" s="41">
        <v>7.2042857142857137</v>
      </c>
      <c r="H85" s="42">
        <v>8.8200566610062232</v>
      </c>
      <c r="I85" s="41">
        <v>8.8953298741708942</v>
      </c>
      <c r="J85" s="41">
        <v>27.211691881927631</v>
      </c>
    </row>
    <row r="86" spans="1:10" x14ac:dyDescent="0.2">
      <c r="A86" s="1">
        <v>1998</v>
      </c>
      <c r="B86" s="1">
        <v>9</v>
      </c>
      <c r="C86" s="4" t="str">
        <f t="shared" si="1"/>
        <v>1998M9</v>
      </c>
      <c r="D86" s="41">
        <v>6.6576190476190478</v>
      </c>
      <c r="E86" s="41">
        <v>6.779047619047617</v>
      </c>
      <c r="F86" s="41">
        <v>6.9319047619047618</v>
      </c>
      <c r="G86" s="41">
        <v>7.1309523809523814</v>
      </c>
      <c r="H86" s="42">
        <v>8.730276191325812</v>
      </c>
      <c r="I86" s="41">
        <v>9.3865161818396334</v>
      </c>
      <c r="J86" s="41">
        <v>31.957927714894254</v>
      </c>
    </row>
    <row r="87" spans="1:10" x14ac:dyDescent="0.2">
      <c r="A87" s="1">
        <v>1998</v>
      </c>
      <c r="B87" s="1">
        <v>10</v>
      </c>
      <c r="C87" s="4" t="str">
        <f t="shared" si="1"/>
        <v>1998M10</v>
      </c>
      <c r="D87" s="41">
        <v>6.6385714285714288</v>
      </c>
      <c r="E87" s="41">
        <v>6.7990476190476201</v>
      </c>
      <c r="F87" s="41">
        <v>6.9609523809523814</v>
      </c>
      <c r="G87" s="41">
        <v>7.1333333333333329</v>
      </c>
      <c r="H87" s="42">
        <v>8.7331911416401109</v>
      </c>
      <c r="I87" s="41">
        <v>9.5983921276484079</v>
      </c>
      <c r="J87" s="41">
        <v>33.353926685580028</v>
      </c>
    </row>
    <row r="88" spans="1:10" x14ac:dyDescent="0.2">
      <c r="A88" s="1">
        <v>1998</v>
      </c>
      <c r="B88" s="1">
        <v>11</v>
      </c>
      <c r="C88" s="4" t="str">
        <f t="shared" si="1"/>
        <v>1998M11</v>
      </c>
      <c r="D88" s="41">
        <v>6.5931578947368417</v>
      </c>
      <c r="E88" s="41">
        <v>6.8873684210526305</v>
      </c>
      <c r="F88" s="41">
        <v>7.029473684210525</v>
      </c>
      <c r="G88" s="41">
        <v>7.3121052631578953</v>
      </c>
      <c r="H88" s="42">
        <v>8.9520578847126959</v>
      </c>
      <c r="I88" s="41">
        <v>9.3656444718406568</v>
      </c>
      <c r="J88" s="41">
        <v>35.212848336348571</v>
      </c>
    </row>
    <row r="89" spans="1:10" x14ac:dyDescent="0.2">
      <c r="A89" s="1">
        <v>1998</v>
      </c>
      <c r="B89" s="1">
        <v>12</v>
      </c>
      <c r="C89" s="4" t="str">
        <f t="shared" si="1"/>
        <v>1998M12</v>
      </c>
      <c r="D89" s="41">
        <v>6.4295454545454556</v>
      </c>
      <c r="E89" s="41">
        <v>6.7745454545454526</v>
      </c>
      <c r="F89" s="41">
        <v>6.9131818181818172</v>
      </c>
      <c r="G89" s="41">
        <v>7.2409090909090912</v>
      </c>
      <c r="H89" s="42">
        <v>8.8648938967498072</v>
      </c>
      <c r="I89" s="41">
        <v>9.1893121686660884</v>
      </c>
      <c r="J89" s="41">
        <v>35.184913519016916</v>
      </c>
    </row>
    <row r="90" spans="1:10" x14ac:dyDescent="0.2">
      <c r="A90" s="1">
        <v>1999</v>
      </c>
      <c r="B90" s="1">
        <v>1</v>
      </c>
      <c r="C90" s="4" t="str">
        <f t="shared" si="1"/>
        <v>1999M1</v>
      </c>
      <c r="D90" s="41">
        <v>6.405263157894737</v>
      </c>
      <c r="E90" s="41">
        <v>6.8152631578947371</v>
      </c>
      <c r="F90" s="41">
        <v>6.9694736842105254</v>
      </c>
      <c r="G90" s="41">
        <v>7.3000000000000007</v>
      </c>
      <c r="H90" s="42">
        <v>8.9372376636410493</v>
      </c>
      <c r="I90" s="41">
        <v>9.1498162932607983</v>
      </c>
      <c r="J90" s="41">
        <v>32.233117037679477</v>
      </c>
    </row>
    <row r="91" spans="1:10" x14ac:dyDescent="0.2">
      <c r="A91" s="1">
        <v>1999</v>
      </c>
      <c r="B91" s="1">
        <v>2</v>
      </c>
      <c r="C91" s="4" t="str">
        <f t="shared" si="1"/>
        <v>1999M2</v>
      </c>
      <c r="D91" s="41">
        <v>6.5573684210526322</v>
      </c>
      <c r="E91" s="41">
        <v>6.9357894736842107</v>
      </c>
      <c r="F91" s="41">
        <v>7.0926315789473682</v>
      </c>
      <c r="G91" s="41">
        <v>7.4057894736842114</v>
      </c>
      <c r="H91" s="42">
        <v>9.0667535086584863</v>
      </c>
      <c r="I91" s="41">
        <v>9.1254150791757311</v>
      </c>
      <c r="J91" s="41">
        <v>32.059690630454959</v>
      </c>
    </row>
    <row r="92" spans="1:10" x14ac:dyDescent="0.2">
      <c r="A92" s="1">
        <v>1999</v>
      </c>
      <c r="B92" s="1">
        <v>3</v>
      </c>
      <c r="C92" s="4" t="str">
        <f t="shared" si="1"/>
        <v>1999M3</v>
      </c>
      <c r="D92" s="41">
        <v>6.7778260869565212</v>
      </c>
      <c r="E92" s="41">
        <v>7.1147826086956512</v>
      </c>
      <c r="F92" s="41">
        <v>7.2565217391304362</v>
      </c>
      <c r="G92" s="41">
        <v>7.5465217391304353</v>
      </c>
      <c r="H92" s="42">
        <v>9.2390490844441739</v>
      </c>
      <c r="I92" s="41">
        <v>9.1122973699325591</v>
      </c>
      <c r="J92" s="41">
        <v>28.888676433436451</v>
      </c>
    </row>
    <row r="93" spans="1:10" x14ac:dyDescent="0.2">
      <c r="A93" s="1">
        <v>1999</v>
      </c>
      <c r="B93" s="1">
        <v>4</v>
      </c>
      <c r="C93" s="4" t="str">
        <f t="shared" si="1"/>
        <v>1999M4</v>
      </c>
      <c r="D93" s="41">
        <v>6.8086363636363618</v>
      </c>
      <c r="E93" s="41">
        <v>7.1054545454545464</v>
      </c>
      <c r="F93" s="41">
        <v>7.2209090909090889</v>
      </c>
      <c r="G93" s="41">
        <v>7.5050000000000008</v>
      </c>
      <c r="H93" s="42">
        <v>9.1882148857022017</v>
      </c>
      <c r="I93" s="41">
        <v>8.8013515905735176</v>
      </c>
      <c r="J93" s="41">
        <v>27.17507494520483</v>
      </c>
    </row>
    <row r="94" spans="1:10" x14ac:dyDescent="0.2">
      <c r="A94" s="1">
        <v>1999</v>
      </c>
      <c r="B94" s="1">
        <v>5</v>
      </c>
      <c r="C94" s="4" t="str">
        <f t="shared" si="1"/>
        <v>1999M5</v>
      </c>
      <c r="D94" s="41">
        <v>7.0870000000000006</v>
      </c>
      <c r="E94" s="41">
        <v>7.3839999999999986</v>
      </c>
      <c r="F94" s="41">
        <v>7.4695000000000009</v>
      </c>
      <c r="G94" s="41">
        <v>7.7415000000000003</v>
      </c>
      <c r="H94" s="42">
        <v>9.4777569004215305</v>
      </c>
      <c r="I94" s="41">
        <v>8.7978079123636164</v>
      </c>
      <c r="J94" s="41">
        <v>28.424364970007755</v>
      </c>
    </row>
    <row r="95" spans="1:10" x14ac:dyDescent="0.2">
      <c r="A95" s="1">
        <v>1999</v>
      </c>
      <c r="B95" s="1">
        <v>6</v>
      </c>
      <c r="C95" s="4" t="str">
        <f t="shared" si="1"/>
        <v>1999M6</v>
      </c>
      <c r="D95" s="41">
        <v>7.3672727272727281</v>
      </c>
      <c r="E95" s="41">
        <v>7.6686363636363639</v>
      </c>
      <c r="F95" s="41">
        <v>7.741363636363638</v>
      </c>
      <c r="G95" s="41">
        <v>8.0259090909090904</v>
      </c>
      <c r="H95" s="42">
        <v>9.8259530153742194</v>
      </c>
      <c r="I95" s="41">
        <v>8.9468551459471328</v>
      </c>
      <c r="J95" s="41">
        <v>30.32456882430608</v>
      </c>
    </row>
    <row r="96" spans="1:10" x14ac:dyDescent="0.2">
      <c r="A96" s="1">
        <v>1999</v>
      </c>
      <c r="B96" s="1">
        <v>7</v>
      </c>
      <c r="C96" s="4" t="str">
        <f t="shared" si="1"/>
        <v>1999M7</v>
      </c>
      <c r="D96" s="41">
        <v>7.3309523809523789</v>
      </c>
      <c r="E96" s="41">
        <v>7.6242857142857146</v>
      </c>
      <c r="F96" s="41">
        <v>7.7080952380952379</v>
      </c>
      <c r="G96" s="41">
        <v>7.9595238095238114</v>
      </c>
      <c r="H96" s="42">
        <v>9.744678900701901</v>
      </c>
      <c r="I96" s="41">
        <v>8.923887134801566</v>
      </c>
      <c r="J96" s="41">
        <v>33.668438563304527</v>
      </c>
    </row>
    <row r="97" spans="1:10" x14ac:dyDescent="0.2">
      <c r="A97" s="1">
        <v>1999</v>
      </c>
      <c r="B97" s="1">
        <v>8</v>
      </c>
      <c r="C97" s="4" t="str">
        <f t="shared" si="1"/>
        <v>1999M8</v>
      </c>
      <c r="D97" s="41">
        <v>7.5422727272727279</v>
      </c>
      <c r="E97" s="41">
        <v>7.8222727272727273</v>
      </c>
      <c r="F97" s="41">
        <v>7.9136363636363631</v>
      </c>
      <c r="G97" s="41">
        <v>8.1622727272727289</v>
      </c>
      <c r="H97" s="42">
        <v>9.9929001697386255</v>
      </c>
      <c r="I97" s="41">
        <v>9.1153180142296986</v>
      </c>
      <c r="J97" s="41">
        <v>32.550828563741938</v>
      </c>
    </row>
    <row r="98" spans="1:10" x14ac:dyDescent="0.2">
      <c r="A98" s="1">
        <v>1999</v>
      </c>
      <c r="B98" s="1">
        <v>9</v>
      </c>
      <c r="C98" s="4" t="str">
        <f t="shared" si="1"/>
        <v>1999M9</v>
      </c>
      <c r="D98" s="41">
        <v>7.5514285714285734</v>
      </c>
      <c r="E98" s="41">
        <v>7.8204761904761897</v>
      </c>
      <c r="F98" s="41">
        <v>7.930952380952383</v>
      </c>
      <c r="G98" s="41">
        <v>8.1938095238095237</v>
      </c>
      <c r="H98" s="42">
        <v>10.031510011628932</v>
      </c>
      <c r="I98" s="41">
        <v>9.2363227646125488</v>
      </c>
      <c r="J98" s="41">
        <v>34.393586555125658</v>
      </c>
    </row>
    <row r="99" spans="1:10" x14ac:dyDescent="0.2">
      <c r="A99" s="1">
        <v>1999</v>
      </c>
      <c r="B99" s="1">
        <v>10</v>
      </c>
      <c r="C99" s="4" t="str">
        <f t="shared" si="1"/>
        <v>1999M10</v>
      </c>
      <c r="D99" s="41">
        <v>7.7375000000000016</v>
      </c>
      <c r="E99" s="41">
        <v>7.955000000000001</v>
      </c>
      <c r="F99" s="41">
        <v>8.0634999999999994</v>
      </c>
      <c r="G99" s="41">
        <v>8.3214999999999986</v>
      </c>
      <c r="H99" s="42">
        <v>10.18783879698479</v>
      </c>
      <c r="I99" s="41">
        <v>9.3754848767240375</v>
      </c>
      <c r="J99" s="41">
        <v>37.80606654541738</v>
      </c>
    </row>
    <row r="100" spans="1:10" x14ac:dyDescent="0.2">
      <c r="A100" s="1">
        <v>1999</v>
      </c>
      <c r="B100" s="1">
        <v>11</v>
      </c>
      <c r="C100" s="4" t="str">
        <f t="shared" si="1"/>
        <v>1999M11</v>
      </c>
      <c r="D100" s="41">
        <v>7.5557142857142852</v>
      </c>
      <c r="E100" s="41">
        <v>7.8157142857142867</v>
      </c>
      <c r="F100" s="41">
        <v>7.9414285714285704</v>
      </c>
      <c r="G100" s="41">
        <v>8.1233333333333313</v>
      </c>
      <c r="H100" s="42">
        <v>9.9452274823256754</v>
      </c>
      <c r="I100" s="41">
        <v>9.2910970928470054</v>
      </c>
      <c r="J100" s="41">
        <v>40.090581293440501</v>
      </c>
    </row>
    <row r="101" spans="1:10" x14ac:dyDescent="0.2">
      <c r="A101" s="1">
        <v>1999</v>
      </c>
      <c r="B101" s="1">
        <v>12</v>
      </c>
      <c r="C101" s="4" t="str">
        <f t="shared" si="1"/>
        <v>1999M12</v>
      </c>
      <c r="D101" s="41">
        <v>7.741818181818183</v>
      </c>
      <c r="E101" s="41">
        <v>7.995909090909092</v>
      </c>
      <c r="F101" s="41">
        <v>8.1399999999999988</v>
      </c>
      <c r="G101" s="41">
        <v>8.2799999999999994</v>
      </c>
      <c r="H101" s="42">
        <v>10.137031213006557</v>
      </c>
      <c r="I101" s="41">
        <v>9.1771797249353124</v>
      </c>
      <c r="J101" s="41">
        <v>38.251072823835344</v>
      </c>
    </row>
    <row r="102" spans="1:10" x14ac:dyDescent="0.2">
      <c r="A102" s="1">
        <v>2000</v>
      </c>
      <c r="B102" s="1">
        <v>1</v>
      </c>
      <c r="C102" s="4" t="str">
        <f t="shared" si="1"/>
        <v>2000M1</v>
      </c>
      <c r="D102" s="41">
        <v>7.952</v>
      </c>
      <c r="E102" s="41">
        <v>8.1744999999999983</v>
      </c>
      <c r="F102" s="41">
        <v>8.3520000000000003</v>
      </c>
      <c r="G102" s="41">
        <v>8.4014999999999969</v>
      </c>
      <c r="H102" s="42">
        <v>10.285781127545238</v>
      </c>
      <c r="I102" s="41">
        <v>9.2217937223459803</v>
      </c>
      <c r="J102" s="41">
        <v>38.539033201261596</v>
      </c>
    </row>
    <row r="103" spans="1:10" x14ac:dyDescent="0.2">
      <c r="A103" s="1">
        <v>2000</v>
      </c>
      <c r="B103" s="1">
        <v>2</v>
      </c>
      <c r="C103" s="4" t="str">
        <f t="shared" si="1"/>
        <v>2000M2</v>
      </c>
      <c r="D103" s="41">
        <v>7.8185000000000002</v>
      </c>
      <c r="E103" s="41">
        <v>7.984499999999997</v>
      </c>
      <c r="F103" s="41">
        <v>8.245000000000001</v>
      </c>
      <c r="G103" s="41">
        <v>8.3315000000000019</v>
      </c>
      <c r="H103" s="42">
        <v>10.200081588304851</v>
      </c>
      <c r="I103" s="41">
        <v>9.2841639681432078</v>
      </c>
      <c r="J103" s="41">
        <v>37.181645158160123</v>
      </c>
    </row>
    <row r="104" spans="1:10" x14ac:dyDescent="0.2">
      <c r="A104" s="1">
        <v>2000</v>
      </c>
      <c r="B104" s="1">
        <v>3</v>
      </c>
      <c r="C104" s="4" t="str">
        <f t="shared" si="1"/>
        <v>2000M3</v>
      </c>
      <c r="D104" s="41">
        <v>7.8743478260869555</v>
      </c>
      <c r="E104" s="41">
        <v>7.9943478260869538</v>
      </c>
      <c r="F104" s="41">
        <v>8.2843478260869574</v>
      </c>
      <c r="G104" s="41">
        <v>8.3960869565217386</v>
      </c>
      <c r="H104" s="42">
        <v>10.279154051374167</v>
      </c>
      <c r="I104" s="41">
        <v>9.367688963312661</v>
      </c>
      <c r="J104" s="41">
        <v>36.253931406414807</v>
      </c>
    </row>
    <row r="105" spans="1:10" x14ac:dyDescent="0.2">
      <c r="A105" s="1">
        <v>2000</v>
      </c>
      <c r="B105" s="1">
        <v>4</v>
      </c>
      <c r="C105" s="4" t="str">
        <f t="shared" si="1"/>
        <v>2000M4</v>
      </c>
      <c r="D105" s="41">
        <v>7.8678947368421044</v>
      </c>
      <c r="E105" s="41">
        <v>8.0005263157894735</v>
      </c>
      <c r="F105" s="41">
        <v>8.2884210526315805</v>
      </c>
      <c r="G105" s="41">
        <v>8.3978947368421064</v>
      </c>
      <c r="H105" s="42">
        <v>10.281367279095644</v>
      </c>
      <c r="I105" s="41">
        <v>9.6030414898875893</v>
      </c>
      <c r="J105" s="41">
        <v>36.501696733284156</v>
      </c>
    </row>
    <row r="106" spans="1:10" x14ac:dyDescent="0.2">
      <c r="A106" s="1">
        <v>2000</v>
      </c>
      <c r="B106" s="1">
        <v>5</v>
      </c>
      <c r="C106" s="4" t="str">
        <f t="shared" si="1"/>
        <v>2000M5</v>
      </c>
      <c r="D106" s="41">
        <v>8.2154545454545467</v>
      </c>
      <c r="E106" s="41">
        <v>8.4354545454545455</v>
      </c>
      <c r="F106" s="41">
        <v>8.6986363636363624</v>
      </c>
      <c r="G106" s="41">
        <v>8.8559090909090905</v>
      </c>
      <c r="H106" s="42">
        <v>10.842104694938888</v>
      </c>
      <c r="I106" s="41">
        <v>9.7097959210930576</v>
      </c>
      <c r="J106" s="41">
        <v>36.496479279680344</v>
      </c>
    </row>
    <row r="107" spans="1:10" x14ac:dyDescent="0.2">
      <c r="A107" s="1">
        <v>2000</v>
      </c>
      <c r="B107" s="1">
        <v>6</v>
      </c>
      <c r="C107" s="4" t="str">
        <f t="shared" si="1"/>
        <v>2000M6</v>
      </c>
      <c r="D107" s="41">
        <v>7.9595454545454549</v>
      </c>
      <c r="E107" s="41">
        <v>8.1022727272727266</v>
      </c>
      <c r="F107" s="41">
        <v>8.3622727272727282</v>
      </c>
      <c r="G107" s="41">
        <v>8.4700000000000006</v>
      </c>
      <c r="H107" s="42">
        <v>10.369644248087628</v>
      </c>
      <c r="I107" s="41">
        <v>9.1912230431883479</v>
      </c>
      <c r="J107" s="41">
        <v>39.862536142744851</v>
      </c>
    </row>
    <row r="108" spans="1:10" x14ac:dyDescent="0.2">
      <c r="A108" s="1">
        <v>2000</v>
      </c>
      <c r="B108" s="1">
        <v>7</v>
      </c>
      <c r="C108" s="4" t="str">
        <f t="shared" si="1"/>
        <v>2000M7</v>
      </c>
      <c r="D108" s="41">
        <v>7.9894999999999978</v>
      </c>
      <c r="E108" s="41">
        <v>8.0960000000000001</v>
      </c>
      <c r="F108" s="41">
        <v>8.2529999999999983</v>
      </c>
      <c r="G108" s="41">
        <v>8.3290000000000006</v>
      </c>
      <c r="H108" s="42">
        <v>10.197020890474835</v>
      </c>
      <c r="I108" s="41">
        <v>9.2062392979746104</v>
      </c>
      <c r="J108" s="41">
        <v>33.304215920688939</v>
      </c>
    </row>
    <row r="109" spans="1:10" x14ac:dyDescent="0.2">
      <c r="A109" s="1">
        <v>2000</v>
      </c>
      <c r="B109" s="1">
        <v>8</v>
      </c>
      <c r="C109" s="4" t="str">
        <f t="shared" si="1"/>
        <v>2000M8</v>
      </c>
      <c r="D109" s="41">
        <v>7.8852173913043471</v>
      </c>
      <c r="E109" s="41">
        <v>7.9508695652173902</v>
      </c>
      <c r="F109" s="41">
        <v>8.12695652173913</v>
      </c>
      <c r="G109" s="41">
        <v>8.2465217391304346</v>
      </c>
      <c r="H109" s="42">
        <v>10.096044476848109</v>
      </c>
      <c r="I109" s="41">
        <v>9.3745314773859576</v>
      </c>
      <c r="J109" s="41">
        <v>30.58326525229127</v>
      </c>
    </row>
    <row r="110" spans="1:10" x14ac:dyDescent="0.2">
      <c r="A110" s="1">
        <v>2000</v>
      </c>
      <c r="B110" s="1">
        <v>9</v>
      </c>
      <c r="C110" s="4" t="str">
        <f t="shared" si="1"/>
        <v>2000M9</v>
      </c>
      <c r="D110" s="41">
        <v>7.9539999999999988</v>
      </c>
      <c r="E110" s="41">
        <v>8.1080000000000005</v>
      </c>
      <c r="F110" s="41">
        <v>8.2335000000000012</v>
      </c>
      <c r="G110" s="41">
        <v>8.3194999999999997</v>
      </c>
      <c r="H110" s="42">
        <v>10.18539023872078</v>
      </c>
      <c r="I110" s="41">
        <v>9.4059947601091949</v>
      </c>
      <c r="J110" s="41">
        <v>34.813032400043333</v>
      </c>
    </row>
    <row r="111" spans="1:10" x14ac:dyDescent="0.2">
      <c r="A111" s="1">
        <v>2000</v>
      </c>
      <c r="B111" s="1">
        <v>10</v>
      </c>
      <c r="C111" s="4" t="str">
        <f t="shared" si="1"/>
        <v>2000M10</v>
      </c>
      <c r="D111" s="41">
        <v>7.8042857142857134</v>
      </c>
      <c r="E111" s="41">
        <v>8.0752380952380953</v>
      </c>
      <c r="F111" s="41">
        <v>8.1385714285714279</v>
      </c>
      <c r="G111" s="41">
        <v>8.2947619047619039</v>
      </c>
      <c r="H111" s="42">
        <v>10.155103904955212</v>
      </c>
      <c r="I111" s="41">
        <v>9.9916396854907497</v>
      </c>
      <c r="J111" s="41">
        <v>35.182588719469322</v>
      </c>
    </row>
    <row r="112" spans="1:10" x14ac:dyDescent="0.2">
      <c r="A112" s="1">
        <v>2000</v>
      </c>
      <c r="B112" s="1">
        <v>11</v>
      </c>
      <c r="C112" s="4" t="str">
        <f t="shared" si="1"/>
        <v>2000M11</v>
      </c>
      <c r="D112" s="41">
        <v>7.7126315789473692</v>
      </c>
      <c r="E112" s="41">
        <v>8.0326315789473686</v>
      </c>
      <c r="F112" s="41">
        <v>8.1142105263157891</v>
      </c>
      <c r="G112" s="41">
        <v>8.2463157894736838</v>
      </c>
      <c r="H112" s="42">
        <v>10.095792336981106</v>
      </c>
      <c r="I112" s="41">
        <v>10.558162467200868</v>
      </c>
      <c r="J112" s="41">
        <v>34.789124638734251</v>
      </c>
    </row>
    <row r="113" spans="1:10" x14ac:dyDescent="0.2">
      <c r="A113" s="1">
        <v>2000</v>
      </c>
      <c r="B113" s="1">
        <v>12</v>
      </c>
      <c r="C113" s="4" t="str">
        <f t="shared" si="1"/>
        <v>2000M12</v>
      </c>
      <c r="D113" s="41">
        <v>7.5168421052631578</v>
      </c>
      <c r="E113" s="41">
        <v>7.7899999999999991</v>
      </c>
      <c r="F113" s="41">
        <v>7.8452631578947374</v>
      </c>
      <c r="G113" s="41">
        <v>8.0157894736842099</v>
      </c>
      <c r="H113" s="42">
        <v>9.8135637791819139</v>
      </c>
      <c r="I113" s="41">
        <v>10.913571956885397</v>
      </c>
      <c r="J113" s="41">
        <v>39.192127897365538</v>
      </c>
    </row>
    <row r="114" spans="1:10" x14ac:dyDescent="0.2">
      <c r="A114" s="1">
        <v>2001</v>
      </c>
      <c r="B114" s="1">
        <v>1</v>
      </c>
      <c r="C114" s="4" t="str">
        <f t="shared" si="1"/>
        <v>2001M1</v>
      </c>
      <c r="D114" s="41">
        <v>7.5364999999999993</v>
      </c>
      <c r="E114" s="41">
        <v>7.729000000000001</v>
      </c>
      <c r="F114" s="41">
        <v>7.7990000000000013</v>
      </c>
      <c r="G114" s="41">
        <v>7.9924999999999979</v>
      </c>
      <c r="H114" s="42">
        <v>9.7850509625549389</v>
      </c>
      <c r="I114" s="41">
        <v>10.082447793234833</v>
      </c>
      <c r="J114" s="41">
        <v>36.637159290746204</v>
      </c>
    </row>
    <row r="115" spans="1:10" x14ac:dyDescent="0.2">
      <c r="A115" s="1">
        <v>2001</v>
      </c>
      <c r="B115" s="1">
        <v>2</v>
      </c>
      <c r="C115" s="4" t="str">
        <f t="shared" si="1"/>
        <v>2001M2</v>
      </c>
      <c r="D115" s="41">
        <v>7.4555555555555548</v>
      </c>
      <c r="E115" s="41">
        <v>7.6177777777777784</v>
      </c>
      <c r="F115" s="41">
        <v>7.7327777777777778</v>
      </c>
      <c r="G115" s="41">
        <v>7.9366666666666674</v>
      </c>
      <c r="H115" s="42">
        <v>9.7166953776846281</v>
      </c>
      <c r="I115" s="41">
        <v>9.5873739851760131</v>
      </c>
      <c r="J115" s="41">
        <v>27.518802522965569</v>
      </c>
    </row>
    <row r="116" spans="1:10" x14ac:dyDescent="0.2">
      <c r="A116" s="1">
        <v>2001</v>
      </c>
      <c r="B116" s="1">
        <v>3</v>
      </c>
      <c r="C116" s="4" t="str">
        <f t="shared" si="1"/>
        <v>2001M3</v>
      </c>
      <c r="D116" s="41">
        <v>7.3118181818181824</v>
      </c>
      <c r="E116" s="41">
        <v>7.5077272727272737</v>
      </c>
      <c r="F116" s="41">
        <v>7.6772727272727259</v>
      </c>
      <c r="G116" s="41">
        <v>7.8499999999999979</v>
      </c>
      <c r="H116" s="42">
        <v>9.6105911862441378</v>
      </c>
      <c r="I116" s="41">
        <v>9.7343033344019769</v>
      </c>
      <c r="J116" s="41">
        <v>30.46362007099253</v>
      </c>
    </row>
    <row r="117" spans="1:10" x14ac:dyDescent="0.2">
      <c r="A117" s="1">
        <v>2001</v>
      </c>
      <c r="B117" s="1">
        <v>4</v>
      </c>
      <c r="C117" s="4" t="str">
        <f t="shared" si="1"/>
        <v>2001M4</v>
      </c>
      <c r="D117" s="41">
        <v>7.5334999999999992</v>
      </c>
      <c r="E117" s="41">
        <v>7.722500000000001</v>
      </c>
      <c r="F117" s="41">
        <v>7.9349999999999978</v>
      </c>
      <c r="G117" s="41">
        <v>8.0550000000000015</v>
      </c>
      <c r="H117" s="42">
        <v>9.8615684083052955</v>
      </c>
      <c r="I117" s="41">
        <v>10.160100954450233</v>
      </c>
      <c r="J117" s="41">
        <v>40.832147832314519</v>
      </c>
    </row>
    <row r="118" spans="1:10" x14ac:dyDescent="0.2">
      <c r="A118" s="1">
        <v>2001</v>
      </c>
      <c r="B118" s="1">
        <v>5</v>
      </c>
      <c r="C118" s="4" t="str">
        <f t="shared" si="1"/>
        <v>2001M5</v>
      </c>
      <c r="D118" s="41">
        <v>7.6145454545454534</v>
      </c>
      <c r="E118" s="41">
        <v>7.787272727272728</v>
      </c>
      <c r="F118" s="41">
        <v>7.9940909090909082</v>
      </c>
      <c r="G118" s="41">
        <v>8.1113636363636363</v>
      </c>
      <c r="H118" s="42">
        <v>9.9305732321092464</v>
      </c>
      <c r="I118" s="41">
        <v>10.086953642487954</v>
      </c>
      <c r="J118" s="41">
        <v>41.98708930479642</v>
      </c>
    </row>
    <row r="119" spans="1:10" x14ac:dyDescent="0.2">
      <c r="A119" s="1">
        <v>2001</v>
      </c>
      <c r="B119" s="1">
        <v>6</v>
      </c>
      <c r="C119" s="4" t="str">
        <f t="shared" si="1"/>
        <v>2001M6</v>
      </c>
      <c r="D119" s="41">
        <v>7.4990476190476203</v>
      </c>
      <c r="E119" s="41">
        <v>7.6219047619047622</v>
      </c>
      <c r="F119" s="41">
        <v>7.8519047619047608</v>
      </c>
      <c r="G119" s="41">
        <v>8.0247619047619061</v>
      </c>
      <c r="H119" s="42">
        <v>9.824548539313696</v>
      </c>
      <c r="I119" s="41">
        <v>10.206904679708694</v>
      </c>
      <c r="J119" s="41">
        <v>31.717302425374434</v>
      </c>
    </row>
    <row r="120" spans="1:10" x14ac:dyDescent="0.2">
      <c r="A120" s="1">
        <v>2001</v>
      </c>
      <c r="B120" s="1">
        <v>7</v>
      </c>
      <c r="C120" s="4" t="str">
        <f t="shared" si="1"/>
        <v>2001M7</v>
      </c>
      <c r="D120" s="41">
        <v>7.4642857142857144</v>
      </c>
      <c r="E120" s="41">
        <v>7.550476190476191</v>
      </c>
      <c r="F120" s="41">
        <v>7.7809523809523808</v>
      </c>
      <c r="G120" s="41">
        <v>8.0452380952380977</v>
      </c>
      <c r="H120" s="42">
        <v>9.84961711201667</v>
      </c>
      <c r="I120" s="41">
        <v>10.191509990860457</v>
      </c>
      <c r="J120" s="41">
        <v>25.675929785127678</v>
      </c>
    </row>
    <row r="121" spans="1:10" x14ac:dyDescent="0.2">
      <c r="A121" s="1">
        <v>2001</v>
      </c>
      <c r="B121" s="1">
        <v>8</v>
      </c>
      <c r="C121" s="4" t="str">
        <f t="shared" si="1"/>
        <v>2001M8</v>
      </c>
      <c r="D121" s="41">
        <v>7.3613043478260884</v>
      </c>
      <c r="E121" s="41">
        <v>7.3865217391304343</v>
      </c>
      <c r="F121" s="41">
        <v>7.586086956521739</v>
      </c>
      <c r="G121" s="41">
        <v>7.9539130434782619</v>
      </c>
      <c r="H121" s="42">
        <v>9.7378097569177697</v>
      </c>
      <c r="I121" s="41">
        <v>9.8216081077250497</v>
      </c>
      <c r="J121" s="41">
        <v>20.838821867235428</v>
      </c>
    </row>
    <row r="122" spans="1:10" x14ac:dyDescent="0.2">
      <c r="A122" s="1">
        <v>2001</v>
      </c>
      <c r="B122" s="1">
        <v>9</v>
      </c>
      <c r="C122" s="4" t="str">
        <f t="shared" si="1"/>
        <v>2001M9</v>
      </c>
      <c r="D122" s="41">
        <v>7.52</v>
      </c>
      <c r="E122" s="41">
        <v>7.5476470588235296</v>
      </c>
      <c r="F122" s="41">
        <v>7.7452941176470596</v>
      </c>
      <c r="G122" s="41">
        <v>8.1194117647058821</v>
      </c>
      <c r="H122" s="42">
        <v>9.9404263876903602</v>
      </c>
      <c r="I122" s="41">
        <v>10.158083218658263</v>
      </c>
      <c r="J122" s="41">
        <v>21.364960560275978</v>
      </c>
    </row>
    <row r="123" spans="1:10" x14ac:dyDescent="0.2">
      <c r="A123" s="1">
        <v>2001</v>
      </c>
      <c r="B123" s="1">
        <v>10</v>
      </c>
      <c r="C123" s="4" t="str">
        <f t="shared" si="1"/>
        <v>2001M10</v>
      </c>
      <c r="D123" s="41">
        <v>7.4447619047619034</v>
      </c>
      <c r="E123" s="41">
        <v>7.4552380952380952</v>
      </c>
      <c r="F123" s="41">
        <v>7.6223809523809525</v>
      </c>
      <c r="G123" s="41">
        <v>8.0142857142857142</v>
      </c>
      <c r="H123" s="42">
        <v>9.8117227579307791</v>
      </c>
      <c r="I123" s="41">
        <v>10.550261315332</v>
      </c>
      <c r="J123" s="41">
        <v>25.566421978159699</v>
      </c>
    </row>
    <row r="124" spans="1:10" x14ac:dyDescent="0.2">
      <c r="A124" s="1">
        <v>2001</v>
      </c>
      <c r="B124" s="1">
        <v>11</v>
      </c>
      <c r="C124" s="4" t="str">
        <f t="shared" si="1"/>
        <v>2001M11</v>
      </c>
      <c r="D124" s="41">
        <v>7.4384210526315799</v>
      </c>
      <c r="E124" s="41">
        <v>7.439473684210526</v>
      </c>
      <c r="F124" s="41">
        <v>7.5631578947368432</v>
      </c>
      <c r="G124" s="41">
        <v>7.9531578947368411</v>
      </c>
      <c r="H124" s="42">
        <v>9.7368852440720879</v>
      </c>
      <c r="I124" s="41">
        <v>10.205056664719971</v>
      </c>
      <c r="J124" s="41">
        <v>31.376468638036357</v>
      </c>
    </row>
    <row r="125" spans="1:10" x14ac:dyDescent="0.2">
      <c r="A125" s="1">
        <v>2001</v>
      </c>
      <c r="B125" s="1">
        <v>12</v>
      </c>
      <c r="C125" s="4" t="str">
        <f t="shared" si="1"/>
        <v>2001M12</v>
      </c>
      <c r="D125" s="41">
        <v>7.5250000000000004</v>
      </c>
      <c r="E125" s="41">
        <v>7.529473684210525</v>
      </c>
      <c r="F125" s="41">
        <v>7.8352631578947367</v>
      </c>
      <c r="G125" s="41">
        <v>8.2678947368421039</v>
      </c>
      <c r="H125" s="43">
        <v>10.229999999999999</v>
      </c>
      <c r="I125" s="41">
        <v>9.5992093814155695</v>
      </c>
      <c r="J125" s="41">
        <v>33.490795796409778</v>
      </c>
    </row>
    <row r="126" spans="1:10" x14ac:dyDescent="0.2">
      <c r="A126" s="1">
        <v>2002</v>
      </c>
      <c r="B126" s="1">
        <v>1</v>
      </c>
      <c r="C126" s="4" t="str">
        <f t="shared" si="1"/>
        <v>2002M1</v>
      </c>
      <c r="E126" s="41">
        <v>7.2752380952380955</v>
      </c>
      <c r="F126" s="41">
        <v>7.6571428571428575</v>
      </c>
      <c r="G126" s="41">
        <v>8.1290476190476202</v>
      </c>
      <c r="H126" s="43">
        <v>10.216956521739132</v>
      </c>
      <c r="I126" s="41">
        <v>9.4432924469184645</v>
      </c>
      <c r="J126" s="41">
        <v>31.172181167365746</v>
      </c>
    </row>
    <row r="127" spans="1:10" x14ac:dyDescent="0.2">
      <c r="A127" s="1">
        <v>2002</v>
      </c>
      <c r="B127" s="1">
        <v>2</v>
      </c>
      <c r="C127" s="4" t="str">
        <f t="shared" si="1"/>
        <v>2002M2</v>
      </c>
      <c r="E127" s="41">
        <v>7.1394736842105253</v>
      </c>
      <c r="F127" s="41">
        <v>7.535263157894736</v>
      </c>
      <c r="G127" s="41">
        <v>8.1842105263157894</v>
      </c>
      <c r="H127" s="43">
        <v>10.158999999999999</v>
      </c>
      <c r="I127" s="41">
        <v>9.501295707113302</v>
      </c>
      <c r="J127" s="41">
        <v>27.205162775062835</v>
      </c>
    </row>
    <row r="128" spans="1:10" x14ac:dyDescent="0.2">
      <c r="A128" s="1">
        <v>2002</v>
      </c>
      <c r="B128" s="1">
        <v>3</v>
      </c>
      <c r="C128" s="4" t="str">
        <f t="shared" si="1"/>
        <v>2002M3</v>
      </c>
      <c r="E128" s="41">
        <v>7.4219999999999988</v>
      </c>
      <c r="F128" s="41">
        <v>7.7575000000000021</v>
      </c>
      <c r="G128" s="41">
        <v>8.3149999999999995</v>
      </c>
      <c r="H128" s="43">
        <v>10.04809523809524</v>
      </c>
      <c r="I128" s="41">
        <v>9.4449983743477048</v>
      </c>
      <c r="J128" s="41">
        <v>28.905971837711817</v>
      </c>
    </row>
    <row r="129" spans="1:10" x14ac:dyDescent="0.2">
      <c r="A129" s="1">
        <v>2002</v>
      </c>
      <c r="B129" s="1">
        <v>4</v>
      </c>
      <c r="C129" s="4" t="str">
        <f t="shared" si="1"/>
        <v>2002M4</v>
      </c>
      <c r="E129" s="41">
        <v>7.380454545454544</v>
      </c>
      <c r="F129" s="41">
        <v>7.5677272727272742</v>
      </c>
      <c r="G129" s="41">
        <v>8.2536363636363657</v>
      </c>
      <c r="H129" s="43">
        <v>9.8304545454545469</v>
      </c>
      <c r="I129" s="41">
        <v>9.4259434088580463</v>
      </c>
      <c r="J129" s="41">
        <v>26.450481122952674</v>
      </c>
    </row>
    <row r="130" spans="1:10" x14ac:dyDescent="0.2">
      <c r="A130" s="1">
        <v>2002</v>
      </c>
      <c r="B130" s="1">
        <v>5</v>
      </c>
      <c r="C130" s="4" t="str">
        <f t="shared" si="1"/>
        <v>2002M5</v>
      </c>
      <c r="E130" s="41">
        <v>7.4340909090909095</v>
      </c>
      <c r="F130" s="41">
        <v>7.5245454545454544</v>
      </c>
      <c r="G130" s="41">
        <v>8.331363636363637</v>
      </c>
      <c r="H130" s="43">
        <v>9.3969565217391313</v>
      </c>
      <c r="I130" s="41">
        <v>9.3305340613791046</v>
      </c>
      <c r="J130" s="41">
        <v>23.049104430145057</v>
      </c>
    </row>
    <row r="131" spans="1:10" x14ac:dyDescent="0.2">
      <c r="A131" s="1">
        <v>2002</v>
      </c>
      <c r="B131" s="1">
        <v>6</v>
      </c>
      <c r="C131" s="4" t="str">
        <f t="shared" si="1"/>
        <v>2002M6</v>
      </c>
      <c r="E131" s="41">
        <v>7.3180000000000005</v>
      </c>
      <c r="F131" s="41">
        <v>7.4129999999999985</v>
      </c>
      <c r="G131" s="41">
        <v>8.2489999999999988</v>
      </c>
      <c r="H131" s="43">
        <v>9.4289999999999985</v>
      </c>
      <c r="I131" s="41">
        <v>9.5583060824033979</v>
      </c>
      <c r="J131" s="41">
        <v>23.504671687216195</v>
      </c>
    </row>
    <row r="132" spans="1:10" x14ac:dyDescent="0.2">
      <c r="A132" s="1">
        <v>2002</v>
      </c>
      <c r="B132" s="1">
        <v>7</v>
      </c>
      <c r="C132" s="4" t="str">
        <f t="shared" si="1"/>
        <v>2002M7</v>
      </c>
      <c r="E132" s="41">
        <v>7.2231818181818177</v>
      </c>
      <c r="F132" s="41">
        <v>7.3136363636363626</v>
      </c>
      <c r="G132" s="41">
        <v>8.0772727272727263</v>
      </c>
      <c r="H132" s="43">
        <v>9.4151217391304343</v>
      </c>
      <c r="I132" s="41">
        <v>10.321156829919307</v>
      </c>
      <c r="J132" s="41">
        <v>30.083768627069862</v>
      </c>
    </row>
    <row r="133" spans="1:10" x14ac:dyDescent="0.2">
      <c r="A133" s="1">
        <v>2002</v>
      </c>
      <c r="B133" s="1">
        <v>8</v>
      </c>
      <c r="C133" s="4" t="str">
        <f t="shared" si="1"/>
        <v>2002M8</v>
      </c>
      <c r="E133" s="41">
        <v>7.1004545454545456</v>
      </c>
      <c r="F133" s="41">
        <v>7.173181818181817</v>
      </c>
      <c r="G133" s="41">
        <v>7.7431818181818182</v>
      </c>
      <c r="H133" s="43">
        <v>9.9373363636363656</v>
      </c>
      <c r="I133" s="41">
        <v>10.85397147891554</v>
      </c>
      <c r="J133" s="41">
        <v>29.032462021688772</v>
      </c>
    </row>
    <row r="134" spans="1:10" x14ac:dyDescent="0.2">
      <c r="A134" s="1">
        <v>2002</v>
      </c>
      <c r="B134" s="1">
        <v>9</v>
      </c>
      <c r="C134" s="4" t="str">
        <f t="shared" si="1"/>
        <v>2002M9</v>
      </c>
      <c r="E134" s="41">
        <v>6.9799999999999995</v>
      </c>
      <c r="F134" s="41">
        <v>7.0770000000000008</v>
      </c>
      <c r="G134" s="41">
        <v>7.6174999999999997</v>
      </c>
      <c r="H134" s="43">
        <v>9.5904952380952384</v>
      </c>
      <c r="I134" s="41">
        <v>10.328220271664216</v>
      </c>
      <c r="J134" s="41">
        <v>31.687776094814936</v>
      </c>
    </row>
    <row r="135" spans="1:10" x14ac:dyDescent="0.2">
      <c r="A135" s="1">
        <v>2002</v>
      </c>
      <c r="B135" s="1">
        <v>10</v>
      </c>
      <c r="C135" s="4" t="str">
        <f t="shared" ref="C135:C198" si="2">CONCATENATE(A135,"M",B135)</f>
        <v>2002M10</v>
      </c>
      <c r="E135" s="41">
        <v>7.0649999999999986</v>
      </c>
      <c r="F135" s="41">
        <v>7.2259090909090897</v>
      </c>
      <c r="G135" s="41">
        <v>7.9909090909090885</v>
      </c>
      <c r="H135" s="43">
        <v>10.241200000000001</v>
      </c>
      <c r="I135" s="41">
        <v>10.96714119991762</v>
      </c>
      <c r="J135" s="41">
        <v>35.712728823563701</v>
      </c>
    </row>
    <row r="136" spans="1:10" x14ac:dyDescent="0.2">
      <c r="A136" s="1">
        <v>2002</v>
      </c>
      <c r="B136" s="1">
        <v>11</v>
      </c>
      <c r="C136" s="4" t="str">
        <f t="shared" si="2"/>
        <v>2002M11</v>
      </c>
      <c r="E136" s="41">
        <v>7.0273684210526319</v>
      </c>
      <c r="F136" s="41">
        <v>7.143684210526315</v>
      </c>
      <c r="G136" s="41">
        <v>7.755789473684211</v>
      </c>
      <c r="H136" s="43">
        <v>10.469495238095238</v>
      </c>
      <c r="I136" s="41">
        <v>10.817773819756777</v>
      </c>
      <c r="J136" s="41">
        <v>35.528187248838073</v>
      </c>
    </row>
    <row r="137" spans="1:10" x14ac:dyDescent="0.2">
      <c r="A137" s="1">
        <v>2002</v>
      </c>
      <c r="B137" s="1">
        <v>12</v>
      </c>
      <c r="C137" s="4" t="str">
        <f t="shared" si="2"/>
        <v>2002M12</v>
      </c>
      <c r="E137" s="41">
        <v>6.9404761904761889</v>
      </c>
      <c r="F137" s="41">
        <v>7.0671428571428585</v>
      </c>
      <c r="G137" s="41">
        <v>7.6080952380952382</v>
      </c>
      <c r="H137" s="43">
        <v>9.9437363636363632</v>
      </c>
      <c r="I137" s="41">
        <v>10.282523017314274</v>
      </c>
      <c r="J137" s="41">
        <v>33.589023092983375</v>
      </c>
    </row>
    <row r="138" spans="1:10" x14ac:dyDescent="0.2">
      <c r="A138" s="1">
        <v>2003</v>
      </c>
      <c r="B138" s="1">
        <v>1</v>
      </c>
      <c r="C138" s="4" t="str">
        <f t="shared" si="2"/>
        <v>2003M1</v>
      </c>
      <c r="E138" s="41">
        <v>6.8704761904761904</v>
      </c>
      <c r="F138" s="41">
        <v>7.0647619047619044</v>
      </c>
      <c r="G138" s="41">
        <v>7.4642857142857144</v>
      </c>
      <c r="H138" s="43">
        <v>10.024121739130434</v>
      </c>
      <c r="I138" s="41">
        <v>9.9998773908636895</v>
      </c>
      <c r="J138" s="41">
        <v>23.592878030781808</v>
      </c>
    </row>
    <row r="139" spans="1:10" x14ac:dyDescent="0.2">
      <c r="A139" s="1">
        <v>2003</v>
      </c>
      <c r="B139" s="1">
        <v>2</v>
      </c>
      <c r="C139" s="4" t="str">
        <f t="shared" si="2"/>
        <v>2003M2</v>
      </c>
      <c r="E139" s="41">
        <v>6.655263157894737</v>
      </c>
      <c r="F139" s="41">
        <v>6.9284210526315801</v>
      </c>
      <c r="G139" s="41">
        <v>7.1668421052631572</v>
      </c>
      <c r="H139" s="43">
        <v>9.4419649999999997</v>
      </c>
      <c r="I139" s="41">
        <v>9.9773505416217763</v>
      </c>
      <c r="J139" s="41">
        <v>20.840325570284428</v>
      </c>
    </row>
    <row r="140" spans="1:10" x14ac:dyDescent="0.2">
      <c r="A140" s="1">
        <v>2003</v>
      </c>
      <c r="B140" s="1">
        <v>3</v>
      </c>
      <c r="C140" s="4" t="str">
        <f t="shared" si="2"/>
        <v>2003M3</v>
      </c>
      <c r="E140" s="41">
        <v>6.5647619047619044</v>
      </c>
      <c r="F140" s="41">
        <v>6.78857142857143</v>
      </c>
      <c r="G140" s="41">
        <v>7.0485714285714289</v>
      </c>
      <c r="H140" s="43">
        <v>9.0182333333333329</v>
      </c>
      <c r="I140" s="41">
        <v>9.8790704145957378</v>
      </c>
      <c r="J140" s="41">
        <v>21.548811952496578</v>
      </c>
    </row>
    <row r="141" spans="1:10" x14ac:dyDescent="0.2">
      <c r="A141" s="1">
        <v>2003</v>
      </c>
      <c r="B141" s="1">
        <v>4</v>
      </c>
      <c r="C141" s="4" t="str">
        <f t="shared" si="2"/>
        <v>2003M4</v>
      </c>
      <c r="E141" s="41">
        <v>6.4680952380952386</v>
      </c>
      <c r="F141" s="41">
        <v>6.6223809523809507</v>
      </c>
      <c r="G141" s="41">
        <v>6.9423809523809519</v>
      </c>
      <c r="H141" s="43">
        <v>8.5678499999999982</v>
      </c>
      <c r="I141" s="41">
        <v>9.5777418767778393</v>
      </c>
      <c r="J141" s="41">
        <v>18.266286288601453</v>
      </c>
    </row>
    <row r="142" spans="1:10" x14ac:dyDescent="0.2">
      <c r="A142" s="1">
        <v>2003</v>
      </c>
      <c r="B142" s="1">
        <v>5</v>
      </c>
      <c r="C142" s="4" t="str">
        <f t="shared" si="2"/>
        <v>2003M5</v>
      </c>
      <c r="E142" s="41">
        <v>6.2142105263157887</v>
      </c>
      <c r="F142" s="41">
        <v>6.3457142857142852</v>
      </c>
      <c r="G142" s="41">
        <v>6.4514285714285711</v>
      </c>
      <c r="H142" s="43">
        <v>8.3638227272727264</v>
      </c>
      <c r="I142" s="41">
        <v>9.310028280617292</v>
      </c>
      <c r="J142" s="41">
        <v>15.607205846361733</v>
      </c>
    </row>
    <row r="143" spans="1:10" x14ac:dyDescent="0.2">
      <c r="A143" s="1">
        <v>2003</v>
      </c>
      <c r="B143" s="1">
        <v>6</v>
      </c>
      <c r="C143" s="4" t="str">
        <f t="shared" si="2"/>
        <v>2003M6</v>
      </c>
      <c r="E143" s="41">
        <v>6.1176190476190486</v>
      </c>
      <c r="F143" s="41">
        <v>6.2104761904761903</v>
      </c>
      <c r="G143" s="41">
        <v>6.3019047619047619</v>
      </c>
      <c r="H143" s="43">
        <v>7.8144952380952368</v>
      </c>
      <c r="I143" s="41">
        <v>9.1342039872395233</v>
      </c>
      <c r="J143" s="41">
        <v>13.346224181767127</v>
      </c>
    </row>
    <row r="144" spans="1:10" x14ac:dyDescent="0.2">
      <c r="A144" s="1">
        <v>2003</v>
      </c>
      <c r="B144" s="1">
        <v>7</v>
      </c>
      <c r="C144" s="4" t="str">
        <f t="shared" si="2"/>
        <v>2003M7</v>
      </c>
      <c r="E144" s="41">
        <v>6.3654545454545453</v>
      </c>
      <c r="F144" s="41">
        <v>6.56</v>
      </c>
      <c r="G144" s="41">
        <v>6.6713636363636368</v>
      </c>
      <c r="H144" s="43">
        <v>7.7446000000000002</v>
      </c>
      <c r="I144" s="41">
        <v>9.049748319160738</v>
      </c>
      <c r="J144" s="41">
        <v>11.782447634277181</v>
      </c>
    </row>
    <row r="145" spans="1:10" x14ac:dyDescent="0.2">
      <c r="A145" s="1">
        <v>2003</v>
      </c>
      <c r="B145" s="1">
        <v>8</v>
      </c>
      <c r="C145" s="4" t="str">
        <f t="shared" si="2"/>
        <v>2003M8</v>
      </c>
      <c r="E145" s="41">
        <v>6.4814285714285704</v>
      </c>
      <c r="F145" s="41">
        <v>6.7876190476190477</v>
      </c>
      <c r="G145" s="41">
        <v>7.0857142857142845</v>
      </c>
      <c r="H145" s="43">
        <v>8.0122904761904774</v>
      </c>
      <c r="I145" s="41">
        <v>9.2903646145882117</v>
      </c>
      <c r="J145" s="41">
        <v>11.215873432321722</v>
      </c>
    </row>
    <row r="146" spans="1:10" x14ac:dyDescent="0.2">
      <c r="A146" s="1">
        <v>2003</v>
      </c>
      <c r="B146" s="1">
        <v>9</v>
      </c>
      <c r="C146" s="4" t="str">
        <f t="shared" si="2"/>
        <v>2003M9</v>
      </c>
      <c r="D146" s="1">
        <v>0</v>
      </c>
      <c r="E146" s="41">
        <v>6.303809523809524</v>
      </c>
      <c r="F146" s="41">
        <v>6.5614285714285714</v>
      </c>
      <c r="G146" s="41">
        <v>6.8709523809523816</v>
      </c>
      <c r="H146" s="43">
        <v>7.8701227272727268</v>
      </c>
      <c r="I146" s="41">
        <v>8.9428962240944063</v>
      </c>
      <c r="J146" s="41">
        <v>9.5899192340039434</v>
      </c>
    </row>
    <row r="147" spans="1:10" x14ac:dyDescent="0.2">
      <c r="A147" s="1">
        <v>2003</v>
      </c>
      <c r="B147" s="1">
        <v>10</v>
      </c>
      <c r="C147" s="4" t="str">
        <f t="shared" si="2"/>
        <v>2003M10</v>
      </c>
      <c r="E147" s="41">
        <v>6.2772727272727273</v>
      </c>
      <c r="F147" s="41">
        <v>6.4277272727272727</v>
      </c>
      <c r="G147" s="41">
        <v>6.7913636363636378</v>
      </c>
      <c r="H147" s="43">
        <v>7.4592608695652194</v>
      </c>
      <c r="I147" s="41">
        <v>8.7810061445538903</v>
      </c>
      <c r="J147" s="41">
        <v>9.6717400281321009</v>
      </c>
    </row>
    <row r="148" spans="1:10" x14ac:dyDescent="0.2">
      <c r="A148" s="1">
        <v>2003</v>
      </c>
      <c r="B148" s="1">
        <v>11</v>
      </c>
      <c r="C148" s="4" t="str">
        <f t="shared" si="2"/>
        <v>2003M11</v>
      </c>
      <c r="E148" s="41">
        <v>6.2552941176470593</v>
      </c>
      <c r="F148" s="41">
        <v>6.3682352941176461</v>
      </c>
      <c r="G148" s="41">
        <v>6.6876470588235293</v>
      </c>
      <c r="H148" s="43">
        <v>7.095533333333333</v>
      </c>
      <c r="I148" s="41">
        <v>8.6611341547461826</v>
      </c>
      <c r="J148" s="41">
        <v>9.8103318814377367</v>
      </c>
    </row>
    <row r="149" spans="1:10" x14ac:dyDescent="0.2">
      <c r="A149" s="1">
        <v>2003</v>
      </c>
      <c r="B149" s="1">
        <v>12</v>
      </c>
      <c r="C149" s="4" t="str">
        <f t="shared" si="2"/>
        <v>2003M12</v>
      </c>
      <c r="E149" s="41">
        <v>6.1827272727272735</v>
      </c>
      <c r="F149" s="41">
        <v>6.2718181818181815</v>
      </c>
      <c r="G149" s="41">
        <v>6.6104545454545445</v>
      </c>
      <c r="H149" s="42">
        <v>8.0930415530717141</v>
      </c>
      <c r="I149" s="41">
        <v>8.4945572344248816</v>
      </c>
      <c r="J149" s="41">
        <v>9.8214770337462465</v>
      </c>
    </row>
    <row r="150" spans="1:10" x14ac:dyDescent="0.2">
      <c r="A150" s="1">
        <v>2004</v>
      </c>
      <c r="B150" s="1">
        <v>1</v>
      </c>
      <c r="C150" s="4" t="str">
        <f t="shared" si="2"/>
        <v>2004M1</v>
      </c>
      <c r="E150" s="41">
        <v>6.0644999999999989</v>
      </c>
      <c r="F150" s="41">
        <v>6.1515000000000004</v>
      </c>
      <c r="G150" s="41">
        <v>6.471000000000001</v>
      </c>
      <c r="H150" s="42">
        <v>7.9223102632083879</v>
      </c>
      <c r="I150" s="41">
        <v>8.3273242130705896</v>
      </c>
      <c r="J150" s="41">
        <v>9.1199914120955548</v>
      </c>
    </row>
    <row r="151" spans="1:10" x14ac:dyDescent="0.2">
      <c r="A151" s="1">
        <v>2004</v>
      </c>
      <c r="B151" s="1">
        <v>2</v>
      </c>
      <c r="C151" s="4" t="str">
        <f t="shared" si="2"/>
        <v>2004M2</v>
      </c>
      <c r="E151" s="41">
        <v>6.0957894736842109</v>
      </c>
      <c r="F151" s="41">
        <v>6.148421052631579</v>
      </c>
      <c r="G151" s="41">
        <v>6.2831578947368421</v>
      </c>
      <c r="H151" s="42">
        <v>7.6923390936226985</v>
      </c>
      <c r="I151" s="41">
        <v>8.3936933058939349</v>
      </c>
      <c r="J151" s="41">
        <v>9.2216753680848313</v>
      </c>
    </row>
    <row r="152" spans="1:10" x14ac:dyDescent="0.2">
      <c r="A152" s="1">
        <v>2004</v>
      </c>
      <c r="B152" s="1">
        <v>3</v>
      </c>
      <c r="C152" s="4" t="str">
        <f t="shared" si="2"/>
        <v>2004M3</v>
      </c>
      <c r="E152" s="41">
        <v>5.925217391304348</v>
      </c>
      <c r="F152" s="41">
        <v>5.9673913043478262</v>
      </c>
      <c r="G152" s="41">
        <v>6.1234782608695655</v>
      </c>
      <c r="H152" s="42">
        <v>7.4968466500726931</v>
      </c>
      <c r="I152" s="41">
        <v>8.3709027336005626</v>
      </c>
      <c r="J152" s="41">
        <v>9.7088340884682189</v>
      </c>
    </row>
    <row r="153" spans="1:10" x14ac:dyDescent="0.2">
      <c r="A153" s="1">
        <v>2004</v>
      </c>
      <c r="B153" s="1">
        <v>4</v>
      </c>
      <c r="C153" s="4" t="str">
        <f t="shared" si="2"/>
        <v>2004M4</v>
      </c>
      <c r="E153" s="41">
        <v>6.3323809523809516</v>
      </c>
      <c r="F153" s="41">
        <v>6.3466666666666667</v>
      </c>
      <c r="G153" s="41">
        <v>6.4585714285714309</v>
      </c>
      <c r="H153" s="42">
        <v>7.9070942225677481</v>
      </c>
      <c r="I153" s="41">
        <v>8.3742281526269995</v>
      </c>
      <c r="J153" s="41">
        <v>10.120504422097653</v>
      </c>
    </row>
    <row r="154" spans="1:10" x14ac:dyDescent="0.2">
      <c r="A154" s="1">
        <v>2004</v>
      </c>
      <c r="B154" s="1">
        <v>5</v>
      </c>
      <c r="C154" s="4" t="str">
        <f t="shared" si="2"/>
        <v>2004M5</v>
      </c>
      <c r="E154" s="41">
        <v>6.6635000000000009</v>
      </c>
      <c r="F154" s="41">
        <v>6.6240000000000006</v>
      </c>
      <c r="G154" s="41">
        <v>6.7545000000000002</v>
      </c>
      <c r="H154" s="42">
        <v>8.2693933971319815</v>
      </c>
      <c r="I154" s="41">
        <v>8.6430035787804087</v>
      </c>
      <c r="J154" s="41">
        <v>10.575859580646437</v>
      </c>
    </row>
    <row r="155" spans="1:10" x14ac:dyDescent="0.2">
      <c r="A155" s="1">
        <v>2004</v>
      </c>
      <c r="B155" s="1">
        <v>6</v>
      </c>
      <c r="C155" s="4" t="str">
        <f t="shared" si="2"/>
        <v>2004M6</v>
      </c>
      <c r="E155" s="41">
        <v>6.3014285714285707</v>
      </c>
      <c r="F155" s="41">
        <v>6.45714285714286</v>
      </c>
      <c r="G155" s="41">
        <v>6.8376190476190493</v>
      </c>
      <c r="H155" s="42">
        <v>8.3711543126041636</v>
      </c>
      <c r="I155" s="41">
        <v>8.6335817714827776</v>
      </c>
      <c r="J155" s="41">
        <v>10.095085756471166</v>
      </c>
    </row>
    <row r="156" spans="1:10" x14ac:dyDescent="0.2">
      <c r="A156" s="1">
        <v>2004</v>
      </c>
      <c r="B156" s="1">
        <v>7</v>
      </c>
      <c r="C156" s="4" t="str">
        <f t="shared" si="2"/>
        <v>2004M7</v>
      </c>
      <c r="E156" s="41">
        <v>6.0895238095238096</v>
      </c>
      <c r="F156" s="41">
        <v>6.2680952380952393</v>
      </c>
      <c r="G156" s="41">
        <v>6.6661904761904767</v>
      </c>
      <c r="H156" s="42">
        <v>8.1612778899746274</v>
      </c>
      <c r="I156" s="41">
        <v>8.5410654752572057</v>
      </c>
      <c r="J156" s="41">
        <v>10.365892699421117</v>
      </c>
    </row>
    <row r="157" spans="1:10" x14ac:dyDescent="0.2">
      <c r="A157" s="1">
        <v>2004</v>
      </c>
      <c r="B157" s="1">
        <v>8</v>
      </c>
      <c r="C157" s="4" t="str">
        <f t="shared" si="2"/>
        <v>2004M8</v>
      </c>
      <c r="E157" s="41">
        <v>5.9468181818181813</v>
      </c>
      <c r="F157" s="41">
        <v>6.1368181818181826</v>
      </c>
      <c r="G157" s="41">
        <v>6.4545454545454541</v>
      </c>
      <c r="H157" s="42">
        <v>7.9021653065817477</v>
      </c>
      <c r="I157" s="41">
        <v>8.4771970145077589</v>
      </c>
      <c r="J157" s="41">
        <v>11.186917063005183</v>
      </c>
    </row>
    <row r="158" spans="1:10" x14ac:dyDescent="0.2">
      <c r="A158" s="1">
        <v>2004</v>
      </c>
      <c r="B158" s="1">
        <v>9</v>
      </c>
      <c r="C158" s="4" t="str">
        <f t="shared" si="2"/>
        <v>2004M9</v>
      </c>
      <c r="E158" s="41">
        <v>5.7919047619047621</v>
      </c>
      <c r="F158" s="41">
        <v>5.9795238095238084</v>
      </c>
      <c r="G158" s="41">
        <v>6.2652380952380948</v>
      </c>
      <c r="H158" s="42">
        <v>7.6704002570466576</v>
      </c>
      <c r="I158" s="41">
        <v>8.3452471492256119</v>
      </c>
      <c r="J158" s="41">
        <v>11.403445184796109</v>
      </c>
    </row>
    <row r="159" spans="1:10" x14ac:dyDescent="0.2">
      <c r="A159" s="1">
        <v>2004</v>
      </c>
      <c r="B159" s="1">
        <v>10</v>
      </c>
      <c r="C159" s="4" t="str">
        <f t="shared" si="2"/>
        <v>2004M10</v>
      </c>
      <c r="E159" s="41">
        <v>5.7365000000000013</v>
      </c>
      <c r="F159" s="41">
        <v>5.9870000000000001</v>
      </c>
      <c r="G159" s="41">
        <v>6.173</v>
      </c>
      <c r="H159" s="42">
        <v>7.5574750818707104</v>
      </c>
      <c r="I159" s="41">
        <v>8.2594199612592369</v>
      </c>
      <c r="J159" s="41">
        <v>11.342469018244687</v>
      </c>
    </row>
    <row r="160" spans="1:10" x14ac:dyDescent="0.2">
      <c r="A160" s="1">
        <v>2004</v>
      </c>
      <c r="B160" s="1">
        <v>11</v>
      </c>
      <c r="C160" s="4" t="str">
        <f t="shared" si="2"/>
        <v>2004M11</v>
      </c>
      <c r="E160" s="41">
        <v>5.7844999999999995</v>
      </c>
      <c r="F160" s="41">
        <v>5.9620000000000006</v>
      </c>
      <c r="G160" s="41">
        <v>6.1579999999999995</v>
      </c>
      <c r="H160" s="42">
        <v>7.5391108948906256</v>
      </c>
      <c r="I160" s="41">
        <v>8.1064896476010055</v>
      </c>
      <c r="J160" s="41">
        <v>10.549767646676855</v>
      </c>
    </row>
    <row r="161" spans="1:10" x14ac:dyDescent="0.2">
      <c r="A161" s="1">
        <v>2004</v>
      </c>
      <c r="B161" s="1">
        <v>12</v>
      </c>
      <c r="C161" s="4" t="str">
        <f t="shared" si="2"/>
        <v>2004M12</v>
      </c>
      <c r="E161" s="41">
        <v>5.7804545454545453</v>
      </c>
      <c r="F161" s="41">
        <v>5.918181818181818</v>
      </c>
      <c r="G161" s="41">
        <v>6.1027272727272752</v>
      </c>
      <c r="H161" s="42">
        <v>7.4714416483215915</v>
      </c>
      <c r="I161" s="41">
        <v>8.0313756274121388</v>
      </c>
      <c r="J161" s="41">
        <v>9.96188918477106</v>
      </c>
    </row>
    <row r="162" spans="1:10" x14ac:dyDescent="0.2">
      <c r="A162" s="1">
        <v>2005</v>
      </c>
      <c r="B162" s="1">
        <v>1</v>
      </c>
      <c r="C162" s="4" t="str">
        <f t="shared" si="2"/>
        <v>2005M1</v>
      </c>
      <c r="E162" s="41">
        <v>5.6770000000000014</v>
      </c>
      <c r="F162" s="41">
        <v>5.7820000000000009</v>
      </c>
      <c r="G162" s="41">
        <v>5.948500000000001</v>
      </c>
      <c r="H162" s="42">
        <v>7.2826244167354499</v>
      </c>
      <c r="I162" s="41">
        <v>8.0641696296675907</v>
      </c>
      <c r="J162" s="41">
        <v>10.484665505630597</v>
      </c>
    </row>
    <row r="163" spans="1:10" x14ac:dyDescent="0.2">
      <c r="A163" s="1">
        <v>2005</v>
      </c>
      <c r="B163" s="1">
        <v>2</v>
      </c>
      <c r="C163" s="4" t="str">
        <f t="shared" si="2"/>
        <v>2005M2</v>
      </c>
      <c r="E163" s="41">
        <v>5.5499999999999989</v>
      </c>
      <c r="F163" s="41">
        <v>5.6147368421052626</v>
      </c>
      <c r="G163" s="41">
        <v>5.7594736842105263</v>
      </c>
      <c r="H163" s="42">
        <v>7.051203442914491</v>
      </c>
      <c r="I163" s="41">
        <v>7.9962479076709903</v>
      </c>
      <c r="J163" s="41">
        <v>10.716011352035782</v>
      </c>
    </row>
    <row r="164" spans="1:10" x14ac:dyDescent="0.2">
      <c r="A164" s="1">
        <v>2005</v>
      </c>
      <c r="B164" s="1">
        <v>3</v>
      </c>
      <c r="C164" s="4" t="str">
        <f t="shared" si="2"/>
        <v>2005M3</v>
      </c>
      <c r="E164" s="41">
        <v>5.7590909090909088</v>
      </c>
      <c r="F164" s="41">
        <v>5.825909090909092</v>
      </c>
      <c r="G164" s="41">
        <v>6.0050000000000008</v>
      </c>
      <c r="H164" s="42">
        <v>7.3517961876937674</v>
      </c>
      <c r="I164" s="41">
        <v>8.0240013465889284</v>
      </c>
      <c r="J164" s="41">
        <v>11.270573120770386</v>
      </c>
    </row>
    <row r="165" spans="1:10" x14ac:dyDescent="0.2">
      <c r="A165" s="1">
        <v>2005</v>
      </c>
      <c r="B165" s="1">
        <v>4</v>
      </c>
      <c r="C165" s="4" t="str">
        <f t="shared" si="2"/>
        <v>2005M4</v>
      </c>
      <c r="E165" s="41">
        <v>5.5604761904761899</v>
      </c>
      <c r="F165" s="41">
        <v>5.6395238095238103</v>
      </c>
      <c r="G165" s="41">
        <v>5.9471428571428566</v>
      </c>
      <c r="H165" s="42">
        <v>7.2809628950562972</v>
      </c>
      <c r="I165" s="41">
        <v>8.2161291296157533</v>
      </c>
      <c r="J165" s="41">
        <v>12.048400373043602</v>
      </c>
    </row>
    <row r="166" spans="1:10" x14ac:dyDescent="0.2">
      <c r="A166" s="1">
        <v>2005</v>
      </c>
      <c r="B166" s="1">
        <v>5</v>
      </c>
      <c r="C166" s="4" t="str">
        <f t="shared" si="2"/>
        <v>2005M5</v>
      </c>
      <c r="E166" s="41">
        <v>5.3947619047619044</v>
      </c>
      <c r="F166" s="41">
        <v>5.5333333333333332</v>
      </c>
      <c r="G166" s="41">
        <v>5.8766666666666669</v>
      </c>
      <c r="H166" s="42">
        <v>7.1946803657530447</v>
      </c>
      <c r="I166" s="41">
        <v>8.354488015494292</v>
      </c>
      <c r="J166" s="41">
        <v>12.970288587559367</v>
      </c>
    </row>
    <row r="167" spans="1:10" x14ac:dyDescent="0.2">
      <c r="A167" s="1">
        <v>2005</v>
      </c>
      <c r="B167" s="1">
        <v>6</v>
      </c>
      <c r="C167" s="4" t="str">
        <f t="shared" si="2"/>
        <v>2005M6</v>
      </c>
      <c r="E167" s="41">
        <v>5.0645454545454536</v>
      </c>
      <c r="F167" s="41">
        <v>5.3995454545454544</v>
      </c>
      <c r="G167" s="41">
        <v>5.7013636363636389</v>
      </c>
      <c r="H167" s="42">
        <v>6.9800605239756983</v>
      </c>
      <c r="I167" s="41">
        <v>8.2773307585496347</v>
      </c>
      <c r="J167" s="41">
        <v>15.331074315859444</v>
      </c>
    </row>
    <row r="168" spans="1:10" x14ac:dyDescent="0.2">
      <c r="A168" s="1">
        <v>2005</v>
      </c>
      <c r="B168" s="1">
        <v>7</v>
      </c>
      <c r="C168" s="4" t="str">
        <f t="shared" si="2"/>
        <v>2005M7</v>
      </c>
      <c r="E168" s="41">
        <v>5.1775000000000002</v>
      </c>
      <c r="F168" s="41">
        <v>5.5084999999999997</v>
      </c>
      <c r="G168" s="41">
        <v>5.8049999999999997</v>
      </c>
      <c r="H168" s="42">
        <v>7.106940361292641</v>
      </c>
      <c r="I168" s="41">
        <v>8.1752594828578946</v>
      </c>
      <c r="J168" s="41">
        <v>14.990019519540526</v>
      </c>
    </row>
    <row r="169" spans="1:10" x14ac:dyDescent="0.2">
      <c r="A169" s="1">
        <v>2005</v>
      </c>
      <c r="B169" s="1">
        <v>8</v>
      </c>
      <c r="C169" s="4" t="str">
        <f t="shared" si="2"/>
        <v>2005M8</v>
      </c>
      <c r="E169" s="41">
        <v>5.2321739130434795</v>
      </c>
      <c r="F169" s="41">
        <v>5.4991304347826082</v>
      </c>
      <c r="G169" s="41">
        <v>5.8034782608695652</v>
      </c>
      <c r="H169" s="42">
        <v>7.1050773278308936</v>
      </c>
      <c r="I169" s="41">
        <v>8.1474068037359775</v>
      </c>
      <c r="J169" s="41">
        <v>15.411463670936563</v>
      </c>
    </row>
    <row r="170" spans="1:10" x14ac:dyDescent="0.2">
      <c r="A170" s="1">
        <v>2005</v>
      </c>
      <c r="B170" s="1">
        <v>9</v>
      </c>
      <c r="C170" s="4" t="str">
        <f t="shared" si="2"/>
        <v>2005M9</v>
      </c>
      <c r="E170" s="41">
        <v>5.2695238095238093</v>
      </c>
      <c r="F170" s="41">
        <v>5.5190476190476199</v>
      </c>
      <c r="G170" s="41">
        <v>5.8323809523809516</v>
      </c>
      <c r="H170" s="42">
        <v>7.14046228990708</v>
      </c>
      <c r="I170" s="41">
        <v>8.1720168522799455</v>
      </c>
      <c r="J170" s="41">
        <v>15.128851185586061</v>
      </c>
    </row>
    <row r="171" spans="1:10" x14ac:dyDescent="0.2">
      <c r="A171" s="1">
        <v>2005</v>
      </c>
      <c r="B171" s="1">
        <v>10</v>
      </c>
      <c r="C171" s="4" t="str">
        <f t="shared" si="2"/>
        <v>2005M10</v>
      </c>
      <c r="E171" s="41">
        <v>5.4995238095238097</v>
      </c>
      <c r="F171" s="41">
        <v>5.7866666666666653</v>
      </c>
      <c r="G171" s="41">
        <v>6.0842857142857145</v>
      </c>
      <c r="H171" s="42">
        <v>7.4488640331599267</v>
      </c>
      <c r="I171" s="41">
        <v>8.2713409507005657</v>
      </c>
      <c r="J171" s="41">
        <v>14.543947540579364</v>
      </c>
    </row>
    <row r="172" spans="1:10" x14ac:dyDescent="0.2">
      <c r="A172" s="1">
        <v>2005</v>
      </c>
      <c r="B172" s="1">
        <v>11</v>
      </c>
      <c r="C172" s="4" t="str">
        <f t="shared" si="2"/>
        <v>2005M11</v>
      </c>
      <c r="E172" s="41">
        <v>5.5866666666666678</v>
      </c>
      <c r="F172" s="41">
        <v>5.8790476190476184</v>
      </c>
      <c r="G172" s="41">
        <v>6.1866666666666656</v>
      </c>
      <c r="H172" s="42">
        <v>7.5742068966747862</v>
      </c>
      <c r="I172" s="41">
        <v>8.3805169427474837</v>
      </c>
      <c r="J172" s="41">
        <v>14.545757710286475</v>
      </c>
    </row>
    <row r="173" spans="1:10" x14ac:dyDescent="0.2">
      <c r="A173" s="1">
        <v>2005</v>
      </c>
      <c r="B173" s="1">
        <v>12</v>
      </c>
      <c r="C173" s="4" t="str">
        <f t="shared" si="2"/>
        <v>2005M12</v>
      </c>
      <c r="E173" s="41">
        <v>5.5471428571428554</v>
      </c>
      <c r="F173" s="41">
        <v>5.7942857142857163</v>
      </c>
      <c r="G173" s="41">
        <v>6.1361904761904755</v>
      </c>
      <c r="H173" s="42">
        <v>7.5124099500116461</v>
      </c>
      <c r="I173" s="41">
        <v>8.3043200253667884</v>
      </c>
      <c r="J173" s="41">
        <v>16.058393744124054</v>
      </c>
    </row>
    <row r="174" spans="1:10" x14ac:dyDescent="0.2">
      <c r="A174" s="1">
        <v>2006</v>
      </c>
      <c r="B174" s="1">
        <v>1</v>
      </c>
      <c r="C174" s="4" t="str">
        <f t="shared" si="2"/>
        <v>2006M1</v>
      </c>
      <c r="E174" s="41">
        <v>5.4994999999999994</v>
      </c>
      <c r="F174" s="41">
        <v>5.7449999999999992</v>
      </c>
      <c r="G174" s="41">
        <v>6.0635000000000003</v>
      </c>
      <c r="H174" s="42">
        <v>7.4234165169160953</v>
      </c>
      <c r="I174" s="41">
        <v>8.2752205886781756</v>
      </c>
      <c r="J174" s="41">
        <v>14.176964541199469</v>
      </c>
    </row>
    <row r="175" spans="1:10" x14ac:dyDescent="0.2">
      <c r="A175" s="1">
        <v>2006</v>
      </c>
      <c r="B175" s="1">
        <v>2</v>
      </c>
      <c r="C175" s="4" t="str">
        <f t="shared" si="2"/>
        <v>2006M2</v>
      </c>
      <c r="E175" s="41">
        <v>5.5494736842105263</v>
      </c>
      <c r="F175" s="41">
        <v>5.8168421052631576</v>
      </c>
      <c r="G175" s="41">
        <v>6.1057894736842107</v>
      </c>
      <c r="H175" s="42">
        <v>7.4751906370511749</v>
      </c>
      <c r="I175" s="41">
        <v>8.2371193134162652</v>
      </c>
      <c r="J175" s="41">
        <v>15.065888231439081</v>
      </c>
    </row>
    <row r="176" spans="1:10" x14ac:dyDescent="0.2">
      <c r="A176" s="1">
        <v>2006</v>
      </c>
      <c r="B176" s="1">
        <v>3</v>
      </c>
      <c r="C176" s="4" t="str">
        <f t="shared" si="2"/>
        <v>2006M3</v>
      </c>
      <c r="E176" s="41">
        <v>5.7100000000000009</v>
      </c>
      <c r="F176" s="41">
        <v>5.9847826086956513</v>
      </c>
      <c r="G176" s="41">
        <v>6.2647826086956533</v>
      </c>
      <c r="H176" s="42">
        <v>7.6698426143778367</v>
      </c>
      <c r="I176" s="41">
        <v>8.2140154186313215</v>
      </c>
      <c r="J176" s="41">
        <v>14.670132862290444</v>
      </c>
    </row>
    <row r="177" spans="1:10" x14ac:dyDescent="0.2">
      <c r="A177" s="1">
        <v>2006</v>
      </c>
      <c r="B177" s="1">
        <v>4</v>
      </c>
      <c r="C177" s="4" t="str">
        <f t="shared" si="2"/>
        <v>2006M4</v>
      </c>
      <c r="E177" s="41">
        <v>6.0184210526315782</v>
      </c>
      <c r="F177" s="41">
        <v>6.2878947368421052</v>
      </c>
      <c r="G177" s="41">
        <v>6.5373684210526308</v>
      </c>
      <c r="H177" s="42">
        <v>8.0035637361272851</v>
      </c>
      <c r="I177" s="41">
        <v>8.215192734041791</v>
      </c>
      <c r="J177" s="41">
        <v>13.935944965280086</v>
      </c>
    </row>
    <row r="178" spans="1:10" x14ac:dyDescent="0.2">
      <c r="A178" s="1">
        <v>2006</v>
      </c>
      <c r="B178" s="1">
        <v>5</v>
      </c>
      <c r="C178" s="4" t="str">
        <f t="shared" si="2"/>
        <v>2006M5</v>
      </c>
      <c r="E178" s="41">
        <v>6.1581818181818191</v>
      </c>
      <c r="F178" s="41">
        <v>6.415</v>
      </c>
      <c r="G178" s="41">
        <v>6.5890909090909098</v>
      </c>
      <c r="H178" s="42">
        <v>8.0668864988879605</v>
      </c>
      <c r="I178" s="41">
        <v>8.2388847378285686</v>
      </c>
      <c r="J178" s="41">
        <v>13.379469869887311</v>
      </c>
    </row>
    <row r="179" spans="1:10" x14ac:dyDescent="0.2">
      <c r="A179" s="1">
        <v>2006</v>
      </c>
      <c r="B179" s="1">
        <v>6</v>
      </c>
      <c r="C179" s="4" t="str">
        <f t="shared" si="2"/>
        <v>2006M6</v>
      </c>
      <c r="E179" s="41">
        <v>6.1599999999999993</v>
      </c>
      <c r="F179" s="41">
        <v>6.4013636363636373</v>
      </c>
      <c r="G179" s="41">
        <v>6.6118181818181805</v>
      </c>
      <c r="H179" s="42">
        <v>8.0947110246153589</v>
      </c>
      <c r="I179" s="41">
        <v>8.3523428003969631</v>
      </c>
      <c r="J179" s="41">
        <v>13.365472649463261</v>
      </c>
    </row>
    <row r="180" spans="1:10" x14ac:dyDescent="0.2">
      <c r="A180" s="1">
        <v>2006</v>
      </c>
      <c r="B180" s="1">
        <v>7</v>
      </c>
      <c r="C180" s="4" t="str">
        <f t="shared" si="2"/>
        <v>2006M7</v>
      </c>
      <c r="E180" s="41">
        <v>6.1304999999999996</v>
      </c>
      <c r="F180" s="41">
        <v>6.3669999999999991</v>
      </c>
      <c r="G180" s="41">
        <v>6.605500000000001</v>
      </c>
      <c r="H180" s="43">
        <v>7.5995809523809532</v>
      </c>
      <c r="I180" s="41">
        <v>8.4288762890008773</v>
      </c>
      <c r="J180" s="41">
        <v>13.199307248151737</v>
      </c>
    </row>
    <row r="181" spans="1:10" x14ac:dyDescent="0.2">
      <c r="A181" s="1">
        <v>2006</v>
      </c>
      <c r="B181" s="1">
        <v>8</v>
      </c>
      <c r="C181" s="4" t="str">
        <f t="shared" si="2"/>
        <v>2006M8</v>
      </c>
      <c r="E181" s="41">
        <v>5.9686956521739134</v>
      </c>
      <c r="F181" s="41">
        <v>6.1960869565217385</v>
      </c>
      <c r="G181" s="41">
        <v>6.4278260869565234</v>
      </c>
      <c r="H181" s="43">
        <v>7.4296130434782608</v>
      </c>
      <c r="I181" s="41">
        <v>8.3968036926495646</v>
      </c>
      <c r="J181" s="41">
        <v>13.681667763848282</v>
      </c>
    </row>
    <row r="182" spans="1:10" x14ac:dyDescent="0.2">
      <c r="A182" s="1">
        <v>2006</v>
      </c>
      <c r="B182" s="1">
        <v>9</v>
      </c>
      <c r="C182" s="4" t="str">
        <f t="shared" si="2"/>
        <v>2006M9</v>
      </c>
      <c r="E182" s="41">
        <v>5.8105000000000002</v>
      </c>
      <c r="F182" s="41">
        <v>5.9960000000000004</v>
      </c>
      <c r="G182" s="41">
        <v>6.2634999999999996</v>
      </c>
      <c r="H182" s="43">
        <v>7.1544809523809514</v>
      </c>
      <c r="I182" s="41">
        <v>8.2917416954193222</v>
      </c>
      <c r="J182" s="41">
        <v>14.042386390268996</v>
      </c>
    </row>
    <row r="183" spans="1:10" x14ac:dyDescent="0.2">
      <c r="A183" s="1">
        <v>2006</v>
      </c>
      <c r="B183" s="1">
        <v>10</v>
      </c>
      <c r="C183" s="4" t="str">
        <f t="shared" si="2"/>
        <v>2006M10</v>
      </c>
      <c r="E183" s="41">
        <v>5.801904761904761</v>
      </c>
      <c r="F183" s="41">
        <v>5.9809523809523801</v>
      </c>
      <c r="G183" s="41">
        <v>6.2438095238095244</v>
      </c>
      <c r="H183" s="43">
        <v>7.055386363636365</v>
      </c>
      <c r="I183" s="41">
        <v>8.1553751761623001</v>
      </c>
      <c r="J183" s="41">
        <v>14.216465105503298</v>
      </c>
    </row>
    <row r="184" spans="1:10" x14ac:dyDescent="0.2">
      <c r="A184" s="1">
        <v>2006</v>
      </c>
      <c r="B184" s="1">
        <v>11</v>
      </c>
      <c r="C184" s="4" t="str">
        <f t="shared" si="2"/>
        <v>2006M11</v>
      </c>
      <c r="E184" s="41">
        <v>5.6104761904761897</v>
      </c>
      <c r="F184" s="41">
        <v>5.8019047619047619</v>
      </c>
      <c r="G184" s="41">
        <v>6.0438095238095233</v>
      </c>
      <c r="H184" s="43">
        <v>6.896936363636363</v>
      </c>
      <c r="I184" s="41">
        <v>8.0783628302025949</v>
      </c>
      <c r="J184" s="41">
        <v>12.843636939059792</v>
      </c>
    </row>
    <row r="185" spans="1:10" x14ac:dyDescent="0.2">
      <c r="A185" s="1">
        <v>2006</v>
      </c>
      <c r="B185" s="1">
        <v>12</v>
      </c>
      <c r="C185" s="4" t="str">
        <f t="shared" si="2"/>
        <v>2006M12</v>
      </c>
      <c r="E185" s="41">
        <v>5.6164999999999994</v>
      </c>
      <c r="F185" s="41">
        <v>5.8125000000000009</v>
      </c>
      <c r="G185" s="41">
        <v>6.0525000000000002</v>
      </c>
      <c r="H185" s="43">
        <v>6.9553476190476191</v>
      </c>
      <c r="I185" s="41">
        <v>8.0257723262483225</v>
      </c>
      <c r="J185" s="41">
        <v>12.710212483323687</v>
      </c>
    </row>
    <row r="186" spans="1:10" x14ac:dyDescent="0.2">
      <c r="A186" s="1">
        <v>2007</v>
      </c>
      <c r="B186" s="1">
        <v>1</v>
      </c>
      <c r="C186" s="4" t="str">
        <f t="shared" si="2"/>
        <v>2007M1</v>
      </c>
      <c r="E186" s="41">
        <v>5.7766666666666673</v>
      </c>
      <c r="F186" s="41">
        <v>5.955238095238097</v>
      </c>
      <c r="G186" s="41">
        <v>6.160000000000001</v>
      </c>
      <c r="H186" s="43">
        <v>7.1056869565217395</v>
      </c>
      <c r="I186" s="41">
        <v>7.9938219120795591</v>
      </c>
      <c r="J186" s="41">
        <v>11.868062486984874</v>
      </c>
    </row>
    <row r="187" spans="1:10" x14ac:dyDescent="0.2">
      <c r="A187" s="1">
        <v>2007</v>
      </c>
      <c r="B187" s="1">
        <v>2</v>
      </c>
      <c r="C187" s="4" t="str">
        <f t="shared" si="2"/>
        <v>2007M2</v>
      </c>
      <c r="E187" s="41">
        <v>5.7326315789473679</v>
      </c>
      <c r="F187" s="41">
        <v>5.9015789473684217</v>
      </c>
      <c r="G187" s="41">
        <v>6.1031578947368432</v>
      </c>
      <c r="H187" s="43">
        <v>7.1218349999999999</v>
      </c>
      <c r="I187" s="41">
        <v>7.921026589549049</v>
      </c>
      <c r="J187" s="41">
        <v>11.341266579723094</v>
      </c>
    </row>
    <row r="188" spans="1:10" x14ac:dyDescent="0.2">
      <c r="A188" s="1">
        <v>2007</v>
      </c>
      <c r="B188" s="1">
        <v>3</v>
      </c>
      <c r="C188" s="4" t="str">
        <f t="shared" si="2"/>
        <v>2007M3</v>
      </c>
      <c r="E188" s="41">
        <v>5.6618181818181821</v>
      </c>
      <c r="F188" s="41">
        <v>5.8490909090909078</v>
      </c>
      <c r="G188" s="41">
        <v>6.1031818181818176</v>
      </c>
      <c r="H188" s="43">
        <v>7.2655545454545436</v>
      </c>
      <c r="I188" s="41">
        <v>7.9602061669035011</v>
      </c>
      <c r="J188" s="41">
        <v>11.707443733656394</v>
      </c>
    </row>
    <row r="189" spans="1:10" x14ac:dyDescent="0.2">
      <c r="A189" s="1">
        <v>2007</v>
      </c>
      <c r="B189" s="1">
        <v>4</v>
      </c>
      <c r="C189" s="4" t="str">
        <f t="shared" si="2"/>
        <v>2007M4</v>
      </c>
      <c r="E189" s="41">
        <v>5.8276190476190477</v>
      </c>
      <c r="F189" s="41">
        <v>5.9690476190476192</v>
      </c>
      <c r="G189" s="41">
        <v>6.2385714285714284</v>
      </c>
      <c r="H189" s="43">
        <v>7.4095047619047625</v>
      </c>
      <c r="I189" s="41">
        <v>7.9504039429056466</v>
      </c>
      <c r="J189" s="41">
        <v>11.99690508762615</v>
      </c>
    </row>
    <row r="190" spans="1:10" x14ac:dyDescent="0.2">
      <c r="A190" s="1">
        <v>2007</v>
      </c>
      <c r="B190" s="1">
        <v>5</v>
      </c>
      <c r="C190" s="4" t="str">
        <f t="shared" si="2"/>
        <v>2007M5</v>
      </c>
      <c r="E190" s="41">
        <v>5.8609090909090922</v>
      </c>
      <c r="F190" s="41">
        <v>5.9859090909090904</v>
      </c>
      <c r="G190" s="41">
        <v>6.2304545454545455</v>
      </c>
      <c r="H190" s="43">
        <v>7.3956173913043486</v>
      </c>
      <c r="I190" s="41">
        <v>7.9005805676233134</v>
      </c>
      <c r="J190" s="41">
        <v>11.917188949727407</v>
      </c>
    </row>
    <row r="191" spans="1:10" x14ac:dyDescent="0.2">
      <c r="A191" s="1">
        <v>2007</v>
      </c>
      <c r="B191" s="1">
        <v>6</v>
      </c>
      <c r="C191" s="4" t="str">
        <f t="shared" si="2"/>
        <v>2007M6</v>
      </c>
      <c r="E191" s="41">
        <v>6.1814285714285706</v>
      </c>
      <c r="F191" s="41">
        <v>6.3028571428571434</v>
      </c>
      <c r="G191" s="41">
        <v>6.5447619047619048</v>
      </c>
      <c r="H191" s="43">
        <v>7.7330333333333341</v>
      </c>
      <c r="I191" s="41">
        <v>7.9768430472719949</v>
      </c>
      <c r="J191" s="41">
        <v>12.550063462472593</v>
      </c>
    </row>
    <row r="192" spans="1:10" x14ac:dyDescent="0.2">
      <c r="A192" s="1">
        <v>2007</v>
      </c>
      <c r="B192" s="1">
        <v>7</v>
      </c>
      <c r="C192" s="4" t="str">
        <f t="shared" si="2"/>
        <v>2007M7</v>
      </c>
      <c r="E192" s="41">
        <v>6.1128571428571421</v>
      </c>
      <c r="F192" s="41">
        <v>6.2461904761904767</v>
      </c>
      <c r="G192" s="41">
        <v>6.4895238095238108</v>
      </c>
      <c r="H192" s="43">
        <v>7.9813409090909087</v>
      </c>
      <c r="I192" s="41">
        <v>8.1731122882060863</v>
      </c>
      <c r="J192" s="41">
        <v>14.036663984385378</v>
      </c>
    </row>
    <row r="193" spans="1:10" x14ac:dyDescent="0.2">
      <c r="A193" s="1">
        <v>2007</v>
      </c>
      <c r="B193" s="1">
        <v>8</v>
      </c>
      <c r="C193" s="4" t="str">
        <f t="shared" si="2"/>
        <v>2007M8</v>
      </c>
      <c r="E193" s="41">
        <v>6.1069565217391304</v>
      </c>
      <c r="F193" s="41">
        <v>6.2365217391304348</v>
      </c>
      <c r="G193" s="41">
        <v>6.5082608695652171</v>
      </c>
      <c r="H193" s="43">
        <v>8.4946086956521736</v>
      </c>
      <c r="I193" s="41">
        <v>8.3507415917461767</v>
      </c>
      <c r="J193" s="41">
        <v>14.783958864111465</v>
      </c>
    </row>
    <row r="194" spans="1:10" x14ac:dyDescent="0.2">
      <c r="A194" s="1">
        <v>2007</v>
      </c>
      <c r="B194" s="1">
        <v>9</v>
      </c>
      <c r="C194" s="4" t="str">
        <f t="shared" si="2"/>
        <v>2007M9</v>
      </c>
      <c r="E194" s="41">
        <v>6.0957894736842118</v>
      </c>
      <c r="F194" s="41">
        <v>6.1805263157894732</v>
      </c>
      <c r="G194" s="41">
        <v>6.452105263157895</v>
      </c>
      <c r="H194" s="43">
        <v>8.9002250000000007</v>
      </c>
      <c r="I194" s="41">
        <v>8.271554486024197</v>
      </c>
      <c r="J194" s="41">
        <v>15.232887462710693</v>
      </c>
    </row>
    <row r="195" spans="1:10" x14ac:dyDescent="0.2">
      <c r="A195" s="1">
        <v>2007</v>
      </c>
      <c r="B195" s="1">
        <v>10</v>
      </c>
      <c r="C195" s="4" t="str">
        <f t="shared" si="2"/>
        <v>2007M10</v>
      </c>
      <c r="E195" s="41">
        <v>6.0381818181818172</v>
      </c>
      <c r="F195" s="41">
        <v>6.1122727272727273</v>
      </c>
      <c r="G195" s="41">
        <v>6.3595454545454544</v>
      </c>
      <c r="H195" s="43">
        <v>8.5344999999999978</v>
      </c>
      <c r="I195" s="41">
        <v>8.2002454022034428</v>
      </c>
      <c r="J195" s="41">
        <v>14.778188737079729</v>
      </c>
    </row>
    <row r="196" spans="1:10" x14ac:dyDescent="0.2">
      <c r="A196" s="1">
        <v>2007</v>
      </c>
      <c r="B196" s="1">
        <v>11</v>
      </c>
      <c r="C196" s="4" t="str">
        <f t="shared" si="2"/>
        <v>2007M11</v>
      </c>
      <c r="E196" s="41">
        <v>5.8734999999999991</v>
      </c>
      <c r="F196" s="41">
        <v>5.9659999999999993</v>
      </c>
      <c r="G196" s="41">
        <v>6.2739999999999991</v>
      </c>
      <c r="H196" s="43">
        <v>8.5015409090909095</v>
      </c>
      <c r="I196" s="41">
        <v>8.479352746424011</v>
      </c>
      <c r="J196" s="41">
        <v>16.708152440616335</v>
      </c>
    </row>
    <row r="197" spans="1:10" x14ac:dyDescent="0.2">
      <c r="A197" s="1">
        <v>2007</v>
      </c>
      <c r="B197" s="1">
        <v>12</v>
      </c>
      <c r="C197" s="4" t="str">
        <f t="shared" si="2"/>
        <v>2007M12</v>
      </c>
      <c r="E197" s="41">
        <v>6.0325000000000006</v>
      </c>
      <c r="F197" s="41">
        <v>6.1575000000000006</v>
      </c>
      <c r="G197" s="41">
        <v>6.5109999999999983</v>
      </c>
      <c r="H197" s="43">
        <v>8.4773666666666685</v>
      </c>
      <c r="I197" s="41">
        <v>8.5492222257975268</v>
      </c>
      <c r="J197" s="41">
        <v>16.801089569555842</v>
      </c>
    </row>
    <row r="198" spans="1:10" x14ac:dyDescent="0.2">
      <c r="A198" s="1">
        <v>2008</v>
      </c>
      <c r="B198" s="1">
        <v>1</v>
      </c>
      <c r="C198" s="4" t="str">
        <f t="shared" si="2"/>
        <v>2008M1</v>
      </c>
      <c r="E198" s="41">
        <v>5.8738095238095243</v>
      </c>
      <c r="F198" s="41">
        <v>6.0152380952380948</v>
      </c>
      <c r="G198" s="41">
        <v>6.3452380952380949</v>
      </c>
      <c r="H198" s="43">
        <v>7.8014217391304355</v>
      </c>
      <c r="I198" s="41">
        <v>8.7991857814256207</v>
      </c>
      <c r="J198" s="41">
        <v>16.176071285950723</v>
      </c>
    </row>
    <row r="199" spans="1:10" x14ac:dyDescent="0.2">
      <c r="A199" s="1">
        <v>2008</v>
      </c>
      <c r="B199" s="1">
        <v>2</v>
      </c>
      <c r="C199" s="4" t="str">
        <f t="shared" ref="C199:C262" si="3">CONCATENATE(A199,"M",B199)</f>
        <v>2008M2</v>
      </c>
      <c r="E199" s="41">
        <v>6.0355000000000008</v>
      </c>
      <c r="F199" s="41">
        <v>6.2140000000000004</v>
      </c>
      <c r="G199" s="41">
        <v>6.5969999999999995</v>
      </c>
      <c r="H199" s="43">
        <v>7.5101809523809537</v>
      </c>
      <c r="I199" s="41">
        <v>9.0010680379876096</v>
      </c>
      <c r="J199" s="41">
        <v>16.623254352856446</v>
      </c>
    </row>
    <row r="200" spans="1:10" x14ac:dyDescent="0.2">
      <c r="A200" s="1">
        <v>2008</v>
      </c>
      <c r="B200" s="1">
        <v>3</v>
      </c>
      <c r="C200" s="4" t="str">
        <f t="shared" si="3"/>
        <v>2008M3</v>
      </c>
      <c r="E200" s="41">
        <v>5.9885000000000002</v>
      </c>
      <c r="F200" s="41">
        <v>6.2090000000000005</v>
      </c>
      <c r="G200" s="41">
        <v>6.6820000000000004</v>
      </c>
      <c r="H200" s="43">
        <v>7.4683476190476181</v>
      </c>
      <c r="I200" s="41">
        <v>9.2795870879605307</v>
      </c>
      <c r="J200" s="41">
        <v>16.346269033722567</v>
      </c>
    </row>
    <row r="201" spans="1:10" x14ac:dyDescent="0.2">
      <c r="A201" s="1">
        <v>2008</v>
      </c>
      <c r="B201" s="1">
        <v>4</v>
      </c>
      <c r="C201" s="4" t="str">
        <f t="shared" si="3"/>
        <v>2008M4</v>
      </c>
      <c r="E201" s="41">
        <v>5.9918181818181804</v>
      </c>
      <c r="F201" s="41">
        <v>6.290454545454546</v>
      </c>
      <c r="G201" s="41">
        <v>6.8122727272727275</v>
      </c>
      <c r="H201" s="43">
        <v>7.3071227272727279</v>
      </c>
      <c r="I201" s="41">
        <v>9.0723927814607723</v>
      </c>
      <c r="J201" s="41">
        <v>17.414350566467572</v>
      </c>
    </row>
    <row r="202" spans="1:10" x14ac:dyDescent="0.2">
      <c r="A202" s="1">
        <v>2008</v>
      </c>
      <c r="B202" s="1">
        <v>5</v>
      </c>
      <c r="C202" s="4" t="str">
        <f t="shared" si="3"/>
        <v>2008M5</v>
      </c>
      <c r="E202" s="41">
        <v>6.0709523809523827</v>
      </c>
      <c r="F202" s="41">
        <v>6.2757142857142849</v>
      </c>
      <c r="G202" s="41">
        <v>6.7938095238095242</v>
      </c>
      <c r="H202" s="43">
        <v>7.2410681818181812</v>
      </c>
      <c r="I202" s="41">
        <v>8.8464881219538736</v>
      </c>
      <c r="J202" s="41">
        <v>17.229550470600959</v>
      </c>
    </row>
    <row r="203" spans="1:10" x14ac:dyDescent="0.2">
      <c r="A203" s="1">
        <v>2008</v>
      </c>
      <c r="B203" s="1">
        <v>6</v>
      </c>
      <c r="C203" s="4" t="str">
        <f t="shared" si="3"/>
        <v>2008M6</v>
      </c>
      <c r="E203" s="41">
        <v>6.1895238095238092</v>
      </c>
      <c r="F203" s="41">
        <v>6.3771428571428563</v>
      </c>
      <c r="G203" s="41">
        <v>6.9257142857142853</v>
      </c>
      <c r="H203" s="43">
        <v>7.3846619047619049</v>
      </c>
      <c r="I203" s="41">
        <v>9.0337487448086531</v>
      </c>
      <c r="J203" s="41">
        <v>17.350362330176612</v>
      </c>
    </row>
    <row r="204" spans="1:10" x14ac:dyDescent="0.2">
      <c r="A204" s="1">
        <v>2008</v>
      </c>
      <c r="B204" s="1">
        <v>7</v>
      </c>
      <c r="C204" s="4" t="str">
        <f t="shared" si="3"/>
        <v>2008M7</v>
      </c>
      <c r="E204" s="41">
        <v>6.133636363636362</v>
      </c>
      <c r="F204" s="41">
        <v>6.3968181818181815</v>
      </c>
      <c r="G204" s="41">
        <v>6.9650000000000007</v>
      </c>
      <c r="H204" s="43">
        <v>7.6139260869565213</v>
      </c>
      <c r="I204" s="41">
        <v>9.3545913067486239</v>
      </c>
      <c r="J204" s="41">
        <v>20.237920653152816</v>
      </c>
    </row>
    <row r="205" spans="1:10" x14ac:dyDescent="0.2">
      <c r="A205" s="1">
        <v>2008</v>
      </c>
      <c r="B205" s="1">
        <v>8</v>
      </c>
      <c r="C205" s="4" t="str">
        <f t="shared" si="3"/>
        <v>2008M8</v>
      </c>
      <c r="E205" s="41">
        <v>6.0928571428571425</v>
      </c>
      <c r="F205" s="41">
        <v>6.3709523809523807</v>
      </c>
      <c r="G205" s="41">
        <v>6.9790476190476189</v>
      </c>
      <c r="H205" s="43">
        <v>7.8757523809523802</v>
      </c>
      <c r="I205" s="41">
        <v>9.425463319008081</v>
      </c>
      <c r="J205" s="41">
        <v>20.974587440312487</v>
      </c>
    </row>
    <row r="206" spans="1:10" x14ac:dyDescent="0.2">
      <c r="A206" s="1">
        <v>2008</v>
      </c>
      <c r="B206" s="1">
        <v>9</v>
      </c>
      <c r="C206" s="4" t="str">
        <f t="shared" si="3"/>
        <v>2008M9</v>
      </c>
      <c r="E206" s="41">
        <v>6.1347619047619038</v>
      </c>
      <c r="F206" s="41">
        <v>6.4933333333333341</v>
      </c>
      <c r="G206" s="41">
        <v>7.1504761904761907</v>
      </c>
      <c r="H206" s="43">
        <v>8.0271409090909085</v>
      </c>
      <c r="I206" s="41">
        <v>9.6977091712694232</v>
      </c>
      <c r="J206" s="41">
        <v>22.628384297481638</v>
      </c>
    </row>
    <row r="207" spans="1:10" x14ac:dyDescent="0.2">
      <c r="A207" s="1">
        <v>2008</v>
      </c>
      <c r="B207" s="1">
        <v>10</v>
      </c>
      <c r="C207" s="4" t="str">
        <f t="shared" si="3"/>
        <v>2008M10</v>
      </c>
      <c r="E207" s="41">
        <v>6.9486363636363642</v>
      </c>
      <c r="F207" s="41">
        <v>7.5636363636363626</v>
      </c>
      <c r="G207" s="41">
        <v>8.5804545454545469</v>
      </c>
      <c r="H207" s="43">
        <v>9.117086956521737</v>
      </c>
      <c r="I207" s="41">
        <v>12.039403368493009</v>
      </c>
      <c r="J207" s="41">
        <v>34.71399713755968</v>
      </c>
    </row>
    <row r="208" spans="1:10" x14ac:dyDescent="0.2">
      <c r="A208" s="1">
        <v>2008</v>
      </c>
      <c r="B208" s="1">
        <v>11</v>
      </c>
      <c r="C208" s="4" t="str">
        <f t="shared" si="3"/>
        <v>2008M11</v>
      </c>
      <c r="E208" s="41">
        <v>6.83</v>
      </c>
      <c r="F208" s="41">
        <v>7.6011111111111109</v>
      </c>
      <c r="G208" s="41">
        <v>8.9799999999999986</v>
      </c>
      <c r="H208" s="43">
        <v>10.857364999999998</v>
      </c>
      <c r="I208" s="41">
        <v>12.835886640019847</v>
      </c>
      <c r="J208" s="41">
        <v>40.771399023094048</v>
      </c>
    </row>
    <row r="209" spans="1:10" x14ac:dyDescent="0.2">
      <c r="A209" s="1">
        <v>2008</v>
      </c>
      <c r="B209" s="1">
        <v>12</v>
      </c>
      <c r="C209" s="4" t="str">
        <f t="shared" si="3"/>
        <v>2008M12</v>
      </c>
      <c r="E209" s="41">
        <v>5.921818181818181</v>
      </c>
      <c r="F209" s="41">
        <v>6.5240909090909094</v>
      </c>
      <c r="G209" s="41">
        <v>8.1131818181818183</v>
      </c>
      <c r="H209" s="43">
        <v>10.301621739130436</v>
      </c>
      <c r="I209" s="41">
        <v>13.336150019850113</v>
      </c>
      <c r="J209" s="41">
        <v>27.713128877814245</v>
      </c>
    </row>
    <row r="210" spans="1:10" x14ac:dyDescent="0.2">
      <c r="A210" s="1">
        <v>2009</v>
      </c>
      <c r="B210" s="1">
        <v>1</v>
      </c>
      <c r="C210" s="4" t="str">
        <f t="shared" si="3"/>
        <v>2009M1</v>
      </c>
      <c r="E210" s="41">
        <v>6.0114999999999998</v>
      </c>
      <c r="F210" s="41">
        <v>6.3864999999999998</v>
      </c>
      <c r="G210" s="41">
        <v>7.8964999999999987</v>
      </c>
      <c r="H210" s="43">
        <v>9.9567590909090899</v>
      </c>
      <c r="I210" s="41">
        <v>11.802275076203031</v>
      </c>
      <c r="J210" s="41">
        <v>24.505092292564537</v>
      </c>
    </row>
    <row r="211" spans="1:10" x14ac:dyDescent="0.2">
      <c r="A211" s="1">
        <v>2009</v>
      </c>
      <c r="B211" s="1">
        <v>2</v>
      </c>
      <c r="C211" s="4" t="str">
        <f t="shared" si="3"/>
        <v>2009M2</v>
      </c>
      <c r="E211" s="41">
        <v>6.1068421052631585</v>
      </c>
      <c r="F211" s="41">
        <v>6.3042105263157886</v>
      </c>
      <c r="G211" s="41">
        <v>7.744210526315789</v>
      </c>
      <c r="H211" s="43">
        <v>9.7035049999999998</v>
      </c>
      <c r="I211" s="41">
        <v>11.486288850601511</v>
      </c>
      <c r="J211" s="41">
        <v>27.731289961215012</v>
      </c>
    </row>
    <row r="212" spans="1:10" x14ac:dyDescent="0.2">
      <c r="A212" s="1">
        <v>2009</v>
      </c>
      <c r="B212" s="1">
        <v>3</v>
      </c>
      <c r="C212" s="4" t="str">
        <f t="shared" si="3"/>
        <v>2009M3</v>
      </c>
      <c r="E212" s="41">
        <v>6.1413636363636366</v>
      </c>
      <c r="F212" s="41">
        <v>6.4231818181818179</v>
      </c>
      <c r="G212" s="41">
        <v>7.9959090909090893</v>
      </c>
      <c r="H212" s="43">
        <v>10.018845454545456</v>
      </c>
      <c r="I212" s="41">
        <v>12.171522428900108</v>
      </c>
      <c r="J212" s="41">
        <v>29.354965418959139</v>
      </c>
    </row>
    <row r="213" spans="1:10" x14ac:dyDescent="0.2">
      <c r="A213" s="1">
        <v>2009</v>
      </c>
      <c r="B213" s="1">
        <v>4</v>
      </c>
      <c r="C213" s="4" t="str">
        <f t="shared" si="3"/>
        <v>2009M4</v>
      </c>
      <c r="E213" s="41">
        <v>6.2009523809523808</v>
      </c>
      <c r="F213" s="41">
        <v>6.4847619047619034</v>
      </c>
      <c r="G213" s="41">
        <v>8.0285714285714302</v>
      </c>
      <c r="H213" s="43">
        <v>10.253972727272727</v>
      </c>
      <c r="I213" s="41">
        <v>11.034122689269092</v>
      </c>
      <c r="J213" s="41">
        <v>24.891490264961686</v>
      </c>
    </row>
    <row r="214" spans="1:10" x14ac:dyDescent="0.2">
      <c r="A214" s="1">
        <v>2009</v>
      </c>
      <c r="B214" s="1">
        <v>5</v>
      </c>
      <c r="C214" s="4" t="str">
        <f t="shared" si="3"/>
        <v>2009M5</v>
      </c>
      <c r="E214" s="41">
        <v>6.2335000000000003</v>
      </c>
      <c r="F214" s="41">
        <v>6.4904999999999999</v>
      </c>
      <c r="G214" s="41">
        <v>7.759500000000001</v>
      </c>
      <c r="H214" s="43">
        <v>10.289076190476193</v>
      </c>
      <c r="I214" s="41">
        <v>10.085096051602234</v>
      </c>
      <c r="J214" s="41">
        <v>19.696015012307193</v>
      </c>
    </row>
    <row r="215" spans="1:10" x14ac:dyDescent="0.2">
      <c r="A215" s="1">
        <v>2009</v>
      </c>
      <c r="B215" s="1">
        <v>6</v>
      </c>
      <c r="C215" s="4" t="str">
        <f t="shared" si="3"/>
        <v>2009M6</v>
      </c>
      <c r="E215" s="41">
        <v>6.1286363636363639</v>
      </c>
      <c r="F215" s="41">
        <v>6.1949999999999985</v>
      </c>
      <c r="G215" s="41">
        <v>7.2963636363636342</v>
      </c>
      <c r="H215" s="43">
        <v>9.8037909090909086</v>
      </c>
      <c r="I215" s="41">
        <v>9.6474096090218016</v>
      </c>
      <c r="J215" s="41">
        <v>14.611232383523884</v>
      </c>
    </row>
    <row r="216" spans="1:10" x14ac:dyDescent="0.2">
      <c r="A216" s="1">
        <v>2009</v>
      </c>
      <c r="B216" s="1">
        <v>7</v>
      </c>
      <c r="C216" s="4" t="str">
        <f t="shared" si="3"/>
        <v>2009M7</v>
      </c>
      <c r="E216" s="41">
        <v>5.6304545454545467</v>
      </c>
      <c r="F216" s="41">
        <v>5.9659090909090908</v>
      </c>
      <c r="G216" s="41">
        <v>6.8677272727272731</v>
      </c>
      <c r="H216" s="43">
        <v>9.4970739130434811</v>
      </c>
      <c r="I216" s="41">
        <v>9.5950920662939119</v>
      </c>
      <c r="J216" s="41">
        <v>13.869325345917934</v>
      </c>
    </row>
    <row r="217" spans="1:10" x14ac:dyDescent="0.2">
      <c r="A217" s="1">
        <v>2009</v>
      </c>
      <c r="B217" s="1">
        <v>8</v>
      </c>
      <c r="C217" s="4" t="str">
        <f t="shared" si="3"/>
        <v>2009M8</v>
      </c>
      <c r="E217" s="41">
        <v>5.3295238095238107</v>
      </c>
      <c r="F217" s="41">
        <v>5.7085714285714291</v>
      </c>
      <c r="G217" s="41">
        <v>6.3580952380952374</v>
      </c>
      <c r="H217" s="43">
        <v>8.9786238095238087</v>
      </c>
      <c r="I217" s="41">
        <v>9.3223107050314411</v>
      </c>
      <c r="J217" s="41">
        <v>12.330817053950682</v>
      </c>
    </row>
    <row r="218" spans="1:10" x14ac:dyDescent="0.2">
      <c r="A218" s="1">
        <v>2009</v>
      </c>
      <c r="B218" s="1">
        <v>9</v>
      </c>
      <c r="C218" s="4" t="str">
        <f t="shared" si="3"/>
        <v>2009M9</v>
      </c>
      <c r="E218" s="41">
        <v>5.1480952380952383</v>
      </c>
      <c r="F218" s="41">
        <v>5.5304761904761905</v>
      </c>
      <c r="G218" s="41">
        <v>6.1185714285714292</v>
      </c>
      <c r="H218" s="43">
        <v>8.6281045454545477</v>
      </c>
      <c r="I218" s="41">
        <v>9.2409994789100995</v>
      </c>
      <c r="J218" s="41">
        <v>11.947811387895195</v>
      </c>
    </row>
    <row r="219" spans="1:10" x14ac:dyDescent="0.2">
      <c r="A219" s="1">
        <v>2009</v>
      </c>
      <c r="B219" s="1">
        <v>10</v>
      </c>
      <c r="C219" s="4" t="str">
        <f t="shared" si="3"/>
        <v>2009M10</v>
      </c>
      <c r="E219" s="41">
        <v>5.2290476190476181</v>
      </c>
      <c r="F219" s="41">
        <v>5.5452380952380951</v>
      </c>
      <c r="G219" s="41">
        <v>6.1409523809523812</v>
      </c>
      <c r="H219" s="43">
        <v>8.1523272727272715</v>
      </c>
      <c r="I219" s="41">
        <v>8.9554143763102871</v>
      </c>
      <c r="J219" s="41">
        <v>11.264389473790628</v>
      </c>
    </row>
    <row r="220" spans="1:10" x14ac:dyDescent="0.2">
      <c r="A220" s="1">
        <v>2009</v>
      </c>
      <c r="B220" s="1">
        <v>11</v>
      </c>
      <c r="C220" s="4" t="str">
        <f t="shared" si="3"/>
        <v>2009M11</v>
      </c>
      <c r="E220" s="41">
        <v>5.3247368421052643</v>
      </c>
      <c r="F220" s="41">
        <v>5.6321052631578938</v>
      </c>
      <c r="G220" s="41">
        <v>6.174736842105264</v>
      </c>
      <c r="H220" s="43">
        <v>8.3454285714285721</v>
      </c>
      <c r="I220" s="41">
        <v>8.8447535978306018</v>
      </c>
      <c r="J220" s="41">
        <v>10.758768462378979</v>
      </c>
    </row>
    <row r="221" spans="1:10" x14ac:dyDescent="0.2">
      <c r="A221" s="1">
        <v>2009</v>
      </c>
      <c r="B221" s="1">
        <v>12</v>
      </c>
      <c r="C221" s="4" t="str">
        <f t="shared" si="3"/>
        <v>2009M12</v>
      </c>
      <c r="E221" s="41">
        <v>5.5154545454545465</v>
      </c>
      <c r="F221" s="41">
        <v>5.7881818181818181</v>
      </c>
      <c r="G221" s="41">
        <v>6.2622727272727277</v>
      </c>
      <c r="H221" s="43">
        <v>8.2370869565217397</v>
      </c>
      <c r="I221" s="41">
        <v>8.8182768300800838</v>
      </c>
      <c r="J221" s="41">
        <v>10.31404894460473</v>
      </c>
    </row>
    <row r="222" spans="1:10" x14ac:dyDescent="0.2">
      <c r="A222" s="1">
        <v>2010</v>
      </c>
      <c r="B222" s="1">
        <v>1</v>
      </c>
      <c r="C222" s="4" t="str">
        <f t="shared" si="3"/>
        <v>2010M1</v>
      </c>
      <c r="E222" s="41">
        <v>5.5510526315789477</v>
      </c>
      <c r="F222" s="41">
        <v>5.7726315789473688</v>
      </c>
      <c r="G222" s="41">
        <v>6.1557894736842114</v>
      </c>
      <c r="H222" s="43">
        <v>7.8615761904761889</v>
      </c>
      <c r="I222" s="41">
        <v>8.7209864780982809</v>
      </c>
      <c r="J222" s="41">
        <v>10.336816444490923</v>
      </c>
    </row>
    <row r="223" spans="1:10" x14ac:dyDescent="0.2">
      <c r="A223" s="1">
        <v>2010</v>
      </c>
      <c r="B223" s="1">
        <v>2</v>
      </c>
      <c r="C223" s="4" t="str">
        <f t="shared" si="3"/>
        <v>2010M2</v>
      </c>
      <c r="E223" s="41">
        <v>5.6873684210526312</v>
      </c>
      <c r="F223" s="41">
        <v>5.8705263157894736</v>
      </c>
      <c r="G223" s="41">
        <v>6.2463157894736838</v>
      </c>
      <c r="H223" s="43">
        <v>7.8308100000000014</v>
      </c>
      <c r="I223" s="41">
        <v>8.8116063633004309</v>
      </c>
      <c r="J223" s="41">
        <v>12.149555266232884</v>
      </c>
    </row>
    <row r="224" spans="1:10" x14ac:dyDescent="0.2">
      <c r="A224" s="1">
        <v>2010</v>
      </c>
      <c r="B224" s="1">
        <v>3</v>
      </c>
      <c r="C224" s="4" t="str">
        <f t="shared" si="3"/>
        <v>2010M3</v>
      </c>
      <c r="E224" s="41">
        <v>5.6417391304347824</v>
      </c>
      <c r="F224" s="41">
        <v>5.8439130434782607</v>
      </c>
      <c r="G224" s="41">
        <v>6.2234782608695642</v>
      </c>
      <c r="H224" s="43">
        <v>7.7614652173913043</v>
      </c>
      <c r="I224" s="41">
        <v>8.6649674895689426</v>
      </c>
      <c r="J224" s="41">
        <v>11.877687607968186</v>
      </c>
    </row>
    <row r="225" spans="1:10" x14ac:dyDescent="0.2">
      <c r="A225" s="1">
        <v>2010</v>
      </c>
      <c r="B225" s="1">
        <v>4</v>
      </c>
      <c r="C225" s="4" t="str">
        <f t="shared" si="3"/>
        <v>2010M4</v>
      </c>
      <c r="E225" s="41">
        <v>5.6231818181818189</v>
      </c>
      <c r="F225" s="41">
        <v>5.8136363636363635</v>
      </c>
      <c r="G225" s="41">
        <v>6.1868181818181816</v>
      </c>
      <c r="H225" s="43">
        <v>7.62845</v>
      </c>
      <c r="I225" s="41">
        <v>8.5417874112763297</v>
      </c>
      <c r="J225" s="41">
        <v>11.721366951819078</v>
      </c>
    </row>
    <row r="226" spans="1:10" x14ac:dyDescent="0.2">
      <c r="A226" s="1">
        <v>2010</v>
      </c>
      <c r="B226" s="1">
        <v>5</v>
      </c>
      <c r="C226" s="4" t="str">
        <f t="shared" si="3"/>
        <v>2010M5</v>
      </c>
      <c r="E226" s="41">
        <v>5.2909999999999995</v>
      </c>
      <c r="F226" s="41">
        <v>5.4969999999999981</v>
      </c>
      <c r="G226" s="41">
        <v>5.9700000000000015</v>
      </c>
      <c r="H226" s="43">
        <v>7.4115000000000002</v>
      </c>
      <c r="I226" s="41">
        <v>8.7440636402564564</v>
      </c>
      <c r="J226" s="41">
        <v>12.13220190118528</v>
      </c>
    </row>
    <row r="227" spans="1:10" x14ac:dyDescent="0.2">
      <c r="A227" s="1">
        <v>2010</v>
      </c>
      <c r="B227" s="1">
        <v>6</v>
      </c>
      <c r="C227" s="4" t="str">
        <f t="shared" si="3"/>
        <v>2010M6</v>
      </c>
      <c r="E227" s="41">
        <v>5.2163636363636359</v>
      </c>
      <c r="F227" s="41">
        <v>5.462727272727272</v>
      </c>
      <c r="G227" s="41">
        <v>6.1804545454545439</v>
      </c>
      <c r="H227" s="43">
        <v>7.5636909090909112</v>
      </c>
      <c r="I227" s="41">
        <v>8.9010562403012727</v>
      </c>
      <c r="J227" s="41">
        <v>12.388831277570747</v>
      </c>
    </row>
    <row r="228" spans="1:10" x14ac:dyDescent="0.2">
      <c r="A228" s="1">
        <v>2010</v>
      </c>
      <c r="B228" s="1">
        <v>7</v>
      </c>
      <c r="C228" s="4" t="str">
        <f t="shared" si="3"/>
        <v>2010M7</v>
      </c>
      <c r="E228" s="41">
        <v>4.9890476190476196</v>
      </c>
      <c r="F228" s="41">
        <v>5.2580952380952386</v>
      </c>
      <c r="G228" s="41">
        <v>5.9790476190476198</v>
      </c>
      <c r="H228" s="43">
        <v>7.5621863636363633</v>
      </c>
      <c r="I228" s="41">
        <v>8.7167733595399479</v>
      </c>
      <c r="J228" s="41">
        <v>12.169896614939583</v>
      </c>
    </row>
    <row r="229" spans="1:10" x14ac:dyDescent="0.2">
      <c r="A229" s="1">
        <v>2010</v>
      </c>
      <c r="B229" s="1">
        <v>8</v>
      </c>
      <c r="C229" s="4" t="str">
        <f t="shared" si="3"/>
        <v>2010M8</v>
      </c>
      <c r="E229" s="41">
        <v>4.7450000000000001</v>
      </c>
      <c r="F229" s="41">
        <v>5.0077272727272719</v>
      </c>
      <c r="G229" s="41">
        <v>5.5472727272727269</v>
      </c>
      <c r="H229" s="43">
        <v>6.9201863636363621</v>
      </c>
      <c r="I229" s="41">
        <v>8.5898058382429099</v>
      </c>
      <c r="J229" s="41">
        <v>12.081820303438882</v>
      </c>
    </row>
    <row r="230" spans="1:10" x14ac:dyDescent="0.2">
      <c r="A230" s="1">
        <v>2010</v>
      </c>
      <c r="B230" s="1">
        <v>9</v>
      </c>
      <c r="C230" s="4" t="str">
        <f t="shared" si="3"/>
        <v>2010M9</v>
      </c>
      <c r="E230" s="41">
        <v>4.7438095238095235</v>
      </c>
      <c r="F230" s="41">
        <v>5.0095238095238086</v>
      </c>
      <c r="G230" s="41">
        <v>5.5319047619047623</v>
      </c>
      <c r="H230" s="43">
        <v>6.6062454545454559</v>
      </c>
      <c r="I230" s="41">
        <v>8.5289293060357494</v>
      </c>
      <c r="J230" s="41">
        <v>12.071032871089809</v>
      </c>
    </row>
    <row r="231" spans="1:10" x14ac:dyDescent="0.2">
      <c r="A231" s="1">
        <v>2010</v>
      </c>
      <c r="B231" s="1">
        <v>10</v>
      </c>
      <c r="C231" s="4" t="str">
        <f t="shared" si="3"/>
        <v>2010M10</v>
      </c>
      <c r="E231" s="41">
        <v>4.8859999999999992</v>
      </c>
      <c r="F231" s="41">
        <v>5.1029999999999998</v>
      </c>
      <c r="G231" s="41">
        <v>5.62</v>
      </c>
      <c r="H231" s="43">
        <v>6.5443181818181815</v>
      </c>
      <c r="I231" s="41">
        <v>8.34479913841799</v>
      </c>
      <c r="J231" s="41">
        <v>11.323227089437975</v>
      </c>
    </row>
    <row r="232" spans="1:10" x14ac:dyDescent="0.2">
      <c r="A232" s="1">
        <v>2010</v>
      </c>
      <c r="B232" s="1">
        <v>11</v>
      </c>
      <c r="C232" s="4" t="str">
        <f t="shared" si="3"/>
        <v>2010M11</v>
      </c>
      <c r="E232" s="41">
        <v>5.1171428571428557</v>
      </c>
      <c r="F232" s="41">
        <v>5.3671428571428557</v>
      </c>
      <c r="G232" s="41">
        <v>5.854285714285715</v>
      </c>
      <c r="H232" s="42">
        <v>7.1672798327986333</v>
      </c>
      <c r="I232" s="41">
        <v>8.2657531222639822</v>
      </c>
      <c r="J232" s="41">
        <v>10.924967180427526</v>
      </c>
    </row>
    <row r="233" spans="1:10" x14ac:dyDescent="0.2">
      <c r="A233" s="1">
        <v>2010</v>
      </c>
      <c r="B233" s="1">
        <v>12</v>
      </c>
      <c r="C233" s="4" t="str">
        <f t="shared" si="3"/>
        <v>2010M12</v>
      </c>
      <c r="E233" s="41">
        <v>5.3190909090909093</v>
      </c>
      <c r="F233" s="41">
        <v>5.5590909090909104</v>
      </c>
      <c r="G233" s="41">
        <v>6.036363636363637</v>
      </c>
      <c r="H233" s="42">
        <v>7.3901940331975799</v>
      </c>
      <c r="I233" s="41">
        <v>8.3350232612320614</v>
      </c>
      <c r="J233" s="41">
        <v>10.663517180351176</v>
      </c>
    </row>
    <row r="234" spans="1:10" x14ac:dyDescent="0.2">
      <c r="A234" s="1">
        <v>2011</v>
      </c>
      <c r="B234" s="1">
        <v>1</v>
      </c>
      <c r="C234" s="4" t="str">
        <f t="shared" si="3"/>
        <v>2011M1</v>
      </c>
      <c r="E234" s="41">
        <v>5.2929999999999993</v>
      </c>
      <c r="F234" s="41">
        <v>5.5695000000000006</v>
      </c>
      <c r="G234" s="41">
        <v>6.0580000000000016</v>
      </c>
      <c r="H234" s="42">
        <v>7.4166829816900659</v>
      </c>
      <c r="I234" s="41">
        <v>8.2052362378205483</v>
      </c>
      <c r="J234" s="41">
        <v>10.445959952216297</v>
      </c>
    </row>
    <row r="235" spans="1:10" x14ac:dyDescent="0.2">
      <c r="A235" s="1">
        <v>2011</v>
      </c>
      <c r="B235" s="1">
        <v>2</v>
      </c>
      <c r="C235" s="4" t="str">
        <f t="shared" si="3"/>
        <v>2011M2</v>
      </c>
      <c r="E235" s="41">
        <v>5.4189473684210512</v>
      </c>
      <c r="F235" s="41">
        <v>5.6789473684210527</v>
      </c>
      <c r="G235" s="41">
        <v>6.1042105263157893</v>
      </c>
      <c r="H235" s="42">
        <v>7.4732575647374819</v>
      </c>
      <c r="I235" s="41">
        <v>8.1037270822163112</v>
      </c>
      <c r="J235" s="41">
        <v>10.077974604393608</v>
      </c>
    </row>
    <row r="236" spans="1:10" x14ac:dyDescent="0.2">
      <c r="A236" s="1">
        <v>2011</v>
      </c>
      <c r="B236" s="1">
        <v>3</v>
      </c>
      <c r="C236" s="4" t="str">
        <f t="shared" si="3"/>
        <v>2011M3</v>
      </c>
      <c r="E236" s="41">
        <v>5.3291304347826101</v>
      </c>
      <c r="F236" s="41">
        <v>5.5639130434782604</v>
      </c>
      <c r="G236" s="41">
        <v>5.9704347826086952</v>
      </c>
      <c r="H236" s="42">
        <v>7.3094787133483541</v>
      </c>
      <c r="I236" s="41">
        <v>8.1275183665207678</v>
      </c>
      <c r="J236" s="41">
        <v>10.379013114648998</v>
      </c>
    </row>
    <row r="237" spans="1:10" x14ac:dyDescent="0.2">
      <c r="A237" s="1">
        <v>2011</v>
      </c>
      <c r="B237" s="1">
        <v>4</v>
      </c>
      <c r="C237" s="4" t="str">
        <f t="shared" si="3"/>
        <v>2011M4</v>
      </c>
      <c r="E237" s="41">
        <v>5.3235000000000001</v>
      </c>
      <c r="F237" s="41">
        <v>5.5540000000000003</v>
      </c>
      <c r="G237" s="41">
        <v>5.9809999999999999</v>
      </c>
      <c r="H237" s="42">
        <v>7.3224134885256307</v>
      </c>
      <c r="I237" s="41">
        <v>8.079868175104135</v>
      </c>
      <c r="J237" s="41">
        <v>10.146270065993317</v>
      </c>
    </row>
    <row r="238" spans="1:10" x14ac:dyDescent="0.2">
      <c r="A238" s="1">
        <v>2011</v>
      </c>
      <c r="B238" s="1">
        <v>5</v>
      </c>
      <c r="C238" s="4" t="str">
        <f t="shared" si="3"/>
        <v>2011M5</v>
      </c>
      <c r="E238" s="41">
        <v>5.08</v>
      </c>
      <c r="F238" s="41">
        <v>5.3204761904761897</v>
      </c>
      <c r="G238" s="41">
        <v>5.7419047619047614</v>
      </c>
      <c r="H238" s="42">
        <v>7.029694177963715</v>
      </c>
      <c r="I238" s="41">
        <v>8.0648756424258288</v>
      </c>
      <c r="J238" s="41">
        <v>10.083424302399122</v>
      </c>
    </row>
    <row r="239" spans="1:10" x14ac:dyDescent="0.2">
      <c r="A239" s="1">
        <v>2011</v>
      </c>
      <c r="B239" s="1">
        <v>6</v>
      </c>
      <c r="C239" s="4" t="str">
        <f t="shared" si="3"/>
        <v>2011M6</v>
      </c>
      <c r="E239" s="41">
        <v>5.044090909090909</v>
      </c>
      <c r="F239" s="41">
        <v>5.2631818181818186</v>
      </c>
      <c r="G239" s="41">
        <v>5.6731818181818179</v>
      </c>
      <c r="H239" s="42">
        <v>6.9455581120737184</v>
      </c>
      <c r="I239" s="41">
        <v>8.1914662314296649</v>
      </c>
      <c r="J239" s="41">
        <v>10.382186863915841</v>
      </c>
    </row>
    <row r="240" spans="1:10" x14ac:dyDescent="0.2">
      <c r="A240" s="1">
        <v>2011</v>
      </c>
      <c r="B240" s="1">
        <v>7</v>
      </c>
      <c r="C240" s="4" t="str">
        <f t="shared" si="3"/>
        <v>2011M7</v>
      </c>
      <c r="E240" s="41">
        <v>5.0529999999999999</v>
      </c>
      <c r="F240" s="41">
        <v>5.2649999999999988</v>
      </c>
      <c r="G240" s="41">
        <v>5.6995000000000013</v>
      </c>
      <c r="H240" s="42">
        <v>6.9777789128660501</v>
      </c>
      <c r="I240" s="41">
        <v>8.1555972929311977</v>
      </c>
      <c r="J240" s="41">
        <v>10.457987254943021</v>
      </c>
    </row>
    <row r="241" spans="1:10" x14ac:dyDescent="0.2">
      <c r="A241" s="1">
        <v>2011</v>
      </c>
      <c r="B241" s="1">
        <v>8</v>
      </c>
      <c r="C241" s="4" t="str">
        <f t="shared" si="3"/>
        <v>2011M8</v>
      </c>
      <c r="E241" s="41">
        <v>4.4395652173913058</v>
      </c>
      <c r="F241" s="41">
        <v>4.6891304347826077</v>
      </c>
      <c r="G241" s="41">
        <v>5.223478260869566</v>
      </c>
      <c r="H241" s="42">
        <v>6.3949954312676338</v>
      </c>
      <c r="I241" s="41">
        <v>8.4907471871037465</v>
      </c>
      <c r="J241" s="41">
        <v>12.428114397949908</v>
      </c>
    </row>
    <row r="242" spans="1:10" x14ac:dyDescent="0.2">
      <c r="A242" s="1">
        <v>2011</v>
      </c>
      <c r="B242" s="1">
        <v>9</v>
      </c>
      <c r="C242" s="4" t="str">
        <f t="shared" si="3"/>
        <v>2011M9</v>
      </c>
      <c r="E242" s="41">
        <v>4.2423809523809508</v>
      </c>
      <c r="F242" s="41">
        <v>4.484285714285714</v>
      </c>
      <c r="G242" s="41">
        <v>5.1114285714285712</v>
      </c>
      <c r="H242" s="42">
        <v>6.2578153347373124</v>
      </c>
      <c r="I242" s="41">
        <v>8.6052771537936881</v>
      </c>
      <c r="J242" s="41">
        <v>15.490670351133826</v>
      </c>
    </row>
    <row r="243" spans="1:10" x14ac:dyDescent="0.2">
      <c r="A243" s="1">
        <v>2011</v>
      </c>
      <c r="B243" s="1">
        <v>10</v>
      </c>
      <c r="C243" s="4" t="str">
        <f t="shared" si="3"/>
        <v>2011M10</v>
      </c>
      <c r="E243" s="41">
        <v>4.2080000000000002</v>
      </c>
      <c r="F243" s="41">
        <v>4.5179999999999998</v>
      </c>
      <c r="G243" s="41">
        <v>5.2409999999999997</v>
      </c>
      <c r="H243" s="42">
        <v>6.4164469308414693</v>
      </c>
      <c r="I243" s="41">
        <v>8.7257525575893631</v>
      </c>
      <c r="J243" s="41">
        <v>15.981457721134968</v>
      </c>
    </row>
    <row r="244" spans="1:10" x14ac:dyDescent="0.2">
      <c r="A244" s="1">
        <v>2011</v>
      </c>
      <c r="B244" s="1">
        <v>11</v>
      </c>
      <c r="C244" s="4" t="str">
        <f t="shared" si="3"/>
        <v>2011M11</v>
      </c>
      <c r="E244" s="41">
        <v>3.9185000000000003</v>
      </c>
      <c r="F244" s="41">
        <v>4.2494999999999994</v>
      </c>
      <c r="G244" s="41">
        <v>4.9320000000000004</v>
      </c>
      <c r="H244" s="42">
        <v>6.038144679051733</v>
      </c>
      <c r="I244" s="41">
        <v>8.543381188704446</v>
      </c>
      <c r="J244" s="41">
        <v>15.912841697568497</v>
      </c>
    </row>
    <row r="245" spans="1:10" x14ac:dyDescent="0.2">
      <c r="A245" s="1">
        <v>2011</v>
      </c>
      <c r="B245" s="1">
        <v>12</v>
      </c>
      <c r="C245" s="4" t="str">
        <f t="shared" si="3"/>
        <v>2011M12</v>
      </c>
      <c r="E245" s="41">
        <v>4.0004761904761912</v>
      </c>
      <c r="F245" s="41">
        <v>4.3323809523809524</v>
      </c>
      <c r="G245" s="41">
        <v>5.07</v>
      </c>
      <c r="H245" s="42">
        <v>6.2070951992685091</v>
      </c>
      <c r="I245" s="41">
        <v>8.5068384909379713</v>
      </c>
      <c r="J245" s="41">
        <v>16.10011254052008</v>
      </c>
    </row>
    <row r="246" spans="1:10" x14ac:dyDescent="0.2">
      <c r="A246" s="1">
        <v>2012</v>
      </c>
      <c r="B246" s="1">
        <v>1</v>
      </c>
      <c r="C246" s="4" t="str">
        <f t="shared" si="3"/>
        <v>2012M1</v>
      </c>
      <c r="E246" s="41">
        <v>4.0280000000000005</v>
      </c>
      <c r="F246" s="41">
        <v>4.3374999999999995</v>
      </c>
      <c r="G246" s="41">
        <v>5.0610000000000008</v>
      </c>
      <c r="H246" s="42">
        <v>6.1960766870804589</v>
      </c>
      <c r="I246" s="41">
        <v>8.3406337937036525</v>
      </c>
      <c r="J246" s="41">
        <v>15.453559620057675</v>
      </c>
    </row>
    <row r="247" spans="1:10" x14ac:dyDescent="0.2">
      <c r="A247" s="1">
        <v>2012</v>
      </c>
      <c r="B247" s="1">
        <v>2</v>
      </c>
      <c r="C247" s="4" t="str">
        <f t="shared" si="3"/>
        <v>2012M2</v>
      </c>
      <c r="E247" s="41">
        <v>4.0229999999999997</v>
      </c>
      <c r="F247" s="41">
        <v>4.3594999999999988</v>
      </c>
      <c r="G247" s="41">
        <v>5.0214999999999987</v>
      </c>
      <c r="H247" s="42">
        <v>6.1477176613662348</v>
      </c>
      <c r="I247" s="41">
        <v>8.1897345782497624</v>
      </c>
      <c r="J247" s="41">
        <v>14.463235029797467</v>
      </c>
    </row>
    <row r="248" spans="1:10" x14ac:dyDescent="0.2">
      <c r="A248" s="1">
        <v>2012</v>
      </c>
      <c r="B248" s="1">
        <v>3</v>
      </c>
      <c r="C248" s="4" t="str">
        <f t="shared" si="3"/>
        <v>2012M3</v>
      </c>
      <c r="E248" s="41">
        <v>4.1595454545454551</v>
      </c>
      <c r="F248" s="41">
        <v>4.4763636363636365</v>
      </c>
      <c r="G248" s="41">
        <v>5.129999999999999</v>
      </c>
      <c r="H248" s="42">
        <v>6.2805519471888447</v>
      </c>
      <c r="I248" s="41">
        <v>8.1655096024948008</v>
      </c>
      <c r="J248" s="41">
        <v>14.590998846682316</v>
      </c>
    </row>
    <row r="249" spans="1:10" x14ac:dyDescent="0.2">
      <c r="A249" s="1">
        <v>2012</v>
      </c>
      <c r="B249" s="1">
        <v>4</v>
      </c>
      <c r="C249" s="4" t="str">
        <f t="shared" si="3"/>
        <v>2012M4</v>
      </c>
      <c r="E249" s="41">
        <v>4.097142857142857</v>
      </c>
      <c r="F249" s="41">
        <v>4.3980952380952365</v>
      </c>
      <c r="G249" s="41">
        <v>5.1109523809523809</v>
      </c>
      <c r="H249" s="42">
        <v>6.2572323446744527</v>
      </c>
      <c r="I249" s="41">
        <v>8.1757635753174576</v>
      </c>
      <c r="J249" s="41">
        <v>15.056556659426109</v>
      </c>
    </row>
    <row r="250" spans="1:10" x14ac:dyDescent="0.2">
      <c r="A250" s="1">
        <v>2012</v>
      </c>
      <c r="B250" s="1">
        <v>5</v>
      </c>
      <c r="C250" s="4" t="str">
        <f t="shared" si="3"/>
        <v>2012M5</v>
      </c>
      <c r="E250" s="41">
        <v>3.9172727272727275</v>
      </c>
      <c r="F250" s="41">
        <v>4.2018181818181821</v>
      </c>
      <c r="G250" s="41">
        <v>4.9654545454545449</v>
      </c>
      <c r="H250" s="42">
        <v>6.0791023809224658</v>
      </c>
      <c r="I250" s="41">
        <v>8.173241601908634</v>
      </c>
      <c r="J250" s="41">
        <v>16.554195819718682</v>
      </c>
    </row>
    <row r="251" spans="1:10" x14ac:dyDescent="0.2">
      <c r="A251" s="1">
        <v>2012</v>
      </c>
      <c r="B251" s="1">
        <v>6</v>
      </c>
      <c r="C251" s="4" t="str">
        <f t="shared" si="3"/>
        <v>2012M6</v>
      </c>
      <c r="E251" s="41">
        <v>3.7890476190476194</v>
      </c>
      <c r="F251" s="41">
        <v>4.0823809523809516</v>
      </c>
      <c r="G251" s="41">
        <v>4.9090476190476178</v>
      </c>
      <c r="H251" s="42">
        <v>6.010044558021888</v>
      </c>
      <c r="I251" s="41">
        <v>8.2703628632297068</v>
      </c>
      <c r="J251" s="41">
        <v>18.571613071094379</v>
      </c>
    </row>
    <row r="252" spans="1:10" x14ac:dyDescent="0.2">
      <c r="A252" s="1">
        <v>2012</v>
      </c>
      <c r="B252" s="1">
        <v>7</v>
      </c>
      <c r="C252" s="4" t="str">
        <f t="shared" si="3"/>
        <v>2012M7</v>
      </c>
      <c r="E252" s="41">
        <v>3.5847619047619039</v>
      </c>
      <c r="F252" s="41">
        <v>3.9280952380952372</v>
      </c>
      <c r="G252" s="41">
        <v>4.8499999999999996</v>
      </c>
      <c r="H252" s="42">
        <v>5.937753790227271</v>
      </c>
      <c r="I252" s="41">
        <v>8.0849517539181832</v>
      </c>
      <c r="J252" s="41">
        <v>18.564013480661355</v>
      </c>
    </row>
    <row r="253" spans="1:10" x14ac:dyDescent="0.2">
      <c r="A253" s="1">
        <v>2012</v>
      </c>
      <c r="B253" s="1">
        <v>8</v>
      </c>
      <c r="C253" s="4" t="str">
        <f t="shared" si="3"/>
        <v>2012M8</v>
      </c>
      <c r="E253" s="41">
        <v>3.6530434782608694</v>
      </c>
      <c r="F253" s="41">
        <v>3.9965217391304351</v>
      </c>
      <c r="G253" s="41">
        <v>4.8782608695652181</v>
      </c>
      <c r="H253" s="42">
        <v>5.9723529830883004</v>
      </c>
      <c r="I253" s="41">
        <v>7.9312391581833328</v>
      </c>
      <c r="J253" s="41">
        <v>17.449499729018072</v>
      </c>
    </row>
    <row r="254" spans="1:10" x14ac:dyDescent="0.2">
      <c r="A254" s="1">
        <v>2012</v>
      </c>
      <c r="B254" s="1">
        <v>9</v>
      </c>
      <c r="C254" s="4" t="str">
        <f t="shared" si="3"/>
        <v>2012M9</v>
      </c>
      <c r="E254" s="41">
        <v>3.6894736842105269</v>
      </c>
      <c r="F254" s="41">
        <v>4.0231578947368423</v>
      </c>
      <c r="G254" s="41">
        <v>4.8073684210526322</v>
      </c>
      <c r="H254" s="42">
        <v>5.8855608377575592</v>
      </c>
      <c r="I254" s="41">
        <v>7.7392751488914229</v>
      </c>
      <c r="J254" s="41">
        <v>16.568762807672506</v>
      </c>
    </row>
    <row r="255" spans="1:10" x14ac:dyDescent="0.2">
      <c r="A255" s="1">
        <v>2012</v>
      </c>
      <c r="B255" s="1">
        <v>10</v>
      </c>
      <c r="C255" s="4" t="str">
        <f t="shared" si="3"/>
        <v>2012M10</v>
      </c>
      <c r="E255" s="41">
        <v>3.6819047619047618</v>
      </c>
      <c r="F255" s="41">
        <v>3.9133333333333331</v>
      </c>
      <c r="G255" s="41">
        <v>4.5433333333333321</v>
      </c>
      <c r="H255" s="42">
        <v>5.5623081897455453</v>
      </c>
      <c r="I255" s="41">
        <v>7.6536806705897211</v>
      </c>
      <c r="J255" s="41">
        <v>17.259658671978347</v>
      </c>
    </row>
    <row r="256" spans="1:10" x14ac:dyDescent="0.2">
      <c r="A256" s="1">
        <v>2012</v>
      </c>
      <c r="B256" s="1">
        <v>11</v>
      </c>
      <c r="C256" s="4" t="str">
        <f t="shared" si="3"/>
        <v>2012M11</v>
      </c>
      <c r="E256" s="41">
        <v>3.5990000000000002</v>
      </c>
      <c r="F256" s="41">
        <v>3.8364999999999996</v>
      </c>
      <c r="G256" s="41">
        <v>4.4155000000000006</v>
      </c>
      <c r="H256" s="42">
        <v>5.4058045073708287</v>
      </c>
      <c r="I256" s="41">
        <v>7.616359343383218</v>
      </c>
      <c r="J256" s="41">
        <v>19.19226708765682</v>
      </c>
    </row>
    <row r="257" spans="1:10" x14ac:dyDescent="0.2">
      <c r="A257" s="1">
        <v>2012</v>
      </c>
      <c r="B257" s="1">
        <v>12</v>
      </c>
      <c r="C257" s="4" t="str">
        <f t="shared" si="3"/>
        <v>2012M12</v>
      </c>
      <c r="E257" s="41">
        <v>3.7525000000000004</v>
      </c>
      <c r="F257" s="41">
        <v>4.0004999999999997</v>
      </c>
      <c r="G257" s="41">
        <v>4.5549999999999997</v>
      </c>
      <c r="H257" s="42">
        <v>5.5765914462856125</v>
      </c>
      <c r="I257" s="41">
        <v>7.4746609752806004</v>
      </c>
      <c r="J257" s="41">
        <v>18.188737440914558</v>
      </c>
    </row>
    <row r="258" spans="1:10" x14ac:dyDescent="0.2">
      <c r="A258" s="1">
        <v>2013</v>
      </c>
      <c r="B258" s="1">
        <v>1</v>
      </c>
      <c r="C258" s="4" t="str">
        <f t="shared" si="3"/>
        <v>2013M1</v>
      </c>
      <c r="E258" s="41">
        <v>3.9023809523809532</v>
      </c>
      <c r="F258" s="41">
        <v>4.1476190476190471</v>
      </c>
      <c r="G258" s="41">
        <v>4.6585714285714275</v>
      </c>
      <c r="H258" s="42">
        <v>5.7033917849576223</v>
      </c>
      <c r="I258" s="41">
        <v>7.4362335666170498</v>
      </c>
      <c r="J258" s="41">
        <v>17.175975043873137</v>
      </c>
    </row>
    <row r="259" spans="1:10" x14ac:dyDescent="0.2">
      <c r="A259" s="1">
        <v>2013</v>
      </c>
      <c r="B259" s="1">
        <v>2</v>
      </c>
      <c r="C259" s="4" t="str">
        <f t="shared" si="3"/>
        <v>2013M2</v>
      </c>
      <c r="E259" s="41">
        <v>3.9473684210526314</v>
      </c>
      <c r="F259" s="41">
        <v>4.1847368421052638</v>
      </c>
      <c r="G259" s="41">
        <v>4.7447368421052625</v>
      </c>
      <c r="H259" s="42">
        <v>5.8088823026477314</v>
      </c>
      <c r="I259" s="41">
        <v>7.4933381367692151</v>
      </c>
      <c r="J259" s="41">
        <v>18.053886363840185</v>
      </c>
    </row>
    <row r="260" spans="1:10" x14ac:dyDescent="0.2">
      <c r="A260" s="1">
        <v>2013</v>
      </c>
      <c r="B260" s="1">
        <v>3</v>
      </c>
      <c r="C260" s="4" t="str">
        <f t="shared" si="3"/>
        <v>2013M3</v>
      </c>
      <c r="E260" s="41">
        <v>3.9515000000000007</v>
      </c>
      <c r="F260" s="41">
        <v>4.2</v>
      </c>
      <c r="G260" s="41">
        <v>4.7189999999999994</v>
      </c>
      <c r="H260" s="42">
        <v>5.7773732239345339</v>
      </c>
      <c r="I260" s="41">
        <v>7.3789473002599069</v>
      </c>
      <c r="J260" s="41">
        <v>18.954947485575026</v>
      </c>
    </row>
    <row r="261" spans="1:10" x14ac:dyDescent="0.2">
      <c r="A261" s="1">
        <v>2013</v>
      </c>
      <c r="B261" s="1">
        <v>4</v>
      </c>
      <c r="C261" s="4" t="str">
        <f t="shared" si="3"/>
        <v>2013M4</v>
      </c>
      <c r="E261" s="41">
        <v>3.7436363636363637</v>
      </c>
      <c r="F261" s="41">
        <v>4.0022727272727261</v>
      </c>
      <c r="G261" s="41">
        <v>4.4863636363636372</v>
      </c>
      <c r="H261" s="42">
        <v>5.4925613785888645</v>
      </c>
      <c r="I261" s="41">
        <v>7.3250642899544989</v>
      </c>
      <c r="J261" s="41">
        <v>18.161475496872683</v>
      </c>
    </row>
    <row r="262" spans="1:10" x14ac:dyDescent="0.2">
      <c r="A262" s="1">
        <v>2013</v>
      </c>
      <c r="B262" s="1">
        <v>5</v>
      </c>
      <c r="C262" s="4" t="str">
        <f t="shared" si="3"/>
        <v>2013M5</v>
      </c>
      <c r="E262" s="41">
        <v>3.9122727272727276</v>
      </c>
      <c r="F262" s="41">
        <v>4.167272727272727</v>
      </c>
      <c r="G262" s="41">
        <v>4.6477272727272725</v>
      </c>
      <c r="H262" s="42">
        <v>5.6901155112534063</v>
      </c>
      <c r="I262" s="41">
        <v>7.2088460219687924</v>
      </c>
      <c r="J262" s="41">
        <v>17.69337848719481</v>
      </c>
    </row>
    <row r="263" spans="1:10" x14ac:dyDescent="0.2">
      <c r="A263" s="1">
        <v>2013</v>
      </c>
      <c r="B263" s="1">
        <v>6</v>
      </c>
      <c r="C263" s="4" t="str">
        <f t="shared" ref="C263:C311" si="4">CONCATENATE(A263,"M",B263)</f>
        <v>2013M6</v>
      </c>
      <c r="E263" s="41">
        <v>4.2739999999999991</v>
      </c>
      <c r="F263" s="41">
        <v>4.5290000000000008</v>
      </c>
      <c r="G263" s="41">
        <v>5.0845000000000002</v>
      </c>
      <c r="H263" s="42">
        <v>6.2248472466825904</v>
      </c>
      <c r="I263" s="41">
        <v>7.4326716935578334</v>
      </c>
      <c r="J263" s="41">
        <v>19.332830580861966</v>
      </c>
    </row>
    <row r="264" spans="1:10" x14ac:dyDescent="0.2">
      <c r="A264" s="1">
        <v>2013</v>
      </c>
      <c r="B264" s="1">
        <v>7</v>
      </c>
      <c r="C264" s="4" t="str">
        <f t="shared" si="4"/>
        <v>2013M7</v>
      </c>
      <c r="E264" s="41">
        <v>4.4440909090909084</v>
      </c>
      <c r="F264" s="41">
        <v>4.6827272727272726</v>
      </c>
      <c r="G264" s="41">
        <v>5.209090909090909</v>
      </c>
      <c r="H264" s="42">
        <v>6.3773812967201993</v>
      </c>
      <c r="I264" s="41">
        <v>7.4204293519344722</v>
      </c>
      <c r="J264" s="41">
        <v>19.666141583612404</v>
      </c>
    </row>
    <row r="265" spans="1:10" x14ac:dyDescent="0.2">
      <c r="A265" s="1">
        <v>2013</v>
      </c>
      <c r="B265" s="1">
        <v>8</v>
      </c>
      <c r="C265" s="4" t="str">
        <f t="shared" si="4"/>
        <v>2013M8</v>
      </c>
      <c r="E265" s="41">
        <v>4.5350000000000001</v>
      </c>
      <c r="F265" s="41">
        <v>4.7300000000000004</v>
      </c>
      <c r="G265" s="41">
        <v>5.2759090909090904</v>
      </c>
      <c r="H265" s="42">
        <v>6.4591854023587567</v>
      </c>
      <c r="I265" s="41">
        <v>7.4101202732753695</v>
      </c>
      <c r="J265" s="41">
        <v>20.623831261274049</v>
      </c>
    </row>
    <row r="266" spans="1:10" x14ac:dyDescent="0.2">
      <c r="A266" s="1">
        <v>2013</v>
      </c>
      <c r="B266" s="1">
        <v>9</v>
      </c>
      <c r="C266" s="4" t="str">
        <f t="shared" si="4"/>
        <v>2013M9</v>
      </c>
      <c r="E266" s="41">
        <v>4.5825000000000005</v>
      </c>
      <c r="F266" s="41">
        <v>4.8030000000000008</v>
      </c>
      <c r="G266" s="41">
        <v>5.3079999999999998</v>
      </c>
      <c r="H266" s="42">
        <v>6.4984736326858465</v>
      </c>
      <c r="I266" s="41">
        <v>7.3743688694866956</v>
      </c>
      <c r="J266" s="41">
        <v>21.50195265572604</v>
      </c>
    </row>
    <row r="267" spans="1:10" x14ac:dyDescent="0.2">
      <c r="A267" s="1">
        <v>2013</v>
      </c>
      <c r="B267" s="1">
        <v>10</v>
      </c>
      <c r="C267" s="4" t="str">
        <f t="shared" si="4"/>
        <v>2013M10</v>
      </c>
      <c r="E267" s="41">
        <v>4.4763636363636374</v>
      </c>
      <c r="F267" s="41">
        <v>4.6959090909090913</v>
      </c>
      <c r="G267" s="41">
        <v>5.1700000000000008</v>
      </c>
      <c r="H267" s="42">
        <v>6.3295231124690723</v>
      </c>
      <c r="I267" s="41">
        <v>7.2594480298225132</v>
      </c>
      <c r="J267" s="41">
        <v>22.316946458401262</v>
      </c>
    </row>
    <row r="268" spans="1:10" x14ac:dyDescent="0.2">
      <c r="A268" s="1">
        <v>2013</v>
      </c>
      <c r="B268" s="1">
        <v>11</v>
      </c>
      <c r="C268" s="4" t="str">
        <f t="shared" si="4"/>
        <v>2013M11</v>
      </c>
      <c r="E268" s="41">
        <v>4.5552631578947382</v>
      </c>
      <c r="F268" s="41">
        <v>4.774210526315791</v>
      </c>
      <c r="G268" s="41">
        <v>5.2436842105263155</v>
      </c>
      <c r="H268" s="42">
        <v>6.4197331537747484</v>
      </c>
      <c r="I268" s="41">
        <v>7.1882661299401569</v>
      </c>
      <c r="J268" s="41">
        <v>20.764446464104363</v>
      </c>
    </row>
    <row r="269" spans="1:10" x14ac:dyDescent="0.2">
      <c r="A269" s="1">
        <v>2013</v>
      </c>
      <c r="B269" s="1">
        <v>12</v>
      </c>
      <c r="C269" s="4" t="str">
        <f t="shared" si="4"/>
        <v>2013M12</v>
      </c>
      <c r="E269" s="41">
        <v>4.5923809523809531</v>
      </c>
      <c r="F269" s="41">
        <v>4.8090476190476199</v>
      </c>
      <c r="G269" s="41">
        <v>5.2523809523809524</v>
      </c>
      <c r="H269" s="42">
        <v>6.4303803933438202</v>
      </c>
      <c r="I269" s="41">
        <v>7.1717609429094091</v>
      </c>
      <c r="J269" s="41">
        <v>21.286703694549562</v>
      </c>
    </row>
    <row r="270" spans="1:10" x14ac:dyDescent="0.2">
      <c r="A270" s="1">
        <v>2014</v>
      </c>
      <c r="B270" s="1">
        <v>1</v>
      </c>
      <c r="C270" s="4" t="str">
        <f t="shared" si="4"/>
        <v>2014M1</v>
      </c>
      <c r="E270" s="41">
        <v>4.4433333333333325</v>
      </c>
      <c r="F270" s="41">
        <v>4.6309523809523814</v>
      </c>
      <c r="G270" s="41">
        <v>5.093809523809524</v>
      </c>
      <c r="H270" s="42">
        <v>6.2362447024114998</v>
      </c>
      <c r="I270" s="41">
        <v>7.1553890862224661</v>
      </c>
      <c r="J270" s="41">
        <v>21.964687800696034</v>
      </c>
    </row>
    <row r="271" spans="1:10" x14ac:dyDescent="0.2">
      <c r="A271" s="1">
        <v>2014</v>
      </c>
      <c r="B271" s="1">
        <v>2</v>
      </c>
      <c r="C271" s="4" t="str">
        <f t="shared" si="4"/>
        <v>2014M2</v>
      </c>
      <c r="E271" s="41">
        <v>4.384736842105263</v>
      </c>
      <c r="F271" s="41">
        <v>4.5347368421052634</v>
      </c>
      <c r="G271" s="41">
        <v>5.0089473684210519</v>
      </c>
      <c r="H271" s="42">
        <v>6.1323497364723751</v>
      </c>
      <c r="I271" s="41">
        <v>7.1243191611878931</v>
      </c>
      <c r="J271" s="41">
        <v>22.871958829712312</v>
      </c>
    </row>
    <row r="272" spans="1:10" x14ac:dyDescent="0.2">
      <c r="A272" s="1">
        <v>2014</v>
      </c>
      <c r="B272" s="1">
        <v>3</v>
      </c>
      <c r="C272" s="4" t="str">
        <f t="shared" si="4"/>
        <v>2014M3</v>
      </c>
      <c r="E272" s="41">
        <v>4.397619047619048</v>
      </c>
      <c r="F272" s="41">
        <v>4.5090476190476183</v>
      </c>
      <c r="G272" s="41">
        <v>4.9952380952380953</v>
      </c>
      <c r="H272" s="42">
        <v>6.1155657593995167</v>
      </c>
      <c r="I272" s="41">
        <v>7.0579963981826683</v>
      </c>
      <c r="J272" s="41">
        <v>24.281694867945244</v>
      </c>
    </row>
    <row r="273" spans="1:10" x14ac:dyDescent="0.2">
      <c r="A273" s="1">
        <v>2014</v>
      </c>
      <c r="B273" s="1">
        <v>4</v>
      </c>
      <c r="C273" s="4" t="str">
        <f t="shared" si="4"/>
        <v>2014M4</v>
      </c>
      <c r="E273" s="41">
        <v>4.2976190476190466</v>
      </c>
      <c r="F273" s="41">
        <v>4.408095238095239</v>
      </c>
      <c r="G273" s="41">
        <v>4.8480952380952385</v>
      </c>
      <c r="H273" s="42">
        <v>5.9354218299758328</v>
      </c>
      <c r="I273" s="41">
        <v>6.9805830749418556</v>
      </c>
      <c r="J273" s="41">
        <v>17.632914835071634</v>
      </c>
    </row>
    <row r="274" spans="1:10" x14ac:dyDescent="0.2">
      <c r="A274" s="1">
        <v>2014</v>
      </c>
      <c r="B274" s="1">
        <v>5</v>
      </c>
      <c r="C274" s="4" t="str">
        <f t="shared" si="4"/>
        <v>2014M5</v>
      </c>
      <c r="E274" s="41">
        <v>4.159523809523809</v>
      </c>
      <c r="F274" s="41">
        <v>4.2557142857142871</v>
      </c>
      <c r="G274" s="41">
        <v>4.6880952380952392</v>
      </c>
      <c r="H274" s="42">
        <v>5.7395371688549339</v>
      </c>
      <c r="I274" s="41">
        <v>6.8817631044854721</v>
      </c>
      <c r="J274" s="41">
        <v>14.974216622902464</v>
      </c>
    </row>
    <row r="275" spans="1:10" x14ac:dyDescent="0.2">
      <c r="A275" s="1">
        <v>2014</v>
      </c>
      <c r="B275" s="1">
        <v>6</v>
      </c>
      <c r="C275" s="4" t="str">
        <f t="shared" si="4"/>
        <v>2014M6</v>
      </c>
      <c r="E275" s="41">
        <v>4.2299999999999995</v>
      </c>
      <c r="F275" s="41">
        <v>4.2938095238095233</v>
      </c>
      <c r="G275" s="41">
        <v>4.7261904761904754</v>
      </c>
      <c r="H275" s="42">
        <v>5.7861763738837171</v>
      </c>
      <c r="I275" s="41">
        <v>6.8035722909770886</v>
      </c>
      <c r="J275" s="41">
        <v>16.14134926917631</v>
      </c>
    </row>
    <row r="276" spans="1:10" x14ac:dyDescent="0.2">
      <c r="A276" s="1">
        <v>2014</v>
      </c>
      <c r="B276" s="1">
        <v>7</v>
      </c>
      <c r="C276" s="4" t="str">
        <f t="shared" si="4"/>
        <v>2014M7</v>
      </c>
      <c r="E276" s="41">
        <v>4.1590909090909092</v>
      </c>
      <c r="F276" s="41">
        <v>4.2263636363636357</v>
      </c>
      <c r="G276" s="41">
        <v>4.6627272727272722</v>
      </c>
      <c r="H276" s="42">
        <v>5.7084796982334902</v>
      </c>
      <c r="I276" s="41">
        <v>6.807061553863365</v>
      </c>
      <c r="J276" s="41">
        <v>16.554432478524976</v>
      </c>
    </row>
    <row r="277" spans="1:10" x14ac:dyDescent="0.2">
      <c r="A277" s="1">
        <v>2014</v>
      </c>
      <c r="B277" s="1">
        <v>8</v>
      </c>
      <c r="C277" s="4" t="str">
        <f t="shared" si="4"/>
        <v>2014M8</v>
      </c>
      <c r="E277" s="41">
        <v>4.0699999999999994</v>
      </c>
      <c r="F277" s="41">
        <v>4.1309523809523805</v>
      </c>
      <c r="G277" s="41">
        <v>4.6542857142857148</v>
      </c>
      <c r="H277" s="42">
        <v>5.6981448743918861</v>
      </c>
      <c r="I277" s="41">
        <v>6.8387940396725106</v>
      </c>
      <c r="J277" s="41">
        <v>18.784067251717765</v>
      </c>
    </row>
    <row r="278" spans="1:10" x14ac:dyDescent="0.2">
      <c r="A278" s="1">
        <v>2014</v>
      </c>
      <c r="B278" s="1">
        <v>9</v>
      </c>
      <c r="C278" s="4" t="str">
        <f t="shared" si="4"/>
        <v>2014M9</v>
      </c>
      <c r="E278" s="41">
        <v>4.1766666666666667</v>
      </c>
      <c r="F278" s="41">
        <v>4.2376190476190487</v>
      </c>
      <c r="G278" s="41">
        <v>4.7857142857142865</v>
      </c>
      <c r="H278" s="42">
        <v>5.8590501317411965</v>
      </c>
      <c r="I278" s="41">
        <v>6.8844189044481512</v>
      </c>
      <c r="J278" s="41">
        <v>19.314638921532229</v>
      </c>
    </row>
    <row r="279" spans="1:10" x14ac:dyDescent="0.2">
      <c r="A279" s="1">
        <v>2014</v>
      </c>
      <c r="B279" s="1">
        <v>10</v>
      </c>
      <c r="C279" s="4" t="str">
        <f t="shared" si="4"/>
        <v>2014M10</v>
      </c>
      <c r="E279" s="41">
        <v>3.9781818181818185</v>
      </c>
      <c r="F279" s="41">
        <v>4.0595454545454537</v>
      </c>
      <c r="G279" s="41">
        <v>4.6695454545454531</v>
      </c>
      <c r="H279" s="42">
        <v>5.7168270559517094</v>
      </c>
      <c r="I279" s="41">
        <v>6.9598709325505475</v>
      </c>
      <c r="J279" s="41">
        <v>21.747212328167205</v>
      </c>
    </row>
    <row r="280" spans="1:10" x14ac:dyDescent="0.2">
      <c r="A280" s="1">
        <v>2014</v>
      </c>
      <c r="B280" s="1">
        <v>11</v>
      </c>
      <c r="C280" s="4" t="str">
        <f t="shared" si="4"/>
        <v>2014M11</v>
      </c>
      <c r="E280" s="41">
        <v>4.0326315789473677</v>
      </c>
      <c r="F280" s="41">
        <v>4.09</v>
      </c>
      <c r="G280" s="41">
        <v>4.7473684210526308</v>
      </c>
      <c r="H280" s="42">
        <v>5.81210408983722</v>
      </c>
      <c r="I280" s="41">
        <v>6.9631324956250618</v>
      </c>
      <c r="J280" s="41">
        <v>24.16865732722535</v>
      </c>
    </row>
    <row r="281" spans="1:10" x14ac:dyDescent="0.2">
      <c r="A281" s="1">
        <v>2014</v>
      </c>
      <c r="B281" s="1">
        <v>12</v>
      </c>
      <c r="C281" s="4" t="str">
        <f t="shared" si="4"/>
        <v>2014M12</v>
      </c>
      <c r="E281" s="41">
        <v>3.8981818181818189</v>
      </c>
      <c r="F281" s="41">
        <v>3.9459090909090908</v>
      </c>
      <c r="G281" s="41">
        <v>4.6968181818181822</v>
      </c>
      <c r="H281" s="42">
        <v>5.7502164868245922</v>
      </c>
      <c r="I281" s="41">
        <v>7.1773935654226833</v>
      </c>
      <c r="J281" s="41">
        <v>22.823723031049106</v>
      </c>
    </row>
    <row r="282" spans="1:10" x14ac:dyDescent="0.2">
      <c r="A282" s="1">
        <v>2015</v>
      </c>
      <c r="B282" s="1">
        <v>1</v>
      </c>
      <c r="C282" s="4" t="str">
        <f t="shared" si="4"/>
        <v>2015M1</v>
      </c>
      <c r="E282" s="41">
        <v>3.5220000000000007</v>
      </c>
      <c r="F282" s="41">
        <v>3.5800000000000005</v>
      </c>
      <c r="G282" s="41">
        <v>4.3935000000000004</v>
      </c>
      <c r="H282" s="42">
        <v>5.378870366466705</v>
      </c>
      <c r="I282" s="41">
        <v>7.1699080477091366</v>
      </c>
      <c r="J282" s="41">
        <v>17.703210933536067</v>
      </c>
    </row>
    <row r="283" spans="1:10" x14ac:dyDescent="0.2">
      <c r="A283" s="1">
        <v>2015</v>
      </c>
      <c r="B283" s="1">
        <v>2</v>
      </c>
      <c r="C283" s="4" t="str">
        <f t="shared" si="4"/>
        <v>2015M2</v>
      </c>
      <c r="E283" s="41">
        <v>3.6247368421052628</v>
      </c>
      <c r="F283" s="41">
        <v>3.6721052631578943</v>
      </c>
      <c r="G283" s="41">
        <v>4.438421052631579</v>
      </c>
      <c r="H283" s="42">
        <v>5.4338662737912733</v>
      </c>
      <c r="I283" s="41">
        <v>7.0326800680119677</v>
      </c>
      <c r="J283" s="41">
        <v>15.165107602605296</v>
      </c>
    </row>
    <row r="284" spans="1:10" x14ac:dyDescent="0.2">
      <c r="A284" s="1">
        <v>2015</v>
      </c>
      <c r="B284" s="1">
        <v>3</v>
      </c>
      <c r="C284" s="4" t="str">
        <f t="shared" si="4"/>
        <v>2015M3</v>
      </c>
      <c r="E284" s="41">
        <v>3.6704545454545454</v>
      </c>
      <c r="F284" s="41">
        <v>3.7445454545454542</v>
      </c>
      <c r="G284" s="41">
        <v>4.5109090909090916</v>
      </c>
      <c r="H284" s="42">
        <v>5.522611866374457</v>
      </c>
      <c r="I284" s="41">
        <v>7.0262837733147609</v>
      </c>
      <c r="J284" s="41">
        <v>17.564204615659484</v>
      </c>
    </row>
    <row r="285" spans="1:10" x14ac:dyDescent="0.2">
      <c r="A285" s="1">
        <v>2015</v>
      </c>
      <c r="B285" s="1">
        <v>4</v>
      </c>
      <c r="C285" s="4" t="str">
        <f t="shared" si="4"/>
        <v>2015M4</v>
      </c>
      <c r="E285" s="41">
        <v>3.6309090909090909</v>
      </c>
      <c r="F285" s="41">
        <v>3.7504545454545455</v>
      </c>
      <c r="G285" s="41">
        <v>4.5104545454545457</v>
      </c>
      <c r="H285" s="42">
        <v>5.5220553758599085</v>
      </c>
      <c r="I285" s="41">
        <v>6.9409461763124503</v>
      </c>
      <c r="J285" s="41">
        <v>20.879482515515317</v>
      </c>
    </row>
    <row r="286" spans="1:10" x14ac:dyDescent="0.2">
      <c r="A286" s="1">
        <v>2015</v>
      </c>
      <c r="B286" s="1">
        <v>5</v>
      </c>
      <c r="C286" s="4" t="str">
        <f t="shared" si="4"/>
        <v>2015M5</v>
      </c>
      <c r="E286" s="41">
        <v>4.0490000000000004</v>
      </c>
      <c r="F286" s="41">
        <v>4.1715</v>
      </c>
      <c r="G286" s="41">
        <v>4.9069999999999991</v>
      </c>
      <c r="H286" s="42">
        <v>6.0075377007515911</v>
      </c>
      <c r="I286" s="41">
        <v>6.8859833923668958</v>
      </c>
      <c r="J286" s="41">
        <v>20.270474486814678</v>
      </c>
    </row>
    <row r="287" spans="1:10" x14ac:dyDescent="0.2">
      <c r="A287" s="1">
        <v>2015</v>
      </c>
      <c r="B287" s="1">
        <v>6</v>
      </c>
      <c r="C287" s="4" t="str">
        <f t="shared" si="4"/>
        <v>2015M6</v>
      </c>
      <c r="E287" s="41">
        <v>4.2854545454545452</v>
      </c>
      <c r="F287" s="41">
        <v>4.3890909090909087</v>
      </c>
      <c r="G287" s="41">
        <v>5.125454545454545</v>
      </c>
      <c r="H287" s="42">
        <v>6.2749870420433655</v>
      </c>
      <c r="I287" s="41">
        <v>6.9099110897918408</v>
      </c>
      <c r="J287" s="41">
        <v>21.434816233956653</v>
      </c>
    </row>
    <row r="288" spans="1:10" x14ac:dyDescent="0.2">
      <c r="A288" s="1">
        <v>2015</v>
      </c>
      <c r="B288" s="1">
        <v>7</v>
      </c>
      <c r="C288" s="4" t="str">
        <f t="shared" si="4"/>
        <v>2015M7</v>
      </c>
      <c r="E288" s="41">
        <v>4.2718181818181824</v>
      </c>
      <c r="F288" s="41">
        <v>4.3977272727272725</v>
      </c>
      <c r="G288" s="41">
        <v>5.2218181818181826</v>
      </c>
      <c r="H288" s="42">
        <v>6.3929630311275449</v>
      </c>
      <c r="I288" s="41">
        <v>6.9921647520646282</v>
      </c>
      <c r="J288" s="41">
        <v>27.086128849351869</v>
      </c>
    </row>
    <row r="289" spans="1:10" x14ac:dyDescent="0.2">
      <c r="A289" s="1">
        <v>2015</v>
      </c>
      <c r="B289" s="1">
        <v>8</v>
      </c>
      <c r="C289" s="4" t="str">
        <f t="shared" si="4"/>
        <v>2015M8</v>
      </c>
      <c r="E289" s="41">
        <v>4.1338095238095232</v>
      </c>
      <c r="F289" s="41">
        <v>4.2476190476190467</v>
      </c>
      <c r="G289" s="41">
        <v>5.225714285714286</v>
      </c>
      <c r="H289" s="42">
        <v>6.3977329498236699</v>
      </c>
      <c r="I289" s="41">
        <v>7.1376644449482551</v>
      </c>
      <c r="J289" s="41">
        <v>21.24434380641976</v>
      </c>
    </row>
    <row r="290" spans="1:10" x14ac:dyDescent="0.2">
      <c r="A290" s="1">
        <v>2015</v>
      </c>
      <c r="B290" s="1">
        <v>9</v>
      </c>
      <c r="C290" s="4" t="str">
        <f t="shared" si="4"/>
        <v>2015M9</v>
      </c>
      <c r="E290" s="41">
        <v>4.2452380952380953</v>
      </c>
      <c r="F290" s="41">
        <v>4.3866666666666658</v>
      </c>
      <c r="G290" s="41">
        <v>5.4214285714285708</v>
      </c>
      <c r="H290" s="42">
        <v>6.6373418656590557</v>
      </c>
      <c r="I290" s="41">
        <v>7.2066368980410145</v>
      </c>
      <c r="J290" s="41">
        <v>22.073487250095695</v>
      </c>
    </row>
    <row r="291" spans="1:10" x14ac:dyDescent="0.2">
      <c r="A291" s="1">
        <v>2015</v>
      </c>
      <c r="B291" s="1">
        <v>10</v>
      </c>
      <c r="C291" s="4" t="str">
        <f t="shared" si="4"/>
        <v>2015M10</v>
      </c>
      <c r="E291" s="41">
        <v>4.1252380952380943</v>
      </c>
      <c r="F291" s="41">
        <v>4.2919047619047621</v>
      </c>
      <c r="G291" s="41">
        <v>5.4661904761904756</v>
      </c>
      <c r="H291" s="42">
        <v>6.6921429315678784</v>
      </c>
      <c r="I291" s="41">
        <v>7.260087990573548</v>
      </c>
      <c r="J291" s="41">
        <v>24.610036702055204</v>
      </c>
    </row>
    <row r="292" spans="1:10" x14ac:dyDescent="0.2">
      <c r="A292" s="1">
        <v>2015</v>
      </c>
      <c r="B292" s="1">
        <v>11</v>
      </c>
      <c r="C292" s="4" t="str">
        <f t="shared" si="4"/>
        <v>2015M11</v>
      </c>
      <c r="E292" s="41">
        <v>4.2178947368421049</v>
      </c>
      <c r="F292" s="41">
        <v>4.403157894736843</v>
      </c>
      <c r="G292" s="41">
        <v>5.569473684210525</v>
      </c>
      <c r="H292" s="42">
        <v>6.8185904078334207</v>
      </c>
      <c r="I292" s="41">
        <v>7.2772936214957689</v>
      </c>
      <c r="J292" s="41">
        <v>25.713262019415961</v>
      </c>
    </row>
    <row r="293" spans="1:10" x14ac:dyDescent="0.2">
      <c r="A293" s="1">
        <v>2015</v>
      </c>
      <c r="B293" s="1">
        <v>12</v>
      </c>
      <c r="C293" s="4" t="str">
        <f t="shared" si="4"/>
        <v>2015M12</v>
      </c>
      <c r="E293" s="41">
        <v>4.1577272727272723</v>
      </c>
      <c r="F293" s="41">
        <v>4.3536363636363635</v>
      </c>
      <c r="G293" s="41">
        <v>5.5500000000000007</v>
      </c>
      <c r="H293" s="42">
        <v>6.7947491826312083</v>
      </c>
      <c r="I293" s="41">
        <v>7.4825073730136786</v>
      </c>
      <c r="J293" s="41">
        <v>31.257324862052865</v>
      </c>
    </row>
    <row r="294" spans="1:10" x14ac:dyDescent="0.2">
      <c r="A294" s="1">
        <v>2016</v>
      </c>
      <c r="B294" s="1">
        <v>1</v>
      </c>
      <c r="C294" s="4" t="str">
        <f t="shared" si="4"/>
        <v>2016M1</v>
      </c>
      <c r="E294" s="41">
        <v>4.0900000000000007</v>
      </c>
      <c r="F294" s="41">
        <v>4.2689473684210517</v>
      </c>
      <c r="G294" s="41">
        <v>5.4889473684210541</v>
      </c>
      <c r="H294" s="42">
        <v>6.720003719835077</v>
      </c>
      <c r="I294" s="41">
        <v>7.6459125928068969</v>
      </c>
      <c r="J294" s="41">
        <v>30.007212456959039</v>
      </c>
    </row>
    <row r="295" spans="1:10" x14ac:dyDescent="0.2">
      <c r="A295" s="1">
        <v>2016</v>
      </c>
      <c r="B295" s="1">
        <v>2</v>
      </c>
      <c r="C295" s="4" t="str">
        <f t="shared" si="4"/>
        <v>2016M2</v>
      </c>
      <c r="E295" s="41">
        <v>3.9389999999999992</v>
      </c>
      <c r="F295" s="41">
        <v>4.1084999999999994</v>
      </c>
      <c r="G295" s="41">
        <v>5.2785000000000002</v>
      </c>
      <c r="H295" s="42">
        <v>6.4623573982916813</v>
      </c>
      <c r="I295" s="41">
        <v>7.7049540869481241</v>
      </c>
      <c r="J295" s="41">
        <v>39.971553613469659</v>
      </c>
    </row>
    <row r="296" spans="1:10" x14ac:dyDescent="0.2">
      <c r="A296" s="1">
        <v>2016</v>
      </c>
      <c r="B296" s="1">
        <v>3</v>
      </c>
      <c r="C296" s="4" t="str">
        <f t="shared" si="4"/>
        <v>2016M3</v>
      </c>
      <c r="E296" s="41">
        <v>3.9299999999999997</v>
      </c>
      <c r="F296" s="41">
        <v>4.1577272727272723</v>
      </c>
      <c r="G296" s="41">
        <v>5.1231818181818181</v>
      </c>
      <c r="H296" s="42">
        <v>6.2722045894706255</v>
      </c>
      <c r="I296" s="41">
        <v>7.2192726864998544</v>
      </c>
      <c r="J296" s="41">
        <v>29.064342417946825</v>
      </c>
    </row>
    <row r="297" spans="1:10" x14ac:dyDescent="0.2">
      <c r="A297" s="1">
        <v>2016</v>
      </c>
      <c r="B297" s="1">
        <v>4</v>
      </c>
      <c r="C297" s="4" t="str">
        <f t="shared" si="4"/>
        <v>2016M4</v>
      </c>
      <c r="E297" s="41">
        <v>3.7385714285714289</v>
      </c>
      <c r="F297" s="41">
        <v>3.9980952380952379</v>
      </c>
      <c r="G297" s="41">
        <v>4.7452380952380953</v>
      </c>
      <c r="H297" s="42">
        <v>5.8094959763981109</v>
      </c>
      <c r="I297" s="41">
        <v>7.0313243006280395</v>
      </c>
      <c r="J297" s="41">
        <v>20.652721669299272</v>
      </c>
    </row>
    <row r="298" spans="1:10" x14ac:dyDescent="0.2">
      <c r="A298" s="1">
        <v>2016</v>
      </c>
      <c r="B298" s="1">
        <v>5</v>
      </c>
      <c r="C298" s="4" t="str">
        <f t="shared" si="4"/>
        <v>2016M5</v>
      </c>
      <c r="E298" s="41">
        <v>3.6547619047619042</v>
      </c>
      <c r="F298" s="41">
        <v>3.9257142857142857</v>
      </c>
      <c r="G298" s="41">
        <v>4.5966666666666658</v>
      </c>
      <c r="H298" s="42">
        <v>5.6276030767858458</v>
      </c>
      <c r="I298" s="41">
        <v>6.9910922954481158</v>
      </c>
      <c r="J298" s="41">
        <v>17.025030213920108</v>
      </c>
    </row>
    <row r="299" spans="1:10" x14ac:dyDescent="0.2">
      <c r="A299" s="1">
        <v>2016</v>
      </c>
      <c r="B299" s="1">
        <v>6</v>
      </c>
      <c r="C299" s="4" t="str">
        <f t="shared" si="4"/>
        <v>2016M6</v>
      </c>
      <c r="E299" s="41">
        <v>3.5568181818181825</v>
      </c>
      <c r="F299" s="41">
        <v>3.7759090909090918</v>
      </c>
      <c r="G299" s="41">
        <v>4.4654545454545458</v>
      </c>
      <c r="H299" s="42">
        <v>5.466962814919655</v>
      </c>
      <c r="I299" s="41">
        <v>6.9456238339984226</v>
      </c>
      <c r="J299" s="41">
        <v>15.320591214201576</v>
      </c>
    </row>
    <row r="300" spans="1:10" x14ac:dyDescent="0.2">
      <c r="A300" s="1">
        <v>2016</v>
      </c>
      <c r="B300" s="1">
        <v>7</v>
      </c>
      <c r="C300" s="4" t="str">
        <f t="shared" si="4"/>
        <v>2016M7</v>
      </c>
      <c r="E300" s="41">
        <v>3.3590000000000004</v>
      </c>
      <c r="F300" s="41">
        <v>3.5729999999999995</v>
      </c>
      <c r="G300" s="41">
        <v>4.1589999999999998</v>
      </c>
      <c r="H300" s="42">
        <v>5.0917769100113857</v>
      </c>
      <c r="I300" s="41">
        <v>6.8029474756244728</v>
      </c>
      <c r="J300" s="41">
        <v>14.838287597224948</v>
      </c>
    </row>
    <row r="301" spans="1:10" x14ac:dyDescent="0.2">
      <c r="A301" s="1">
        <v>2016</v>
      </c>
      <c r="B301" s="1">
        <v>8</v>
      </c>
      <c r="C301" s="4" t="str">
        <f t="shared" si="4"/>
        <v>2016M8</v>
      </c>
      <c r="E301" s="41">
        <v>3.390869565217391</v>
      </c>
      <c r="F301" s="41">
        <v>3.5852173913043477</v>
      </c>
      <c r="G301" s="41">
        <v>4.2030434782608692</v>
      </c>
      <c r="H301" s="42">
        <v>5.1456984213471113</v>
      </c>
      <c r="I301" s="41">
        <v>6.6963986171565324</v>
      </c>
      <c r="J301" s="41">
        <v>13.955723623837169</v>
      </c>
    </row>
    <row r="302" spans="1:10" x14ac:dyDescent="0.2">
      <c r="A302" s="1">
        <v>2016</v>
      </c>
      <c r="B302" s="1">
        <v>9</v>
      </c>
      <c r="C302" s="4" t="str">
        <f t="shared" si="4"/>
        <v>2016M9</v>
      </c>
      <c r="E302" s="41">
        <v>3.4671428571428566</v>
      </c>
      <c r="F302" s="41">
        <v>3.6590476190476187</v>
      </c>
      <c r="G302" s="41">
        <v>4.2695238095238102</v>
      </c>
      <c r="H302" s="42">
        <v>5.2270889036011514</v>
      </c>
      <c r="I302" s="41">
        <v>6.6554125534600423</v>
      </c>
      <c r="J302" s="41">
        <v>14.221426450665891</v>
      </c>
    </row>
    <row r="303" spans="1:10" x14ac:dyDescent="0.2">
      <c r="A303" s="1">
        <v>2016</v>
      </c>
      <c r="B303" s="1">
        <v>10</v>
      </c>
      <c r="C303" s="4" t="str">
        <f t="shared" si="4"/>
        <v>2016M10</v>
      </c>
      <c r="E303" s="41">
        <v>3.5905000000000009</v>
      </c>
      <c r="F303" s="41">
        <v>3.7734999999999999</v>
      </c>
      <c r="G303" s="41">
        <v>4.3435000000000006</v>
      </c>
      <c r="H303" s="42">
        <v>5.3176564098664239</v>
      </c>
      <c r="I303" s="41">
        <v>6.6058539539608914</v>
      </c>
      <c r="J303" s="41">
        <v>13.808184497129741</v>
      </c>
    </row>
    <row r="304" spans="1:10" x14ac:dyDescent="0.2">
      <c r="A304" s="1">
        <v>2016</v>
      </c>
      <c r="B304" s="1">
        <v>11</v>
      </c>
      <c r="C304" s="4" t="str">
        <f t="shared" si="4"/>
        <v>2016M11</v>
      </c>
      <c r="E304" s="41">
        <v>3.9089999999999989</v>
      </c>
      <c r="F304" s="41">
        <v>4.077</v>
      </c>
      <c r="G304" s="41">
        <v>4.6368421052631579</v>
      </c>
      <c r="H304" s="42">
        <v>5.6767890278787041</v>
      </c>
      <c r="I304" s="41">
        <v>6.6879127564704195</v>
      </c>
      <c r="J304" s="41">
        <v>13.926784413733733</v>
      </c>
    </row>
    <row r="305" spans="1:10" x14ac:dyDescent="0.2">
      <c r="A305" s="1">
        <v>2016</v>
      </c>
      <c r="B305" s="1">
        <v>12</v>
      </c>
      <c r="C305" s="4" t="str">
        <f t="shared" si="4"/>
        <v>2016M12</v>
      </c>
      <c r="E305" s="41">
        <v>4.1090476190476188</v>
      </c>
      <c r="F305" s="41">
        <v>4.2728571428571422</v>
      </c>
      <c r="G305" s="41">
        <v>4.7938095238095242</v>
      </c>
      <c r="H305" s="42">
        <v>5.8689609628098136</v>
      </c>
      <c r="I305" s="41">
        <v>6.5795509720185938</v>
      </c>
      <c r="J305" s="41">
        <v>12.902419583185566</v>
      </c>
    </row>
    <row r="306" spans="1:10" x14ac:dyDescent="0.2">
      <c r="A306" s="1">
        <v>2017</v>
      </c>
      <c r="B306" s="1">
        <v>1</v>
      </c>
      <c r="C306" s="4" t="str">
        <f t="shared" si="4"/>
        <v>2017M1</v>
      </c>
      <c r="E306" s="41">
        <v>3.9574999999999996</v>
      </c>
      <c r="F306" s="41">
        <v>4.1399999999999988</v>
      </c>
      <c r="G306" s="41">
        <v>4.6190000000000007</v>
      </c>
      <c r="H306" s="42">
        <v>5.6549453107339733</v>
      </c>
      <c r="I306" s="41">
        <v>6.5062984961252361</v>
      </c>
      <c r="J306" s="41">
        <v>11.772595908795809</v>
      </c>
    </row>
    <row r="307" spans="1:10" x14ac:dyDescent="0.2">
      <c r="A307" s="1">
        <v>2017</v>
      </c>
      <c r="B307" s="1">
        <v>2</v>
      </c>
      <c r="C307" s="4" t="str">
        <f t="shared" si="4"/>
        <v>2017M2</v>
      </c>
      <c r="E307" s="41">
        <v>3.9905263157894741</v>
      </c>
      <c r="F307" s="41">
        <v>4.1778947368421049</v>
      </c>
      <c r="G307" s="41">
        <v>4.5763157894736839</v>
      </c>
      <c r="H307" s="42">
        <v>5.6026879225204693</v>
      </c>
      <c r="I307" s="41">
        <v>6.477607286484095</v>
      </c>
      <c r="J307" s="41">
        <v>11.770014456246374</v>
      </c>
    </row>
    <row r="308" spans="1:10" x14ac:dyDescent="0.2">
      <c r="A308" s="1">
        <v>2017</v>
      </c>
      <c r="B308" s="1">
        <v>3</v>
      </c>
      <c r="C308" s="4" t="str">
        <f t="shared" si="4"/>
        <v>2017M3</v>
      </c>
      <c r="E308" s="41">
        <v>4.0413043478260864</v>
      </c>
      <c r="F308" s="41">
        <v>4.2282608695652177</v>
      </c>
      <c r="G308" s="41">
        <v>4.6160869565217393</v>
      </c>
      <c r="H308" s="42">
        <v>5.6513789323929133</v>
      </c>
      <c r="I308" s="41">
        <v>6.5989135798770953</v>
      </c>
      <c r="J308" s="41">
        <v>10.418280626438127</v>
      </c>
    </row>
    <row r="309" spans="1:10" x14ac:dyDescent="0.2">
      <c r="A309" s="1">
        <v>2017</v>
      </c>
      <c r="B309" s="1">
        <v>4</v>
      </c>
      <c r="C309" s="4" t="str">
        <f t="shared" si="4"/>
        <v>2017M4</v>
      </c>
      <c r="E309" s="41">
        <v>3.9284210526315797</v>
      </c>
      <c r="F309" s="41">
        <v>4.1184210526315796</v>
      </c>
      <c r="G309" s="41">
        <v>4.5121052631578946</v>
      </c>
      <c r="H309" s="42">
        <v>5.5240763150969503</v>
      </c>
      <c r="I309" s="41">
        <v>6.5780736673641442</v>
      </c>
      <c r="J309" s="41">
        <v>10.570215697975383</v>
      </c>
    </row>
    <row r="310" spans="1:10" x14ac:dyDescent="0.2">
      <c r="A310" s="1">
        <v>2017</v>
      </c>
      <c r="B310" s="1">
        <v>5</v>
      </c>
      <c r="C310" s="4" t="str">
        <f t="shared" si="4"/>
        <v>2017M5</v>
      </c>
      <c r="E310" s="41">
        <v>3.9371428571428568</v>
      </c>
      <c r="F310" s="41">
        <v>4.125238095238096</v>
      </c>
      <c r="G310" s="41">
        <v>4.5004761904761903</v>
      </c>
      <c r="H310" s="42">
        <v>5.5098390840881635</v>
      </c>
      <c r="I310" s="41">
        <v>6.5293524957093378</v>
      </c>
      <c r="J310" s="41">
        <v>10.849404135636901</v>
      </c>
    </row>
    <row r="311" spans="1:10" x14ac:dyDescent="0.2">
      <c r="A311" s="1">
        <v>2017</v>
      </c>
      <c r="B311" s="1">
        <v>6</v>
      </c>
      <c r="C311" s="4" t="str">
        <f t="shared" si="4"/>
        <v>2017M6</v>
      </c>
      <c r="E311" s="41">
        <v>3.85</v>
      </c>
      <c r="F311" s="41">
        <v>4.0199999999999996</v>
      </c>
      <c r="G311" s="41">
        <v>4.4000000000000004</v>
      </c>
      <c r="H311" s="42">
        <v>5.3868281808247414</v>
      </c>
      <c r="I311" s="41">
        <v>6.4883268482490282</v>
      </c>
      <c r="J311" s="41">
        <v>11.112581029236672</v>
      </c>
    </row>
    <row r="312" spans="1:10" x14ac:dyDescent="0.2">
      <c r="H312" s="43"/>
    </row>
    <row r="313" spans="1:10" x14ac:dyDescent="0.2">
      <c r="H313" s="43"/>
    </row>
    <row r="314" spans="1:10" x14ac:dyDescent="0.2">
      <c r="H314" s="43"/>
    </row>
    <row r="315" spans="1:10" x14ac:dyDescent="0.2">
      <c r="H315" s="43"/>
    </row>
    <row r="316" spans="1:10" x14ac:dyDescent="0.2">
      <c r="H316" s="43"/>
    </row>
    <row r="317" spans="1:10" x14ac:dyDescent="0.2">
      <c r="H317" s="43"/>
    </row>
    <row r="318" spans="1:10" x14ac:dyDescent="0.2">
      <c r="H318" s="43"/>
    </row>
    <row r="319" spans="1:10" x14ac:dyDescent="0.2">
      <c r="H319" s="43"/>
    </row>
    <row r="320" spans="1:10" x14ac:dyDescent="0.2">
      <c r="H320" s="43"/>
    </row>
    <row r="321" spans="8:8" x14ac:dyDescent="0.2">
      <c r="H321" s="43"/>
    </row>
    <row r="322" spans="8:8" x14ac:dyDescent="0.2">
      <c r="H322" s="43"/>
    </row>
  </sheetData>
  <pageMargins left="0.7" right="0.7" top="0.75" bottom="0.75" header="0.3" footer="0.3"/>
  <pageSetup scale="6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M1340"/>
  <sheetViews>
    <sheetView view="pageBreakPreview" topLeftCell="A1211" zoomScale="60" zoomScaleNormal="100" workbookViewId="0">
      <selection activeCell="A1250" sqref="A1250"/>
    </sheetView>
  </sheetViews>
  <sheetFormatPr defaultRowHeight="15" x14ac:dyDescent="0.25"/>
  <cols>
    <col min="1" max="1" width="12.28515625" customWidth="1"/>
    <col min="2" max="2" width="15" customWidth="1"/>
    <col min="3" max="3" width="11.140625" customWidth="1"/>
    <col min="8" max="8" width="13.140625" customWidth="1"/>
  </cols>
  <sheetData>
    <row r="1" spans="1:13" x14ac:dyDescent="0.25">
      <c r="A1" t="s">
        <v>135</v>
      </c>
    </row>
    <row r="2" spans="1:13" x14ac:dyDescent="0.25">
      <c r="A2" t="s">
        <v>98</v>
      </c>
    </row>
    <row r="3" spans="1:13" x14ac:dyDescent="0.25">
      <c r="A3" t="s">
        <v>99</v>
      </c>
    </row>
    <row r="4" spans="1:13" x14ac:dyDescent="0.25">
      <c r="A4" t="s">
        <v>100</v>
      </c>
    </row>
    <row r="5" spans="1:13" x14ac:dyDescent="0.25">
      <c r="A5" t="s">
        <v>101</v>
      </c>
      <c r="C5" t="s">
        <v>102</v>
      </c>
    </row>
    <row r="6" spans="1:13" x14ac:dyDescent="0.25">
      <c r="A6" t="s">
        <v>103</v>
      </c>
      <c r="C6" t="s">
        <v>104</v>
      </c>
    </row>
    <row r="7" spans="1:13" x14ac:dyDescent="0.25">
      <c r="A7" s="56">
        <v>5115</v>
      </c>
      <c r="B7" s="61">
        <f>YEAR(A7)</f>
        <v>1914</v>
      </c>
      <c r="C7">
        <v>6</v>
      </c>
    </row>
    <row r="8" spans="1:13" ht="15.75" x14ac:dyDescent="0.25">
      <c r="A8" s="56">
        <v>5146</v>
      </c>
      <c r="B8" s="61">
        <f t="shared" ref="B8:B71" si="0">YEAR(A8)</f>
        <v>1914</v>
      </c>
      <c r="C8">
        <v>6</v>
      </c>
      <c r="M8" s="81"/>
    </row>
    <row r="9" spans="1:13" x14ac:dyDescent="0.25">
      <c r="A9" s="56">
        <v>5174</v>
      </c>
      <c r="B9" s="61">
        <f t="shared" si="0"/>
        <v>1914</v>
      </c>
      <c r="C9">
        <v>6</v>
      </c>
    </row>
    <row r="10" spans="1:13" x14ac:dyDescent="0.25">
      <c r="A10" s="56">
        <v>5205</v>
      </c>
      <c r="B10" s="61">
        <f t="shared" si="0"/>
        <v>1914</v>
      </c>
      <c r="C10">
        <v>6</v>
      </c>
    </row>
    <row r="11" spans="1:13" x14ac:dyDescent="0.25">
      <c r="A11" s="56">
        <v>5235</v>
      </c>
      <c r="B11" s="61">
        <f t="shared" si="0"/>
        <v>1914</v>
      </c>
      <c r="C11">
        <v>5.9</v>
      </c>
    </row>
    <row r="12" spans="1:13" x14ac:dyDescent="0.25">
      <c r="A12" s="56">
        <v>5266</v>
      </c>
      <c r="B12" s="61">
        <f t="shared" si="0"/>
        <v>1914</v>
      </c>
      <c r="C12">
        <v>6</v>
      </c>
    </row>
    <row r="13" spans="1:13" x14ac:dyDescent="0.25">
      <c r="A13" s="56">
        <v>5296</v>
      </c>
      <c r="B13" s="61">
        <f t="shared" si="0"/>
        <v>1914</v>
      </c>
      <c r="C13">
        <v>5.9</v>
      </c>
    </row>
    <row r="14" spans="1:13" x14ac:dyDescent="0.25">
      <c r="A14" s="56">
        <v>5327</v>
      </c>
      <c r="B14" s="61">
        <f t="shared" si="0"/>
        <v>1914</v>
      </c>
      <c r="C14">
        <v>6</v>
      </c>
    </row>
    <row r="15" spans="1:13" x14ac:dyDescent="0.25">
      <c r="A15" s="56">
        <v>5358</v>
      </c>
      <c r="B15" s="61">
        <f t="shared" si="0"/>
        <v>1914</v>
      </c>
      <c r="C15">
        <v>6</v>
      </c>
    </row>
    <row r="16" spans="1:13" x14ac:dyDescent="0.25">
      <c r="A16" s="56">
        <v>5388</v>
      </c>
      <c r="B16" s="61">
        <f t="shared" si="0"/>
        <v>1914</v>
      </c>
      <c r="C16">
        <v>6.1</v>
      </c>
    </row>
    <row r="17" spans="1:3" x14ac:dyDescent="0.25">
      <c r="A17" s="56">
        <v>5419</v>
      </c>
      <c r="B17" s="61">
        <f t="shared" si="0"/>
        <v>1914</v>
      </c>
      <c r="C17">
        <v>6.1</v>
      </c>
    </row>
    <row r="18" spans="1:3" x14ac:dyDescent="0.25">
      <c r="A18" s="56">
        <v>5449</v>
      </c>
      <c r="B18" s="61">
        <f t="shared" si="0"/>
        <v>1914</v>
      </c>
      <c r="C18">
        <v>6.1</v>
      </c>
    </row>
    <row r="19" spans="1:3" x14ac:dyDescent="0.25">
      <c r="A19" s="56">
        <v>5480</v>
      </c>
      <c r="B19" s="61">
        <f t="shared" si="0"/>
        <v>1915</v>
      </c>
      <c r="C19">
        <v>6.1</v>
      </c>
    </row>
    <row r="20" spans="1:3" x14ac:dyDescent="0.25">
      <c r="A20" s="56">
        <v>5511</v>
      </c>
      <c r="B20" s="61">
        <f t="shared" si="0"/>
        <v>1915</v>
      </c>
      <c r="C20">
        <v>6.1</v>
      </c>
    </row>
    <row r="21" spans="1:3" x14ac:dyDescent="0.25">
      <c r="A21" s="56">
        <v>5539</v>
      </c>
      <c r="B21" s="61">
        <f t="shared" si="0"/>
        <v>1915</v>
      </c>
      <c r="C21">
        <v>6.1</v>
      </c>
    </row>
    <row r="22" spans="1:3" x14ac:dyDescent="0.25">
      <c r="A22" s="56">
        <v>5570</v>
      </c>
      <c r="B22" s="61">
        <f t="shared" si="0"/>
        <v>1915</v>
      </c>
      <c r="C22">
        <v>6.1</v>
      </c>
    </row>
    <row r="23" spans="1:3" x14ac:dyDescent="0.25">
      <c r="A23" s="56">
        <v>5600</v>
      </c>
      <c r="B23" s="61">
        <f t="shared" si="0"/>
        <v>1915</v>
      </c>
      <c r="C23">
        <v>6.1</v>
      </c>
    </row>
    <row r="24" spans="1:3" x14ac:dyDescent="0.25">
      <c r="A24" s="56">
        <v>5631</v>
      </c>
      <c r="B24" s="61">
        <f t="shared" si="0"/>
        <v>1915</v>
      </c>
      <c r="C24">
        <v>6.1</v>
      </c>
    </row>
    <row r="25" spans="1:3" x14ac:dyDescent="0.25">
      <c r="A25" s="56">
        <v>5661</v>
      </c>
      <c r="B25" s="61">
        <f t="shared" si="0"/>
        <v>1915</v>
      </c>
      <c r="C25">
        <v>6.1</v>
      </c>
    </row>
    <row r="26" spans="1:3" x14ac:dyDescent="0.25">
      <c r="A26" s="56">
        <v>5692</v>
      </c>
      <c r="B26" s="61">
        <f t="shared" si="0"/>
        <v>1915</v>
      </c>
      <c r="C26">
        <v>6.1</v>
      </c>
    </row>
    <row r="27" spans="1:3" x14ac:dyDescent="0.25">
      <c r="A27" s="56">
        <v>5723</v>
      </c>
      <c r="B27" s="61">
        <f t="shared" si="0"/>
        <v>1915</v>
      </c>
      <c r="C27">
        <v>6.1</v>
      </c>
    </row>
    <row r="28" spans="1:3" x14ac:dyDescent="0.25">
      <c r="A28" s="56">
        <v>5753</v>
      </c>
      <c r="B28" s="61">
        <f t="shared" si="0"/>
        <v>1915</v>
      </c>
      <c r="C28">
        <v>6.1</v>
      </c>
    </row>
    <row r="29" spans="1:3" x14ac:dyDescent="0.25">
      <c r="A29" s="56">
        <v>5784</v>
      </c>
      <c r="B29" s="61">
        <f t="shared" si="0"/>
        <v>1915</v>
      </c>
      <c r="C29">
        <v>6.3</v>
      </c>
    </row>
    <row r="30" spans="1:3" x14ac:dyDescent="0.25">
      <c r="A30" s="56">
        <v>5814</v>
      </c>
      <c r="B30" s="61">
        <f t="shared" si="0"/>
        <v>1915</v>
      </c>
      <c r="C30">
        <v>6.3</v>
      </c>
    </row>
    <row r="31" spans="1:3" x14ac:dyDescent="0.25">
      <c r="A31" s="56">
        <v>5845</v>
      </c>
      <c r="B31" s="61">
        <f t="shared" si="0"/>
        <v>1916</v>
      </c>
      <c r="C31">
        <v>6.4</v>
      </c>
    </row>
    <row r="32" spans="1:3" x14ac:dyDescent="0.25">
      <c r="A32" s="56">
        <v>5876</v>
      </c>
      <c r="B32" s="61">
        <f t="shared" si="0"/>
        <v>1916</v>
      </c>
      <c r="C32">
        <v>6.5</v>
      </c>
    </row>
    <row r="33" spans="1:3" x14ac:dyDescent="0.25">
      <c r="A33" s="56">
        <v>5905</v>
      </c>
      <c r="B33" s="61">
        <f t="shared" si="0"/>
        <v>1916</v>
      </c>
      <c r="C33">
        <v>6.5</v>
      </c>
    </row>
    <row r="34" spans="1:3" x14ac:dyDescent="0.25">
      <c r="A34" s="56">
        <v>5936</v>
      </c>
      <c r="B34" s="61">
        <f t="shared" si="0"/>
        <v>1916</v>
      </c>
      <c r="C34">
        <v>6.5</v>
      </c>
    </row>
    <row r="35" spans="1:3" x14ac:dyDescent="0.25">
      <c r="A35" s="56">
        <v>5966</v>
      </c>
      <c r="B35" s="61">
        <f t="shared" si="0"/>
        <v>1916</v>
      </c>
      <c r="C35">
        <v>6.5</v>
      </c>
    </row>
    <row r="36" spans="1:3" x14ac:dyDescent="0.25">
      <c r="A36" s="56">
        <v>5997</v>
      </c>
      <c r="B36" s="61">
        <f t="shared" si="0"/>
        <v>1916</v>
      </c>
      <c r="C36">
        <v>6.6</v>
      </c>
    </row>
    <row r="37" spans="1:3" x14ac:dyDescent="0.25">
      <c r="A37" s="56">
        <v>6027</v>
      </c>
      <c r="B37" s="61">
        <f t="shared" si="0"/>
        <v>1916</v>
      </c>
      <c r="C37">
        <v>6.6</v>
      </c>
    </row>
    <row r="38" spans="1:3" x14ac:dyDescent="0.25">
      <c r="A38" s="56">
        <v>6058</v>
      </c>
      <c r="B38" s="61">
        <f t="shared" si="0"/>
        <v>1916</v>
      </c>
      <c r="C38">
        <v>6.6</v>
      </c>
    </row>
    <row r="39" spans="1:3" x14ac:dyDescent="0.25">
      <c r="A39" s="56">
        <v>6089</v>
      </c>
      <c r="B39" s="61">
        <f t="shared" si="0"/>
        <v>1916</v>
      </c>
      <c r="C39">
        <v>6.8</v>
      </c>
    </row>
    <row r="40" spans="1:3" x14ac:dyDescent="0.25">
      <c r="A40" s="56">
        <v>6119</v>
      </c>
      <c r="B40" s="61">
        <f t="shared" si="0"/>
        <v>1916</v>
      </c>
      <c r="C40">
        <v>6.9</v>
      </c>
    </row>
    <row r="41" spans="1:3" x14ac:dyDescent="0.25">
      <c r="A41" s="56">
        <v>6150</v>
      </c>
      <c r="B41" s="61">
        <f t="shared" si="0"/>
        <v>1916</v>
      </c>
      <c r="C41">
        <v>7.1</v>
      </c>
    </row>
    <row r="42" spans="1:3" x14ac:dyDescent="0.25">
      <c r="A42" s="56">
        <v>6180</v>
      </c>
      <c r="B42" s="61">
        <f t="shared" si="0"/>
        <v>1916</v>
      </c>
      <c r="C42">
        <v>7.2</v>
      </c>
    </row>
    <row r="43" spans="1:3" x14ac:dyDescent="0.25">
      <c r="A43" s="56">
        <v>6211</v>
      </c>
      <c r="B43" s="61">
        <f t="shared" si="0"/>
        <v>1917</v>
      </c>
      <c r="C43">
        <v>7.4</v>
      </c>
    </row>
    <row r="44" spans="1:3" x14ac:dyDescent="0.25">
      <c r="A44" s="56">
        <v>6242</v>
      </c>
      <c r="B44" s="61">
        <f t="shared" si="0"/>
        <v>1917</v>
      </c>
      <c r="C44">
        <v>7.4</v>
      </c>
    </row>
    <row r="45" spans="1:3" x14ac:dyDescent="0.25">
      <c r="A45" s="56">
        <v>6270</v>
      </c>
      <c r="B45" s="61">
        <f t="shared" si="0"/>
        <v>1917</v>
      </c>
      <c r="C45">
        <v>7.6</v>
      </c>
    </row>
    <row r="46" spans="1:3" x14ac:dyDescent="0.25">
      <c r="A46" s="56">
        <v>6301</v>
      </c>
      <c r="B46" s="61">
        <f t="shared" si="0"/>
        <v>1917</v>
      </c>
      <c r="C46">
        <v>7.6</v>
      </c>
    </row>
    <row r="47" spans="1:3" x14ac:dyDescent="0.25">
      <c r="A47" s="56">
        <v>6331</v>
      </c>
      <c r="B47" s="61">
        <f t="shared" si="0"/>
        <v>1917</v>
      </c>
      <c r="C47">
        <v>7.9</v>
      </c>
    </row>
    <row r="48" spans="1:3" x14ac:dyDescent="0.25">
      <c r="A48" s="56">
        <v>6362</v>
      </c>
      <c r="B48" s="61">
        <f t="shared" si="0"/>
        <v>1917</v>
      </c>
      <c r="C48">
        <v>8</v>
      </c>
    </row>
    <row r="49" spans="1:3" x14ac:dyDescent="0.25">
      <c r="A49" s="56">
        <v>6392</v>
      </c>
      <c r="B49" s="61">
        <f t="shared" si="0"/>
        <v>1917</v>
      </c>
      <c r="C49">
        <v>8</v>
      </c>
    </row>
    <row r="50" spans="1:3" x14ac:dyDescent="0.25">
      <c r="A50" s="56">
        <v>6423</v>
      </c>
      <c r="B50" s="61">
        <f t="shared" si="0"/>
        <v>1917</v>
      </c>
      <c r="C50">
        <v>8</v>
      </c>
    </row>
    <row r="51" spans="1:3" x14ac:dyDescent="0.25">
      <c r="A51" s="56">
        <v>6454</v>
      </c>
      <c r="B51" s="61">
        <f t="shared" si="0"/>
        <v>1917</v>
      </c>
      <c r="C51">
        <v>8</v>
      </c>
    </row>
    <row r="52" spans="1:3" x14ac:dyDescent="0.25">
      <c r="A52" s="56">
        <v>6484</v>
      </c>
      <c r="B52" s="61">
        <f t="shared" si="0"/>
        <v>1917</v>
      </c>
      <c r="C52">
        <v>8.1999999999999993</v>
      </c>
    </row>
    <row r="53" spans="1:3" x14ac:dyDescent="0.25">
      <c r="A53" s="56">
        <v>6515</v>
      </c>
      <c r="B53" s="61">
        <f t="shared" si="0"/>
        <v>1917</v>
      </c>
      <c r="C53">
        <v>8.1999999999999993</v>
      </c>
    </row>
    <row r="54" spans="1:3" x14ac:dyDescent="0.25">
      <c r="A54" s="56">
        <v>6545</v>
      </c>
      <c r="B54" s="61">
        <f t="shared" si="0"/>
        <v>1917</v>
      </c>
      <c r="C54">
        <v>8.3000000000000007</v>
      </c>
    </row>
    <row r="55" spans="1:3" x14ac:dyDescent="0.25">
      <c r="A55" s="56">
        <v>6576</v>
      </c>
      <c r="B55" s="61">
        <f t="shared" si="0"/>
        <v>1918</v>
      </c>
      <c r="C55">
        <v>8.4</v>
      </c>
    </row>
    <row r="56" spans="1:3" x14ac:dyDescent="0.25">
      <c r="A56" s="56">
        <v>6607</v>
      </c>
      <c r="B56" s="61">
        <f t="shared" si="0"/>
        <v>1918</v>
      </c>
      <c r="C56">
        <v>8.5</v>
      </c>
    </row>
    <row r="57" spans="1:3" x14ac:dyDescent="0.25">
      <c r="A57" s="56">
        <v>6635</v>
      </c>
      <c r="B57" s="61">
        <f t="shared" si="0"/>
        <v>1918</v>
      </c>
      <c r="C57">
        <v>8.6</v>
      </c>
    </row>
    <row r="58" spans="1:3" x14ac:dyDescent="0.25">
      <c r="A58" s="56">
        <v>6666</v>
      </c>
      <c r="B58" s="61">
        <f t="shared" si="0"/>
        <v>1918</v>
      </c>
      <c r="C58">
        <v>8.6</v>
      </c>
    </row>
    <row r="59" spans="1:3" x14ac:dyDescent="0.25">
      <c r="A59" s="56">
        <v>6696</v>
      </c>
      <c r="B59" s="61">
        <f t="shared" si="0"/>
        <v>1918</v>
      </c>
      <c r="C59">
        <v>8.6999999999999993</v>
      </c>
    </row>
    <row r="60" spans="1:3" x14ac:dyDescent="0.25">
      <c r="A60" s="56">
        <v>6727</v>
      </c>
      <c r="B60" s="61">
        <f t="shared" si="0"/>
        <v>1918</v>
      </c>
      <c r="C60">
        <v>8.8000000000000007</v>
      </c>
    </row>
    <row r="61" spans="1:3" x14ac:dyDescent="0.25">
      <c r="A61" s="56">
        <v>6757</v>
      </c>
      <c r="B61" s="61">
        <f t="shared" si="0"/>
        <v>1918</v>
      </c>
      <c r="C61">
        <v>8.9</v>
      </c>
    </row>
    <row r="62" spans="1:3" x14ac:dyDescent="0.25">
      <c r="A62" s="56">
        <v>6788</v>
      </c>
      <c r="B62" s="61">
        <f t="shared" si="0"/>
        <v>1918</v>
      </c>
      <c r="C62">
        <v>9.1999999999999993</v>
      </c>
    </row>
    <row r="63" spans="1:3" x14ac:dyDescent="0.25">
      <c r="A63" s="56">
        <v>6819</v>
      </c>
      <c r="B63" s="61">
        <f t="shared" si="0"/>
        <v>1918</v>
      </c>
      <c r="C63">
        <v>9.1999999999999993</v>
      </c>
    </row>
    <row r="64" spans="1:3" x14ac:dyDescent="0.25">
      <c r="A64" s="56">
        <v>6849</v>
      </c>
      <c r="B64" s="61">
        <f t="shared" si="0"/>
        <v>1918</v>
      </c>
      <c r="C64">
        <v>9.3000000000000007</v>
      </c>
    </row>
    <row r="65" spans="1:3" x14ac:dyDescent="0.25">
      <c r="A65" s="56">
        <v>6880</v>
      </c>
      <c r="B65" s="61">
        <f t="shared" si="0"/>
        <v>1918</v>
      </c>
      <c r="C65">
        <v>9.4</v>
      </c>
    </row>
    <row r="66" spans="1:3" x14ac:dyDescent="0.25">
      <c r="A66" s="56">
        <v>6910</v>
      </c>
      <c r="B66" s="61">
        <f t="shared" si="0"/>
        <v>1918</v>
      </c>
      <c r="C66">
        <v>9.4</v>
      </c>
    </row>
    <row r="67" spans="1:3" x14ac:dyDescent="0.25">
      <c r="A67" s="56">
        <v>6941</v>
      </c>
      <c r="B67" s="61">
        <f t="shared" si="0"/>
        <v>1919</v>
      </c>
      <c r="C67">
        <v>9.5</v>
      </c>
    </row>
    <row r="68" spans="1:3" x14ac:dyDescent="0.25">
      <c r="A68" s="56">
        <v>6972</v>
      </c>
      <c r="B68" s="61">
        <f t="shared" si="0"/>
        <v>1919</v>
      </c>
      <c r="C68">
        <v>9.4</v>
      </c>
    </row>
    <row r="69" spans="1:3" x14ac:dyDescent="0.25">
      <c r="A69" s="56">
        <v>7000</v>
      </c>
      <c r="B69" s="61">
        <f t="shared" si="0"/>
        <v>1919</v>
      </c>
      <c r="C69">
        <v>9.4</v>
      </c>
    </row>
    <row r="70" spans="1:3" x14ac:dyDescent="0.25">
      <c r="A70" s="56">
        <v>7031</v>
      </c>
      <c r="B70" s="61">
        <f t="shared" si="0"/>
        <v>1919</v>
      </c>
      <c r="C70">
        <v>9.4</v>
      </c>
    </row>
    <row r="71" spans="1:3" x14ac:dyDescent="0.25">
      <c r="A71" s="56">
        <v>7061</v>
      </c>
      <c r="B71" s="61">
        <f t="shared" si="0"/>
        <v>1919</v>
      </c>
      <c r="C71">
        <v>9.6999999999999993</v>
      </c>
    </row>
    <row r="72" spans="1:3" x14ac:dyDescent="0.25">
      <c r="A72" s="56">
        <v>7092</v>
      </c>
      <c r="B72" s="61">
        <f t="shared" ref="B72:B135" si="1">YEAR(A72)</f>
        <v>1919</v>
      </c>
      <c r="C72">
        <v>9.6999999999999993</v>
      </c>
    </row>
    <row r="73" spans="1:3" x14ac:dyDescent="0.25">
      <c r="A73" s="56">
        <v>7122</v>
      </c>
      <c r="B73" s="61">
        <f t="shared" si="1"/>
        <v>1919</v>
      </c>
      <c r="C73">
        <v>9.8000000000000007</v>
      </c>
    </row>
    <row r="74" spans="1:3" x14ac:dyDescent="0.25">
      <c r="A74" s="56">
        <v>7153</v>
      </c>
      <c r="B74" s="61">
        <f t="shared" si="1"/>
        <v>1919</v>
      </c>
      <c r="C74">
        <v>10</v>
      </c>
    </row>
    <row r="75" spans="1:3" x14ac:dyDescent="0.25">
      <c r="A75" s="56">
        <v>7184</v>
      </c>
      <c r="B75" s="61">
        <f t="shared" si="1"/>
        <v>1919</v>
      </c>
      <c r="C75">
        <v>10</v>
      </c>
    </row>
    <row r="76" spans="1:3" x14ac:dyDescent="0.25">
      <c r="A76" s="56">
        <v>7214</v>
      </c>
      <c r="B76" s="61">
        <f t="shared" si="1"/>
        <v>1919</v>
      </c>
      <c r="C76">
        <v>10</v>
      </c>
    </row>
    <row r="77" spans="1:3" x14ac:dyDescent="0.25">
      <c r="A77" s="56">
        <v>7245</v>
      </c>
      <c r="B77" s="61">
        <f t="shared" si="1"/>
        <v>1919</v>
      </c>
      <c r="C77">
        <v>10.1</v>
      </c>
    </row>
    <row r="78" spans="1:3" x14ac:dyDescent="0.25">
      <c r="A78" s="56">
        <v>7275</v>
      </c>
      <c r="B78" s="61">
        <f t="shared" si="1"/>
        <v>1919</v>
      </c>
      <c r="C78">
        <v>10.199999999999999</v>
      </c>
    </row>
    <row r="79" spans="1:3" x14ac:dyDescent="0.25">
      <c r="A79" s="56">
        <v>7306</v>
      </c>
      <c r="B79" s="61">
        <f t="shared" si="1"/>
        <v>1920</v>
      </c>
      <c r="C79">
        <v>10.6</v>
      </c>
    </row>
    <row r="80" spans="1:3" x14ac:dyDescent="0.25">
      <c r="A80" s="56">
        <v>7337</v>
      </c>
      <c r="B80" s="61">
        <f t="shared" si="1"/>
        <v>1920</v>
      </c>
      <c r="C80">
        <v>10.8</v>
      </c>
    </row>
    <row r="81" spans="1:3" x14ac:dyDescent="0.25">
      <c r="A81" s="56">
        <v>7366</v>
      </c>
      <c r="B81" s="61">
        <f t="shared" si="1"/>
        <v>1920</v>
      </c>
      <c r="C81">
        <v>11.2</v>
      </c>
    </row>
    <row r="82" spans="1:3" x14ac:dyDescent="0.25">
      <c r="A82" s="56">
        <v>7397</v>
      </c>
      <c r="B82" s="61">
        <f t="shared" si="1"/>
        <v>1920</v>
      </c>
      <c r="C82">
        <v>11.3</v>
      </c>
    </row>
    <row r="83" spans="1:3" x14ac:dyDescent="0.25">
      <c r="A83" s="56">
        <v>7427</v>
      </c>
      <c r="B83" s="61">
        <f t="shared" si="1"/>
        <v>1920</v>
      </c>
      <c r="C83">
        <v>11.6</v>
      </c>
    </row>
    <row r="84" spans="1:3" x14ac:dyDescent="0.25">
      <c r="A84" s="56">
        <v>7458</v>
      </c>
      <c r="B84" s="61">
        <f t="shared" si="1"/>
        <v>1920</v>
      </c>
      <c r="C84">
        <v>11.8</v>
      </c>
    </row>
    <row r="85" spans="1:3" x14ac:dyDescent="0.25">
      <c r="A85" s="56">
        <v>7488</v>
      </c>
      <c r="B85" s="61">
        <f t="shared" si="1"/>
        <v>1920</v>
      </c>
      <c r="C85">
        <v>11.8</v>
      </c>
    </row>
    <row r="86" spans="1:3" x14ac:dyDescent="0.25">
      <c r="A86" s="56">
        <v>7519</v>
      </c>
      <c r="B86" s="61">
        <f t="shared" si="1"/>
        <v>1920</v>
      </c>
      <c r="C86">
        <v>11.7</v>
      </c>
    </row>
    <row r="87" spans="1:3" x14ac:dyDescent="0.25">
      <c r="A87" s="56">
        <v>7550</v>
      </c>
      <c r="B87" s="61">
        <f t="shared" si="1"/>
        <v>1920</v>
      </c>
      <c r="C87">
        <v>11.5</v>
      </c>
    </row>
    <row r="88" spans="1:3" x14ac:dyDescent="0.25">
      <c r="A88" s="56">
        <v>7580</v>
      </c>
      <c r="B88" s="61">
        <f t="shared" si="1"/>
        <v>1920</v>
      </c>
      <c r="C88">
        <v>11.5</v>
      </c>
    </row>
    <row r="89" spans="1:3" x14ac:dyDescent="0.25">
      <c r="A89" s="56">
        <v>7611</v>
      </c>
      <c r="B89" s="61">
        <f t="shared" si="1"/>
        <v>1920</v>
      </c>
      <c r="C89">
        <v>11.3</v>
      </c>
    </row>
    <row r="90" spans="1:3" x14ac:dyDescent="0.25">
      <c r="A90" s="56">
        <v>7641</v>
      </c>
      <c r="B90" s="61">
        <f t="shared" si="1"/>
        <v>1920</v>
      </c>
      <c r="C90">
        <v>11.2</v>
      </c>
    </row>
    <row r="91" spans="1:3" x14ac:dyDescent="0.25">
      <c r="A91" s="56">
        <v>7672</v>
      </c>
      <c r="B91" s="61">
        <f t="shared" si="1"/>
        <v>1921</v>
      </c>
      <c r="C91">
        <v>11</v>
      </c>
    </row>
    <row r="92" spans="1:3" x14ac:dyDescent="0.25">
      <c r="A92" s="56">
        <v>7703</v>
      </c>
      <c r="B92" s="61">
        <f t="shared" si="1"/>
        <v>1921</v>
      </c>
      <c r="C92">
        <v>10.8</v>
      </c>
    </row>
    <row r="93" spans="1:3" x14ac:dyDescent="0.25">
      <c r="A93" s="56">
        <v>7731</v>
      </c>
      <c r="B93" s="61">
        <f t="shared" si="1"/>
        <v>1921</v>
      </c>
      <c r="C93">
        <v>10.5</v>
      </c>
    </row>
    <row r="94" spans="1:3" x14ac:dyDescent="0.25">
      <c r="A94" s="56">
        <v>7762</v>
      </c>
      <c r="B94" s="61">
        <f t="shared" si="1"/>
        <v>1921</v>
      </c>
      <c r="C94">
        <v>10.199999999999999</v>
      </c>
    </row>
    <row r="95" spans="1:3" x14ac:dyDescent="0.25">
      <c r="A95" s="56">
        <v>7792</v>
      </c>
      <c r="B95" s="61">
        <f t="shared" si="1"/>
        <v>1921</v>
      </c>
      <c r="C95">
        <v>10</v>
      </c>
    </row>
    <row r="96" spans="1:3" x14ac:dyDescent="0.25">
      <c r="A96" s="56">
        <v>7823</v>
      </c>
      <c r="B96" s="61">
        <f t="shared" si="1"/>
        <v>1921</v>
      </c>
      <c r="C96">
        <v>9.6999999999999993</v>
      </c>
    </row>
    <row r="97" spans="1:3" x14ac:dyDescent="0.25">
      <c r="A97" s="56">
        <v>7853</v>
      </c>
      <c r="B97" s="61">
        <f t="shared" si="1"/>
        <v>1921</v>
      </c>
      <c r="C97">
        <v>9.6999999999999993</v>
      </c>
    </row>
    <row r="98" spans="1:3" x14ac:dyDescent="0.25">
      <c r="A98" s="56">
        <v>7884</v>
      </c>
      <c r="B98" s="61">
        <f t="shared" si="1"/>
        <v>1921</v>
      </c>
      <c r="C98">
        <v>9.6999999999999993</v>
      </c>
    </row>
    <row r="99" spans="1:3" x14ac:dyDescent="0.25">
      <c r="A99" s="56">
        <v>7915</v>
      </c>
      <c r="B99" s="61">
        <f t="shared" si="1"/>
        <v>1921</v>
      </c>
      <c r="C99">
        <v>9.6999999999999993</v>
      </c>
    </row>
    <row r="100" spans="1:3" x14ac:dyDescent="0.25">
      <c r="A100" s="56">
        <v>7945</v>
      </c>
      <c r="B100" s="61">
        <f t="shared" si="1"/>
        <v>1921</v>
      </c>
      <c r="C100">
        <v>9.6999999999999993</v>
      </c>
    </row>
    <row r="101" spans="1:3" x14ac:dyDescent="0.25">
      <c r="A101" s="56">
        <v>7976</v>
      </c>
      <c r="B101" s="61">
        <f t="shared" si="1"/>
        <v>1921</v>
      </c>
      <c r="C101">
        <v>9.4</v>
      </c>
    </row>
    <row r="102" spans="1:3" x14ac:dyDescent="0.25">
      <c r="A102" s="56">
        <v>8006</v>
      </c>
      <c r="B102" s="61">
        <f t="shared" si="1"/>
        <v>1921</v>
      </c>
      <c r="C102">
        <v>9.4</v>
      </c>
    </row>
    <row r="103" spans="1:3" x14ac:dyDescent="0.25">
      <c r="A103" s="56">
        <v>8037</v>
      </c>
      <c r="B103" s="61">
        <f t="shared" si="1"/>
        <v>1922</v>
      </c>
      <c r="C103">
        <v>9.4</v>
      </c>
    </row>
    <row r="104" spans="1:3" x14ac:dyDescent="0.25">
      <c r="A104" s="56">
        <v>8068</v>
      </c>
      <c r="B104" s="61">
        <f t="shared" si="1"/>
        <v>1922</v>
      </c>
      <c r="C104">
        <v>9.3000000000000007</v>
      </c>
    </row>
    <row r="105" spans="1:3" x14ac:dyDescent="0.25">
      <c r="A105" s="56">
        <v>8096</v>
      </c>
      <c r="B105" s="61">
        <f t="shared" si="1"/>
        <v>1922</v>
      </c>
      <c r="C105">
        <v>9.1999999999999993</v>
      </c>
    </row>
    <row r="106" spans="1:3" x14ac:dyDescent="0.25">
      <c r="A106" s="56">
        <v>8127</v>
      </c>
      <c r="B106" s="61">
        <f t="shared" si="1"/>
        <v>1922</v>
      </c>
      <c r="C106">
        <v>9.1999999999999993</v>
      </c>
    </row>
    <row r="107" spans="1:3" x14ac:dyDescent="0.25">
      <c r="A107" s="56">
        <v>8157</v>
      </c>
      <c r="B107" s="61">
        <f t="shared" si="1"/>
        <v>1922</v>
      </c>
      <c r="C107">
        <v>9.1</v>
      </c>
    </row>
    <row r="108" spans="1:3" x14ac:dyDescent="0.25">
      <c r="A108" s="56">
        <v>8188</v>
      </c>
      <c r="B108" s="61">
        <f t="shared" si="1"/>
        <v>1922</v>
      </c>
      <c r="C108">
        <v>9.1</v>
      </c>
    </row>
    <row r="109" spans="1:3" x14ac:dyDescent="0.25">
      <c r="A109" s="56">
        <v>8218</v>
      </c>
      <c r="B109" s="61">
        <f t="shared" si="1"/>
        <v>1922</v>
      </c>
      <c r="C109">
        <v>9.1</v>
      </c>
    </row>
    <row r="110" spans="1:3" x14ac:dyDescent="0.25">
      <c r="A110" s="56">
        <v>8249</v>
      </c>
      <c r="B110" s="61">
        <f t="shared" si="1"/>
        <v>1922</v>
      </c>
      <c r="C110">
        <v>9.1999999999999993</v>
      </c>
    </row>
    <row r="111" spans="1:3" x14ac:dyDescent="0.25">
      <c r="A111" s="56">
        <v>8280</v>
      </c>
      <c r="B111" s="61">
        <f t="shared" si="1"/>
        <v>1922</v>
      </c>
      <c r="C111">
        <v>9.1999999999999993</v>
      </c>
    </row>
    <row r="112" spans="1:3" x14ac:dyDescent="0.25">
      <c r="A112" s="56">
        <v>8310</v>
      </c>
      <c r="B112" s="61">
        <f t="shared" si="1"/>
        <v>1922</v>
      </c>
      <c r="C112">
        <v>9.1999999999999993</v>
      </c>
    </row>
    <row r="113" spans="1:3" x14ac:dyDescent="0.25">
      <c r="A113" s="56">
        <v>8341</v>
      </c>
      <c r="B113" s="61">
        <f t="shared" si="1"/>
        <v>1922</v>
      </c>
      <c r="C113">
        <v>9.1999999999999993</v>
      </c>
    </row>
    <row r="114" spans="1:3" x14ac:dyDescent="0.25">
      <c r="A114" s="56">
        <v>8371</v>
      </c>
      <c r="B114" s="61">
        <f t="shared" si="1"/>
        <v>1922</v>
      </c>
      <c r="C114">
        <v>9.1999999999999993</v>
      </c>
    </row>
    <row r="115" spans="1:3" x14ac:dyDescent="0.25">
      <c r="A115" s="56">
        <v>8402</v>
      </c>
      <c r="B115" s="61">
        <f t="shared" si="1"/>
        <v>1923</v>
      </c>
      <c r="C115">
        <v>9.1999999999999993</v>
      </c>
    </row>
    <row r="116" spans="1:3" x14ac:dyDescent="0.25">
      <c r="A116" s="56">
        <v>8433</v>
      </c>
      <c r="B116" s="61">
        <f t="shared" si="1"/>
        <v>1923</v>
      </c>
      <c r="C116">
        <v>9.1999999999999993</v>
      </c>
    </row>
    <row r="117" spans="1:3" x14ac:dyDescent="0.25">
      <c r="A117" s="56">
        <v>8461</v>
      </c>
      <c r="B117" s="61">
        <f t="shared" si="1"/>
        <v>1923</v>
      </c>
      <c r="C117">
        <v>9.3000000000000007</v>
      </c>
    </row>
    <row r="118" spans="1:3" x14ac:dyDescent="0.25">
      <c r="A118" s="56">
        <v>8492</v>
      </c>
      <c r="B118" s="61">
        <f t="shared" si="1"/>
        <v>1923</v>
      </c>
      <c r="C118">
        <v>9.1999999999999993</v>
      </c>
    </row>
    <row r="119" spans="1:3" x14ac:dyDescent="0.25">
      <c r="A119" s="56">
        <v>8522</v>
      </c>
      <c r="B119" s="61">
        <f t="shared" si="1"/>
        <v>1923</v>
      </c>
      <c r="C119">
        <v>9.1999999999999993</v>
      </c>
    </row>
    <row r="120" spans="1:3" x14ac:dyDescent="0.25">
      <c r="A120" s="56">
        <v>8553</v>
      </c>
      <c r="B120" s="61">
        <f t="shared" si="1"/>
        <v>1923</v>
      </c>
      <c r="C120">
        <v>9.1999999999999993</v>
      </c>
    </row>
    <row r="121" spans="1:3" x14ac:dyDescent="0.25">
      <c r="A121" s="56">
        <v>8583</v>
      </c>
      <c r="B121" s="61">
        <f t="shared" si="1"/>
        <v>1923</v>
      </c>
      <c r="C121">
        <v>9.1</v>
      </c>
    </row>
    <row r="122" spans="1:3" x14ac:dyDescent="0.25">
      <c r="A122" s="56">
        <v>8614</v>
      </c>
      <c r="B122" s="61">
        <f t="shared" si="1"/>
        <v>1923</v>
      </c>
      <c r="C122">
        <v>9.1999999999999993</v>
      </c>
    </row>
    <row r="123" spans="1:3" x14ac:dyDescent="0.25">
      <c r="A123" s="56">
        <v>8645</v>
      </c>
      <c r="B123" s="61">
        <f t="shared" si="1"/>
        <v>1923</v>
      </c>
      <c r="C123">
        <v>9.1999999999999993</v>
      </c>
    </row>
    <row r="124" spans="1:3" x14ac:dyDescent="0.25">
      <c r="A124" s="56">
        <v>8675</v>
      </c>
      <c r="B124" s="61">
        <f t="shared" si="1"/>
        <v>1923</v>
      </c>
      <c r="C124">
        <v>9.1999999999999993</v>
      </c>
    </row>
    <row r="125" spans="1:3" x14ac:dyDescent="0.25">
      <c r="A125" s="56">
        <v>8706</v>
      </c>
      <c r="B125" s="61">
        <f t="shared" si="1"/>
        <v>1923</v>
      </c>
      <c r="C125">
        <v>9.1999999999999993</v>
      </c>
    </row>
    <row r="126" spans="1:3" x14ac:dyDescent="0.25">
      <c r="A126" s="56">
        <v>8736</v>
      </c>
      <c r="B126" s="61">
        <f t="shared" si="1"/>
        <v>1923</v>
      </c>
      <c r="C126">
        <v>9.1999999999999993</v>
      </c>
    </row>
    <row r="127" spans="1:3" x14ac:dyDescent="0.25">
      <c r="A127" s="56">
        <v>8767</v>
      </c>
      <c r="B127" s="61">
        <f t="shared" si="1"/>
        <v>1924</v>
      </c>
      <c r="C127">
        <v>9.1999999999999993</v>
      </c>
    </row>
    <row r="128" spans="1:3" x14ac:dyDescent="0.25">
      <c r="A128" s="56">
        <v>8798</v>
      </c>
      <c r="B128" s="61">
        <f t="shared" si="1"/>
        <v>1924</v>
      </c>
      <c r="C128">
        <v>9.1999999999999993</v>
      </c>
    </row>
    <row r="129" spans="1:3" x14ac:dyDescent="0.25">
      <c r="A129" s="56">
        <v>8827</v>
      </c>
      <c r="B129" s="61">
        <f t="shared" si="1"/>
        <v>1924</v>
      </c>
      <c r="C129">
        <v>9.1999999999999993</v>
      </c>
    </row>
    <row r="130" spans="1:3" x14ac:dyDescent="0.25">
      <c r="A130" s="56">
        <v>8858</v>
      </c>
      <c r="B130" s="61">
        <f t="shared" si="1"/>
        <v>1924</v>
      </c>
      <c r="C130">
        <v>9</v>
      </c>
    </row>
    <row r="131" spans="1:3" x14ac:dyDescent="0.25">
      <c r="A131" s="56">
        <v>8888</v>
      </c>
      <c r="B131" s="61">
        <f t="shared" si="1"/>
        <v>1924</v>
      </c>
      <c r="C131">
        <v>8.9</v>
      </c>
    </row>
    <row r="132" spans="1:3" x14ac:dyDescent="0.25">
      <c r="A132" s="56">
        <v>8919</v>
      </c>
      <c r="B132" s="61">
        <f t="shared" si="1"/>
        <v>1924</v>
      </c>
      <c r="C132">
        <v>8.8000000000000007</v>
      </c>
    </row>
    <row r="133" spans="1:3" x14ac:dyDescent="0.25">
      <c r="A133" s="56">
        <v>8949</v>
      </c>
      <c r="B133" s="61">
        <f t="shared" si="1"/>
        <v>1924</v>
      </c>
      <c r="C133">
        <v>8.8000000000000007</v>
      </c>
    </row>
    <row r="134" spans="1:3" x14ac:dyDescent="0.25">
      <c r="A134" s="56">
        <v>8980</v>
      </c>
      <c r="B134" s="61">
        <f t="shared" si="1"/>
        <v>1924</v>
      </c>
      <c r="C134">
        <v>9</v>
      </c>
    </row>
    <row r="135" spans="1:3" x14ac:dyDescent="0.25">
      <c r="A135" s="56">
        <v>9011</v>
      </c>
      <c r="B135" s="61">
        <f t="shared" si="1"/>
        <v>1924</v>
      </c>
      <c r="C135">
        <v>9</v>
      </c>
    </row>
    <row r="136" spans="1:3" x14ac:dyDescent="0.25">
      <c r="A136" s="56">
        <v>9041</v>
      </c>
      <c r="B136" s="61">
        <f t="shared" ref="B136:B199" si="2">YEAR(A136)</f>
        <v>1924</v>
      </c>
      <c r="C136">
        <v>9</v>
      </c>
    </row>
    <row r="137" spans="1:3" x14ac:dyDescent="0.25">
      <c r="A137" s="56">
        <v>9072</v>
      </c>
      <c r="B137" s="61">
        <f t="shared" si="2"/>
        <v>1924</v>
      </c>
      <c r="C137">
        <v>9.1</v>
      </c>
    </row>
    <row r="138" spans="1:3" x14ac:dyDescent="0.25">
      <c r="A138" s="56">
        <v>9102</v>
      </c>
      <c r="B138" s="61">
        <f t="shared" si="2"/>
        <v>1924</v>
      </c>
      <c r="C138">
        <v>9.1</v>
      </c>
    </row>
    <row r="139" spans="1:3" x14ac:dyDescent="0.25">
      <c r="A139" s="56">
        <v>9133</v>
      </c>
      <c r="B139" s="61">
        <f t="shared" si="2"/>
        <v>1925</v>
      </c>
      <c r="C139">
        <v>9.1999999999999993</v>
      </c>
    </row>
    <row r="140" spans="1:3" x14ac:dyDescent="0.25">
      <c r="A140" s="56">
        <v>9164</v>
      </c>
      <c r="B140" s="61">
        <f t="shared" si="2"/>
        <v>1925</v>
      </c>
      <c r="C140">
        <v>9.1999999999999993</v>
      </c>
    </row>
    <row r="141" spans="1:3" x14ac:dyDescent="0.25">
      <c r="A141" s="56">
        <v>9192</v>
      </c>
      <c r="B141" s="61">
        <f t="shared" si="2"/>
        <v>1925</v>
      </c>
      <c r="C141">
        <v>9.1999999999999993</v>
      </c>
    </row>
    <row r="142" spans="1:3" x14ac:dyDescent="0.25">
      <c r="A142" s="56">
        <v>9223</v>
      </c>
      <c r="B142" s="61">
        <f t="shared" si="2"/>
        <v>1925</v>
      </c>
      <c r="C142">
        <v>9.1</v>
      </c>
    </row>
    <row r="143" spans="1:3" x14ac:dyDescent="0.25">
      <c r="A143" s="56">
        <v>9253</v>
      </c>
      <c r="B143" s="61">
        <f t="shared" si="2"/>
        <v>1925</v>
      </c>
      <c r="C143">
        <v>9</v>
      </c>
    </row>
    <row r="144" spans="1:3" x14ac:dyDescent="0.25">
      <c r="A144" s="56">
        <v>9284</v>
      </c>
      <c r="B144" s="61">
        <f t="shared" si="2"/>
        <v>1925</v>
      </c>
      <c r="C144">
        <v>9</v>
      </c>
    </row>
    <row r="145" spans="1:3" x14ac:dyDescent="0.25">
      <c r="A145" s="56">
        <v>9314</v>
      </c>
      <c r="B145" s="61">
        <f t="shared" si="2"/>
        <v>1925</v>
      </c>
      <c r="C145">
        <v>9</v>
      </c>
    </row>
    <row r="146" spans="1:3" x14ac:dyDescent="0.25">
      <c r="A146" s="56">
        <v>9345</v>
      </c>
      <c r="B146" s="61">
        <f t="shared" si="2"/>
        <v>1925</v>
      </c>
      <c r="C146">
        <v>9.1</v>
      </c>
    </row>
    <row r="147" spans="1:3" x14ac:dyDescent="0.25">
      <c r="A147" s="56">
        <v>9376</v>
      </c>
      <c r="B147" s="61">
        <f t="shared" si="2"/>
        <v>1925</v>
      </c>
      <c r="C147">
        <v>9.1</v>
      </c>
    </row>
    <row r="148" spans="1:3" x14ac:dyDescent="0.25">
      <c r="A148" s="56">
        <v>9406</v>
      </c>
      <c r="B148" s="61">
        <f t="shared" si="2"/>
        <v>1925</v>
      </c>
      <c r="C148">
        <v>9.1999999999999993</v>
      </c>
    </row>
    <row r="149" spans="1:3" x14ac:dyDescent="0.25">
      <c r="A149" s="56">
        <v>9437</v>
      </c>
      <c r="B149" s="61">
        <f t="shared" si="2"/>
        <v>1925</v>
      </c>
      <c r="C149">
        <v>9.1999999999999993</v>
      </c>
    </row>
    <row r="150" spans="1:3" x14ac:dyDescent="0.25">
      <c r="A150" s="56">
        <v>9467</v>
      </c>
      <c r="B150" s="61">
        <f t="shared" si="2"/>
        <v>1925</v>
      </c>
      <c r="C150">
        <v>9.3000000000000007</v>
      </c>
    </row>
    <row r="151" spans="1:3" x14ac:dyDescent="0.25">
      <c r="A151" s="56">
        <v>9498</v>
      </c>
      <c r="B151" s="61">
        <f t="shared" si="2"/>
        <v>1926</v>
      </c>
      <c r="C151">
        <v>9.1999999999999993</v>
      </c>
    </row>
    <row r="152" spans="1:3" x14ac:dyDescent="0.25">
      <c r="A152" s="56">
        <v>9529</v>
      </c>
      <c r="B152" s="61">
        <f t="shared" si="2"/>
        <v>1926</v>
      </c>
      <c r="C152">
        <v>9.1999999999999993</v>
      </c>
    </row>
    <row r="153" spans="1:3" x14ac:dyDescent="0.25">
      <c r="A153" s="56">
        <v>9557</v>
      </c>
      <c r="B153" s="61">
        <f t="shared" si="2"/>
        <v>1926</v>
      </c>
      <c r="C153">
        <v>9.1999999999999993</v>
      </c>
    </row>
    <row r="154" spans="1:3" x14ac:dyDescent="0.25">
      <c r="A154" s="56">
        <v>9588</v>
      </c>
      <c r="B154" s="61">
        <f t="shared" si="2"/>
        <v>1926</v>
      </c>
      <c r="C154">
        <v>9.1999999999999993</v>
      </c>
    </row>
    <row r="155" spans="1:3" x14ac:dyDescent="0.25">
      <c r="A155" s="56">
        <v>9618</v>
      </c>
      <c r="B155" s="61">
        <f t="shared" si="2"/>
        <v>1926</v>
      </c>
      <c r="C155">
        <v>9.1999999999999993</v>
      </c>
    </row>
    <row r="156" spans="1:3" x14ac:dyDescent="0.25">
      <c r="A156" s="56">
        <v>9649</v>
      </c>
      <c r="B156" s="61">
        <f t="shared" si="2"/>
        <v>1926</v>
      </c>
      <c r="C156">
        <v>9.1999999999999993</v>
      </c>
    </row>
    <row r="157" spans="1:3" x14ac:dyDescent="0.25">
      <c r="A157" s="56">
        <v>9679</v>
      </c>
      <c r="B157" s="61">
        <f t="shared" si="2"/>
        <v>1926</v>
      </c>
      <c r="C157">
        <v>9.1999999999999993</v>
      </c>
    </row>
    <row r="158" spans="1:3" x14ac:dyDescent="0.25">
      <c r="A158" s="56">
        <v>9710</v>
      </c>
      <c r="B158" s="61">
        <f t="shared" si="2"/>
        <v>1926</v>
      </c>
      <c r="C158">
        <v>9.1999999999999993</v>
      </c>
    </row>
    <row r="159" spans="1:3" x14ac:dyDescent="0.25">
      <c r="A159" s="56">
        <v>9741</v>
      </c>
      <c r="B159" s="61">
        <f t="shared" si="2"/>
        <v>1926</v>
      </c>
      <c r="C159">
        <v>9.1999999999999993</v>
      </c>
    </row>
    <row r="160" spans="1:3" x14ac:dyDescent="0.25">
      <c r="A160" s="56">
        <v>9771</v>
      </c>
      <c r="B160" s="61">
        <f t="shared" si="2"/>
        <v>1926</v>
      </c>
      <c r="C160">
        <v>9.1999999999999993</v>
      </c>
    </row>
    <row r="161" spans="1:3" x14ac:dyDescent="0.25">
      <c r="A161" s="56">
        <v>9802</v>
      </c>
      <c r="B161" s="61">
        <f t="shared" si="2"/>
        <v>1926</v>
      </c>
      <c r="C161">
        <v>9.1999999999999993</v>
      </c>
    </row>
    <row r="162" spans="1:3" x14ac:dyDescent="0.25">
      <c r="A162" s="56">
        <v>9832</v>
      </c>
      <c r="B162" s="61">
        <f t="shared" si="2"/>
        <v>1926</v>
      </c>
      <c r="C162">
        <v>9.1999999999999993</v>
      </c>
    </row>
    <row r="163" spans="1:3" x14ac:dyDescent="0.25">
      <c r="A163" s="56">
        <v>9863</v>
      </c>
      <c r="B163" s="61">
        <f t="shared" si="2"/>
        <v>1927</v>
      </c>
      <c r="C163">
        <v>9.1999999999999993</v>
      </c>
    </row>
    <row r="164" spans="1:3" x14ac:dyDescent="0.25">
      <c r="A164" s="56">
        <v>9894</v>
      </c>
      <c r="B164" s="61">
        <f t="shared" si="2"/>
        <v>1927</v>
      </c>
      <c r="C164">
        <v>9.1999999999999993</v>
      </c>
    </row>
    <row r="165" spans="1:3" x14ac:dyDescent="0.25">
      <c r="A165" s="56">
        <v>9922</v>
      </c>
      <c r="B165" s="61">
        <f t="shared" si="2"/>
        <v>1927</v>
      </c>
      <c r="C165">
        <v>9.1</v>
      </c>
    </row>
    <row r="166" spans="1:3" x14ac:dyDescent="0.25">
      <c r="A166" s="56">
        <v>9953</v>
      </c>
      <c r="B166" s="61">
        <f t="shared" si="2"/>
        <v>1927</v>
      </c>
      <c r="C166">
        <v>9</v>
      </c>
    </row>
    <row r="167" spans="1:3" x14ac:dyDescent="0.25">
      <c r="A167" s="56">
        <v>9983</v>
      </c>
      <c r="B167" s="61">
        <f t="shared" si="2"/>
        <v>1927</v>
      </c>
      <c r="C167">
        <v>9</v>
      </c>
    </row>
    <row r="168" spans="1:3" x14ac:dyDescent="0.25">
      <c r="A168" s="56">
        <v>10014</v>
      </c>
      <c r="B168" s="61">
        <f t="shared" si="2"/>
        <v>1927</v>
      </c>
      <c r="C168">
        <v>9</v>
      </c>
    </row>
    <row r="169" spans="1:3" x14ac:dyDescent="0.25">
      <c r="A169" s="56">
        <v>10044</v>
      </c>
      <c r="B169" s="61">
        <f t="shared" si="2"/>
        <v>1927</v>
      </c>
      <c r="C169">
        <v>9.1</v>
      </c>
    </row>
    <row r="170" spans="1:3" x14ac:dyDescent="0.25">
      <c r="A170" s="56">
        <v>10075</v>
      </c>
      <c r="B170" s="61">
        <f t="shared" si="2"/>
        <v>1927</v>
      </c>
      <c r="C170">
        <v>9</v>
      </c>
    </row>
    <row r="171" spans="1:3" x14ac:dyDescent="0.25">
      <c r="A171" s="56">
        <v>10106</v>
      </c>
      <c r="B171" s="61">
        <f t="shared" si="2"/>
        <v>1927</v>
      </c>
      <c r="C171">
        <v>9</v>
      </c>
    </row>
    <row r="172" spans="1:3" x14ac:dyDescent="0.25">
      <c r="A172" s="56">
        <v>10136</v>
      </c>
      <c r="B172" s="61">
        <f t="shared" si="2"/>
        <v>1927</v>
      </c>
      <c r="C172">
        <v>9</v>
      </c>
    </row>
    <row r="173" spans="1:3" x14ac:dyDescent="0.25">
      <c r="A173" s="56">
        <v>10167</v>
      </c>
      <c r="B173" s="61">
        <f t="shared" si="2"/>
        <v>1927</v>
      </c>
      <c r="C173">
        <v>9.1</v>
      </c>
    </row>
    <row r="174" spans="1:3" x14ac:dyDescent="0.25">
      <c r="A174" s="56">
        <v>10197</v>
      </c>
      <c r="B174" s="61">
        <f t="shared" si="2"/>
        <v>1927</v>
      </c>
      <c r="C174">
        <v>9.1</v>
      </c>
    </row>
    <row r="175" spans="1:3" x14ac:dyDescent="0.25">
      <c r="A175" s="56">
        <v>10228</v>
      </c>
      <c r="B175" s="61">
        <f t="shared" si="2"/>
        <v>1928</v>
      </c>
      <c r="C175">
        <v>9.1999999999999993</v>
      </c>
    </row>
    <row r="176" spans="1:3" x14ac:dyDescent="0.25">
      <c r="A176" s="56">
        <v>10259</v>
      </c>
      <c r="B176" s="61">
        <f t="shared" si="2"/>
        <v>1928</v>
      </c>
      <c r="C176">
        <v>9.1999999999999993</v>
      </c>
    </row>
    <row r="177" spans="1:3" x14ac:dyDescent="0.25">
      <c r="A177" s="56">
        <v>10288</v>
      </c>
      <c r="B177" s="61">
        <f t="shared" si="2"/>
        <v>1928</v>
      </c>
      <c r="C177">
        <v>9.1</v>
      </c>
    </row>
    <row r="178" spans="1:3" x14ac:dyDescent="0.25">
      <c r="A178" s="56">
        <v>10319</v>
      </c>
      <c r="B178" s="61">
        <f t="shared" si="2"/>
        <v>1928</v>
      </c>
      <c r="C178">
        <v>9.1</v>
      </c>
    </row>
    <row r="179" spans="1:3" x14ac:dyDescent="0.25">
      <c r="A179" s="56">
        <v>10349</v>
      </c>
      <c r="B179" s="61">
        <f t="shared" si="2"/>
        <v>1928</v>
      </c>
      <c r="C179">
        <v>9</v>
      </c>
    </row>
    <row r="180" spans="1:3" x14ac:dyDescent="0.25">
      <c r="A180" s="56">
        <v>10380</v>
      </c>
      <c r="B180" s="61">
        <f t="shared" si="2"/>
        <v>1928</v>
      </c>
      <c r="C180">
        <v>9</v>
      </c>
    </row>
    <row r="181" spans="1:3" x14ac:dyDescent="0.25">
      <c r="A181" s="56">
        <v>10410</v>
      </c>
      <c r="B181" s="61">
        <f t="shared" si="2"/>
        <v>1928</v>
      </c>
      <c r="C181">
        <v>9</v>
      </c>
    </row>
    <row r="182" spans="1:3" x14ac:dyDescent="0.25">
      <c r="A182" s="56">
        <v>10441</v>
      </c>
      <c r="B182" s="61">
        <f t="shared" si="2"/>
        <v>1928</v>
      </c>
      <c r="C182">
        <v>9.1999999999999993</v>
      </c>
    </row>
    <row r="183" spans="1:3" x14ac:dyDescent="0.25">
      <c r="A183" s="56">
        <v>10472</v>
      </c>
      <c r="B183" s="61">
        <f t="shared" si="2"/>
        <v>1928</v>
      </c>
      <c r="C183">
        <v>9.1999999999999993</v>
      </c>
    </row>
    <row r="184" spans="1:3" x14ac:dyDescent="0.25">
      <c r="A184" s="56">
        <v>10502</v>
      </c>
      <c r="B184" s="61">
        <f t="shared" si="2"/>
        <v>1928</v>
      </c>
      <c r="C184">
        <v>9.1999999999999993</v>
      </c>
    </row>
    <row r="185" spans="1:3" x14ac:dyDescent="0.25">
      <c r="A185" s="56">
        <v>10533</v>
      </c>
      <c r="B185" s="61">
        <f t="shared" si="2"/>
        <v>1928</v>
      </c>
      <c r="C185">
        <v>9.1999999999999993</v>
      </c>
    </row>
    <row r="186" spans="1:3" x14ac:dyDescent="0.25">
      <c r="A186" s="56">
        <v>10563</v>
      </c>
      <c r="B186" s="61">
        <f t="shared" si="2"/>
        <v>1928</v>
      </c>
      <c r="C186">
        <v>9.1999999999999993</v>
      </c>
    </row>
    <row r="187" spans="1:3" x14ac:dyDescent="0.25">
      <c r="A187" s="56">
        <v>10594</v>
      </c>
      <c r="B187" s="61">
        <f t="shared" si="2"/>
        <v>1929</v>
      </c>
      <c r="C187">
        <v>9.1999999999999993</v>
      </c>
    </row>
    <row r="188" spans="1:3" x14ac:dyDescent="0.25">
      <c r="A188" s="56">
        <v>10625</v>
      </c>
      <c r="B188" s="61">
        <f t="shared" si="2"/>
        <v>1929</v>
      </c>
      <c r="C188">
        <v>9.1999999999999993</v>
      </c>
    </row>
    <row r="189" spans="1:3" x14ac:dyDescent="0.25">
      <c r="A189" s="56">
        <v>10653</v>
      </c>
      <c r="B189" s="61">
        <f t="shared" si="2"/>
        <v>1929</v>
      </c>
      <c r="C189">
        <v>9.1999999999999993</v>
      </c>
    </row>
    <row r="190" spans="1:3" x14ac:dyDescent="0.25">
      <c r="A190" s="56">
        <v>10684</v>
      </c>
      <c r="B190" s="61">
        <f t="shared" si="2"/>
        <v>1929</v>
      </c>
      <c r="C190">
        <v>9.1</v>
      </c>
    </row>
    <row r="191" spans="1:3" x14ac:dyDescent="0.25">
      <c r="A191" s="56">
        <v>10714</v>
      </c>
      <c r="B191" s="61">
        <f t="shared" si="2"/>
        <v>1929</v>
      </c>
      <c r="C191">
        <v>9.1999999999999993</v>
      </c>
    </row>
    <row r="192" spans="1:3" x14ac:dyDescent="0.25">
      <c r="A192" s="56">
        <v>10745</v>
      </c>
      <c r="B192" s="61">
        <f t="shared" si="2"/>
        <v>1929</v>
      </c>
      <c r="C192">
        <v>9.1999999999999993</v>
      </c>
    </row>
    <row r="193" spans="1:3" x14ac:dyDescent="0.25">
      <c r="A193" s="56">
        <v>10775</v>
      </c>
      <c r="B193" s="61">
        <f t="shared" si="2"/>
        <v>1929</v>
      </c>
      <c r="C193">
        <v>9.1999999999999993</v>
      </c>
    </row>
    <row r="194" spans="1:3" x14ac:dyDescent="0.25">
      <c r="A194" s="56">
        <v>10806</v>
      </c>
      <c r="B194" s="61">
        <f t="shared" si="2"/>
        <v>1929</v>
      </c>
      <c r="C194">
        <v>9.1999999999999993</v>
      </c>
    </row>
    <row r="195" spans="1:3" x14ac:dyDescent="0.25">
      <c r="A195" s="56">
        <v>10837</v>
      </c>
      <c r="B195" s="61">
        <f t="shared" si="2"/>
        <v>1929</v>
      </c>
      <c r="C195">
        <v>9.1999999999999993</v>
      </c>
    </row>
    <row r="196" spans="1:3" x14ac:dyDescent="0.25">
      <c r="A196" s="56">
        <v>10867</v>
      </c>
      <c r="B196" s="61">
        <f t="shared" si="2"/>
        <v>1929</v>
      </c>
      <c r="C196">
        <v>9.3000000000000007</v>
      </c>
    </row>
    <row r="197" spans="1:3" x14ac:dyDescent="0.25">
      <c r="A197" s="56">
        <v>10898</v>
      </c>
      <c r="B197" s="61">
        <f t="shared" si="2"/>
        <v>1929</v>
      </c>
      <c r="C197">
        <v>9.3000000000000007</v>
      </c>
    </row>
    <row r="198" spans="1:3" x14ac:dyDescent="0.25">
      <c r="A198" s="56">
        <v>10928</v>
      </c>
      <c r="B198" s="61">
        <f t="shared" si="2"/>
        <v>1929</v>
      </c>
      <c r="C198">
        <v>9.4</v>
      </c>
    </row>
    <row r="199" spans="1:3" x14ac:dyDescent="0.25">
      <c r="A199" s="56">
        <v>10959</v>
      </c>
      <c r="B199" s="61">
        <f t="shared" si="2"/>
        <v>1930</v>
      </c>
      <c r="C199">
        <v>9.4</v>
      </c>
    </row>
    <row r="200" spans="1:3" x14ac:dyDescent="0.25">
      <c r="A200" s="56">
        <v>10990</v>
      </c>
      <c r="B200" s="61">
        <f t="shared" ref="B200:B263" si="3">YEAR(A200)</f>
        <v>1930</v>
      </c>
      <c r="C200">
        <v>9.4</v>
      </c>
    </row>
    <row r="201" spans="1:3" x14ac:dyDescent="0.25">
      <c r="A201" s="56">
        <v>11018</v>
      </c>
      <c r="B201" s="61">
        <f t="shared" si="3"/>
        <v>1930</v>
      </c>
      <c r="C201">
        <v>9.3000000000000007</v>
      </c>
    </row>
    <row r="202" spans="1:3" x14ac:dyDescent="0.25">
      <c r="A202" s="56">
        <v>11049</v>
      </c>
      <c r="B202" s="61">
        <f t="shared" si="3"/>
        <v>1930</v>
      </c>
      <c r="C202">
        <v>9.1999999999999993</v>
      </c>
    </row>
    <row r="203" spans="1:3" x14ac:dyDescent="0.25">
      <c r="A203" s="56">
        <v>11079</v>
      </c>
      <c r="B203" s="61">
        <f t="shared" si="3"/>
        <v>1930</v>
      </c>
      <c r="C203">
        <v>9.1999999999999993</v>
      </c>
    </row>
    <row r="204" spans="1:3" x14ac:dyDescent="0.25">
      <c r="A204" s="56">
        <v>11110</v>
      </c>
      <c r="B204" s="61">
        <f t="shared" si="3"/>
        <v>1930</v>
      </c>
      <c r="C204">
        <v>9.1999999999999993</v>
      </c>
    </row>
    <row r="205" spans="1:3" x14ac:dyDescent="0.25">
      <c r="A205" s="56">
        <v>11140</v>
      </c>
      <c r="B205" s="61">
        <f t="shared" si="3"/>
        <v>1930</v>
      </c>
      <c r="C205">
        <v>9.1999999999999993</v>
      </c>
    </row>
    <row r="206" spans="1:3" x14ac:dyDescent="0.25">
      <c r="A206" s="56">
        <v>11171</v>
      </c>
      <c r="B206" s="61">
        <f t="shared" si="3"/>
        <v>1930</v>
      </c>
      <c r="C206">
        <v>9.1999999999999993</v>
      </c>
    </row>
    <row r="207" spans="1:3" x14ac:dyDescent="0.25">
      <c r="A207" s="56">
        <v>11202</v>
      </c>
      <c r="B207" s="61">
        <f t="shared" si="3"/>
        <v>1930</v>
      </c>
      <c r="C207">
        <v>8.9</v>
      </c>
    </row>
    <row r="208" spans="1:3" x14ac:dyDescent="0.25">
      <c r="A208" s="56">
        <v>11232</v>
      </c>
      <c r="B208" s="61">
        <f t="shared" si="3"/>
        <v>1930</v>
      </c>
      <c r="C208">
        <v>8.9</v>
      </c>
    </row>
    <row r="209" spans="1:3" x14ac:dyDescent="0.25">
      <c r="A209" s="56">
        <v>11263</v>
      </c>
      <c r="B209" s="61">
        <f t="shared" si="3"/>
        <v>1930</v>
      </c>
      <c r="C209">
        <v>8.9</v>
      </c>
    </row>
    <row r="210" spans="1:3" x14ac:dyDescent="0.25">
      <c r="A210" s="56">
        <v>11293</v>
      </c>
      <c r="B210" s="61">
        <f t="shared" si="3"/>
        <v>1930</v>
      </c>
      <c r="C210">
        <v>8.8000000000000007</v>
      </c>
    </row>
    <row r="211" spans="1:3" x14ac:dyDescent="0.25">
      <c r="A211" s="56">
        <v>11324</v>
      </c>
      <c r="B211" s="61">
        <f t="shared" si="3"/>
        <v>1931</v>
      </c>
      <c r="C211">
        <v>8.6999999999999993</v>
      </c>
    </row>
    <row r="212" spans="1:3" x14ac:dyDescent="0.25">
      <c r="A212" s="56">
        <v>11355</v>
      </c>
      <c r="B212" s="61">
        <f t="shared" si="3"/>
        <v>1931</v>
      </c>
      <c r="C212">
        <v>8.6</v>
      </c>
    </row>
    <row r="213" spans="1:3" x14ac:dyDescent="0.25">
      <c r="A213" s="56">
        <v>11383</v>
      </c>
      <c r="B213" s="61">
        <f t="shared" si="3"/>
        <v>1931</v>
      </c>
      <c r="C213">
        <v>8.5</v>
      </c>
    </row>
    <row r="214" spans="1:3" x14ac:dyDescent="0.25">
      <c r="A214" s="56">
        <v>11414</v>
      </c>
      <c r="B214" s="61">
        <f t="shared" si="3"/>
        <v>1931</v>
      </c>
      <c r="C214">
        <v>8.4</v>
      </c>
    </row>
    <row r="215" spans="1:3" x14ac:dyDescent="0.25">
      <c r="A215" s="56">
        <v>11444</v>
      </c>
      <c r="B215" s="61">
        <f t="shared" si="3"/>
        <v>1931</v>
      </c>
      <c r="C215">
        <v>8.3000000000000007</v>
      </c>
    </row>
    <row r="216" spans="1:3" x14ac:dyDescent="0.25">
      <c r="A216" s="56">
        <v>11475</v>
      </c>
      <c r="B216" s="61">
        <f t="shared" si="3"/>
        <v>1931</v>
      </c>
      <c r="C216">
        <v>8.1999999999999993</v>
      </c>
    </row>
    <row r="217" spans="1:3" x14ac:dyDescent="0.25">
      <c r="A217" s="56">
        <v>11505</v>
      </c>
      <c r="B217" s="61">
        <f t="shared" si="3"/>
        <v>1931</v>
      </c>
      <c r="C217">
        <v>8.1</v>
      </c>
    </row>
    <row r="218" spans="1:3" x14ac:dyDescent="0.25">
      <c r="A218" s="56">
        <v>11536</v>
      </c>
      <c r="B218" s="61">
        <f t="shared" si="3"/>
        <v>1931</v>
      </c>
      <c r="C218">
        <v>8.1999999999999993</v>
      </c>
    </row>
    <row r="219" spans="1:3" x14ac:dyDescent="0.25">
      <c r="A219" s="56">
        <v>11567</v>
      </c>
      <c r="B219" s="61">
        <f t="shared" si="3"/>
        <v>1931</v>
      </c>
      <c r="C219">
        <v>8.1</v>
      </c>
    </row>
    <row r="220" spans="1:3" x14ac:dyDescent="0.25">
      <c r="A220" s="56">
        <v>11597</v>
      </c>
      <c r="B220" s="61">
        <f t="shared" si="3"/>
        <v>1931</v>
      </c>
      <c r="C220">
        <v>7.9</v>
      </c>
    </row>
    <row r="221" spans="1:3" x14ac:dyDescent="0.25">
      <c r="A221" s="56">
        <v>11628</v>
      </c>
      <c r="B221" s="61">
        <f t="shared" si="3"/>
        <v>1931</v>
      </c>
      <c r="C221">
        <v>7.9</v>
      </c>
    </row>
    <row r="222" spans="1:3" x14ac:dyDescent="0.25">
      <c r="A222" s="56">
        <v>11658</v>
      </c>
      <c r="B222" s="61">
        <f t="shared" si="3"/>
        <v>1931</v>
      </c>
      <c r="C222">
        <v>7.9</v>
      </c>
    </row>
    <row r="223" spans="1:3" x14ac:dyDescent="0.25">
      <c r="A223" s="56">
        <v>11689</v>
      </c>
      <c r="B223" s="61">
        <f t="shared" si="3"/>
        <v>1932</v>
      </c>
      <c r="C223">
        <v>7.8</v>
      </c>
    </row>
    <row r="224" spans="1:3" x14ac:dyDescent="0.25">
      <c r="A224" s="56">
        <v>11720</v>
      </c>
      <c r="B224" s="61">
        <f t="shared" si="3"/>
        <v>1932</v>
      </c>
      <c r="C224">
        <v>7.6</v>
      </c>
    </row>
    <row r="225" spans="1:3" x14ac:dyDescent="0.25">
      <c r="A225" s="56">
        <v>11749</v>
      </c>
      <c r="B225" s="61">
        <f t="shared" si="3"/>
        <v>1932</v>
      </c>
      <c r="C225">
        <v>7.6</v>
      </c>
    </row>
    <row r="226" spans="1:3" x14ac:dyDescent="0.25">
      <c r="A226" s="56">
        <v>11780</v>
      </c>
      <c r="B226" s="61">
        <f t="shared" si="3"/>
        <v>1932</v>
      </c>
      <c r="C226">
        <v>7.6</v>
      </c>
    </row>
    <row r="227" spans="1:3" x14ac:dyDescent="0.25">
      <c r="A227" s="56">
        <v>11810</v>
      </c>
      <c r="B227" s="61">
        <f t="shared" si="3"/>
        <v>1932</v>
      </c>
      <c r="C227">
        <v>7.4</v>
      </c>
    </row>
    <row r="228" spans="1:3" x14ac:dyDescent="0.25">
      <c r="A228" s="56">
        <v>11841</v>
      </c>
      <c r="B228" s="61">
        <f t="shared" si="3"/>
        <v>1932</v>
      </c>
      <c r="C228">
        <v>7.4</v>
      </c>
    </row>
    <row r="229" spans="1:3" x14ac:dyDescent="0.25">
      <c r="A229" s="56">
        <v>11871</v>
      </c>
      <c r="B229" s="61">
        <f t="shared" si="3"/>
        <v>1932</v>
      </c>
      <c r="C229">
        <v>7.4</v>
      </c>
    </row>
    <row r="230" spans="1:3" x14ac:dyDescent="0.25">
      <c r="A230" s="56">
        <v>11902</v>
      </c>
      <c r="B230" s="61">
        <f t="shared" si="3"/>
        <v>1932</v>
      </c>
      <c r="C230">
        <v>7.4</v>
      </c>
    </row>
    <row r="231" spans="1:3" x14ac:dyDescent="0.25">
      <c r="A231" s="56">
        <v>11933</v>
      </c>
      <c r="B231" s="61">
        <f t="shared" si="3"/>
        <v>1932</v>
      </c>
      <c r="C231">
        <v>7.4</v>
      </c>
    </row>
    <row r="232" spans="1:3" x14ac:dyDescent="0.25">
      <c r="A232" s="56">
        <v>11963</v>
      </c>
      <c r="B232" s="61">
        <f t="shared" si="3"/>
        <v>1932</v>
      </c>
      <c r="C232">
        <v>7.3</v>
      </c>
    </row>
    <row r="233" spans="1:3" x14ac:dyDescent="0.25">
      <c r="A233" s="56">
        <v>11994</v>
      </c>
      <c r="B233" s="61">
        <f t="shared" si="3"/>
        <v>1932</v>
      </c>
      <c r="C233">
        <v>7.3</v>
      </c>
    </row>
    <row r="234" spans="1:3" x14ac:dyDescent="0.25">
      <c r="A234" s="56">
        <v>12024</v>
      </c>
      <c r="B234" s="61">
        <f t="shared" si="3"/>
        <v>1932</v>
      </c>
      <c r="C234">
        <v>7.3</v>
      </c>
    </row>
    <row r="235" spans="1:3" x14ac:dyDescent="0.25">
      <c r="A235" s="56">
        <v>12055</v>
      </c>
      <c r="B235" s="61">
        <f t="shared" si="3"/>
        <v>1933</v>
      </c>
      <c r="C235">
        <v>7.2</v>
      </c>
    </row>
    <row r="236" spans="1:3" x14ac:dyDescent="0.25">
      <c r="A236" s="56">
        <v>12086</v>
      </c>
      <c r="B236" s="61">
        <f t="shared" si="3"/>
        <v>1933</v>
      </c>
      <c r="C236">
        <v>7.2</v>
      </c>
    </row>
    <row r="237" spans="1:3" x14ac:dyDescent="0.25">
      <c r="A237" s="56">
        <v>12114</v>
      </c>
      <c r="B237" s="61">
        <f t="shared" si="3"/>
        <v>1933</v>
      </c>
      <c r="C237">
        <v>7.1</v>
      </c>
    </row>
    <row r="238" spans="1:3" x14ac:dyDescent="0.25">
      <c r="A238" s="56">
        <v>12145</v>
      </c>
      <c r="B238" s="61">
        <f t="shared" si="3"/>
        <v>1933</v>
      </c>
      <c r="C238">
        <v>7.1</v>
      </c>
    </row>
    <row r="239" spans="1:3" x14ac:dyDescent="0.25">
      <c r="A239" s="56">
        <v>12175</v>
      </c>
      <c r="B239" s="61">
        <f t="shared" si="3"/>
        <v>1933</v>
      </c>
      <c r="C239">
        <v>7.1</v>
      </c>
    </row>
    <row r="240" spans="1:3" x14ac:dyDescent="0.25">
      <c r="A240" s="56">
        <v>12206</v>
      </c>
      <c r="B240" s="61">
        <f t="shared" si="3"/>
        <v>1933</v>
      </c>
      <c r="C240">
        <v>7.1</v>
      </c>
    </row>
    <row r="241" spans="1:3" x14ac:dyDescent="0.25">
      <c r="A241" s="56">
        <v>12236</v>
      </c>
      <c r="B241" s="61">
        <f t="shared" si="3"/>
        <v>1933</v>
      </c>
      <c r="C241">
        <v>7.1</v>
      </c>
    </row>
    <row r="242" spans="1:3" x14ac:dyDescent="0.25">
      <c r="A242" s="56">
        <v>12267</v>
      </c>
      <c r="B242" s="61">
        <f t="shared" si="3"/>
        <v>1933</v>
      </c>
      <c r="C242">
        <v>7.2</v>
      </c>
    </row>
    <row r="243" spans="1:3" x14ac:dyDescent="0.25">
      <c r="A243" s="56">
        <v>12298</v>
      </c>
      <c r="B243" s="61">
        <f t="shared" si="3"/>
        <v>1933</v>
      </c>
      <c r="C243">
        <v>7.2</v>
      </c>
    </row>
    <row r="244" spans="1:3" x14ac:dyDescent="0.25">
      <c r="A244" s="56">
        <v>12328</v>
      </c>
      <c r="B244" s="61">
        <f t="shared" si="3"/>
        <v>1933</v>
      </c>
      <c r="C244">
        <v>7.1</v>
      </c>
    </row>
    <row r="245" spans="1:3" x14ac:dyDescent="0.25">
      <c r="A245" s="56">
        <v>12359</v>
      </c>
      <c r="B245" s="61">
        <f t="shared" si="3"/>
        <v>1933</v>
      </c>
      <c r="C245">
        <v>7.1</v>
      </c>
    </row>
    <row r="246" spans="1:3" x14ac:dyDescent="0.25">
      <c r="A246" s="56">
        <v>12389</v>
      </c>
      <c r="B246" s="61">
        <f t="shared" si="3"/>
        <v>1933</v>
      </c>
      <c r="C246">
        <v>7.1</v>
      </c>
    </row>
    <row r="247" spans="1:3" x14ac:dyDescent="0.25">
      <c r="A247" s="56">
        <v>12420</v>
      </c>
      <c r="B247" s="61">
        <f t="shared" si="3"/>
        <v>1934</v>
      </c>
      <c r="C247">
        <v>7.2</v>
      </c>
    </row>
    <row r="248" spans="1:3" x14ac:dyDescent="0.25">
      <c r="A248" s="56">
        <v>12451</v>
      </c>
      <c r="B248" s="61">
        <f t="shared" si="3"/>
        <v>1934</v>
      </c>
      <c r="C248">
        <v>7.2</v>
      </c>
    </row>
    <row r="249" spans="1:3" x14ac:dyDescent="0.25">
      <c r="A249" s="56">
        <v>12479</v>
      </c>
      <c r="B249" s="61">
        <f t="shared" si="3"/>
        <v>1934</v>
      </c>
      <c r="C249">
        <v>7.3</v>
      </c>
    </row>
    <row r="250" spans="1:3" x14ac:dyDescent="0.25">
      <c r="A250" s="56">
        <v>12510</v>
      </c>
      <c r="B250" s="61">
        <f t="shared" si="3"/>
        <v>1934</v>
      </c>
      <c r="C250">
        <v>7.3</v>
      </c>
    </row>
    <row r="251" spans="1:3" x14ac:dyDescent="0.25">
      <c r="A251" s="56">
        <v>12540</v>
      </c>
      <c r="B251" s="61">
        <f t="shared" si="3"/>
        <v>1934</v>
      </c>
      <c r="C251">
        <v>7.2</v>
      </c>
    </row>
    <row r="252" spans="1:3" x14ac:dyDescent="0.25">
      <c r="A252" s="56">
        <v>12571</v>
      </c>
      <c r="B252" s="61">
        <f t="shared" si="3"/>
        <v>1934</v>
      </c>
      <c r="C252">
        <v>7.2</v>
      </c>
    </row>
    <row r="253" spans="1:3" x14ac:dyDescent="0.25">
      <c r="A253" s="56">
        <v>12601</v>
      </c>
      <c r="B253" s="61">
        <f t="shared" si="3"/>
        <v>1934</v>
      </c>
      <c r="C253">
        <v>7.2</v>
      </c>
    </row>
    <row r="254" spans="1:3" x14ac:dyDescent="0.25">
      <c r="A254" s="56">
        <v>12632</v>
      </c>
      <c r="B254" s="61">
        <f t="shared" si="3"/>
        <v>1934</v>
      </c>
      <c r="C254">
        <v>7.2</v>
      </c>
    </row>
    <row r="255" spans="1:3" x14ac:dyDescent="0.25">
      <c r="A255" s="56">
        <v>12663</v>
      </c>
      <c r="B255" s="61">
        <f t="shared" si="3"/>
        <v>1934</v>
      </c>
      <c r="C255">
        <v>7.2</v>
      </c>
    </row>
    <row r="256" spans="1:3" x14ac:dyDescent="0.25">
      <c r="A256" s="56">
        <v>12693</v>
      </c>
      <c r="B256" s="61">
        <f t="shared" si="3"/>
        <v>1934</v>
      </c>
      <c r="C256">
        <v>7.2</v>
      </c>
    </row>
    <row r="257" spans="1:3" x14ac:dyDescent="0.25">
      <c r="A257" s="56">
        <v>12724</v>
      </c>
      <c r="B257" s="61">
        <f t="shared" si="3"/>
        <v>1934</v>
      </c>
      <c r="C257">
        <v>7.2</v>
      </c>
    </row>
    <row r="258" spans="1:3" x14ac:dyDescent="0.25">
      <c r="A258" s="56">
        <v>12754</v>
      </c>
      <c r="B258" s="61">
        <f t="shared" si="3"/>
        <v>1934</v>
      </c>
      <c r="C258">
        <v>7.2</v>
      </c>
    </row>
    <row r="259" spans="1:3" x14ac:dyDescent="0.25">
      <c r="A259" s="56">
        <v>12785</v>
      </c>
      <c r="B259" s="61">
        <f t="shared" si="3"/>
        <v>1935</v>
      </c>
      <c r="C259">
        <v>7.2</v>
      </c>
    </row>
    <row r="260" spans="1:3" x14ac:dyDescent="0.25">
      <c r="A260" s="56">
        <v>12816</v>
      </c>
      <c r="B260" s="61">
        <f t="shared" si="3"/>
        <v>1935</v>
      </c>
      <c r="C260">
        <v>7.2</v>
      </c>
    </row>
    <row r="261" spans="1:3" x14ac:dyDescent="0.25">
      <c r="A261" s="56">
        <v>12844</v>
      </c>
      <c r="B261" s="61">
        <f t="shared" si="3"/>
        <v>1935</v>
      </c>
      <c r="C261">
        <v>7.2</v>
      </c>
    </row>
    <row r="262" spans="1:3" x14ac:dyDescent="0.25">
      <c r="A262" s="56">
        <v>12875</v>
      </c>
      <c r="B262" s="61">
        <f t="shared" si="3"/>
        <v>1935</v>
      </c>
      <c r="C262">
        <v>7.2</v>
      </c>
    </row>
    <row r="263" spans="1:3" x14ac:dyDescent="0.25">
      <c r="A263" s="56">
        <v>12905</v>
      </c>
      <c r="B263" s="61">
        <f t="shared" si="3"/>
        <v>1935</v>
      </c>
      <c r="C263">
        <v>7.2</v>
      </c>
    </row>
    <row r="264" spans="1:3" x14ac:dyDescent="0.25">
      <c r="A264" s="56">
        <v>12936</v>
      </c>
      <c r="B264" s="61">
        <f t="shared" ref="B264:B327" si="4">YEAR(A264)</f>
        <v>1935</v>
      </c>
      <c r="C264">
        <v>7.2</v>
      </c>
    </row>
    <row r="265" spans="1:3" x14ac:dyDescent="0.25">
      <c r="A265" s="56">
        <v>12966</v>
      </c>
      <c r="B265" s="61">
        <f t="shared" si="4"/>
        <v>1935</v>
      </c>
      <c r="C265">
        <v>7.2</v>
      </c>
    </row>
    <row r="266" spans="1:3" x14ac:dyDescent="0.25">
      <c r="A266" s="56">
        <v>12997</v>
      </c>
      <c r="B266" s="61">
        <f t="shared" si="4"/>
        <v>1935</v>
      </c>
      <c r="C266">
        <v>7.2</v>
      </c>
    </row>
    <row r="267" spans="1:3" x14ac:dyDescent="0.25">
      <c r="A267" s="56">
        <v>13028</v>
      </c>
      <c r="B267" s="61">
        <f t="shared" si="4"/>
        <v>1935</v>
      </c>
      <c r="C267">
        <v>7.3</v>
      </c>
    </row>
    <row r="268" spans="1:3" x14ac:dyDescent="0.25">
      <c r="A268" s="56">
        <v>13058</v>
      </c>
      <c r="B268" s="61">
        <f t="shared" si="4"/>
        <v>1935</v>
      </c>
      <c r="C268">
        <v>7.3</v>
      </c>
    </row>
    <row r="269" spans="1:3" x14ac:dyDescent="0.25">
      <c r="A269" s="56">
        <v>13089</v>
      </c>
      <c r="B269" s="61">
        <f t="shared" si="4"/>
        <v>1935</v>
      </c>
      <c r="C269">
        <v>7.4</v>
      </c>
    </row>
    <row r="270" spans="1:3" x14ac:dyDescent="0.25">
      <c r="A270" s="56">
        <v>13119</v>
      </c>
      <c r="B270" s="61">
        <f t="shared" si="4"/>
        <v>1935</v>
      </c>
      <c r="C270">
        <v>7.4</v>
      </c>
    </row>
    <row r="271" spans="1:3" x14ac:dyDescent="0.25">
      <c r="A271" s="56">
        <v>13150</v>
      </c>
      <c r="B271" s="61">
        <f t="shared" si="4"/>
        <v>1936</v>
      </c>
      <c r="C271">
        <v>7.4</v>
      </c>
    </row>
    <row r="272" spans="1:3" x14ac:dyDescent="0.25">
      <c r="A272" s="56">
        <v>13181</v>
      </c>
      <c r="B272" s="61">
        <f t="shared" si="4"/>
        <v>1936</v>
      </c>
      <c r="C272">
        <v>7.4</v>
      </c>
    </row>
    <row r="273" spans="1:3" x14ac:dyDescent="0.25">
      <c r="A273" s="56">
        <v>13210</v>
      </c>
      <c r="B273" s="61">
        <f t="shared" si="4"/>
        <v>1936</v>
      </c>
      <c r="C273">
        <v>7.4</v>
      </c>
    </row>
    <row r="274" spans="1:3" x14ac:dyDescent="0.25">
      <c r="A274" s="56">
        <v>13241</v>
      </c>
      <c r="B274" s="61">
        <f t="shared" si="4"/>
        <v>1936</v>
      </c>
      <c r="C274">
        <v>7.3</v>
      </c>
    </row>
    <row r="275" spans="1:3" x14ac:dyDescent="0.25">
      <c r="A275" s="56">
        <v>13271</v>
      </c>
      <c r="B275" s="61">
        <f t="shared" si="4"/>
        <v>1936</v>
      </c>
      <c r="C275">
        <v>7.3</v>
      </c>
    </row>
    <row r="276" spans="1:3" x14ac:dyDescent="0.25">
      <c r="A276" s="56">
        <v>13302</v>
      </c>
      <c r="B276" s="61">
        <f t="shared" si="4"/>
        <v>1936</v>
      </c>
      <c r="C276">
        <v>7.3</v>
      </c>
    </row>
    <row r="277" spans="1:3" x14ac:dyDescent="0.25">
      <c r="A277" s="56">
        <v>13332</v>
      </c>
      <c r="B277" s="61">
        <f t="shared" si="4"/>
        <v>1936</v>
      </c>
      <c r="C277">
        <v>7.4</v>
      </c>
    </row>
    <row r="278" spans="1:3" x14ac:dyDescent="0.25">
      <c r="A278" s="56">
        <v>13363</v>
      </c>
      <c r="B278" s="61">
        <f t="shared" si="4"/>
        <v>1936</v>
      </c>
      <c r="C278">
        <v>7.4</v>
      </c>
    </row>
    <row r="279" spans="1:3" x14ac:dyDescent="0.25">
      <c r="A279" s="56">
        <v>13394</v>
      </c>
      <c r="B279" s="61">
        <f t="shared" si="4"/>
        <v>1936</v>
      </c>
      <c r="C279">
        <v>7.4</v>
      </c>
    </row>
    <row r="280" spans="1:3" x14ac:dyDescent="0.25">
      <c r="A280" s="56">
        <v>13424</v>
      </c>
      <c r="B280" s="61">
        <f t="shared" si="4"/>
        <v>1936</v>
      </c>
      <c r="C280">
        <v>7.5</v>
      </c>
    </row>
    <row r="281" spans="1:3" x14ac:dyDescent="0.25">
      <c r="A281" s="56">
        <v>13455</v>
      </c>
      <c r="B281" s="61">
        <f t="shared" si="4"/>
        <v>1936</v>
      </c>
      <c r="C281">
        <v>7.5</v>
      </c>
    </row>
    <row r="282" spans="1:3" x14ac:dyDescent="0.25">
      <c r="A282" s="56">
        <v>13485</v>
      </c>
      <c r="B282" s="61">
        <f t="shared" si="4"/>
        <v>1936</v>
      </c>
      <c r="C282">
        <v>7.5</v>
      </c>
    </row>
    <row r="283" spans="1:3" x14ac:dyDescent="0.25">
      <c r="A283" s="56">
        <v>13516</v>
      </c>
      <c r="B283" s="61">
        <f t="shared" si="4"/>
        <v>1937</v>
      </c>
      <c r="C283">
        <v>7.6</v>
      </c>
    </row>
    <row r="284" spans="1:3" x14ac:dyDescent="0.25">
      <c r="A284" s="56">
        <v>13547</v>
      </c>
      <c r="B284" s="61">
        <f t="shared" si="4"/>
        <v>1937</v>
      </c>
      <c r="C284">
        <v>7.6</v>
      </c>
    </row>
    <row r="285" spans="1:3" x14ac:dyDescent="0.25">
      <c r="A285" s="56">
        <v>13575</v>
      </c>
      <c r="B285" s="61">
        <f t="shared" si="4"/>
        <v>1937</v>
      </c>
      <c r="C285">
        <v>7.6</v>
      </c>
    </row>
    <row r="286" spans="1:3" x14ac:dyDescent="0.25">
      <c r="A286" s="56">
        <v>13606</v>
      </c>
      <c r="B286" s="61">
        <f t="shared" si="4"/>
        <v>1937</v>
      </c>
      <c r="C286">
        <v>7.6</v>
      </c>
    </row>
    <row r="287" spans="1:3" x14ac:dyDescent="0.25">
      <c r="A287" s="56">
        <v>13636</v>
      </c>
      <c r="B287" s="61">
        <f t="shared" si="4"/>
        <v>1937</v>
      </c>
      <c r="C287">
        <v>7.6</v>
      </c>
    </row>
    <row r="288" spans="1:3" x14ac:dyDescent="0.25">
      <c r="A288" s="56">
        <v>13667</v>
      </c>
      <c r="B288" s="61">
        <f t="shared" si="4"/>
        <v>1937</v>
      </c>
      <c r="C288">
        <v>7.6</v>
      </c>
    </row>
    <row r="289" spans="1:3" x14ac:dyDescent="0.25">
      <c r="A289" s="56">
        <v>13697</v>
      </c>
      <c r="B289" s="61">
        <f t="shared" si="4"/>
        <v>1937</v>
      </c>
      <c r="C289">
        <v>7.6</v>
      </c>
    </row>
    <row r="290" spans="1:3" x14ac:dyDescent="0.25">
      <c r="A290" s="56">
        <v>13728</v>
      </c>
      <c r="B290" s="61">
        <f t="shared" si="4"/>
        <v>1937</v>
      </c>
      <c r="C290">
        <v>7.7</v>
      </c>
    </row>
    <row r="291" spans="1:3" x14ac:dyDescent="0.25">
      <c r="A291" s="56">
        <v>13759</v>
      </c>
      <c r="B291" s="61">
        <f t="shared" si="4"/>
        <v>1937</v>
      </c>
      <c r="C291">
        <v>7.7</v>
      </c>
    </row>
    <row r="292" spans="1:3" x14ac:dyDescent="0.25">
      <c r="A292" s="56">
        <v>13789</v>
      </c>
      <c r="B292" s="61">
        <f t="shared" si="4"/>
        <v>1937</v>
      </c>
      <c r="C292">
        <v>7.8</v>
      </c>
    </row>
    <row r="293" spans="1:3" x14ac:dyDescent="0.25">
      <c r="A293" s="56">
        <v>13820</v>
      </c>
      <c r="B293" s="61">
        <f t="shared" si="4"/>
        <v>1937</v>
      </c>
      <c r="C293">
        <v>7.8</v>
      </c>
    </row>
    <row r="294" spans="1:3" x14ac:dyDescent="0.25">
      <c r="A294" s="56">
        <v>13850</v>
      </c>
      <c r="B294" s="61">
        <f t="shared" si="4"/>
        <v>1937</v>
      </c>
      <c r="C294">
        <v>7.8</v>
      </c>
    </row>
    <row r="295" spans="1:3" x14ac:dyDescent="0.25">
      <c r="A295" s="56">
        <v>13881</v>
      </c>
      <c r="B295" s="61">
        <f t="shared" si="4"/>
        <v>1938</v>
      </c>
      <c r="C295">
        <v>7.7</v>
      </c>
    </row>
    <row r="296" spans="1:3" x14ac:dyDescent="0.25">
      <c r="A296" s="56">
        <v>13912</v>
      </c>
      <c r="B296" s="61">
        <f t="shared" si="4"/>
        <v>1938</v>
      </c>
      <c r="C296">
        <v>7.7</v>
      </c>
    </row>
    <row r="297" spans="1:3" x14ac:dyDescent="0.25">
      <c r="A297" s="56">
        <v>13940</v>
      </c>
      <c r="B297" s="61">
        <f t="shared" si="4"/>
        <v>1938</v>
      </c>
      <c r="C297">
        <v>7.8</v>
      </c>
    </row>
    <row r="298" spans="1:3" x14ac:dyDescent="0.25">
      <c r="A298" s="56">
        <v>13971</v>
      </c>
      <c r="B298" s="61">
        <f t="shared" si="4"/>
        <v>1938</v>
      </c>
      <c r="C298">
        <v>7.8</v>
      </c>
    </row>
    <row r="299" spans="1:3" x14ac:dyDescent="0.25">
      <c r="A299" s="56">
        <v>14001</v>
      </c>
      <c r="B299" s="61">
        <f t="shared" si="4"/>
        <v>1938</v>
      </c>
      <c r="C299">
        <v>7.7</v>
      </c>
    </row>
    <row r="300" spans="1:3" x14ac:dyDescent="0.25">
      <c r="A300" s="56">
        <v>14032</v>
      </c>
      <c r="B300" s="61">
        <f t="shared" si="4"/>
        <v>1938</v>
      </c>
      <c r="C300">
        <v>7.7</v>
      </c>
    </row>
    <row r="301" spans="1:3" x14ac:dyDescent="0.25">
      <c r="A301" s="56">
        <v>14062</v>
      </c>
      <c r="B301" s="61">
        <f t="shared" si="4"/>
        <v>1938</v>
      </c>
      <c r="C301">
        <v>7.8</v>
      </c>
    </row>
    <row r="302" spans="1:3" x14ac:dyDescent="0.25">
      <c r="A302" s="56">
        <v>14093</v>
      </c>
      <c r="B302" s="61">
        <f t="shared" si="4"/>
        <v>1938</v>
      </c>
      <c r="C302">
        <v>7.8</v>
      </c>
    </row>
    <row r="303" spans="1:3" x14ac:dyDescent="0.25">
      <c r="A303" s="56">
        <v>14124</v>
      </c>
      <c r="B303" s="61">
        <f t="shared" si="4"/>
        <v>1938</v>
      </c>
      <c r="C303">
        <v>7.7</v>
      </c>
    </row>
    <row r="304" spans="1:3" x14ac:dyDescent="0.25">
      <c r="A304" s="56">
        <v>14154</v>
      </c>
      <c r="B304" s="61">
        <f t="shared" si="4"/>
        <v>1938</v>
      </c>
      <c r="C304">
        <v>7.6</v>
      </c>
    </row>
    <row r="305" spans="1:3" x14ac:dyDescent="0.25">
      <c r="A305" s="56">
        <v>14185</v>
      </c>
      <c r="B305" s="61">
        <f t="shared" si="4"/>
        <v>1938</v>
      </c>
      <c r="C305">
        <v>7.6</v>
      </c>
    </row>
    <row r="306" spans="1:3" x14ac:dyDescent="0.25">
      <c r="A306" s="56">
        <v>14215</v>
      </c>
      <c r="B306" s="61">
        <f t="shared" si="4"/>
        <v>1938</v>
      </c>
      <c r="C306">
        <v>7.6</v>
      </c>
    </row>
    <row r="307" spans="1:3" x14ac:dyDescent="0.25">
      <c r="A307" s="56">
        <v>14246</v>
      </c>
      <c r="B307" s="61">
        <f t="shared" si="4"/>
        <v>1939</v>
      </c>
      <c r="C307">
        <v>7.6</v>
      </c>
    </row>
    <row r="308" spans="1:3" x14ac:dyDescent="0.25">
      <c r="A308" s="56">
        <v>14277</v>
      </c>
      <c r="B308" s="61">
        <f t="shared" si="4"/>
        <v>1939</v>
      </c>
      <c r="C308">
        <v>7.6</v>
      </c>
    </row>
    <row r="309" spans="1:3" x14ac:dyDescent="0.25">
      <c r="A309" s="56">
        <v>14305</v>
      </c>
      <c r="B309" s="61">
        <f t="shared" si="4"/>
        <v>1939</v>
      </c>
      <c r="C309">
        <v>7.6</v>
      </c>
    </row>
    <row r="310" spans="1:3" x14ac:dyDescent="0.25">
      <c r="A310" s="56">
        <v>14336</v>
      </c>
      <c r="B310" s="61">
        <f t="shared" si="4"/>
        <v>1939</v>
      </c>
      <c r="C310">
        <v>7.6</v>
      </c>
    </row>
    <row r="311" spans="1:3" x14ac:dyDescent="0.25">
      <c r="A311" s="56">
        <v>14366</v>
      </c>
      <c r="B311" s="61">
        <f t="shared" si="4"/>
        <v>1939</v>
      </c>
      <c r="C311">
        <v>7.6</v>
      </c>
    </row>
    <row r="312" spans="1:3" x14ac:dyDescent="0.25">
      <c r="A312" s="56">
        <v>14397</v>
      </c>
      <c r="B312" s="61">
        <f t="shared" si="4"/>
        <v>1939</v>
      </c>
      <c r="C312">
        <v>7.6</v>
      </c>
    </row>
    <row r="313" spans="1:3" x14ac:dyDescent="0.25">
      <c r="A313" s="56">
        <v>14427</v>
      </c>
      <c r="B313" s="61">
        <f t="shared" si="4"/>
        <v>1939</v>
      </c>
      <c r="C313">
        <v>7.6</v>
      </c>
    </row>
    <row r="314" spans="1:3" x14ac:dyDescent="0.25">
      <c r="A314" s="56">
        <v>14458</v>
      </c>
      <c r="B314" s="61">
        <f t="shared" si="4"/>
        <v>1939</v>
      </c>
      <c r="C314">
        <v>7.6</v>
      </c>
    </row>
    <row r="315" spans="1:3" x14ac:dyDescent="0.25">
      <c r="A315" s="56">
        <v>14489</v>
      </c>
      <c r="B315" s="61">
        <f t="shared" si="4"/>
        <v>1939</v>
      </c>
      <c r="C315">
        <v>7.6</v>
      </c>
    </row>
    <row r="316" spans="1:3" x14ac:dyDescent="0.25">
      <c r="A316" s="56">
        <v>14519</v>
      </c>
      <c r="B316" s="61">
        <f t="shared" si="4"/>
        <v>1939</v>
      </c>
      <c r="C316">
        <v>7.8</v>
      </c>
    </row>
    <row r="317" spans="1:3" x14ac:dyDescent="0.25">
      <c r="A317" s="56">
        <v>14550</v>
      </c>
      <c r="B317" s="61">
        <f t="shared" si="4"/>
        <v>1939</v>
      </c>
      <c r="C317">
        <v>7.8</v>
      </c>
    </row>
    <row r="318" spans="1:3" x14ac:dyDescent="0.25">
      <c r="A318" s="56">
        <v>14580</v>
      </c>
      <c r="B318" s="61">
        <f t="shared" si="4"/>
        <v>1939</v>
      </c>
      <c r="C318">
        <v>7.8</v>
      </c>
    </row>
    <row r="319" spans="1:3" x14ac:dyDescent="0.25">
      <c r="A319" s="56">
        <v>14611</v>
      </c>
      <c r="B319" s="61">
        <f t="shared" si="4"/>
        <v>1940</v>
      </c>
      <c r="C319">
        <v>7.8</v>
      </c>
    </row>
    <row r="320" spans="1:3" x14ac:dyDescent="0.25">
      <c r="A320" s="56">
        <v>14642</v>
      </c>
      <c r="B320" s="61">
        <f t="shared" si="4"/>
        <v>1940</v>
      </c>
      <c r="C320">
        <v>7.8</v>
      </c>
    </row>
    <row r="321" spans="1:3" x14ac:dyDescent="0.25">
      <c r="A321" s="56">
        <v>14671</v>
      </c>
      <c r="B321" s="61">
        <f t="shared" si="4"/>
        <v>1940</v>
      </c>
      <c r="C321">
        <v>7.9</v>
      </c>
    </row>
    <row r="322" spans="1:3" x14ac:dyDescent="0.25">
      <c r="A322" s="56">
        <v>14702</v>
      </c>
      <c r="B322" s="61">
        <f t="shared" si="4"/>
        <v>1940</v>
      </c>
      <c r="C322">
        <v>7.9</v>
      </c>
    </row>
    <row r="323" spans="1:3" x14ac:dyDescent="0.25">
      <c r="A323" s="56">
        <v>14732</v>
      </c>
      <c r="B323" s="61">
        <f t="shared" si="4"/>
        <v>1940</v>
      </c>
      <c r="C323">
        <v>7.9</v>
      </c>
    </row>
    <row r="324" spans="1:3" x14ac:dyDescent="0.25">
      <c r="A324" s="56">
        <v>14763</v>
      </c>
      <c r="B324" s="61">
        <f t="shared" si="4"/>
        <v>1940</v>
      </c>
      <c r="C324">
        <v>7.9</v>
      </c>
    </row>
    <row r="325" spans="1:3" x14ac:dyDescent="0.25">
      <c r="A325" s="56">
        <v>14793</v>
      </c>
      <c r="B325" s="61">
        <f t="shared" si="4"/>
        <v>1940</v>
      </c>
      <c r="C325">
        <v>8</v>
      </c>
    </row>
    <row r="326" spans="1:3" x14ac:dyDescent="0.25">
      <c r="A326" s="56">
        <v>14824</v>
      </c>
      <c r="B326" s="61">
        <f t="shared" si="4"/>
        <v>1940</v>
      </c>
      <c r="C326">
        <v>8</v>
      </c>
    </row>
    <row r="327" spans="1:3" x14ac:dyDescent="0.25">
      <c r="A327" s="56">
        <v>14855</v>
      </c>
      <c r="B327" s="61">
        <f t="shared" si="4"/>
        <v>1940</v>
      </c>
      <c r="C327">
        <v>8.1</v>
      </c>
    </row>
    <row r="328" spans="1:3" x14ac:dyDescent="0.25">
      <c r="A328" s="56">
        <v>14885</v>
      </c>
      <c r="B328" s="61">
        <f t="shared" ref="B328:B391" si="5">YEAR(A328)</f>
        <v>1940</v>
      </c>
      <c r="C328">
        <v>8.1</v>
      </c>
    </row>
    <row r="329" spans="1:3" x14ac:dyDescent="0.25">
      <c r="A329" s="56">
        <v>14916</v>
      </c>
      <c r="B329" s="61">
        <f t="shared" si="5"/>
        <v>1940</v>
      </c>
      <c r="C329">
        <v>8.1</v>
      </c>
    </row>
    <row r="330" spans="1:3" x14ac:dyDescent="0.25">
      <c r="A330" s="56">
        <v>14946</v>
      </c>
      <c r="B330" s="61">
        <f t="shared" si="5"/>
        <v>1940</v>
      </c>
      <c r="C330">
        <v>8.1999999999999993</v>
      </c>
    </row>
    <row r="331" spans="1:3" x14ac:dyDescent="0.25">
      <c r="A331" s="56">
        <v>14977</v>
      </c>
      <c r="B331" s="61">
        <f t="shared" si="5"/>
        <v>1941</v>
      </c>
      <c r="C331">
        <v>8.1999999999999993</v>
      </c>
    </row>
    <row r="332" spans="1:3" x14ac:dyDescent="0.25">
      <c r="A332" s="56">
        <v>15008</v>
      </c>
      <c r="B332" s="61">
        <f t="shared" si="5"/>
        <v>1941</v>
      </c>
      <c r="C332">
        <v>8.1999999999999993</v>
      </c>
    </row>
    <row r="333" spans="1:3" x14ac:dyDescent="0.25">
      <c r="A333" s="56">
        <v>15036</v>
      </c>
      <c r="B333" s="61">
        <f t="shared" si="5"/>
        <v>1941</v>
      </c>
      <c r="C333">
        <v>8.1999999999999993</v>
      </c>
    </row>
    <row r="334" spans="1:3" x14ac:dyDescent="0.25">
      <c r="A334" s="56">
        <v>15067</v>
      </c>
      <c r="B334" s="61">
        <f t="shared" si="5"/>
        <v>1941</v>
      </c>
      <c r="C334">
        <v>8.1999999999999993</v>
      </c>
    </row>
    <row r="335" spans="1:3" x14ac:dyDescent="0.25">
      <c r="A335" s="56">
        <v>15097</v>
      </c>
      <c r="B335" s="61">
        <f t="shared" si="5"/>
        <v>1941</v>
      </c>
      <c r="C335">
        <v>8.1999999999999993</v>
      </c>
    </row>
    <row r="336" spans="1:3" x14ac:dyDescent="0.25">
      <c r="A336" s="56">
        <v>15128</v>
      </c>
      <c r="B336" s="61">
        <f t="shared" si="5"/>
        <v>1941</v>
      </c>
      <c r="C336">
        <v>8.4</v>
      </c>
    </row>
    <row r="337" spans="1:3" x14ac:dyDescent="0.25">
      <c r="A337" s="56">
        <v>15158</v>
      </c>
      <c r="B337" s="61">
        <f t="shared" si="5"/>
        <v>1941</v>
      </c>
      <c r="C337">
        <v>8.5</v>
      </c>
    </row>
    <row r="338" spans="1:3" x14ac:dyDescent="0.25">
      <c r="A338" s="56">
        <v>15189</v>
      </c>
      <c r="B338" s="61">
        <f t="shared" si="5"/>
        <v>1941</v>
      </c>
      <c r="C338">
        <v>8.6</v>
      </c>
    </row>
    <row r="339" spans="1:3" x14ac:dyDescent="0.25">
      <c r="A339" s="56">
        <v>15220</v>
      </c>
      <c r="B339" s="61">
        <f t="shared" si="5"/>
        <v>1941</v>
      </c>
      <c r="C339">
        <v>8.6999999999999993</v>
      </c>
    </row>
    <row r="340" spans="1:3" x14ac:dyDescent="0.25">
      <c r="A340" s="56">
        <v>15250</v>
      </c>
      <c r="B340" s="61">
        <f t="shared" si="5"/>
        <v>1941</v>
      </c>
      <c r="C340">
        <v>8.6999999999999993</v>
      </c>
    </row>
    <row r="341" spans="1:3" x14ac:dyDescent="0.25">
      <c r="A341" s="56">
        <v>15281</v>
      </c>
      <c r="B341" s="61">
        <f t="shared" si="5"/>
        <v>1941</v>
      </c>
      <c r="C341">
        <v>8.8000000000000007</v>
      </c>
    </row>
    <row r="342" spans="1:3" x14ac:dyDescent="0.25">
      <c r="A342" s="56">
        <v>15311</v>
      </c>
      <c r="B342" s="61">
        <f t="shared" si="5"/>
        <v>1941</v>
      </c>
      <c r="C342">
        <v>8.6999999999999993</v>
      </c>
    </row>
    <row r="343" spans="1:3" x14ac:dyDescent="0.25">
      <c r="A343" s="56">
        <v>15342</v>
      </c>
      <c r="B343" s="61">
        <f t="shared" si="5"/>
        <v>1942</v>
      </c>
      <c r="C343">
        <v>8.6999999999999993</v>
      </c>
    </row>
    <row r="344" spans="1:3" x14ac:dyDescent="0.25">
      <c r="A344" s="56">
        <v>15373</v>
      </c>
      <c r="B344" s="61">
        <f t="shared" si="5"/>
        <v>1942</v>
      </c>
      <c r="C344">
        <v>8.6999999999999993</v>
      </c>
    </row>
    <row r="345" spans="1:3" x14ac:dyDescent="0.25">
      <c r="A345" s="56">
        <v>15401</v>
      </c>
      <c r="B345" s="61">
        <f t="shared" si="5"/>
        <v>1942</v>
      </c>
      <c r="C345">
        <v>8.8000000000000007</v>
      </c>
    </row>
    <row r="346" spans="1:3" x14ac:dyDescent="0.25">
      <c r="A346" s="56">
        <v>15432</v>
      </c>
      <c r="B346" s="61">
        <f t="shared" si="5"/>
        <v>1942</v>
      </c>
      <c r="C346">
        <v>8.8000000000000007</v>
      </c>
    </row>
    <row r="347" spans="1:3" x14ac:dyDescent="0.25">
      <c r="A347" s="56">
        <v>15462</v>
      </c>
      <c r="B347" s="61">
        <f t="shared" si="5"/>
        <v>1942</v>
      </c>
      <c r="C347">
        <v>8.8000000000000007</v>
      </c>
    </row>
    <row r="348" spans="1:3" x14ac:dyDescent="0.25">
      <c r="A348" s="56">
        <v>15493</v>
      </c>
      <c r="B348" s="61">
        <f t="shared" si="5"/>
        <v>1942</v>
      </c>
      <c r="C348">
        <v>8.8000000000000007</v>
      </c>
    </row>
    <row r="349" spans="1:3" x14ac:dyDescent="0.25">
      <c r="A349" s="56">
        <v>15523</v>
      </c>
      <c r="B349" s="61">
        <f t="shared" si="5"/>
        <v>1942</v>
      </c>
      <c r="C349">
        <v>8.9</v>
      </c>
    </row>
    <row r="350" spans="1:3" x14ac:dyDescent="0.25">
      <c r="A350" s="56">
        <v>15554</v>
      </c>
      <c r="B350" s="61">
        <f t="shared" si="5"/>
        <v>1942</v>
      </c>
      <c r="C350">
        <v>8.9</v>
      </c>
    </row>
    <row r="351" spans="1:3" x14ac:dyDescent="0.25">
      <c r="A351" s="56">
        <v>15585</v>
      </c>
      <c r="B351" s="61">
        <f t="shared" si="5"/>
        <v>1942</v>
      </c>
      <c r="C351">
        <v>8.8000000000000007</v>
      </c>
    </row>
    <row r="352" spans="1:3" x14ac:dyDescent="0.25">
      <c r="A352" s="56">
        <v>15615</v>
      </c>
      <c r="B352" s="61">
        <f t="shared" si="5"/>
        <v>1942</v>
      </c>
      <c r="C352">
        <v>8.9</v>
      </c>
    </row>
    <row r="353" spans="1:3" x14ac:dyDescent="0.25">
      <c r="A353" s="56">
        <v>15646</v>
      </c>
      <c r="B353" s="61">
        <f t="shared" si="5"/>
        <v>1942</v>
      </c>
      <c r="C353">
        <v>9</v>
      </c>
    </row>
    <row r="354" spans="1:3" x14ac:dyDescent="0.25">
      <c r="A354" s="56">
        <v>15676</v>
      </c>
      <c r="B354" s="61">
        <f t="shared" si="5"/>
        <v>1942</v>
      </c>
      <c r="C354">
        <v>9</v>
      </c>
    </row>
    <row r="355" spans="1:3" x14ac:dyDescent="0.25">
      <c r="A355" s="56">
        <v>15707</v>
      </c>
      <c r="B355" s="61">
        <f t="shared" si="5"/>
        <v>1943</v>
      </c>
      <c r="C355">
        <v>8.8000000000000007</v>
      </c>
    </row>
    <row r="356" spans="1:3" x14ac:dyDescent="0.25">
      <c r="A356" s="56">
        <v>15738</v>
      </c>
      <c r="B356" s="61">
        <f t="shared" si="5"/>
        <v>1943</v>
      </c>
      <c r="C356">
        <v>8.8000000000000007</v>
      </c>
    </row>
    <row r="357" spans="1:3" x14ac:dyDescent="0.25">
      <c r="A357" s="56">
        <v>15766</v>
      </c>
      <c r="B357" s="61">
        <f t="shared" si="5"/>
        <v>1943</v>
      </c>
      <c r="C357">
        <v>8.8000000000000007</v>
      </c>
    </row>
    <row r="358" spans="1:3" x14ac:dyDescent="0.25">
      <c r="A358" s="56">
        <v>15797</v>
      </c>
      <c r="B358" s="61">
        <f t="shared" si="5"/>
        <v>1943</v>
      </c>
      <c r="C358">
        <v>9</v>
      </c>
    </row>
    <row r="359" spans="1:3" x14ac:dyDescent="0.25">
      <c r="A359" s="56">
        <v>15827</v>
      </c>
      <c r="B359" s="61">
        <f t="shared" si="5"/>
        <v>1943</v>
      </c>
      <c r="C359">
        <v>9</v>
      </c>
    </row>
    <row r="360" spans="1:3" x14ac:dyDescent="0.25">
      <c r="A360" s="56">
        <v>15858</v>
      </c>
      <c r="B360" s="61">
        <f t="shared" si="5"/>
        <v>1943</v>
      </c>
      <c r="C360">
        <v>9</v>
      </c>
    </row>
    <row r="361" spans="1:3" x14ac:dyDescent="0.25">
      <c r="A361" s="56">
        <v>15888</v>
      </c>
      <c r="B361" s="61">
        <f t="shared" si="5"/>
        <v>1943</v>
      </c>
      <c r="C361">
        <v>9.1</v>
      </c>
    </row>
    <row r="362" spans="1:3" x14ac:dyDescent="0.25">
      <c r="A362" s="56">
        <v>15919</v>
      </c>
      <c r="B362" s="61">
        <f t="shared" si="5"/>
        <v>1943</v>
      </c>
      <c r="C362">
        <v>9.1</v>
      </c>
    </row>
    <row r="363" spans="1:3" x14ac:dyDescent="0.25">
      <c r="A363" s="56">
        <v>15950</v>
      </c>
      <c r="B363" s="61">
        <f t="shared" si="5"/>
        <v>1943</v>
      </c>
      <c r="C363">
        <v>9.1999999999999993</v>
      </c>
    </row>
    <row r="364" spans="1:3" x14ac:dyDescent="0.25">
      <c r="A364" s="56">
        <v>15980</v>
      </c>
      <c r="B364" s="61">
        <f t="shared" si="5"/>
        <v>1943</v>
      </c>
      <c r="C364">
        <v>9.1999999999999993</v>
      </c>
    </row>
    <row r="365" spans="1:3" x14ac:dyDescent="0.25">
      <c r="A365" s="56">
        <v>16011</v>
      </c>
      <c r="B365" s="61">
        <f t="shared" si="5"/>
        <v>1943</v>
      </c>
      <c r="C365">
        <v>9.1999999999999993</v>
      </c>
    </row>
    <row r="366" spans="1:3" x14ac:dyDescent="0.25">
      <c r="A366" s="56">
        <v>16041</v>
      </c>
      <c r="B366" s="61">
        <f t="shared" si="5"/>
        <v>1943</v>
      </c>
      <c r="C366">
        <v>9.1999999999999993</v>
      </c>
    </row>
    <row r="367" spans="1:3" x14ac:dyDescent="0.25">
      <c r="A367" s="56">
        <v>16072</v>
      </c>
      <c r="B367" s="61">
        <f t="shared" si="5"/>
        <v>1944</v>
      </c>
      <c r="C367">
        <v>9.1</v>
      </c>
    </row>
    <row r="368" spans="1:3" x14ac:dyDescent="0.25">
      <c r="A368" s="56">
        <v>16103</v>
      </c>
      <c r="B368" s="61">
        <f t="shared" si="5"/>
        <v>1944</v>
      </c>
      <c r="C368">
        <v>9.1</v>
      </c>
    </row>
    <row r="369" spans="1:3" x14ac:dyDescent="0.25">
      <c r="A369" s="56">
        <v>16132</v>
      </c>
      <c r="B369" s="61">
        <f t="shared" si="5"/>
        <v>1944</v>
      </c>
      <c r="C369">
        <v>9.1</v>
      </c>
    </row>
    <row r="370" spans="1:3" x14ac:dyDescent="0.25">
      <c r="A370" s="56">
        <v>16163</v>
      </c>
      <c r="B370" s="61">
        <f t="shared" si="5"/>
        <v>1944</v>
      </c>
      <c r="C370">
        <v>9.1</v>
      </c>
    </row>
    <row r="371" spans="1:3" x14ac:dyDescent="0.25">
      <c r="A371" s="56">
        <v>16193</v>
      </c>
      <c r="B371" s="61">
        <f t="shared" si="5"/>
        <v>1944</v>
      </c>
      <c r="C371">
        <v>9.1</v>
      </c>
    </row>
    <row r="372" spans="1:3" x14ac:dyDescent="0.25">
      <c r="A372" s="56">
        <v>16224</v>
      </c>
      <c r="B372" s="61">
        <f t="shared" si="5"/>
        <v>1944</v>
      </c>
      <c r="C372">
        <v>9.1</v>
      </c>
    </row>
    <row r="373" spans="1:3" x14ac:dyDescent="0.25">
      <c r="A373" s="56">
        <v>16254</v>
      </c>
      <c r="B373" s="61">
        <f t="shared" si="5"/>
        <v>1944</v>
      </c>
      <c r="C373">
        <v>9.1</v>
      </c>
    </row>
    <row r="374" spans="1:3" x14ac:dyDescent="0.25">
      <c r="A374" s="56">
        <v>16285</v>
      </c>
      <c r="B374" s="61">
        <f t="shared" si="5"/>
        <v>1944</v>
      </c>
      <c r="C374">
        <v>9.1</v>
      </c>
    </row>
    <row r="375" spans="1:3" x14ac:dyDescent="0.25">
      <c r="A375" s="56">
        <v>16316</v>
      </c>
      <c r="B375" s="61">
        <f t="shared" si="5"/>
        <v>1944</v>
      </c>
      <c r="C375">
        <v>9.1</v>
      </c>
    </row>
    <row r="376" spans="1:3" x14ac:dyDescent="0.25">
      <c r="A376" s="56">
        <v>16346</v>
      </c>
      <c r="B376" s="61">
        <f t="shared" si="5"/>
        <v>1944</v>
      </c>
      <c r="C376">
        <v>9.1</v>
      </c>
    </row>
    <row r="377" spans="1:3" x14ac:dyDescent="0.25">
      <c r="A377" s="56">
        <v>16377</v>
      </c>
      <c r="B377" s="61">
        <f t="shared" si="5"/>
        <v>1944</v>
      </c>
      <c r="C377">
        <v>9.1</v>
      </c>
    </row>
    <row r="378" spans="1:3" x14ac:dyDescent="0.25">
      <c r="A378" s="56">
        <v>16407</v>
      </c>
      <c r="B378" s="61">
        <f t="shared" si="5"/>
        <v>1944</v>
      </c>
      <c r="C378">
        <v>9</v>
      </c>
    </row>
    <row r="379" spans="1:3" x14ac:dyDescent="0.25">
      <c r="A379" s="56">
        <v>16438</v>
      </c>
      <c r="B379" s="61">
        <f t="shared" si="5"/>
        <v>1945</v>
      </c>
      <c r="C379">
        <v>9</v>
      </c>
    </row>
    <row r="380" spans="1:3" x14ac:dyDescent="0.25">
      <c r="A380" s="56">
        <v>16469</v>
      </c>
      <c r="B380" s="61">
        <f t="shared" si="5"/>
        <v>1945</v>
      </c>
      <c r="C380">
        <v>9.1</v>
      </c>
    </row>
    <row r="381" spans="1:3" x14ac:dyDescent="0.25">
      <c r="A381" s="56">
        <v>16497</v>
      </c>
      <c r="B381" s="61">
        <f t="shared" si="5"/>
        <v>1945</v>
      </c>
      <c r="C381">
        <v>9.1</v>
      </c>
    </row>
    <row r="382" spans="1:3" x14ac:dyDescent="0.25">
      <c r="A382" s="56">
        <v>16528</v>
      </c>
      <c r="B382" s="61">
        <f t="shared" si="5"/>
        <v>1945</v>
      </c>
      <c r="C382">
        <v>9.1</v>
      </c>
    </row>
    <row r="383" spans="1:3" x14ac:dyDescent="0.25">
      <c r="A383" s="56">
        <v>16558</v>
      </c>
      <c r="B383" s="61">
        <f t="shared" si="5"/>
        <v>1945</v>
      </c>
      <c r="C383">
        <v>9.1</v>
      </c>
    </row>
    <row r="384" spans="1:3" x14ac:dyDescent="0.25">
      <c r="A384" s="56">
        <v>16589</v>
      </c>
      <c r="B384" s="61">
        <f t="shared" si="5"/>
        <v>1945</v>
      </c>
      <c r="C384">
        <v>9.1999999999999993</v>
      </c>
    </row>
    <row r="385" spans="1:3" x14ac:dyDescent="0.25">
      <c r="A385" s="56">
        <v>16619</v>
      </c>
      <c r="B385" s="61">
        <f t="shared" si="5"/>
        <v>1945</v>
      </c>
      <c r="C385">
        <v>9.1999999999999993</v>
      </c>
    </row>
    <row r="386" spans="1:3" x14ac:dyDescent="0.25">
      <c r="A386" s="56">
        <v>16650</v>
      </c>
      <c r="B386" s="61">
        <f t="shared" si="5"/>
        <v>1945</v>
      </c>
      <c r="C386">
        <v>9.1999999999999993</v>
      </c>
    </row>
    <row r="387" spans="1:3" x14ac:dyDescent="0.25">
      <c r="A387" s="56">
        <v>16681</v>
      </c>
      <c r="B387" s="61">
        <f t="shared" si="5"/>
        <v>1945</v>
      </c>
      <c r="C387">
        <v>9.1999999999999993</v>
      </c>
    </row>
    <row r="388" spans="1:3" x14ac:dyDescent="0.25">
      <c r="A388" s="56">
        <v>16711</v>
      </c>
      <c r="B388" s="61">
        <f t="shared" si="5"/>
        <v>1945</v>
      </c>
      <c r="C388">
        <v>9.1999999999999993</v>
      </c>
    </row>
    <row r="389" spans="1:3" x14ac:dyDescent="0.25">
      <c r="A389" s="56">
        <v>16742</v>
      </c>
      <c r="B389" s="61">
        <f t="shared" si="5"/>
        <v>1945</v>
      </c>
      <c r="C389">
        <v>9.1999999999999993</v>
      </c>
    </row>
    <row r="390" spans="1:3" x14ac:dyDescent="0.25">
      <c r="A390" s="56">
        <v>16772</v>
      </c>
      <c r="B390" s="61">
        <f t="shared" si="5"/>
        <v>1945</v>
      </c>
      <c r="C390">
        <v>9.1999999999999993</v>
      </c>
    </row>
    <row r="391" spans="1:3" x14ac:dyDescent="0.25">
      <c r="A391" s="56">
        <v>16803</v>
      </c>
      <c r="B391" s="61">
        <f t="shared" si="5"/>
        <v>1946</v>
      </c>
      <c r="C391">
        <v>9.1999999999999993</v>
      </c>
    </row>
    <row r="392" spans="1:3" x14ac:dyDescent="0.25">
      <c r="A392" s="56">
        <v>16834</v>
      </c>
      <c r="B392" s="61">
        <f t="shared" ref="B392:B455" si="6">YEAR(A392)</f>
        <v>1946</v>
      </c>
      <c r="C392">
        <v>9.1999999999999993</v>
      </c>
    </row>
    <row r="393" spans="1:3" x14ac:dyDescent="0.25">
      <c r="A393" s="56">
        <v>16862</v>
      </c>
      <c r="B393" s="61">
        <f t="shared" si="6"/>
        <v>1946</v>
      </c>
      <c r="C393">
        <v>9.1999999999999993</v>
      </c>
    </row>
    <row r="394" spans="1:3" x14ac:dyDescent="0.25">
      <c r="A394" s="56">
        <v>16893</v>
      </c>
      <c r="B394" s="61">
        <f t="shared" si="6"/>
        <v>1946</v>
      </c>
      <c r="C394">
        <v>9.1999999999999993</v>
      </c>
    </row>
    <row r="395" spans="1:3" x14ac:dyDescent="0.25">
      <c r="A395" s="56">
        <v>16923</v>
      </c>
      <c r="B395" s="61">
        <f t="shared" si="6"/>
        <v>1946</v>
      </c>
      <c r="C395">
        <v>9.1999999999999993</v>
      </c>
    </row>
    <row r="396" spans="1:3" x14ac:dyDescent="0.25">
      <c r="A396" s="56">
        <v>16954</v>
      </c>
      <c r="B396" s="61">
        <f t="shared" si="6"/>
        <v>1946</v>
      </c>
      <c r="C396">
        <v>9.4</v>
      </c>
    </row>
    <row r="397" spans="1:3" x14ac:dyDescent="0.25">
      <c r="A397" s="56">
        <v>16984</v>
      </c>
      <c r="B397" s="61">
        <f t="shared" si="6"/>
        <v>1946</v>
      </c>
      <c r="C397">
        <v>9.5</v>
      </c>
    </row>
    <row r="398" spans="1:3" x14ac:dyDescent="0.25">
      <c r="A398" s="56">
        <v>17015</v>
      </c>
      <c r="B398" s="61">
        <f t="shared" si="6"/>
        <v>1946</v>
      </c>
      <c r="C398">
        <v>9.6</v>
      </c>
    </row>
    <row r="399" spans="1:3" x14ac:dyDescent="0.25">
      <c r="A399" s="56">
        <v>17046</v>
      </c>
      <c r="B399" s="61">
        <f t="shared" si="6"/>
        <v>1946</v>
      </c>
      <c r="C399">
        <v>9.6</v>
      </c>
    </row>
    <row r="400" spans="1:3" x14ac:dyDescent="0.25">
      <c r="A400" s="56">
        <v>17076</v>
      </c>
      <c r="B400" s="61">
        <f t="shared" si="6"/>
        <v>1946</v>
      </c>
      <c r="C400">
        <v>9.6999999999999993</v>
      </c>
    </row>
    <row r="401" spans="1:3" x14ac:dyDescent="0.25">
      <c r="A401" s="56">
        <v>17107</v>
      </c>
      <c r="B401" s="61">
        <f t="shared" si="6"/>
        <v>1946</v>
      </c>
      <c r="C401">
        <v>9.6999999999999993</v>
      </c>
    </row>
    <row r="402" spans="1:3" x14ac:dyDescent="0.25">
      <c r="A402" s="56">
        <v>17137</v>
      </c>
      <c r="B402" s="61">
        <f t="shared" si="6"/>
        <v>1946</v>
      </c>
      <c r="C402">
        <v>9.6999999999999993</v>
      </c>
    </row>
    <row r="403" spans="1:3" x14ac:dyDescent="0.25">
      <c r="A403" s="56">
        <v>17168</v>
      </c>
      <c r="B403" s="61">
        <f t="shared" si="6"/>
        <v>1947</v>
      </c>
      <c r="C403">
        <v>9.6999999999999993</v>
      </c>
    </row>
    <row r="404" spans="1:3" x14ac:dyDescent="0.25">
      <c r="A404" s="56">
        <v>17199</v>
      </c>
      <c r="B404" s="61">
        <f t="shared" si="6"/>
        <v>1947</v>
      </c>
      <c r="C404">
        <v>9.6999999999999993</v>
      </c>
    </row>
    <row r="405" spans="1:3" x14ac:dyDescent="0.25">
      <c r="A405" s="56">
        <v>17227</v>
      </c>
      <c r="B405" s="61">
        <f t="shared" si="6"/>
        <v>1947</v>
      </c>
      <c r="C405">
        <v>9.8000000000000007</v>
      </c>
    </row>
    <row r="406" spans="1:3" x14ac:dyDescent="0.25">
      <c r="A406" s="56">
        <v>17258</v>
      </c>
      <c r="B406" s="61">
        <f t="shared" si="6"/>
        <v>1947</v>
      </c>
      <c r="C406">
        <v>9.9</v>
      </c>
    </row>
    <row r="407" spans="1:3" x14ac:dyDescent="0.25">
      <c r="A407" s="56">
        <v>17288</v>
      </c>
      <c r="B407" s="61">
        <f t="shared" si="6"/>
        <v>1947</v>
      </c>
      <c r="C407">
        <v>10.1</v>
      </c>
    </row>
    <row r="408" spans="1:3" x14ac:dyDescent="0.25">
      <c r="A408" s="56">
        <v>17319</v>
      </c>
      <c r="B408" s="61">
        <f t="shared" si="6"/>
        <v>1947</v>
      </c>
      <c r="C408">
        <v>10.199999999999999</v>
      </c>
    </row>
    <row r="409" spans="1:3" x14ac:dyDescent="0.25">
      <c r="A409" s="56">
        <v>17349</v>
      </c>
      <c r="B409" s="61">
        <f t="shared" si="6"/>
        <v>1947</v>
      </c>
      <c r="C409">
        <v>10.3</v>
      </c>
    </row>
    <row r="410" spans="1:3" x14ac:dyDescent="0.25">
      <c r="A410" s="56">
        <v>17380</v>
      </c>
      <c r="B410" s="61">
        <f t="shared" si="6"/>
        <v>1947</v>
      </c>
      <c r="C410">
        <v>10.3</v>
      </c>
    </row>
    <row r="411" spans="1:3" x14ac:dyDescent="0.25">
      <c r="A411" s="56">
        <v>17411</v>
      </c>
      <c r="B411" s="61">
        <f t="shared" si="6"/>
        <v>1947</v>
      </c>
      <c r="C411">
        <v>10.6</v>
      </c>
    </row>
    <row r="412" spans="1:3" x14ac:dyDescent="0.25">
      <c r="A412" s="56">
        <v>17441</v>
      </c>
      <c r="B412" s="61">
        <f t="shared" si="6"/>
        <v>1947</v>
      </c>
      <c r="C412">
        <v>10.8</v>
      </c>
    </row>
    <row r="413" spans="1:3" x14ac:dyDescent="0.25">
      <c r="A413" s="56">
        <v>17472</v>
      </c>
      <c r="B413" s="61">
        <f t="shared" si="6"/>
        <v>1947</v>
      </c>
      <c r="C413">
        <v>10.9</v>
      </c>
    </row>
    <row r="414" spans="1:3" x14ac:dyDescent="0.25">
      <c r="A414" s="56">
        <v>17502</v>
      </c>
      <c r="B414" s="61">
        <f t="shared" si="6"/>
        <v>1947</v>
      </c>
      <c r="C414">
        <v>11.1</v>
      </c>
    </row>
    <row r="415" spans="1:3" x14ac:dyDescent="0.25">
      <c r="A415" s="56">
        <v>17533</v>
      </c>
      <c r="B415" s="61">
        <f t="shared" si="6"/>
        <v>1948</v>
      </c>
      <c r="C415">
        <v>11.2</v>
      </c>
    </row>
    <row r="416" spans="1:3" x14ac:dyDescent="0.25">
      <c r="A416" s="56">
        <v>17564</v>
      </c>
      <c r="B416" s="61">
        <f t="shared" si="6"/>
        <v>1948</v>
      </c>
      <c r="C416">
        <v>11.4</v>
      </c>
    </row>
    <row r="417" spans="1:3" x14ac:dyDescent="0.25">
      <c r="A417" s="56">
        <v>17593</v>
      </c>
      <c r="B417" s="61">
        <f t="shared" si="6"/>
        <v>1948</v>
      </c>
      <c r="C417">
        <v>11.4</v>
      </c>
    </row>
    <row r="418" spans="1:3" x14ac:dyDescent="0.25">
      <c r="A418" s="56">
        <v>17624</v>
      </c>
      <c r="B418" s="61">
        <f t="shared" si="6"/>
        <v>1948</v>
      </c>
      <c r="C418">
        <v>11.5</v>
      </c>
    </row>
    <row r="419" spans="1:3" x14ac:dyDescent="0.25">
      <c r="A419" s="56">
        <v>17654</v>
      </c>
      <c r="B419" s="61">
        <f t="shared" si="6"/>
        <v>1948</v>
      </c>
      <c r="C419">
        <v>11.6</v>
      </c>
    </row>
    <row r="420" spans="1:3" x14ac:dyDescent="0.25">
      <c r="A420" s="56">
        <v>17685</v>
      </c>
      <c r="B420" s="61">
        <f t="shared" si="6"/>
        <v>1948</v>
      </c>
      <c r="C420">
        <v>11.8</v>
      </c>
    </row>
    <row r="421" spans="1:3" x14ac:dyDescent="0.25">
      <c r="A421" s="56">
        <v>17715</v>
      </c>
      <c r="B421" s="61">
        <f t="shared" si="6"/>
        <v>1948</v>
      </c>
      <c r="C421">
        <v>11.8</v>
      </c>
    </row>
    <row r="422" spans="1:3" x14ac:dyDescent="0.25">
      <c r="A422" s="56">
        <v>17746</v>
      </c>
      <c r="B422" s="61">
        <f t="shared" si="6"/>
        <v>1948</v>
      </c>
      <c r="C422">
        <v>11.9</v>
      </c>
    </row>
    <row r="423" spans="1:3" x14ac:dyDescent="0.25">
      <c r="A423" s="56">
        <v>17777</v>
      </c>
      <c r="B423" s="61">
        <f t="shared" si="6"/>
        <v>1948</v>
      </c>
      <c r="C423">
        <v>12.1</v>
      </c>
    </row>
    <row r="424" spans="1:3" x14ac:dyDescent="0.25">
      <c r="A424" s="56">
        <v>17807</v>
      </c>
      <c r="B424" s="61">
        <f t="shared" si="6"/>
        <v>1948</v>
      </c>
      <c r="C424">
        <v>12.1</v>
      </c>
    </row>
    <row r="425" spans="1:3" x14ac:dyDescent="0.25">
      <c r="A425" s="56">
        <v>17838</v>
      </c>
      <c r="B425" s="61">
        <f t="shared" si="6"/>
        <v>1948</v>
      </c>
      <c r="C425">
        <v>12.1</v>
      </c>
    </row>
    <row r="426" spans="1:3" x14ac:dyDescent="0.25">
      <c r="A426" s="56">
        <v>17868</v>
      </c>
      <c r="B426" s="61">
        <f t="shared" si="6"/>
        <v>1948</v>
      </c>
      <c r="C426">
        <v>12.1</v>
      </c>
    </row>
    <row r="427" spans="1:3" x14ac:dyDescent="0.25">
      <c r="A427" s="56">
        <v>17899</v>
      </c>
      <c r="B427" s="61">
        <f t="shared" si="6"/>
        <v>1949</v>
      </c>
      <c r="C427">
        <v>12.1</v>
      </c>
    </row>
    <row r="428" spans="1:3" x14ac:dyDescent="0.25">
      <c r="A428" s="56">
        <v>17930</v>
      </c>
      <c r="B428" s="61">
        <f t="shared" si="6"/>
        <v>1949</v>
      </c>
      <c r="C428">
        <v>12.1</v>
      </c>
    </row>
    <row r="429" spans="1:3" x14ac:dyDescent="0.25">
      <c r="A429" s="56">
        <v>17958</v>
      </c>
      <c r="B429" s="61">
        <f t="shared" si="6"/>
        <v>1949</v>
      </c>
      <c r="C429">
        <v>12.1</v>
      </c>
    </row>
    <row r="430" spans="1:3" x14ac:dyDescent="0.25">
      <c r="A430" s="56">
        <v>17989</v>
      </c>
      <c r="B430" s="61">
        <f t="shared" si="6"/>
        <v>1949</v>
      </c>
      <c r="C430">
        <v>12.1</v>
      </c>
    </row>
    <row r="431" spans="1:3" x14ac:dyDescent="0.25">
      <c r="A431" s="56">
        <v>18019</v>
      </c>
      <c r="B431" s="61">
        <f t="shared" si="6"/>
        <v>1949</v>
      </c>
      <c r="C431">
        <v>12.1</v>
      </c>
    </row>
    <row r="432" spans="1:3" x14ac:dyDescent="0.25">
      <c r="A432" s="56">
        <v>18050</v>
      </c>
      <c r="B432" s="61">
        <f t="shared" si="6"/>
        <v>1949</v>
      </c>
      <c r="C432">
        <v>12.1</v>
      </c>
    </row>
    <row r="433" spans="1:3" x14ac:dyDescent="0.25">
      <c r="A433" s="56">
        <v>18080</v>
      </c>
      <c r="B433" s="61">
        <f t="shared" si="6"/>
        <v>1949</v>
      </c>
      <c r="C433">
        <v>12.1</v>
      </c>
    </row>
    <row r="434" spans="1:3" x14ac:dyDescent="0.25">
      <c r="A434" s="56">
        <v>18111</v>
      </c>
      <c r="B434" s="61">
        <f t="shared" si="6"/>
        <v>1949</v>
      </c>
      <c r="C434">
        <v>12.2</v>
      </c>
    </row>
    <row r="435" spans="1:3" x14ac:dyDescent="0.25">
      <c r="A435" s="56">
        <v>18142</v>
      </c>
      <c r="B435" s="61">
        <f t="shared" si="6"/>
        <v>1949</v>
      </c>
      <c r="C435">
        <v>12.2</v>
      </c>
    </row>
    <row r="436" spans="1:3" x14ac:dyDescent="0.25">
      <c r="A436" s="56">
        <v>18172</v>
      </c>
      <c r="B436" s="61">
        <f t="shared" si="6"/>
        <v>1949</v>
      </c>
      <c r="C436">
        <v>12.3</v>
      </c>
    </row>
    <row r="437" spans="1:3" x14ac:dyDescent="0.25">
      <c r="A437" s="56">
        <v>18203</v>
      </c>
      <c r="B437" s="61">
        <f t="shared" si="6"/>
        <v>1949</v>
      </c>
      <c r="C437">
        <v>12.3</v>
      </c>
    </row>
    <row r="438" spans="1:3" x14ac:dyDescent="0.25">
      <c r="A438" s="56">
        <v>18233</v>
      </c>
      <c r="B438" s="61">
        <f t="shared" si="6"/>
        <v>1949</v>
      </c>
      <c r="C438">
        <v>12.2</v>
      </c>
    </row>
    <row r="439" spans="1:3" x14ac:dyDescent="0.25">
      <c r="A439" s="56">
        <v>18264</v>
      </c>
      <c r="B439" s="61">
        <f t="shared" si="6"/>
        <v>1950</v>
      </c>
      <c r="C439">
        <v>12.1</v>
      </c>
    </row>
    <row r="440" spans="1:3" x14ac:dyDescent="0.25">
      <c r="A440" s="56">
        <v>18295</v>
      </c>
      <c r="B440" s="61">
        <f t="shared" si="6"/>
        <v>1950</v>
      </c>
      <c r="C440">
        <v>12.2</v>
      </c>
    </row>
    <row r="441" spans="1:3" x14ac:dyDescent="0.25">
      <c r="A441" s="56">
        <v>18323</v>
      </c>
      <c r="B441" s="61">
        <f t="shared" si="6"/>
        <v>1950</v>
      </c>
      <c r="C441">
        <v>12.3</v>
      </c>
    </row>
    <row r="442" spans="1:3" x14ac:dyDescent="0.25">
      <c r="A442" s="56">
        <v>18354</v>
      </c>
      <c r="B442" s="61">
        <f t="shared" si="6"/>
        <v>1950</v>
      </c>
      <c r="C442">
        <v>12.3</v>
      </c>
    </row>
    <row r="443" spans="1:3" x14ac:dyDescent="0.25">
      <c r="A443" s="56">
        <v>18384</v>
      </c>
      <c r="B443" s="61">
        <f t="shared" si="6"/>
        <v>1950</v>
      </c>
      <c r="C443">
        <v>12.3</v>
      </c>
    </row>
    <row r="444" spans="1:3" x14ac:dyDescent="0.25">
      <c r="A444" s="56">
        <v>18415</v>
      </c>
      <c r="B444" s="61">
        <f t="shared" si="6"/>
        <v>1950</v>
      </c>
      <c r="C444">
        <v>12.3</v>
      </c>
    </row>
    <row r="445" spans="1:3" x14ac:dyDescent="0.25">
      <c r="A445" s="56">
        <v>18445</v>
      </c>
      <c r="B445" s="61">
        <f t="shared" si="6"/>
        <v>1950</v>
      </c>
      <c r="C445">
        <v>12.4</v>
      </c>
    </row>
    <row r="446" spans="1:3" x14ac:dyDescent="0.25">
      <c r="A446" s="56">
        <v>18476</v>
      </c>
      <c r="B446" s="61">
        <f t="shared" si="6"/>
        <v>1950</v>
      </c>
      <c r="C446">
        <v>12.5</v>
      </c>
    </row>
    <row r="447" spans="1:3" x14ac:dyDescent="0.25">
      <c r="A447" s="56">
        <v>18507</v>
      </c>
      <c r="B447" s="61">
        <f t="shared" si="6"/>
        <v>1950</v>
      </c>
      <c r="C447">
        <v>12.7</v>
      </c>
    </row>
    <row r="448" spans="1:3" x14ac:dyDescent="0.25">
      <c r="A448" s="56">
        <v>18537</v>
      </c>
      <c r="B448" s="61">
        <f t="shared" si="6"/>
        <v>1950</v>
      </c>
      <c r="C448">
        <v>12.9</v>
      </c>
    </row>
    <row r="449" spans="1:3" x14ac:dyDescent="0.25">
      <c r="A449" s="56">
        <v>18568</v>
      </c>
      <c r="B449" s="61">
        <f t="shared" si="6"/>
        <v>1950</v>
      </c>
      <c r="C449">
        <v>12.9</v>
      </c>
    </row>
    <row r="450" spans="1:3" x14ac:dyDescent="0.25">
      <c r="A450" s="56">
        <v>18598</v>
      </c>
      <c r="B450" s="61">
        <f t="shared" si="6"/>
        <v>1950</v>
      </c>
      <c r="C450">
        <v>12.9</v>
      </c>
    </row>
    <row r="451" spans="1:3" x14ac:dyDescent="0.25">
      <c r="A451" s="56">
        <v>18629</v>
      </c>
      <c r="B451" s="61">
        <f t="shared" si="6"/>
        <v>1951</v>
      </c>
      <c r="C451">
        <v>13</v>
      </c>
    </row>
    <row r="452" spans="1:3" x14ac:dyDescent="0.25">
      <c r="A452" s="56">
        <v>18660</v>
      </c>
      <c r="B452" s="61">
        <f t="shared" si="6"/>
        <v>1951</v>
      </c>
      <c r="C452">
        <v>13.3</v>
      </c>
    </row>
    <row r="453" spans="1:3" x14ac:dyDescent="0.25">
      <c r="A453" s="56">
        <v>18688</v>
      </c>
      <c r="B453" s="61">
        <f t="shared" si="6"/>
        <v>1951</v>
      </c>
      <c r="C453">
        <v>13.4</v>
      </c>
    </row>
    <row r="454" spans="1:3" x14ac:dyDescent="0.25">
      <c r="A454" s="56">
        <v>18719</v>
      </c>
      <c r="B454" s="61">
        <f t="shared" si="6"/>
        <v>1951</v>
      </c>
      <c r="C454">
        <v>13.6</v>
      </c>
    </row>
    <row r="455" spans="1:3" x14ac:dyDescent="0.25">
      <c r="A455" s="56">
        <v>18749</v>
      </c>
      <c r="B455" s="61">
        <f t="shared" si="6"/>
        <v>1951</v>
      </c>
      <c r="C455">
        <v>13.6</v>
      </c>
    </row>
    <row r="456" spans="1:3" x14ac:dyDescent="0.25">
      <c r="A456" s="56">
        <v>18780</v>
      </c>
      <c r="B456" s="61">
        <f t="shared" ref="B456:B519" si="7">YEAR(A456)</f>
        <v>1951</v>
      </c>
      <c r="C456">
        <v>13.9</v>
      </c>
    </row>
    <row r="457" spans="1:3" x14ac:dyDescent="0.25">
      <c r="A457" s="56">
        <v>18810</v>
      </c>
      <c r="B457" s="61">
        <f t="shared" si="7"/>
        <v>1951</v>
      </c>
      <c r="C457">
        <v>13.9</v>
      </c>
    </row>
    <row r="458" spans="1:3" x14ac:dyDescent="0.25">
      <c r="A458" s="56">
        <v>18841</v>
      </c>
      <c r="B458" s="61">
        <f t="shared" si="7"/>
        <v>1951</v>
      </c>
      <c r="C458">
        <v>14</v>
      </c>
    </row>
    <row r="459" spans="1:3" x14ac:dyDescent="0.25">
      <c r="A459" s="56">
        <v>18872</v>
      </c>
      <c r="B459" s="61">
        <f t="shared" si="7"/>
        <v>1951</v>
      </c>
      <c r="C459">
        <v>14.1</v>
      </c>
    </row>
    <row r="460" spans="1:3" x14ac:dyDescent="0.25">
      <c r="A460" s="56">
        <v>18902</v>
      </c>
      <c r="B460" s="61">
        <f t="shared" si="7"/>
        <v>1951</v>
      </c>
      <c r="C460">
        <v>14.2</v>
      </c>
    </row>
    <row r="461" spans="1:3" x14ac:dyDescent="0.25">
      <c r="A461" s="56">
        <v>18933</v>
      </c>
      <c r="B461" s="61">
        <f t="shared" si="7"/>
        <v>1951</v>
      </c>
      <c r="C461">
        <v>14.3</v>
      </c>
    </row>
    <row r="462" spans="1:3" x14ac:dyDescent="0.25">
      <c r="A462" s="56">
        <v>18963</v>
      </c>
      <c r="B462" s="61">
        <f t="shared" si="7"/>
        <v>1951</v>
      </c>
      <c r="C462">
        <v>14.3</v>
      </c>
    </row>
    <row r="463" spans="1:3" x14ac:dyDescent="0.25">
      <c r="A463" s="56">
        <v>18994</v>
      </c>
      <c r="B463" s="61">
        <f t="shared" si="7"/>
        <v>1952</v>
      </c>
      <c r="C463">
        <v>14.4</v>
      </c>
    </row>
    <row r="464" spans="1:3" x14ac:dyDescent="0.25">
      <c r="A464" s="56">
        <v>19025</v>
      </c>
      <c r="B464" s="61">
        <f t="shared" si="7"/>
        <v>1952</v>
      </c>
      <c r="C464">
        <v>14.3</v>
      </c>
    </row>
    <row r="465" spans="1:3" x14ac:dyDescent="0.25">
      <c r="A465" s="56">
        <v>19054</v>
      </c>
      <c r="B465" s="61">
        <f t="shared" si="7"/>
        <v>1952</v>
      </c>
      <c r="C465">
        <v>14.2</v>
      </c>
    </row>
    <row r="466" spans="1:3" x14ac:dyDescent="0.25">
      <c r="A466" s="56">
        <v>19085</v>
      </c>
      <c r="B466" s="61">
        <f t="shared" si="7"/>
        <v>1952</v>
      </c>
      <c r="C466">
        <v>14.2</v>
      </c>
    </row>
    <row r="467" spans="1:3" x14ac:dyDescent="0.25">
      <c r="A467" s="56">
        <v>19115</v>
      </c>
      <c r="B467" s="61">
        <f t="shared" si="7"/>
        <v>1952</v>
      </c>
      <c r="C467">
        <v>14.1</v>
      </c>
    </row>
    <row r="468" spans="1:3" x14ac:dyDescent="0.25">
      <c r="A468" s="56">
        <v>19146</v>
      </c>
      <c r="B468" s="61">
        <f t="shared" si="7"/>
        <v>1952</v>
      </c>
      <c r="C468">
        <v>14.1</v>
      </c>
    </row>
    <row r="469" spans="1:3" x14ac:dyDescent="0.25">
      <c r="A469" s="56">
        <v>19176</v>
      </c>
      <c r="B469" s="61">
        <f t="shared" si="7"/>
        <v>1952</v>
      </c>
      <c r="C469">
        <v>14.1</v>
      </c>
    </row>
    <row r="470" spans="1:3" x14ac:dyDescent="0.25">
      <c r="A470" s="56">
        <v>19207</v>
      </c>
      <c r="B470" s="61">
        <f t="shared" si="7"/>
        <v>1952</v>
      </c>
      <c r="C470">
        <v>14.1</v>
      </c>
    </row>
    <row r="471" spans="1:3" x14ac:dyDescent="0.25">
      <c r="A471" s="56">
        <v>19238</v>
      </c>
      <c r="B471" s="61">
        <f t="shared" si="7"/>
        <v>1952</v>
      </c>
      <c r="C471">
        <v>14.1</v>
      </c>
    </row>
    <row r="472" spans="1:3" x14ac:dyDescent="0.25">
      <c r="A472" s="56">
        <v>19268</v>
      </c>
      <c r="B472" s="61">
        <f t="shared" si="7"/>
        <v>1952</v>
      </c>
      <c r="C472">
        <v>14.1</v>
      </c>
    </row>
    <row r="473" spans="1:3" x14ac:dyDescent="0.25">
      <c r="A473" s="56">
        <v>19299</v>
      </c>
      <c r="B473" s="61">
        <f t="shared" si="7"/>
        <v>1952</v>
      </c>
      <c r="C473">
        <v>14.1</v>
      </c>
    </row>
    <row r="474" spans="1:3" x14ac:dyDescent="0.25">
      <c r="A474" s="56">
        <v>19329</v>
      </c>
      <c r="B474" s="61">
        <f t="shared" si="7"/>
        <v>1952</v>
      </c>
      <c r="C474">
        <v>14.1</v>
      </c>
    </row>
    <row r="475" spans="1:3" x14ac:dyDescent="0.25">
      <c r="A475" s="56">
        <v>19360</v>
      </c>
      <c r="B475" s="61">
        <f t="shared" si="7"/>
        <v>1953</v>
      </c>
      <c r="C475">
        <v>14.1</v>
      </c>
    </row>
    <row r="476" spans="1:3" x14ac:dyDescent="0.25">
      <c r="A476" s="56">
        <v>19391</v>
      </c>
      <c r="B476" s="61">
        <f t="shared" si="7"/>
        <v>1953</v>
      </c>
      <c r="C476">
        <v>14</v>
      </c>
    </row>
    <row r="477" spans="1:3" x14ac:dyDescent="0.25">
      <c r="A477" s="56">
        <v>19419</v>
      </c>
      <c r="B477" s="61">
        <f t="shared" si="7"/>
        <v>1953</v>
      </c>
      <c r="C477">
        <v>13.9</v>
      </c>
    </row>
    <row r="478" spans="1:3" x14ac:dyDescent="0.25">
      <c r="A478" s="56">
        <v>19450</v>
      </c>
      <c r="B478" s="61">
        <f t="shared" si="7"/>
        <v>1953</v>
      </c>
      <c r="C478">
        <v>13.9</v>
      </c>
    </row>
    <row r="479" spans="1:3" x14ac:dyDescent="0.25">
      <c r="A479" s="56">
        <v>19480</v>
      </c>
      <c r="B479" s="61">
        <f t="shared" si="7"/>
        <v>1953</v>
      </c>
      <c r="C479">
        <v>13.9</v>
      </c>
    </row>
    <row r="480" spans="1:3" x14ac:dyDescent="0.25">
      <c r="A480" s="56">
        <v>19511</v>
      </c>
      <c r="B480" s="61">
        <f t="shared" si="7"/>
        <v>1953</v>
      </c>
      <c r="C480">
        <v>13.9</v>
      </c>
    </row>
    <row r="481" spans="1:3" x14ac:dyDescent="0.25">
      <c r="A481" s="56">
        <v>19541</v>
      </c>
      <c r="B481" s="61">
        <f t="shared" si="7"/>
        <v>1953</v>
      </c>
      <c r="C481">
        <v>13.9</v>
      </c>
    </row>
    <row r="482" spans="1:3" x14ac:dyDescent="0.25">
      <c r="A482" s="56">
        <v>19572</v>
      </c>
      <c r="B482" s="61">
        <f t="shared" si="7"/>
        <v>1953</v>
      </c>
      <c r="C482">
        <v>14.1</v>
      </c>
    </row>
    <row r="483" spans="1:3" x14ac:dyDescent="0.25">
      <c r="A483" s="56">
        <v>19603</v>
      </c>
      <c r="B483" s="61">
        <f t="shared" si="7"/>
        <v>1953</v>
      </c>
      <c r="C483">
        <v>14.1</v>
      </c>
    </row>
    <row r="484" spans="1:3" x14ac:dyDescent="0.25">
      <c r="A484" s="56">
        <v>19633</v>
      </c>
      <c r="B484" s="61">
        <f t="shared" si="7"/>
        <v>1953</v>
      </c>
      <c r="C484">
        <v>14.2</v>
      </c>
    </row>
    <row r="485" spans="1:3" x14ac:dyDescent="0.25">
      <c r="A485" s="56">
        <v>19664</v>
      </c>
      <c r="B485" s="61">
        <f t="shared" si="7"/>
        <v>1953</v>
      </c>
      <c r="C485">
        <v>14.1</v>
      </c>
    </row>
    <row r="486" spans="1:3" x14ac:dyDescent="0.25">
      <c r="A486" s="56">
        <v>19694</v>
      </c>
      <c r="B486" s="61">
        <f t="shared" si="7"/>
        <v>1953</v>
      </c>
      <c r="C486">
        <v>14.1</v>
      </c>
    </row>
    <row r="487" spans="1:3" x14ac:dyDescent="0.25">
      <c r="A487" s="56">
        <v>19725</v>
      </c>
      <c r="B487" s="61">
        <f t="shared" si="7"/>
        <v>1954</v>
      </c>
      <c r="C487">
        <v>14.1</v>
      </c>
    </row>
    <row r="488" spans="1:3" x14ac:dyDescent="0.25">
      <c r="A488" s="56">
        <v>19756</v>
      </c>
      <c r="B488" s="61">
        <f t="shared" si="7"/>
        <v>1954</v>
      </c>
      <c r="C488">
        <v>14.1</v>
      </c>
    </row>
    <row r="489" spans="1:3" x14ac:dyDescent="0.25">
      <c r="A489" s="56">
        <v>19784</v>
      </c>
      <c r="B489" s="61">
        <f t="shared" si="7"/>
        <v>1954</v>
      </c>
      <c r="C489">
        <v>14</v>
      </c>
    </row>
    <row r="490" spans="1:3" x14ac:dyDescent="0.25">
      <c r="A490" s="56">
        <v>19815</v>
      </c>
      <c r="B490" s="61">
        <f t="shared" si="7"/>
        <v>1954</v>
      </c>
      <c r="C490">
        <v>14</v>
      </c>
    </row>
    <row r="491" spans="1:3" x14ac:dyDescent="0.25">
      <c r="A491" s="56">
        <v>19845</v>
      </c>
      <c r="B491" s="61">
        <f t="shared" si="7"/>
        <v>1954</v>
      </c>
      <c r="C491">
        <v>14</v>
      </c>
    </row>
    <row r="492" spans="1:3" x14ac:dyDescent="0.25">
      <c r="A492" s="56">
        <v>19876</v>
      </c>
      <c r="B492" s="61">
        <f t="shared" si="7"/>
        <v>1954</v>
      </c>
      <c r="C492">
        <v>14.1</v>
      </c>
    </row>
    <row r="493" spans="1:3" x14ac:dyDescent="0.25">
      <c r="A493" s="56">
        <v>19906</v>
      </c>
      <c r="B493" s="61">
        <f t="shared" si="7"/>
        <v>1954</v>
      </c>
      <c r="C493">
        <v>14.1</v>
      </c>
    </row>
    <row r="494" spans="1:3" x14ac:dyDescent="0.25">
      <c r="A494" s="56">
        <v>19937</v>
      </c>
      <c r="B494" s="61">
        <f t="shared" si="7"/>
        <v>1954</v>
      </c>
      <c r="C494">
        <v>14.2</v>
      </c>
    </row>
    <row r="495" spans="1:3" x14ac:dyDescent="0.25">
      <c r="A495" s="56">
        <v>19968</v>
      </c>
      <c r="B495" s="61">
        <f t="shared" si="7"/>
        <v>1954</v>
      </c>
      <c r="C495">
        <v>14.2</v>
      </c>
    </row>
    <row r="496" spans="1:3" x14ac:dyDescent="0.25">
      <c r="A496" s="56">
        <v>19998</v>
      </c>
      <c r="B496" s="61">
        <f t="shared" si="7"/>
        <v>1954</v>
      </c>
      <c r="C496">
        <v>14.2</v>
      </c>
    </row>
    <row r="497" spans="1:3" x14ac:dyDescent="0.25">
      <c r="A497" s="56">
        <v>20029</v>
      </c>
      <c r="B497" s="61">
        <f t="shared" si="7"/>
        <v>1954</v>
      </c>
      <c r="C497">
        <v>14.2</v>
      </c>
    </row>
    <row r="498" spans="1:3" x14ac:dyDescent="0.25">
      <c r="A498" s="56">
        <v>20059</v>
      </c>
      <c r="B498" s="61">
        <f t="shared" si="7"/>
        <v>1954</v>
      </c>
      <c r="C498">
        <v>14.1</v>
      </c>
    </row>
    <row r="499" spans="1:3" x14ac:dyDescent="0.25">
      <c r="A499" s="56">
        <v>20090</v>
      </c>
      <c r="B499" s="61">
        <f t="shared" si="7"/>
        <v>1955</v>
      </c>
      <c r="C499">
        <v>14.1</v>
      </c>
    </row>
    <row r="500" spans="1:3" x14ac:dyDescent="0.25">
      <c r="A500" s="56">
        <v>20121</v>
      </c>
      <c r="B500" s="61">
        <f t="shared" si="7"/>
        <v>1955</v>
      </c>
      <c r="C500">
        <v>14.1</v>
      </c>
    </row>
    <row r="501" spans="1:3" x14ac:dyDescent="0.25">
      <c r="A501" s="56">
        <v>20149</v>
      </c>
      <c r="B501" s="61">
        <f t="shared" si="7"/>
        <v>1955</v>
      </c>
      <c r="C501">
        <v>14.1</v>
      </c>
    </row>
    <row r="502" spans="1:3" x14ac:dyDescent="0.25">
      <c r="A502" s="56">
        <v>20180</v>
      </c>
      <c r="B502" s="61">
        <f t="shared" si="7"/>
        <v>1955</v>
      </c>
      <c r="C502">
        <v>14.1</v>
      </c>
    </row>
    <row r="503" spans="1:3" x14ac:dyDescent="0.25">
      <c r="A503" s="56">
        <v>20210</v>
      </c>
      <c r="B503" s="61">
        <f t="shared" si="7"/>
        <v>1955</v>
      </c>
      <c r="C503">
        <v>14.1</v>
      </c>
    </row>
    <row r="504" spans="1:3" x14ac:dyDescent="0.25">
      <c r="A504" s="56">
        <v>20241</v>
      </c>
      <c r="B504" s="61">
        <f t="shared" si="7"/>
        <v>1955</v>
      </c>
      <c r="C504">
        <v>14.1</v>
      </c>
    </row>
    <row r="505" spans="1:3" x14ac:dyDescent="0.25">
      <c r="A505" s="56">
        <v>20271</v>
      </c>
      <c r="B505" s="61">
        <f t="shared" si="7"/>
        <v>1955</v>
      </c>
      <c r="C505">
        <v>14.1</v>
      </c>
    </row>
    <row r="506" spans="1:3" x14ac:dyDescent="0.25">
      <c r="A506" s="56">
        <v>20302</v>
      </c>
      <c r="B506" s="61">
        <f t="shared" si="7"/>
        <v>1955</v>
      </c>
      <c r="C506">
        <v>14.1</v>
      </c>
    </row>
    <row r="507" spans="1:3" x14ac:dyDescent="0.25">
      <c r="A507" s="56">
        <v>20333</v>
      </c>
      <c r="B507" s="61">
        <f t="shared" si="7"/>
        <v>1955</v>
      </c>
      <c r="C507">
        <v>14.2</v>
      </c>
    </row>
    <row r="508" spans="1:3" x14ac:dyDescent="0.25">
      <c r="A508" s="56">
        <v>20363</v>
      </c>
      <c r="B508" s="61">
        <f t="shared" si="7"/>
        <v>1955</v>
      </c>
      <c r="C508">
        <v>14.2</v>
      </c>
    </row>
    <row r="509" spans="1:3" x14ac:dyDescent="0.25">
      <c r="A509" s="56">
        <v>20394</v>
      </c>
      <c r="B509" s="61">
        <f t="shared" si="7"/>
        <v>1955</v>
      </c>
      <c r="C509">
        <v>14.2</v>
      </c>
    </row>
    <row r="510" spans="1:3" x14ac:dyDescent="0.25">
      <c r="A510" s="56">
        <v>20424</v>
      </c>
      <c r="B510" s="61">
        <f t="shared" si="7"/>
        <v>1955</v>
      </c>
      <c r="C510">
        <v>14.2</v>
      </c>
    </row>
    <row r="511" spans="1:3" x14ac:dyDescent="0.25">
      <c r="A511" s="56">
        <v>20455</v>
      </c>
      <c r="B511" s="61">
        <f t="shared" si="7"/>
        <v>1956</v>
      </c>
      <c r="C511">
        <v>14.2</v>
      </c>
    </row>
    <row r="512" spans="1:3" x14ac:dyDescent="0.25">
      <c r="A512" s="56">
        <v>20486</v>
      </c>
      <c r="B512" s="61">
        <f t="shared" si="7"/>
        <v>1956</v>
      </c>
      <c r="C512">
        <v>14.1</v>
      </c>
    </row>
    <row r="513" spans="1:3" x14ac:dyDescent="0.25">
      <c r="A513" s="56">
        <v>20515</v>
      </c>
      <c r="B513" s="61">
        <f t="shared" si="7"/>
        <v>1956</v>
      </c>
      <c r="C513">
        <v>14.1</v>
      </c>
    </row>
    <row r="514" spans="1:3" x14ac:dyDescent="0.25">
      <c r="A514" s="56">
        <v>20546</v>
      </c>
      <c r="B514" s="61">
        <f t="shared" si="7"/>
        <v>1956</v>
      </c>
      <c r="C514">
        <v>14.1</v>
      </c>
    </row>
    <row r="515" spans="1:3" x14ac:dyDescent="0.25">
      <c r="A515" s="56">
        <v>20576</v>
      </c>
      <c r="B515" s="61">
        <f t="shared" si="7"/>
        <v>1956</v>
      </c>
      <c r="C515">
        <v>14.1</v>
      </c>
    </row>
    <row r="516" spans="1:3" x14ac:dyDescent="0.25">
      <c r="A516" s="56">
        <v>20607</v>
      </c>
      <c r="B516" s="61">
        <f t="shared" si="7"/>
        <v>1956</v>
      </c>
      <c r="C516">
        <v>14.3</v>
      </c>
    </row>
    <row r="517" spans="1:3" x14ac:dyDescent="0.25">
      <c r="A517" s="56">
        <v>20637</v>
      </c>
      <c r="B517" s="61">
        <f t="shared" si="7"/>
        <v>1956</v>
      </c>
      <c r="C517">
        <v>14.4</v>
      </c>
    </row>
    <row r="518" spans="1:3" x14ac:dyDescent="0.25">
      <c r="A518" s="56">
        <v>20668</v>
      </c>
      <c r="B518" s="61">
        <f t="shared" si="7"/>
        <v>1956</v>
      </c>
      <c r="C518">
        <v>14.5</v>
      </c>
    </row>
    <row r="519" spans="1:3" x14ac:dyDescent="0.25">
      <c r="A519" s="56">
        <v>20699</v>
      </c>
      <c r="B519" s="61">
        <f t="shared" si="7"/>
        <v>1956</v>
      </c>
      <c r="C519">
        <v>14.4</v>
      </c>
    </row>
    <row r="520" spans="1:3" x14ac:dyDescent="0.25">
      <c r="A520" s="56">
        <v>20729</v>
      </c>
      <c r="B520" s="61">
        <f t="shared" ref="B520:B583" si="8">YEAR(A520)</f>
        <v>1956</v>
      </c>
      <c r="C520">
        <v>14.5</v>
      </c>
    </row>
    <row r="521" spans="1:3" x14ac:dyDescent="0.25">
      <c r="A521" s="56">
        <v>20760</v>
      </c>
      <c r="B521" s="61">
        <f t="shared" si="8"/>
        <v>1956</v>
      </c>
      <c r="C521">
        <v>14.6</v>
      </c>
    </row>
    <row r="522" spans="1:3" x14ac:dyDescent="0.25">
      <c r="A522" s="56">
        <v>20790</v>
      </c>
      <c r="B522" s="61">
        <f t="shared" si="8"/>
        <v>1956</v>
      </c>
      <c r="C522">
        <v>14.6</v>
      </c>
    </row>
    <row r="523" spans="1:3" x14ac:dyDescent="0.25">
      <c r="A523" s="56">
        <v>20821</v>
      </c>
      <c r="B523" s="61">
        <f t="shared" si="8"/>
        <v>1957</v>
      </c>
      <c r="C523">
        <v>14.6</v>
      </c>
    </row>
    <row r="524" spans="1:3" x14ac:dyDescent="0.25">
      <c r="A524" s="56">
        <v>20852</v>
      </c>
      <c r="B524" s="61">
        <f t="shared" si="8"/>
        <v>1957</v>
      </c>
      <c r="C524">
        <v>14.6</v>
      </c>
    </row>
    <row r="525" spans="1:3" x14ac:dyDescent="0.25">
      <c r="A525" s="56">
        <v>20880</v>
      </c>
      <c r="B525" s="61">
        <f t="shared" si="8"/>
        <v>1957</v>
      </c>
      <c r="C525">
        <v>14.6</v>
      </c>
    </row>
    <row r="526" spans="1:3" x14ac:dyDescent="0.25">
      <c r="A526" s="56">
        <v>20911</v>
      </c>
      <c r="B526" s="61">
        <f t="shared" si="8"/>
        <v>1957</v>
      </c>
      <c r="C526">
        <v>14.7</v>
      </c>
    </row>
    <row r="527" spans="1:3" x14ac:dyDescent="0.25">
      <c r="A527" s="56">
        <v>20941</v>
      </c>
      <c r="B527" s="61">
        <f t="shared" si="8"/>
        <v>1957</v>
      </c>
      <c r="C527">
        <v>14.7</v>
      </c>
    </row>
    <row r="528" spans="1:3" x14ac:dyDescent="0.25">
      <c r="A528" s="56">
        <v>20972</v>
      </c>
      <c r="B528" s="61">
        <f t="shared" si="8"/>
        <v>1957</v>
      </c>
      <c r="C528">
        <v>14.8</v>
      </c>
    </row>
    <row r="529" spans="1:3" x14ac:dyDescent="0.25">
      <c r="A529" s="56">
        <v>21002</v>
      </c>
      <c r="B529" s="61">
        <f t="shared" si="8"/>
        <v>1957</v>
      </c>
      <c r="C529">
        <v>14.8</v>
      </c>
    </row>
    <row r="530" spans="1:3" x14ac:dyDescent="0.25">
      <c r="A530" s="56">
        <v>21033</v>
      </c>
      <c r="B530" s="61">
        <f t="shared" si="8"/>
        <v>1957</v>
      </c>
      <c r="C530">
        <v>14.9</v>
      </c>
    </row>
    <row r="531" spans="1:3" x14ac:dyDescent="0.25">
      <c r="A531" s="56">
        <v>21064</v>
      </c>
      <c r="B531" s="61">
        <f t="shared" si="8"/>
        <v>1957</v>
      </c>
      <c r="C531">
        <v>15</v>
      </c>
    </row>
    <row r="532" spans="1:3" x14ac:dyDescent="0.25">
      <c r="A532" s="56">
        <v>21094</v>
      </c>
      <c r="B532" s="61">
        <f t="shared" si="8"/>
        <v>1957</v>
      </c>
      <c r="C532">
        <v>15</v>
      </c>
    </row>
    <row r="533" spans="1:3" x14ac:dyDescent="0.25">
      <c r="A533" s="56">
        <v>21125</v>
      </c>
      <c r="B533" s="61">
        <f t="shared" si="8"/>
        <v>1957</v>
      </c>
      <c r="C533">
        <v>15</v>
      </c>
    </row>
    <row r="534" spans="1:3" x14ac:dyDescent="0.25">
      <c r="A534" s="56">
        <v>21155</v>
      </c>
      <c r="B534" s="61">
        <f t="shared" si="8"/>
        <v>1957</v>
      </c>
      <c r="C534">
        <v>14.9</v>
      </c>
    </row>
    <row r="535" spans="1:3" x14ac:dyDescent="0.25">
      <c r="A535" s="56">
        <v>21186</v>
      </c>
      <c r="B535" s="61">
        <f t="shared" si="8"/>
        <v>1958</v>
      </c>
      <c r="C535">
        <v>15</v>
      </c>
    </row>
    <row r="536" spans="1:3" x14ac:dyDescent="0.25">
      <c r="A536" s="56">
        <v>21217</v>
      </c>
      <c r="B536" s="61">
        <f t="shared" si="8"/>
        <v>1958</v>
      </c>
      <c r="C536">
        <v>15</v>
      </c>
    </row>
    <row r="537" spans="1:3" x14ac:dyDescent="0.25">
      <c r="A537" s="56">
        <v>21245</v>
      </c>
      <c r="B537" s="61">
        <f t="shared" si="8"/>
        <v>1958</v>
      </c>
      <c r="C537">
        <v>15.1</v>
      </c>
    </row>
    <row r="538" spans="1:3" x14ac:dyDescent="0.25">
      <c r="A538" s="56">
        <v>21276</v>
      </c>
      <c r="B538" s="61">
        <f t="shared" si="8"/>
        <v>1958</v>
      </c>
      <c r="C538">
        <v>15.1</v>
      </c>
    </row>
    <row r="539" spans="1:3" x14ac:dyDescent="0.25">
      <c r="A539" s="56">
        <v>21306</v>
      </c>
      <c r="B539" s="61">
        <f t="shared" si="8"/>
        <v>1958</v>
      </c>
      <c r="C539">
        <v>15.1</v>
      </c>
    </row>
    <row r="540" spans="1:3" x14ac:dyDescent="0.25">
      <c r="A540" s="56">
        <v>21337</v>
      </c>
      <c r="B540" s="61">
        <f t="shared" si="8"/>
        <v>1958</v>
      </c>
      <c r="C540">
        <v>15.1</v>
      </c>
    </row>
    <row r="541" spans="1:3" x14ac:dyDescent="0.25">
      <c r="A541" s="56">
        <v>21367</v>
      </c>
      <c r="B541" s="61">
        <f t="shared" si="8"/>
        <v>1958</v>
      </c>
      <c r="C541">
        <v>15.1</v>
      </c>
    </row>
    <row r="542" spans="1:3" x14ac:dyDescent="0.25">
      <c r="A542" s="56">
        <v>21398</v>
      </c>
      <c r="B542" s="61">
        <f t="shared" si="8"/>
        <v>1958</v>
      </c>
      <c r="C542">
        <v>15.1</v>
      </c>
    </row>
    <row r="543" spans="1:3" x14ac:dyDescent="0.25">
      <c r="A543" s="56">
        <v>21429</v>
      </c>
      <c r="B543" s="61">
        <f t="shared" si="8"/>
        <v>1958</v>
      </c>
      <c r="C543">
        <v>15.3</v>
      </c>
    </row>
    <row r="544" spans="1:3" x14ac:dyDescent="0.25">
      <c r="A544" s="56">
        <v>21459</v>
      </c>
      <c r="B544" s="61">
        <f t="shared" si="8"/>
        <v>1958</v>
      </c>
      <c r="C544">
        <v>15.3</v>
      </c>
    </row>
    <row r="545" spans="1:3" x14ac:dyDescent="0.25">
      <c r="A545" s="56">
        <v>21490</v>
      </c>
      <c r="B545" s="61">
        <f t="shared" si="8"/>
        <v>1958</v>
      </c>
      <c r="C545">
        <v>15.3</v>
      </c>
    </row>
    <row r="546" spans="1:3" x14ac:dyDescent="0.25">
      <c r="A546" s="56">
        <v>21520</v>
      </c>
      <c r="B546" s="61">
        <f t="shared" si="8"/>
        <v>1958</v>
      </c>
      <c r="C546">
        <v>15.3</v>
      </c>
    </row>
    <row r="547" spans="1:3" x14ac:dyDescent="0.25">
      <c r="A547" s="56">
        <v>21551</v>
      </c>
      <c r="B547" s="61">
        <f t="shared" si="8"/>
        <v>1959</v>
      </c>
      <c r="C547">
        <v>15.3</v>
      </c>
    </row>
    <row r="548" spans="1:3" x14ac:dyDescent="0.25">
      <c r="A548" s="56">
        <v>21582</v>
      </c>
      <c r="B548" s="61">
        <f t="shared" si="8"/>
        <v>1959</v>
      </c>
      <c r="C548">
        <v>15.3</v>
      </c>
    </row>
    <row r="549" spans="1:3" x14ac:dyDescent="0.25">
      <c r="A549" s="56">
        <v>21610</v>
      </c>
      <c r="B549" s="61">
        <f t="shared" si="8"/>
        <v>1959</v>
      </c>
      <c r="C549">
        <v>15.2</v>
      </c>
    </row>
    <row r="550" spans="1:3" x14ac:dyDescent="0.25">
      <c r="A550" s="56">
        <v>21641</v>
      </c>
      <c r="B550" s="61">
        <f t="shared" si="8"/>
        <v>1959</v>
      </c>
      <c r="C550">
        <v>15.2</v>
      </c>
    </row>
    <row r="551" spans="1:3" x14ac:dyDescent="0.25">
      <c r="A551" s="56">
        <v>21671</v>
      </c>
      <c r="B551" s="61">
        <f t="shared" si="8"/>
        <v>1959</v>
      </c>
      <c r="C551">
        <v>15.3</v>
      </c>
    </row>
    <row r="552" spans="1:3" x14ac:dyDescent="0.25">
      <c r="A552" s="56">
        <v>21702</v>
      </c>
      <c r="B552" s="61">
        <f t="shared" si="8"/>
        <v>1959</v>
      </c>
      <c r="C552">
        <v>15.1</v>
      </c>
    </row>
    <row r="553" spans="1:3" x14ac:dyDescent="0.25">
      <c r="A553" s="56">
        <v>21732</v>
      </c>
      <c r="B553" s="61">
        <f t="shared" si="8"/>
        <v>1959</v>
      </c>
      <c r="C553">
        <v>15.3</v>
      </c>
    </row>
    <row r="554" spans="1:3" x14ac:dyDescent="0.25">
      <c r="A554" s="56">
        <v>21763</v>
      </c>
      <c r="B554" s="61">
        <f t="shared" si="8"/>
        <v>1959</v>
      </c>
      <c r="C554">
        <v>15.3</v>
      </c>
    </row>
    <row r="555" spans="1:3" x14ac:dyDescent="0.25">
      <c r="A555" s="56">
        <v>21794</v>
      </c>
      <c r="B555" s="61">
        <f t="shared" si="8"/>
        <v>1959</v>
      </c>
      <c r="C555">
        <v>15.5</v>
      </c>
    </row>
    <row r="556" spans="1:3" x14ac:dyDescent="0.25">
      <c r="A556" s="56">
        <v>21824</v>
      </c>
      <c r="B556" s="61">
        <f t="shared" si="8"/>
        <v>1959</v>
      </c>
      <c r="C556">
        <v>15.5</v>
      </c>
    </row>
    <row r="557" spans="1:3" x14ac:dyDescent="0.25">
      <c r="A557" s="56">
        <v>21855</v>
      </c>
      <c r="B557" s="61">
        <f t="shared" si="8"/>
        <v>1959</v>
      </c>
      <c r="C557">
        <v>15.5</v>
      </c>
    </row>
    <row r="558" spans="1:3" x14ac:dyDescent="0.25">
      <c r="A558" s="56">
        <v>21885</v>
      </c>
      <c r="B558" s="61">
        <f t="shared" si="8"/>
        <v>1959</v>
      </c>
      <c r="C558">
        <v>15.5</v>
      </c>
    </row>
    <row r="559" spans="1:3" x14ac:dyDescent="0.25">
      <c r="A559" s="56">
        <v>21916</v>
      </c>
      <c r="B559" s="61">
        <f t="shared" si="8"/>
        <v>1960</v>
      </c>
      <c r="C559">
        <v>15.5</v>
      </c>
    </row>
    <row r="560" spans="1:3" x14ac:dyDescent="0.25">
      <c r="A560" s="56">
        <v>21947</v>
      </c>
      <c r="B560" s="61">
        <f t="shared" si="8"/>
        <v>1960</v>
      </c>
      <c r="C560">
        <v>15.5</v>
      </c>
    </row>
    <row r="561" spans="1:3" x14ac:dyDescent="0.25">
      <c r="A561" s="56">
        <v>21976</v>
      </c>
      <c r="B561" s="61">
        <f t="shared" si="8"/>
        <v>1960</v>
      </c>
      <c r="C561">
        <v>15.4</v>
      </c>
    </row>
    <row r="562" spans="1:3" x14ac:dyDescent="0.25">
      <c r="A562" s="56">
        <v>22007</v>
      </c>
      <c r="B562" s="61">
        <f t="shared" si="8"/>
        <v>1960</v>
      </c>
      <c r="C562">
        <v>15.5</v>
      </c>
    </row>
    <row r="563" spans="1:3" x14ac:dyDescent="0.25">
      <c r="A563" s="56">
        <v>22037</v>
      </c>
      <c r="B563" s="61">
        <f t="shared" si="8"/>
        <v>1960</v>
      </c>
      <c r="C563">
        <v>15.5</v>
      </c>
    </row>
    <row r="564" spans="1:3" x14ac:dyDescent="0.25">
      <c r="A564" s="56">
        <v>22068</v>
      </c>
      <c r="B564" s="61">
        <f t="shared" si="8"/>
        <v>1960</v>
      </c>
      <c r="C564">
        <v>15.5</v>
      </c>
    </row>
    <row r="565" spans="1:3" x14ac:dyDescent="0.25">
      <c r="A565" s="56">
        <v>22098</v>
      </c>
      <c r="B565" s="61">
        <f t="shared" si="8"/>
        <v>1960</v>
      </c>
      <c r="C565">
        <v>15.5</v>
      </c>
    </row>
    <row r="566" spans="1:3" x14ac:dyDescent="0.25">
      <c r="A566" s="56">
        <v>22129</v>
      </c>
      <c r="B566" s="61">
        <f t="shared" si="8"/>
        <v>1960</v>
      </c>
      <c r="C566">
        <v>15.5</v>
      </c>
    </row>
    <row r="567" spans="1:3" x14ac:dyDescent="0.25">
      <c r="A567" s="56">
        <v>22160</v>
      </c>
      <c r="B567" s="61">
        <f t="shared" si="8"/>
        <v>1960</v>
      </c>
      <c r="C567">
        <v>15.5</v>
      </c>
    </row>
    <row r="568" spans="1:3" x14ac:dyDescent="0.25">
      <c r="A568" s="56">
        <v>22190</v>
      </c>
      <c r="B568" s="61">
        <f t="shared" si="8"/>
        <v>1960</v>
      </c>
      <c r="C568">
        <v>15.7</v>
      </c>
    </row>
    <row r="569" spans="1:3" x14ac:dyDescent="0.25">
      <c r="A569" s="56">
        <v>22221</v>
      </c>
      <c r="B569" s="61">
        <f t="shared" si="8"/>
        <v>1960</v>
      </c>
      <c r="C569">
        <v>15.7</v>
      </c>
    </row>
    <row r="570" spans="1:3" x14ac:dyDescent="0.25">
      <c r="A570" s="56">
        <v>22251</v>
      </c>
      <c r="B570" s="61">
        <f t="shared" si="8"/>
        <v>1960</v>
      </c>
      <c r="C570">
        <v>15.7</v>
      </c>
    </row>
    <row r="571" spans="1:3" x14ac:dyDescent="0.25">
      <c r="A571" s="56">
        <v>22282</v>
      </c>
      <c r="B571" s="61">
        <f t="shared" si="8"/>
        <v>1961</v>
      </c>
      <c r="C571">
        <v>15.7</v>
      </c>
    </row>
    <row r="572" spans="1:3" x14ac:dyDescent="0.25">
      <c r="A572" s="56">
        <v>22313</v>
      </c>
      <c r="B572" s="61">
        <f t="shared" si="8"/>
        <v>1961</v>
      </c>
      <c r="C572">
        <v>15.7</v>
      </c>
    </row>
    <row r="573" spans="1:3" x14ac:dyDescent="0.25">
      <c r="A573" s="56">
        <v>22341</v>
      </c>
      <c r="B573" s="61">
        <f t="shared" si="8"/>
        <v>1961</v>
      </c>
      <c r="C573">
        <v>15.7</v>
      </c>
    </row>
    <row r="574" spans="1:3" x14ac:dyDescent="0.25">
      <c r="A574" s="56">
        <v>22372</v>
      </c>
      <c r="B574" s="61">
        <f t="shared" si="8"/>
        <v>1961</v>
      </c>
      <c r="C574">
        <v>15.7</v>
      </c>
    </row>
    <row r="575" spans="1:3" x14ac:dyDescent="0.25">
      <c r="A575" s="56">
        <v>22402</v>
      </c>
      <c r="B575" s="61">
        <f t="shared" si="8"/>
        <v>1961</v>
      </c>
      <c r="C575">
        <v>15.7</v>
      </c>
    </row>
    <row r="576" spans="1:3" x14ac:dyDescent="0.25">
      <c r="A576" s="56">
        <v>22433</v>
      </c>
      <c r="B576" s="61">
        <f t="shared" si="8"/>
        <v>1961</v>
      </c>
      <c r="C576">
        <v>15.7</v>
      </c>
    </row>
    <row r="577" spans="1:3" x14ac:dyDescent="0.25">
      <c r="A577" s="56">
        <v>22463</v>
      </c>
      <c r="B577" s="61">
        <f t="shared" si="8"/>
        <v>1961</v>
      </c>
      <c r="C577">
        <v>15.7</v>
      </c>
    </row>
    <row r="578" spans="1:3" x14ac:dyDescent="0.25">
      <c r="A578" s="56">
        <v>22494</v>
      </c>
      <c r="B578" s="61">
        <f t="shared" si="8"/>
        <v>1961</v>
      </c>
      <c r="C578">
        <v>15.7</v>
      </c>
    </row>
    <row r="579" spans="1:3" x14ac:dyDescent="0.25">
      <c r="A579" s="56">
        <v>22525</v>
      </c>
      <c r="B579" s="61">
        <f t="shared" si="8"/>
        <v>1961</v>
      </c>
      <c r="C579">
        <v>15.7</v>
      </c>
    </row>
    <row r="580" spans="1:3" x14ac:dyDescent="0.25">
      <c r="A580" s="56">
        <v>22555</v>
      </c>
      <c r="B580" s="61">
        <f t="shared" si="8"/>
        <v>1961</v>
      </c>
      <c r="C580">
        <v>15.7</v>
      </c>
    </row>
    <row r="581" spans="1:3" x14ac:dyDescent="0.25">
      <c r="A581" s="56">
        <v>22586</v>
      </c>
      <c r="B581" s="61">
        <f t="shared" si="8"/>
        <v>1961</v>
      </c>
      <c r="C581">
        <v>15.7</v>
      </c>
    </row>
    <row r="582" spans="1:3" x14ac:dyDescent="0.25">
      <c r="A582" s="56">
        <v>22616</v>
      </c>
      <c r="B582" s="61">
        <f t="shared" si="8"/>
        <v>1961</v>
      </c>
      <c r="C582">
        <v>15.7</v>
      </c>
    </row>
    <row r="583" spans="1:3" x14ac:dyDescent="0.25">
      <c r="A583" s="56">
        <v>22647</v>
      </c>
      <c r="B583" s="61">
        <f t="shared" si="8"/>
        <v>1962</v>
      </c>
      <c r="C583">
        <v>15.7</v>
      </c>
    </row>
    <row r="584" spans="1:3" x14ac:dyDescent="0.25">
      <c r="A584" s="56">
        <v>22678</v>
      </c>
      <c r="B584" s="61">
        <f t="shared" ref="B584:B647" si="9">YEAR(A584)</f>
        <v>1962</v>
      </c>
      <c r="C584">
        <v>15.7</v>
      </c>
    </row>
    <row r="585" spans="1:3" x14ac:dyDescent="0.25">
      <c r="A585" s="56">
        <v>22706</v>
      </c>
      <c r="B585" s="61">
        <f t="shared" si="9"/>
        <v>1962</v>
      </c>
      <c r="C585">
        <v>15.7</v>
      </c>
    </row>
    <row r="586" spans="1:3" x14ac:dyDescent="0.25">
      <c r="A586" s="56">
        <v>22737</v>
      </c>
      <c r="B586" s="61">
        <f t="shared" si="9"/>
        <v>1962</v>
      </c>
      <c r="C586">
        <v>15.8</v>
      </c>
    </row>
    <row r="587" spans="1:3" x14ac:dyDescent="0.25">
      <c r="A587" s="56">
        <v>22767</v>
      </c>
      <c r="B587" s="61">
        <f t="shared" si="9"/>
        <v>1962</v>
      </c>
      <c r="C587">
        <v>15.8</v>
      </c>
    </row>
    <row r="588" spans="1:3" x14ac:dyDescent="0.25">
      <c r="A588" s="56">
        <v>22798</v>
      </c>
      <c r="B588" s="61">
        <f t="shared" si="9"/>
        <v>1962</v>
      </c>
      <c r="C588">
        <v>15.9</v>
      </c>
    </row>
    <row r="589" spans="1:3" x14ac:dyDescent="0.25">
      <c r="A589" s="56">
        <v>22828</v>
      </c>
      <c r="B589" s="61">
        <f t="shared" si="9"/>
        <v>1962</v>
      </c>
      <c r="C589">
        <v>15.9</v>
      </c>
    </row>
    <row r="590" spans="1:3" x14ac:dyDescent="0.25">
      <c r="A590" s="56">
        <v>22859</v>
      </c>
      <c r="B590" s="61">
        <f t="shared" si="9"/>
        <v>1962</v>
      </c>
      <c r="C590">
        <v>16</v>
      </c>
    </row>
    <row r="591" spans="1:3" x14ac:dyDescent="0.25">
      <c r="A591" s="56">
        <v>22890</v>
      </c>
      <c r="B591" s="61">
        <f t="shared" si="9"/>
        <v>1962</v>
      </c>
      <c r="C591">
        <v>15.9</v>
      </c>
    </row>
    <row r="592" spans="1:3" x14ac:dyDescent="0.25">
      <c r="A592" s="56">
        <v>22920</v>
      </c>
      <c r="B592" s="61">
        <f t="shared" si="9"/>
        <v>1962</v>
      </c>
      <c r="C592">
        <v>16</v>
      </c>
    </row>
    <row r="593" spans="1:3" x14ac:dyDescent="0.25">
      <c r="A593" s="56">
        <v>22951</v>
      </c>
      <c r="B593" s="61">
        <f t="shared" si="9"/>
        <v>1962</v>
      </c>
      <c r="C593">
        <v>16</v>
      </c>
    </row>
    <row r="594" spans="1:3" x14ac:dyDescent="0.25">
      <c r="A594" s="56">
        <v>22981</v>
      </c>
      <c r="B594" s="61">
        <f t="shared" si="9"/>
        <v>1962</v>
      </c>
      <c r="C594">
        <v>16</v>
      </c>
    </row>
    <row r="595" spans="1:3" x14ac:dyDescent="0.25">
      <c r="A595" s="56">
        <v>23012</v>
      </c>
      <c r="B595" s="61">
        <f t="shared" si="9"/>
        <v>1963</v>
      </c>
      <c r="C595">
        <v>16</v>
      </c>
    </row>
    <row r="596" spans="1:3" x14ac:dyDescent="0.25">
      <c r="A596" s="56">
        <v>23043</v>
      </c>
      <c r="B596" s="61">
        <f t="shared" si="9"/>
        <v>1963</v>
      </c>
      <c r="C596">
        <v>16</v>
      </c>
    </row>
    <row r="597" spans="1:3" x14ac:dyDescent="0.25">
      <c r="A597" s="56">
        <v>23071</v>
      </c>
      <c r="B597" s="61">
        <f t="shared" si="9"/>
        <v>1963</v>
      </c>
      <c r="C597">
        <v>16</v>
      </c>
    </row>
    <row r="598" spans="1:3" x14ac:dyDescent="0.25">
      <c r="A598" s="56">
        <v>23102</v>
      </c>
      <c r="B598" s="61">
        <f t="shared" si="9"/>
        <v>1963</v>
      </c>
      <c r="C598">
        <v>16</v>
      </c>
    </row>
    <row r="599" spans="1:3" x14ac:dyDescent="0.25">
      <c r="A599" s="56">
        <v>23132</v>
      </c>
      <c r="B599" s="61">
        <f t="shared" si="9"/>
        <v>1963</v>
      </c>
      <c r="C599">
        <v>16</v>
      </c>
    </row>
    <row r="600" spans="1:3" x14ac:dyDescent="0.25">
      <c r="A600" s="56">
        <v>23163</v>
      </c>
      <c r="B600" s="61">
        <f t="shared" si="9"/>
        <v>1963</v>
      </c>
      <c r="C600">
        <v>16</v>
      </c>
    </row>
    <row r="601" spans="1:3" x14ac:dyDescent="0.25">
      <c r="A601" s="56">
        <v>23193</v>
      </c>
      <c r="B601" s="61">
        <f t="shared" si="9"/>
        <v>1963</v>
      </c>
      <c r="C601">
        <v>16.2</v>
      </c>
    </row>
    <row r="602" spans="1:3" x14ac:dyDescent="0.25">
      <c r="A602" s="56">
        <v>23224</v>
      </c>
      <c r="B602" s="61">
        <f t="shared" si="9"/>
        <v>1963</v>
      </c>
      <c r="C602">
        <v>16.3</v>
      </c>
    </row>
    <row r="603" spans="1:3" x14ac:dyDescent="0.25">
      <c r="A603" s="56">
        <v>23255</v>
      </c>
      <c r="B603" s="61">
        <f t="shared" si="9"/>
        <v>1963</v>
      </c>
      <c r="C603">
        <v>16.2</v>
      </c>
    </row>
    <row r="604" spans="1:3" x14ac:dyDescent="0.25">
      <c r="A604" s="56">
        <v>23285</v>
      </c>
      <c r="B604" s="61">
        <f t="shared" si="9"/>
        <v>1963</v>
      </c>
      <c r="C604">
        <v>16.2</v>
      </c>
    </row>
    <row r="605" spans="1:3" x14ac:dyDescent="0.25">
      <c r="A605" s="56">
        <v>23316</v>
      </c>
      <c r="B605" s="61">
        <f t="shared" si="9"/>
        <v>1963</v>
      </c>
      <c r="C605">
        <v>16.3</v>
      </c>
    </row>
    <row r="606" spans="1:3" x14ac:dyDescent="0.25">
      <c r="A606" s="56">
        <v>23346</v>
      </c>
      <c r="B606" s="61">
        <f t="shared" si="9"/>
        <v>1963</v>
      </c>
      <c r="C606">
        <v>16.3</v>
      </c>
    </row>
    <row r="607" spans="1:3" x14ac:dyDescent="0.25">
      <c r="A607" s="56">
        <v>23377</v>
      </c>
      <c r="B607" s="61">
        <f t="shared" si="9"/>
        <v>1964</v>
      </c>
      <c r="C607">
        <v>16.3</v>
      </c>
    </row>
    <row r="608" spans="1:3" x14ac:dyDescent="0.25">
      <c r="A608" s="56">
        <v>23408</v>
      </c>
      <c r="B608" s="61">
        <f t="shared" si="9"/>
        <v>1964</v>
      </c>
      <c r="C608">
        <v>16.3</v>
      </c>
    </row>
    <row r="609" spans="1:3" x14ac:dyDescent="0.25">
      <c r="A609" s="56">
        <v>23437</v>
      </c>
      <c r="B609" s="61">
        <f t="shared" si="9"/>
        <v>1964</v>
      </c>
      <c r="C609">
        <v>16.3</v>
      </c>
    </row>
    <row r="610" spans="1:3" x14ac:dyDescent="0.25">
      <c r="A610" s="56">
        <v>23468</v>
      </c>
      <c r="B610" s="61">
        <f t="shared" si="9"/>
        <v>1964</v>
      </c>
      <c r="C610">
        <v>16.399999999999999</v>
      </c>
    </row>
    <row r="611" spans="1:3" x14ac:dyDescent="0.25">
      <c r="A611" s="56">
        <v>23498</v>
      </c>
      <c r="B611" s="61">
        <f t="shared" si="9"/>
        <v>1964</v>
      </c>
      <c r="C611">
        <v>16.399999999999999</v>
      </c>
    </row>
    <row r="612" spans="1:3" x14ac:dyDescent="0.25">
      <c r="A612" s="56">
        <v>23529</v>
      </c>
      <c r="B612" s="61">
        <f t="shared" si="9"/>
        <v>1964</v>
      </c>
      <c r="C612">
        <v>16.399999999999999</v>
      </c>
    </row>
    <row r="613" spans="1:3" x14ac:dyDescent="0.25">
      <c r="A613" s="56">
        <v>23559</v>
      </c>
      <c r="B613" s="61">
        <f t="shared" si="9"/>
        <v>1964</v>
      </c>
      <c r="C613">
        <v>16.5</v>
      </c>
    </row>
    <row r="614" spans="1:3" x14ac:dyDescent="0.25">
      <c r="A614" s="56">
        <v>23590</v>
      </c>
      <c r="B614" s="61">
        <f t="shared" si="9"/>
        <v>1964</v>
      </c>
      <c r="C614">
        <v>16.5</v>
      </c>
    </row>
    <row r="615" spans="1:3" x14ac:dyDescent="0.25">
      <c r="A615" s="56">
        <v>23621</v>
      </c>
      <c r="B615" s="61">
        <f t="shared" si="9"/>
        <v>1964</v>
      </c>
      <c r="C615">
        <v>16.5</v>
      </c>
    </row>
    <row r="616" spans="1:3" x14ac:dyDescent="0.25">
      <c r="A616" s="56">
        <v>23651</v>
      </c>
      <c r="B616" s="61">
        <f t="shared" si="9"/>
        <v>1964</v>
      </c>
      <c r="C616">
        <v>16.5</v>
      </c>
    </row>
    <row r="617" spans="1:3" x14ac:dyDescent="0.25">
      <c r="A617" s="56">
        <v>23682</v>
      </c>
      <c r="B617" s="61">
        <f t="shared" si="9"/>
        <v>1964</v>
      </c>
      <c r="C617">
        <v>16.5</v>
      </c>
    </row>
    <row r="618" spans="1:3" x14ac:dyDescent="0.25">
      <c r="A618" s="56">
        <v>23712</v>
      </c>
      <c r="B618" s="61">
        <f t="shared" si="9"/>
        <v>1964</v>
      </c>
      <c r="C618">
        <v>16.600000000000001</v>
      </c>
    </row>
    <row r="619" spans="1:3" x14ac:dyDescent="0.25">
      <c r="A619" s="56">
        <v>23743</v>
      </c>
      <c r="B619" s="61">
        <f t="shared" si="9"/>
        <v>1965</v>
      </c>
      <c r="C619">
        <v>16.600000000000001</v>
      </c>
    </row>
    <row r="620" spans="1:3" x14ac:dyDescent="0.25">
      <c r="A620" s="56">
        <v>23774</v>
      </c>
      <c r="B620" s="61">
        <f t="shared" si="9"/>
        <v>1965</v>
      </c>
      <c r="C620">
        <v>16.600000000000001</v>
      </c>
    </row>
    <row r="621" spans="1:3" x14ac:dyDescent="0.25">
      <c r="A621" s="56">
        <v>23802</v>
      </c>
      <c r="B621" s="61">
        <f t="shared" si="9"/>
        <v>1965</v>
      </c>
      <c r="C621">
        <v>16.600000000000001</v>
      </c>
    </row>
    <row r="622" spans="1:3" x14ac:dyDescent="0.25">
      <c r="A622" s="56">
        <v>23833</v>
      </c>
      <c r="B622" s="61">
        <f t="shared" si="9"/>
        <v>1965</v>
      </c>
      <c r="C622">
        <v>16.7</v>
      </c>
    </row>
    <row r="623" spans="1:3" x14ac:dyDescent="0.25">
      <c r="A623" s="56">
        <v>23863</v>
      </c>
      <c r="B623" s="61">
        <f t="shared" si="9"/>
        <v>1965</v>
      </c>
      <c r="C623">
        <v>16.7</v>
      </c>
    </row>
    <row r="624" spans="1:3" x14ac:dyDescent="0.25">
      <c r="A624" s="56">
        <v>23894</v>
      </c>
      <c r="B624" s="61">
        <f t="shared" si="9"/>
        <v>1965</v>
      </c>
      <c r="C624">
        <v>16.899999999999999</v>
      </c>
    </row>
    <row r="625" spans="1:3" x14ac:dyDescent="0.25">
      <c r="A625" s="56">
        <v>23924</v>
      </c>
      <c r="B625" s="61">
        <f t="shared" si="9"/>
        <v>1965</v>
      </c>
      <c r="C625">
        <v>16.899999999999999</v>
      </c>
    </row>
    <row r="626" spans="1:3" x14ac:dyDescent="0.25">
      <c r="A626" s="56">
        <v>23955</v>
      </c>
      <c r="B626" s="61">
        <f t="shared" si="9"/>
        <v>1965</v>
      </c>
      <c r="C626">
        <v>16.899999999999999</v>
      </c>
    </row>
    <row r="627" spans="1:3" x14ac:dyDescent="0.25">
      <c r="A627" s="56">
        <v>23986</v>
      </c>
      <c r="B627" s="61">
        <f t="shared" si="9"/>
        <v>1965</v>
      </c>
      <c r="C627">
        <v>16.899999999999999</v>
      </c>
    </row>
    <row r="628" spans="1:3" x14ac:dyDescent="0.25">
      <c r="A628" s="56">
        <v>24016</v>
      </c>
      <c r="B628" s="61">
        <f t="shared" si="9"/>
        <v>1965</v>
      </c>
      <c r="C628">
        <v>16.899999999999999</v>
      </c>
    </row>
    <row r="629" spans="1:3" x14ac:dyDescent="0.25">
      <c r="A629" s="56">
        <v>24047</v>
      </c>
      <c r="B629" s="61">
        <f t="shared" si="9"/>
        <v>1965</v>
      </c>
      <c r="C629">
        <v>17</v>
      </c>
    </row>
    <row r="630" spans="1:3" x14ac:dyDescent="0.25">
      <c r="A630" s="56">
        <v>24077</v>
      </c>
      <c r="B630" s="61">
        <f t="shared" si="9"/>
        <v>1965</v>
      </c>
      <c r="C630">
        <v>17.100000000000001</v>
      </c>
    </row>
    <row r="631" spans="1:3" x14ac:dyDescent="0.25">
      <c r="A631" s="56">
        <v>24108</v>
      </c>
      <c r="B631" s="61">
        <f t="shared" si="9"/>
        <v>1966</v>
      </c>
      <c r="C631">
        <v>17.100000000000001</v>
      </c>
    </row>
    <row r="632" spans="1:3" x14ac:dyDescent="0.25">
      <c r="A632" s="56">
        <v>24139</v>
      </c>
      <c r="B632" s="61">
        <f t="shared" si="9"/>
        <v>1966</v>
      </c>
      <c r="C632">
        <v>17.2</v>
      </c>
    </row>
    <row r="633" spans="1:3" x14ac:dyDescent="0.25">
      <c r="A633" s="56">
        <v>24167</v>
      </c>
      <c r="B633" s="61">
        <f t="shared" si="9"/>
        <v>1966</v>
      </c>
      <c r="C633">
        <v>17.3</v>
      </c>
    </row>
    <row r="634" spans="1:3" x14ac:dyDescent="0.25">
      <c r="A634" s="56">
        <v>24198</v>
      </c>
      <c r="B634" s="61">
        <f t="shared" si="9"/>
        <v>1966</v>
      </c>
      <c r="C634">
        <v>17.399999999999999</v>
      </c>
    </row>
    <row r="635" spans="1:3" x14ac:dyDescent="0.25">
      <c r="A635" s="56">
        <v>24228</v>
      </c>
      <c r="B635" s="61">
        <f t="shared" si="9"/>
        <v>1966</v>
      </c>
      <c r="C635">
        <v>17.399999999999999</v>
      </c>
    </row>
    <row r="636" spans="1:3" x14ac:dyDescent="0.25">
      <c r="A636" s="56">
        <v>24259</v>
      </c>
      <c r="B636" s="61">
        <f t="shared" si="9"/>
        <v>1966</v>
      </c>
      <c r="C636">
        <v>17.5</v>
      </c>
    </row>
    <row r="637" spans="1:3" x14ac:dyDescent="0.25">
      <c r="A637" s="56">
        <v>24289</v>
      </c>
      <c r="B637" s="61">
        <f t="shared" si="9"/>
        <v>1966</v>
      </c>
      <c r="C637">
        <v>17.5</v>
      </c>
    </row>
    <row r="638" spans="1:3" x14ac:dyDescent="0.25">
      <c r="A638" s="56">
        <v>24320</v>
      </c>
      <c r="B638" s="61">
        <f t="shared" si="9"/>
        <v>1966</v>
      </c>
      <c r="C638">
        <v>17.600000000000001</v>
      </c>
    </row>
    <row r="639" spans="1:3" x14ac:dyDescent="0.25">
      <c r="A639" s="56">
        <v>24351</v>
      </c>
      <c r="B639" s="61">
        <f t="shared" si="9"/>
        <v>1966</v>
      </c>
      <c r="C639">
        <v>17.600000000000001</v>
      </c>
    </row>
    <row r="640" spans="1:3" x14ac:dyDescent="0.25">
      <c r="A640" s="56">
        <v>24381</v>
      </c>
      <c r="B640" s="61">
        <f t="shared" si="9"/>
        <v>1966</v>
      </c>
      <c r="C640">
        <v>17.600000000000001</v>
      </c>
    </row>
    <row r="641" spans="1:3" x14ac:dyDescent="0.25">
      <c r="A641" s="56">
        <v>24412</v>
      </c>
      <c r="B641" s="61">
        <f t="shared" si="9"/>
        <v>1966</v>
      </c>
      <c r="C641">
        <v>17.600000000000001</v>
      </c>
    </row>
    <row r="642" spans="1:3" x14ac:dyDescent="0.25">
      <c r="A642" s="56">
        <v>24442</v>
      </c>
      <c r="B642" s="61">
        <f t="shared" si="9"/>
        <v>1966</v>
      </c>
      <c r="C642">
        <v>17.7</v>
      </c>
    </row>
    <row r="643" spans="1:3" x14ac:dyDescent="0.25">
      <c r="A643" s="56">
        <v>24473</v>
      </c>
      <c r="B643" s="61">
        <f t="shared" si="9"/>
        <v>1967</v>
      </c>
      <c r="C643">
        <v>17.7</v>
      </c>
    </row>
    <row r="644" spans="1:3" x14ac:dyDescent="0.25">
      <c r="A644" s="56">
        <v>24504</v>
      </c>
      <c r="B644" s="61">
        <f t="shared" si="9"/>
        <v>1967</v>
      </c>
      <c r="C644">
        <v>17.7</v>
      </c>
    </row>
    <row r="645" spans="1:3" x14ac:dyDescent="0.25">
      <c r="A645" s="56">
        <v>24532</v>
      </c>
      <c r="B645" s="61">
        <f t="shared" si="9"/>
        <v>1967</v>
      </c>
      <c r="C645">
        <v>17.8</v>
      </c>
    </row>
    <row r="646" spans="1:3" x14ac:dyDescent="0.25">
      <c r="A646" s="56">
        <v>24563</v>
      </c>
      <c r="B646" s="61">
        <f t="shared" si="9"/>
        <v>1967</v>
      </c>
      <c r="C646">
        <v>17.899999999999999</v>
      </c>
    </row>
    <row r="647" spans="1:3" x14ac:dyDescent="0.25">
      <c r="A647" s="56">
        <v>24593</v>
      </c>
      <c r="B647" s="61">
        <f t="shared" si="9"/>
        <v>1967</v>
      </c>
      <c r="C647">
        <v>18</v>
      </c>
    </row>
    <row r="648" spans="1:3" x14ac:dyDescent="0.25">
      <c r="A648" s="56">
        <v>24624</v>
      </c>
      <c r="B648" s="61">
        <f t="shared" ref="B648:B711" si="10">YEAR(A648)</f>
        <v>1967</v>
      </c>
      <c r="C648">
        <v>18.100000000000001</v>
      </c>
    </row>
    <row r="649" spans="1:3" x14ac:dyDescent="0.25">
      <c r="A649" s="56">
        <v>24654</v>
      </c>
      <c r="B649" s="61">
        <f t="shared" si="10"/>
        <v>1967</v>
      </c>
      <c r="C649">
        <v>18.2</v>
      </c>
    </row>
    <row r="650" spans="1:3" x14ac:dyDescent="0.25">
      <c r="A650" s="56">
        <v>24685</v>
      </c>
      <c r="B650" s="61">
        <f t="shared" si="10"/>
        <v>1967</v>
      </c>
      <c r="C650">
        <v>18.3</v>
      </c>
    </row>
    <row r="651" spans="1:3" x14ac:dyDescent="0.25">
      <c r="A651" s="56">
        <v>24716</v>
      </c>
      <c r="B651" s="61">
        <f t="shared" si="10"/>
        <v>1967</v>
      </c>
      <c r="C651">
        <v>18.3</v>
      </c>
    </row>
    <row r="652" spans="1:3" x14ac:dyDescent="0.25">
      <c r="A652" s="56">
        <v>24746</v>
      </c>
      <c r="B652" s="61">
        <f t="shared" si="10"/>
        <v>1967</v>
      </c>
      <c r="C652">
        <v>18.3</v>
      </c>
    </row>
    <row r="653" spans="1:3" x14ac:dyDescent="0.25">
      <c r="A653" s="56">
        <v>24777</v>
      </c>
      <c r="B653" s="61">
        <f t="shared" si="10"/>
        <v>1967</v>
      </c>
      <c r="C653">
        <v>18.3</v>
      </c>
    </row>
    <row r="654" spans="1:3" x14ac:dyDescent="0.25">
      <c r="A654" s="56">
        <v>24807</v>
      </c>
      <c r="B654" s="61">
        <f t="shared" si="10"/>
        <v>1967</v>
      </c>
      <c r="C654">
        <v>18.399999999999999</v>
      </c>
    </row>
    <row r="655" spans="1:3" x14ac:dyDescent="0.25">
      <c r="A655" s="56">
        <v>24838</v>
      </c>
      <c r="B655" s="61">
        <f t="shared" si="10"/>
        <v>1968</v>
      </c>
      <c r="C655">
        <v>18.5</v>
      </c>
    </row>
    <row r="656" spans="1:3" x14ac:dyDescent="0.25">
      <c r="A656" s="56">
        <v>24869</v>
      </c>
      <c r="B656" s="61">
        <f t="shared" si="10"/>
        <v>1968</v>
      </c>
      <c r="C656">
        <v>18.5</v>
      </c>
    </row>
    <row r="657" spans="1:3" x14ac:dyDescent="0.25">
      <c r="A657" s="56">
        <v>24898</v>
      </c>
      <c r="B657" s="61">
        <f t="shared" si="10"/>
        <v>1968</v>
      </c>
      <c r="C657">
        <v>18.600000000000001</v>
      </c>
    </row>
    <row r="658" spans="1:3" x14ac:dyDescent="0.25">
      <c r="A658" s="56">
        <v>24929</v>
      </c>
      <c r="B658" s="61">
        <f t="shared" si="10"/>
        <v>1968</v>
      </c>
      <c r="C658">
        <v>18.600000000000001</v>
      </c>
    </row>
    <row r="659" spans="1:3" x14ac:dyDescent="0.25">
      <c r="A659" s="56">
        <v>24959</v>
      </c>
      <c r="B659" s="61">
        <f t="shared" si="10"/>
        <v>1968</v>
      </c>
      <c r="C659">
        <v>18.600000000000001</v>
      </c>
    </row>
    <row r="660" spans="1:3" x14ac:dyDescent="0.25">
      <c r="A660" s="56">
        <v>24990</v>
      </c>
      <c r="B660" s="61">
        <f t="shared" si="10"/>
        <v>1968</v>
      </c>
      <c r="C660">
        <v>18.7</v>
      </c>
    </row>
    <row r="661" spans="1:3" x14ac:dyDescent="0.25">
      <c r="A661" s="56">
        <v>25020</v>
      </c>
      <c r="B661" s="61">
        <f t="shared" si="10"/>
        <v>1968</v>
      </c>
      <c r="C661">
        <v>18.899999999999999</v>
      </c>
    </row>
    <row r="662" spans="1:3" x14ac:dyDescent="0.25">
      <c r="A662" s="56">
        <v>25051</v>
      </c>
      <c r="B662" s="61">
        <f t="shared" si="10"/>
        <v>1968</v>
      </c>
      <c r="C662">
        <v>19</v>
      </c>
    </row>
    <row r="663" spans="1:3" x14ac:dyDescent="0.25">
      <c r="A663" s="56">
        <v>25082</v>
      </c>
      <c r="B663" s="61">
        <f t="shared" si="10"/>
        <v>1968</v>
      </c>
      <c r="C663">
        <v>19</v>
      </c>
    </row>
    <row r="664" spans="1:3" x14ac:dyDescent="0.25">
      <c r="A664" s="56">
        <v>25112</v>
      </c>
      <c r="B664" s="61">
        <f t="shared" si="10"/>
        <v>1968</v>
      </c>
      <c r="C664">
        <v>19</v>
      </c>
    </row>
    <row r="665" spans="1:3" x14ac:dyDescent="0.25">
      <c r="A665" s="56">
        <v>25143</v>
      </c>
      <c r="B665" s="61">
        <f t="shared" si="10"/>
        <v>1968</v>
      </c>
      <c r="C665">
        <v>19.2</v>
      </c>
    </row>
    <row r="666" spans="1:3" x14ac:dyDescent="0.25">
      <c r="A666" s="56">
        <v>25173</v>
      </c>
      <c r="B666" s="61">
        <f t="shared" si="10"/>
        <v>1968</v>
      </c>
      <c r="C666">
        <v>19.2</v>
      </c>
    </row>
    <row r="667" spans="1:3" x14ac:dyDescent="0.25">
      <c r="A667" s="56">
        <v>25204</v>
      </c>
      <c r="B667" s="61">
        <f t="shared" si="10"/>
        <v>1969</v>
      </c>
      <c r="C667">
        <v>19.2</v>
      </c>
    </row>
    <row r="668" spans="1:3" x14ac:dyDescent="0.25">
      <c r="A668" s="56">
        <v>25235</v>
      </c>
      <c r="B668" s="61">
        <f t="shared" si="10"/>
        <v>1969</v>
      </c>
      <c r="C668">
        <v>19.2</v>
      </c>
    </row>
    <row r="669" spans="1:3" x14ac:dyDescent="0.25">
      <c r="A669" s="56">
        <v>25263</v>
      </c>
      <c r="B669" s="61">
        <f t="shared" si="10"/>
        <v>1969</v>
      </c>
      <c r="C669">
        <v>19.3</v>
      </c>
    </row>
    <row r="670" spans="1:3" x14ac:dyDescent="0.25">
      <c r="A670" s="56">
        <v>25294</v>
      </c>
      <c r="B670" s="61">
        <f t="shared" si="10"/>
        <v>1969</v>
      </c>
      <c r="C670">
        <v>19.600000000000001</v>
      </c>
    </row>
    <row r="671" spans="1:3" x14ac:dyDescent="0.25">
      <c r="A671" s="56">
        <v>25324</v>
      </c>
      <c r="B671" s="61">
        <f t="shared" si="10"/>
        <v>1969</v>
      </c>
      <c r="C671">
        <v>19.600000000000001</v>
      </c>
    </row>
    <row r="672" spans="1:3" x14ac:dyDescent="0.25">
      <c r="A672" s="56">
        <v>25355</v>
      </c>
      <c r="B672" s="61">
        <f t="shared" si="10"/>
        <v>1969</v>
      </c>
      <c r="C672">
        <v>19.7</v>
      </c>
    </row>
    <row r="673" spans="1:3" x14ac:dyDescent="0.25">
      <c r="A673" s="56">
        <v>25385</v>
      </c>
      <c r="B673" s="61">
        <f t="shared" si="10"/>
        <v>1969</v>
      </c>
      <c r="C673">
        <v>19.8</v>
      </c>
    </row>
    <row r="674" spans="1:3" x14ac:dyDescent="0.25">
      <c r="A674" s="56">
        <v>25416</v>
      </c>
      <c r="B674" s="61">
        <f t="shared" si="10"/>
        <v>1969</v>
      </c>
      <c r="C674">
        <v>19.899999999999999</v>
      </c>
    </row>
    <row r="675" spans="1:3" x14ac:dyDescent="0.25">
      <c r="A675" s="56">
        <v>25447</v>
      </c>
      <c r="B675" s="61">
        <f t="shared" si="10"/>
        <v>1969</v>
      </c>
      <c r="C675">
        <v>19.899999999999999</v>
      </c>
    </row>
    <row r="676" spans="1:3" x14ac:dyDescent="0.25">
      <c r="A676" s="56">
        <v>25477</v>
      </c>
      <c r="B676" s="61">
        <f t="shared" si="10"/>
        <v>1969</v>
      </c>
      <c r="C676">
        <v>19.899999999999999</v>
      </c>
    </row>
    <row r="677" spans="1:3" x14ac:dyDescent="0.25">
      <c r="A677" s="56">
        <v>25508</v>
      </c>
      <c r="B677" s="61">
        <f t="shared" si="10"/>
        <v>1969</v>
      </c>
      <c r="C677">
        <v>19.899999999999999</v>
      </c>
    </row>
    <row r="678" spans="1:3" x14ac:dyDescent="0.25">
      <c r="A678" s="56">
        <v>25538</v>
      </c>
      <c r="B678" s="61">
        <f t="shared" si="10"/>
        <v>1969</v>
      </c>
      <c r="C678">
        <v>20.100000000000001</v>
      </c>
    </row>
    <row r="679" spans="1:3" x14ac:dyDescent="0.25">
      <c r="A679" s="56">
        <v>25569</v>
      </c>
      <c r="B679" s="61">
        <f t="shared" si="10"/>
        <v>1970</v>
      </c>
      <c r="C679">
        <v>20.2</v>
      </c>
    </row>
    <row r="680" spans="1:3" x14ac:dyDescent="0.25">
      <c r="A680" s="56">
        <v>25600</v>
      </c>
      <c r="B680" s="61">
        <f t="shared" si="10"/>
        <v>1970</v>
      </c>
      <c r="C680">
        <v>20.2</v>
      </c>
    </row>
    <row r="681" spans="1:3" x14ac:dyDescent="0.25">
      <c r="A681" s="56">
        <v>25628</v>
      </c>
      <c r="B681" s="61">
        <f t="shared" si="10"/>
        <v>1970</v>
      </c>
      <c r="C681">
        <v>20.2</v>
      </c>
    </row>
    <row r="682" spans="1:3" x14ac:dyDescent="0.25">
      <c r="A682" s="56">
        <v>25659</v>
      </c>
      <c r="B682" s="61">
        <f t="shared" si="10"/>
        <v>1970</v>
      </c>
      <c r="C682">
        <v>20.3</v>
      </c>
    </row>
    <row r="683" spans="1:3" x14ac:dyDescent="0.25">
      <c r="A683" s="56">
        <v>25689</v>
      </c>
      <c r="B683" s="61">
        <f t="shared" si="10"/>
        <v>1970</v>
      </c>
      <c r="C683">
        <v>20.3</v>
      </c>
    </row>
    <row r="684" spans="1:3" x14ac:dyDescent="0.25">
      <c r="A684" s="56">
        <v>25720</v>
      </c>
      <c r="B684" s="61">
        <f t="shared" si="10"/>
        <v>1970</v>
      </c>
      <c r="C684">
        <v>20.3</v>
      </c>
    </row>
    <row r="685" spans="1:3" x14ac:dyDescent="0.25">
      <c r="A685" s="56">
        <v>25750</v>
      </c>
      <c r="B685" s="61">
        <f t="shared" si="10"/>
        <v>1970</v>
      </c>
      <c r="C685">
        <v>20.5</v>
      </c>
    </row>
    <row r="686" spans="1:3" x14ac:dyDescent="0.25">
      <c r="A686" s="56">
        <v>25781</v>
      </c>
      <c r="B686" s="61">
        <f t="shared" si="10"/>
        <v>1970</v>
      </c>
      <c r="C686">
        <v>20.5</v>
      </c>
    </row>
    <row r="687" spans="1:3" x14ac:dyDescent="0.25">
      <c r="A687" s="56">
        <v>25812</v>
      </c>
      <c r="B687" s="61">
        <f t="shared" si="10"/>
        <v>1970</v>
      </c>
      <c r="C687">
        <v>20.399999999999999</v>
      </c>
    </row>
    <row r="688" spans="1:3" x14ac:dyDescent="0.25">
      <c r="A688" s="56">
        <v>25842</v>
      </c>
      <c r="B688" s="61">
        <f t="shared" si="10"/>
        <v>1970</v>
      </c>
      <c r="C688">
        <v>20.399999999999999</v>
      </c>
    </row>
    <row r="689" spans="1:3" x14ac:dyDescent="0.25">
      <c r="A689" s="56">
        <v>25873</v>
      </c>
      <c r="B689" s="61">
        <f t="shared" si="10"/>
        <v>1970</v>
      </c>
      <c r="C689">
        <v>20.399999999999999</v>
      </c>
    </row>
    <row r="690" spans="1:3" x14ac:dyDescent="0.25">
      <c r="A690" s="56">
        <v>25903</v>
      </c>
      <c r="B690" s="61">
        <f t="shared" si="10"/>
        <v>1970</v>
      </c>
      <c r="C690">
        <v>20.3</v>
      </c>
    </row>
    <row r="691" spans="1:3" x14ac:dyDescent="0.25">
      <c r="A691" s="56">
        <v>25934</v>
      </c>
      <c r="B691" s="61">
        <f t="shared" si="10"/>
        <v>1971</v>
      </c>
      <c r="C691">
        <v>20.399999999999999</v>
      </c>
    </row>
    <row r="692" spans="1:3" x14ac:dyDescent="0.25">
      <c r="A692" s="56">
        <v>25965</v>
      </c>
      <c r="B692" s="61">
        <f t="shared" si="10"/>
        <v>1971</v>
      </c>
      <c r="C692">
        <v>20.5</v>
      </c>
    </row>
    <row r="693" spans="1:3" x14ac:dyDescent="0.25">
      <c r="A693" s="56">
        <v>25993</v>
      </c>
      <c r="B693" s="61">
        <f t="shared" si="10"/>
        <v>1971</v>
      </c>
      <c r="C693">
        <v>20.5</v>
      </c>
    </row>
    <row r="694" spans="1:3" x14ac:dyDescent="0.25">
      <c r="A694" s="56">
        <v>26024</v>
      </c>
      <c r="B694" s="61">
        <f t="shared" si="10"/>
        <v>1971</v>
      </c>
      <c r="C694">
        <v>20.7</v>
      </c>
    </row>
    <row r="695" spans="1:3" x14ac:dyDescent="0.25">
      <c r="A695" s="56">
        <v>26054</v>
      </c>
      <c r="B695" s="61">
        <f t="shared" si="10"/>
        <v>1971</v>
      </c>
      <c r="C695">
        <v>20.7</v>
      </c>
    </row>
    <row r="696" spans="1:3" x14ac:dyDescent="0.25">
      <c r="A696" s="56">
        <v>26085</v>
      </c>
      <c r="B696" s="61">
        <f t="shared" si="10"/>
        <v>1971</v>
      </c>
      <c r="C696">
        <v>20.8</v>
      </c>
    </row>
    <row r="697" spans="1:3" x14ac:dyDescent="0.25">
      <c r="A697" s="56">
        <v>26115</v>
      </c>
      <c r="B697" s="61">
        <f t="shared" si="10"/>
        <v>1971</v>
      </c>
      <c r="C697">
        <v>21</v>
      </c>
    </row>
    <row r="698" spans="1:3" x14ac:dyDescent="0.25">
      <c r="A698" s="56">
        <v>26146</v>
      </c>
      <c r="B698" s="61">
        <f t="shared" si="10"/>
        <v>1971</v>
      </c>
      <c r="C698">
        <v>21.2</v>
      </c>
    </row>
    <row r="699" spans="1:3" x14ac:dyDescent="0.25">
      <c r="A699" s="56">
        <v>26177</v>
      </c>
      <c r="B699" s="61">
        <f t="shared" si="10"/>
        <v>1971</v>
      </c>
      <c r="C699">
        <v>21.1</v>
      </c>
    </row>
    <row r="700" spans="1:3" x14ac:dyDescent="0.25">
      <c r="A700" s="56">
        <v>26207</v>
      </c>
      <c r="B700" s="61">
        <f t="shared" si="10"/>
        <v>1971</v>
      </c>
      <c r="C700">
        <v>21.2</v>
      </c>
    </row>
    <row r="701" spans="1:3" x14ac:dyDescent="0.25">
      <c r="A701" s="56">
        <v>26238</v>
      </c>
      <c r="B701" s="61">
        <f t="shared" si="10"/>
        <v>1971</v>
      </c>
      <c r="C701">
        <v>21.2</v>
      </c>
    </row>
    <row r="702" spans="1:3" x14ac:dyDescent="0.25">
      <c r="A702" s="56">
        <v>26268</v>
      </c>
      <c r="B702" s="61">
        <f t="shared" si="10"/>
        <v>1971</v>
      </c>
      <c r="C702">
        <v>21.3</v>
      </c>
    </row>
    <row r="703" spans="1:3" x14ac:dyDescent="0.25">
      <c r="A703" s="56">
        <v>26299</v>
      </c>
      <c r="B703" s="61">
        <f t="shared" si="10"/>
        <v>1972</v>
      </c>
      <c r="C703">
        <v>21.4</v>
      </c>
    </row>
    <row r="704" spans="1:3" x14ac:dyDescent="0.25">
      <c r="A704" s="56">
        <v>26330</v>
      </c>
      <c r="B704" s="61">
        <f t="shared" si="10"/>
        <v>1972</v>
      </c>
      <c r="C704">
        <v>21.5</v>
      </c>
    </row>
    <row r="705" spans="1:3" x14ac:dyDescent="0.25">
      <c r="A705" s="56">
        <v>26359</v>
      </c>
      <c r="B705" s="61">
        <f t="shared" si="10"/>
        <v>1972</v>
      </c>
      <c r="C705">
        <v>21.6</v>
      </c>
    </row>
    <row r="706" spans="1:3" x14ac:dyDescent="0.25">
      <c r="A706" s="56">
        <v>26390</v>
      </c>
      <c r="B706" s="61">
        <f t="shared" si="10"/>
        <v>1972</v>
      </c>
      <c r="C706">
        <v>21.7</v>
      </c>
    </row>
    <row r="707" spans="1:3" x14ac:dyDescent="0.25">
      <c r="A707" s="56">
        <v>26420</v>
      </c>
      <c r="B707" s="61">
        <f t="shared" si="10"/>
        <v>1972</v>
      </c>
      <c r="C707">
        <v>21.7</v>
      </c>
    </row>
    <row r="708" spans="1:3" x14ac:dyDescent="0.25">
      <c r="A708" s="56">
        <v>26451</v>
      </c>
      <c r="B708" s="61">
        <f t="shared" si="10"/>
        <v>1972</v>
      </c>
      <c r="C708">
        <v>21.7</v>
      </c>
    </row>
    <row r="709" spans="1:3" x14ac:dyDescent="0.25">
      <c r="A709" s="56">
        <v>26481</v>
      </c>
      <c r="B709" s="61">
        <f t="shared" si="10"/>
        <v>1972</v>
      </c>
      <c r="C709">
        <v>22</v>
      </c>
    </row>
    <row r="710" spans="1:3" x14ac:dyDescent="0.25">
      <c r="A710" s="56">
        <v>26512</v>
      </c>
      <c r="B710" s="61">
        <f t="shared" si="10"/>
        <v>1972</v>
      </c>
      <c r="C710">
        <v>22.2</v>
      </c>
    </row>
    <row r="711" spans="1:3" x14ac:dyDescent="0.25">
      <c r="A711" s="56">
        <v>26543</v>
      </c>
      <c r="B711" s="61">
        <f t="shared" si="10"/>
        <v>1972</v>
      </c>
      <c r="C711">
        <v>22.3</v>
      </c>
    </row>
    <row r="712" spans="1:3" x14ac:dyDescent="0.25">
      <c r="A712" s="56">
        <v>26573</v>
      </c>
      <c r="B712" s="61">
        <f t="shared" ref="B712:B775" si="11">YEAR(A712)</f>
        <v>1972</v>
      </c>
      <c r="C712">
        <v>22.3</v>
      </c>
    </row>
    <row r="713" spans="1:3" x14ac:dyDescent="0.25">
      <c r="A713" s="56">
        <v>26604</v>
      </c>
      <c r="B713" s="61">
        <f t="shared" si="11"/>
        <v>1972</v>
      </c>
      <c r="C713">
        <v>22.3</v>
      </c>
    </row>
    <row r="714" spans="1:3" x14ac:dyDescent="0.25">
      <c r="A714" s="56">
        <v>26634</v>
      </c>
      <c r="B714" s="61">
        <f t="shared" si="11"/>
        <v>1972</v>
      </c>
      <c r="C714">
        <v>22.4</v>
      </c>
    </row>
    <row r="715" spans="1:3" x14ac:dyDescent="0.25">
      <c r="A715" s="56">
        <v>26665</v>
      </c>
      <c r="B715" s="61">
        <f t="shared" si="11"/>
        <v>1973</v>
      </c>
      <c r="C715">
        <v>22.6</v>
      </c>
    </row>
    <row r="716" spans="1:3" x14ac:dyDescent="0.25">
      <c r="A716" s="56">
        <v>26696</v>
      </c>
      <c r="B716" s="61">
        <f t="shared" si="11"/>
        <v>1973</v>
      </c>
      <c r="C716">
        <v>22.8</v>
      </c>
    </row>
    <row r="717" spans="1:3" x14ac:dyDescent="0.25">
      <c r="A717" s="56">
        <v>26724</v>
      </c>
      <c r="B717" s="61">
        <f t="shared" si="11"/>
        <v>1973</v>
      </c>
      <c r="C717">
        <v>22.8</v>
      </c>
    </row>
    <row r="718" spans="1:3" x14ac:dyDescent="0.25">
      <c r="A718" s="56">
        <v>26755</v>
      </c>
      <c r="B718" s="61">
        <f t="shared" si="11"/>
        <v>1973</v>
      </c>
      <c r="C718">
        <v>23.1</v>
      </c>
    </row>
    <row r="719" spans="1:3" x14ac:dyDescent="0.25">
      <c r="A719" s="56">
        <v>26785</v>
      </c>
      <c r="B719" s="61">
        <f t="shared" si="11"/>
        <v>1973</v>
      </c>
      <c r="C719">
        <v>23.2</v>
      </c>
    </row>
    <row r="720" spans="1:3" x14ac:dyDescent="0.25">
      <c r="A720" s="56">
        <v>26816</v>
      </c>
      <c r="B720" s="61">
        <f t="shared" si="11"/>
        <v>1973</v>
      </c>
      <c r="C720">
        <v>23.4</v>
      </c>
    </row>
    <row r="721" spans="1:3" x14ac:dyDescent="0.25">
      <c r="A721" s="56">
        <v>26846</v>
      </c>
      <c r="B721" s="61">
        <f t="shared" si="11"/>
        <v>1973</v>
      </c>
      <c r="C721">
        <v>23.7</v>
      </c>
    </row>
    <row r="722" spans="1:3" x14ac:dyDescent="0.25">
      <c r="A722" s="56">
        <v>26877</v>
      </c>
      <c r="B722" s="61">
        <f t="shared" si="11"/>
        <v>1973</v>
      </c>
      <c r="C722">
        <v>24</v>
      </c>
    </row>
    <row r="723" spans="1:3" x14ac:dyDescent="0.25">
      <c r="A723" s="56">
        <v>26908</v>
      </c>
      <c r="B723" s="61">
        <f t="shared" si="11"/>
        <v>1973</v>
      </c>
      <c r="C723">
        <v>24.1</v>
      </c>
    </row>
    <row r="724" spans="1:3" x14ac:dyDescent="0.25">
      <c r="A724" s="56">
        <v>26938</v>
      </c>
      <c r="B724" s="61">
        <f t="shared" si="11"/>
        <v>1973</v>
      </c>
      <c r="C724">
        <v>24.2</v>
      </c>
    </row>
    <row r="725" spans="1:3" x14ac:dyDescent="0.25">
      <c r="A725" s="56">
        <v>26969</v>
      </c>
      <c r="B725" s="61">
        <f t="shared" si="11"/>
        <v>1973</v>
      </c>
      <c r="C725">
        <v>24.4</v>
      </c>
    </row>
    <row r="726" spans="1:3" x14ac:dyDescent="0.25">
      <c r="A726" s="56">
        <v>26999</v>
      </c>
      <c r="B726" s="61">
        <f t="shared" si="11"/>
        <v>1973</v>
      </c>
      <c r="C726">
        <v>24.5</v>
      </c>
    </row>
    <row r="727" spans="1:3" x14ac:dyDescent="0.25">
      <c r="A727" s="56">
        <v>27030</v>
      </c>
      <c r="B727" s="61">
        <f t="shared" si="11"/>
        <v>1974</v>
      </c>
      <c r="C727">
        <v>24.7</v>
      </c>
    </row>
    <row r="728" spans="1:3" x14ac:dyDescent="0.25">
      <c r="A728" s="56">
        <v>27061</v>
      </c>
      <c r="B728" s="61">
        <f t="shared" si="11"/>
        <v>1974</v>
      </c>
      <c r="C728">
        <v>24.9</v>
      </c>
    </row>
    <row r="729" spans="1:3" x14ac:dyDescent="0.25">
      <c r="A729" s="56">
        <v>27089</v>
      </c>
      <c r="B729" s="61">
        <f t="shared" si="11"/>
        <v>1974</v>
      </c>
      <c r="C729">
        <v>25.2</v>
      </c>
    </row>
    <row r="730" spans="1:3" x14ac:dyDescent="0.25">
      <c r="A730" s="56">
        <v>27120</v>
      </c>
      <c r="B730" s="61">
        <f t="shared" si="11"/>
        <v>1974</v>
      </c>
      <c r="C730">
        <v>25.4</v>
      </c>
    </row>
    <row r="731" spans="1:3" x14ac:dyDescent="0.25">
      <c r="A731" s="56">
        <v>27150</v>
      </c>
      <c r="B731" s="61">
        <f t="shared" si="11"/>
        <v>1974</v>
      </c>
      <c r="C731">
        <v>25.9</v>
      </c>
    </row>
    <row r="732" spans="1:3" x14ac:dyDescent="0.25">
      <c r="A732" s="56">
        <v>27181</v>
      </c>
      <c r="B732" s="61">
        <f t="shared" si="11"/>
        <v>1974</v>
      </c>
      <c r="C732">
        <v>26.1</v>
      </c>
    </row>
    <row r="733" spans="1:3" x14ac:dyDescent="0.25">
      <c r="A733" s="56">
        <v>27211</v>
      </c>
      <c r="B733" s="61">
        <f t="shared" si="11"/>
        <v>1974</v>
      </c>
      <c r="C733">
        <v>26.3</v>
      </c>
    </row>
    <row r="734" spans="1:3" x14ac:dyDescent="0.25">
      <c r="A734" s="56">
        <v>27242</v>
      </c>
      <c r="B734" s="61">
        <f t="shared" si="11"/>
        <v>1974</v>
      </c>
      <c r="C734">
        <v>26.6</v>
      </c>
    </row>
    <row r="735" spans="1:3" x14ac:dyDescent="0.25">
      <c r="A735" s="56">
        <v>27273</v>
      </c>
      <c r="B735" s="61">
        <f t="shared" si="11"/>
        <v>1974</v>
      </c>
      <c r="C735">
        <v>26.8</v>
      </c>
    </row>
    <row r="736" spans="1:3" x14ac:dyDescent="0.25">
      <c r="A736" s="56">
        <v>27303</v>
      </c>
      <c r="B736" s="61">
        <f t="shared" si="11"/>
        <v>1974</v>
      </c>
      <c r="C736">
        <v>27.1</v>
      </c>
    </row>
    <row r="737" spans="1:3" x14ac:dyDescent="0.25">
      <c r="A737" s="56">
        <v>27334</v>
      </c>
      <c r="B737" s="61">
        <f t="shared" si="11"/>
        <v>1974</v>
      </c>
      <c r="C737">
        <v>27.3</v>
      </c>
    </row>
    <row r="738" spans="1:3" x14ac:dyDescent="0.25">
      <c r="A738" s="56">
        <v>27364</v>
      </c>
      <c r="B738" s="61">
        <f t="shared" si="11"/>
        <v>1974</v>
      </c>
      <c r="C738">
        <v>27.6</v>
      </c>
    </row>
    <row r="739" spans="1:3" x14ac:dyDescent="0.25">
      <c r="A739" s="56">
        <v>27395</v>
      </c>
      <c r="B739" s="61">
        <f t="shared" si="11"/>
        <v>1975</v>
      </c>
      <c r="C739">
        <v>27.6</v>
      </c>
    </row>
    <row r="740" spans="1:3" x14ac:dyDescent="0.25">
      <c r="A740" s="56">
        <v>27426</v>
      </c>
      <c r="B740" s="61">
        <f t="shared" si="11"/>
        <v>1975</v>
      </c>
      <c r="C740">
        <v>27.9</v>
      </c>
    </row>
    <row r="741" spans="1:3" x14ac:dyDescent="0.25">
      <c r="A741" s="56">
        <v>27454</v>
      </c>
      <c r="B741" s="61">
        <f t="shared" si="11"/>
        <v>1975</v>
      </c>
      <c r="C741">
        <v>28</v>
      </c>
    </row>
    <row r="742" spans="1:3" x14ac:dyDescent="0.25">
      <c r="A742" s="56">
        <v>27485</v>
      </c>
      <c r="B742" s="61">
        <f t="shared" si="11"/>
        <v>1975</v>
      </c>
      <c r="C742">
        <v>28.2</v>
      </c>
    </row>
    <row r="743" spans="1:3" x14ac:dyDescent="0.25">
      <c r="A743" s="56">
        <v>27515</v>
      </c>
      <c r="B743" s="61">
        <f t="shared" si="11"/>
        <v>1975</v>
      </c>
      <c r="C743">
        <v>28.5</v>
      </c>
    </row>
    <row r="744" spans="1:3" x14ac:dyDescent="0.25">
      <c r="A744" s="56">
        <v>27546</v>
      </c>
      <c r="B744" s="61">
        <f t="shared" si="11"/>
        <v>1975</v>
      </c>
      <c r="C744">
        <v>28.8</v>
      </c>
    </row>
    <row r="745" spans="1:3" x14ac:dyDescent="0.25">
      <c r="A745" s="56">
        <v>27576</v>
      </c>
      <c r="B745" s="61">
        <f t="shared" si="11"/>
        <v>1975</v>
      </c>
      <c r="C745">
        <v>29.2</v>
      </c>
    </row>
    <row r="746" spans="1:3" x14ac:dyDescent="0.25">
      <c r="A746" s="56">
        <v>27607</v>
      </c>
      <c r="B746" s="61">
        <f t="shared" si="11"/>
        <v>1975</v>
      </c>
      <c r="C746">
        <v>29.5</v>
      </c>
    </row>
    <row r="747" spans="1:3" x14ac:dyDescent="0.25">
      <c r="A747" s="56">
        <v>27638</v>
      </c>
      <c r="B747" s="61">
        <f t="shared" si="11"/>
        <v>1975</v>
      </c>
      <c r="C747">
        <v>29.6</v>
      </c>
    </row>
    <row r="748" spans="1:3" x14ac:dyDescent="0.25">
      <c r="A748" s="56">
        <v>27668</v>
      </c>
      <c r="B748" s="61">
        <f t="shared" si="11"/>
        <v>1975</v>
      </c>
      <c r="C748">
        <v>29.8</v>
      </c>
    </row>
    <row r="749" spans="1:3" x14ac:dyDescent="0.25">
      <c r="A749" s="56">
        <v>27699</v>
      </c>
      <c r="B749" s="61">
        <f t="shared" si="11"/>
        <v>1975</v>
      </c>
      <c r="C749">
        <v>30.1</v>
      </c>
    </row>
    <row r="750" spans="1:3" x14ac:dyDescent="0.25">
      <c r="A750" s="56">
        <v>27729</v>
      </c>
      <c r="B750" s="61">
        <f t="shared" si="11"/>
        <v>1975</v>
      </c>
      <c r="C750">
        <v>30.2</v>
      </c>
    </row>
    <row r="751" spans="1:3" x14ac:dyDescent="0.25">
      <c r="A751" s="56">
        <v>27760</v>
      </c>
      <c r="B751" s="61">
        <f t="shared" si="11"/>
        <v>1976</v>
      </c>
      <c r="C751">
        <v>30.3</v>
      </c>
    </row>
    <row r="752" spans="1:3" x14ac:dyDescent="0.25">
      <c r="A752" s="56">
        <v>27791</v>
      </c>
      <c r="B752" s="61">
        <f t="shared" si="11"/>
        <v>1976</v>
      </c>
      <c r="C752">
        <v>30.5</v>
      </c>
    </row>
    <row r="753" spans="1:3" x14ac:dyDescent="0.25">
      <c r="A753" s="56">
        <v>27820</v>
      </c>
      <c r="B753" s="61">
        <f t="shared" si="11"/>
        <v>1976</v>
      </c>
      <c r="C753">
        <v>30.6</v>
      </c>
    </row>
    <row r="754" spans="1:3" x14ac:dyDescent="0.25">
      <c r="A754" s="56">
        <v>27851</v>
      </c>
      <c r="B754" s="61">
        <f t="shared" si="11"/>
        <v>1976</v>
      </c>
      <c r="C754">
        <v>30.7</v>
      </c>
    </row>
    <row r="755" spans="1:3" x14ac:dyDescent="0.25">
      <c r="A755" s="56">
        <v>27881</v>
      </c>
      <c r="B755" s="61">
        <f t="shared" si="11"/>
        <v>1976</v>
      </c>
      <c r="C755">
        <v>30.9</v>
      </c>
    </row>
    <row r="756" spans="1:3" x14ac:dyDescent="0.25">
      <c r="A756" s="56">
        <v>27912</v>
      </c>
      <c r="B756" s="61">
        <f t="shared" si="11"/>
        <v>1976</v>
      </c>
      <c r="C756">
        <v>31.1</v>
      </c>
    </row>
    <row r="757" spans="1:3" x14ac:dyDescent="0.25">
      <c r="A757" s="56">
        <v>27942</v>
      </c>
      <c r="B757" s="61">
        <f t="shared" si="11"/>
        <v>1976</v>
      </c>
      <c r="C757">
        <v>31.3</v>
      </c>
    </row>
    <row r="758" spans="1:3" x14ac:dyDescent="0.25">
      <c r="A758" s="56">
        <v>27973</v>
      </c>
      <c r="B758" s="61">
        <f t="shared" si="11"/>
        <v>1976</v>
      </c>
      <c r="C758">
        <v>31.3</v>
      </c>
    </row>
    <row r="759" spans="1:3" x14ac:dyDescent="0.25">
      <c r="A759" s="56">
        <v>28004</v>
      </c>
      <c r="B759" s="61">
        <f t="shared" si="11"/>
        <v>1976</v>
      </c>
      <c r="C759">
        <v>31.5</v>
      </c>
    </row>
    <row r="760" spans="1:3" x14ac:dyDescent="0.25">
      <c r="A760" s="56">
        <v>28034</v>
      </c>
      <c r="B760" s="61">
        <f t="shared" si="11"/>
        <v>1976</v>
      </c>
      <c r="C760">
        <v>31.7</v>
      </c>
    </row>
    <row r="761" spans="1:3" x14ac:dyDescent="0.25">
      <c r="A761" s="56">
        <v>28065</v>
      </c>
      <c r="B761" s="61">
        <f t="shared" si="11"/>
        <v>1976</v>
      </c>
      <c r="C761">
        <v>31.8</v>
      </c>
    </row>
    <row r="762" spans="1:3" x14ac:dyDescent="0.25">
      <c r="A762" s="56">
        <v>28095</v>
      </c>
      <c r="B762" s="61">
        <f t="shared" si="11"/>
        <v>1976</v>
      </c>
      <c r="C762">
        <v>31.9</v>
      </c>
    </row>
    <row r="763" spans="1:3" x14ac:dyDescent="0.25">
      <c r="A763" s="56">
        <v>28126</v>
      </c>
      <c r="B763" s="61">
        <f t="shared" si="11"/>
        <v>1977</v>
      </c>
      <c r="C763">
        <v>32.200000000000003</v>
      </c>
    </row>
    <row r="764" spans="1:3" x14ac:dyDescent="0.25">
      <c r="A764" s="56">
        <v>28157</v>
      </c>
      <c r="B764" s="61">
        <f t="shared" si="11"/>
        <v>1977</v>
      </c>
      <c r="C764">
        <v>32.4</v>
      </c>
    </row>
    <row r="765" spans="1:3" x14ac:dyDescent="0.25">
      <c r="A765" s="56">
        <v>28185</v>
      </c>
      <c r="B765" s="61">
        <f t="shared" si="11"/>
        <v>1977</v>
      </c>
      <c r="C765">
        <v>32.799999999999997</v>
      </c>
    </row>
    <row r="766" spans="1:3" x14ac:dyDescent="0.25">
      <c r="A766" s="56">
        <v>28216</v>
      </c>
      <c r="B766" s="61">
        <f t="shared" si="11"/>
        <v>1977</v>
      </c>
      <c r="C766">
        <v>33</v>
      </c>
    </row>
    <row r="767" spans="1:3" x14ac:dyDescent="0.25">
      <c r="A767" s="56">
        <v>28246</v>
      </c>
      <c r="B767" s="61">
        <f t="shared" si="11"/>
        <v>1977</v>
      </c>
      <c r="C767">
        <v>33.4</v>
      </c>
    </row>
    <row r="768" spans="1:3" x14ac:dyDescent="0.25">
      <c r="A768" s="56">
        <v>28277</v>
      </c>
      <c r="B768" s="61">
        <f t="shared" si="11"/>
        <v>1977</v>
      </c>
      <c r="C768">
        <v>33.5</v>
      </c>
    </row>
    <row r="769" spans="1:3" x14ac:dyDescent="0.25">
      <c r="A769" s="56">
        <v>28307</v>
      </c>
      <c r="B769" s="61">
        <f t="shared" si="11"/>
        <v>1977</v>
      </c>
      <c r="C769">
        <v>33.9</v>
      </c>
    </row>
    <row r="770" spans="1:3" x14ac:dyDescent="0.25">
      <c r="A770" s="56">
        <v>28338</v>
      </c>
      <c r="B770" s="61">
        <f t="shared" si="11"/>
        <v>1977</v>
      </c>
      <c r="C770">
        <v>33.9</v>
      </c>
    </row>
    <row r="771" spans="1:3" x14ac:dyDescent="0.25">
      <c r="A771" s="56">
        <v>28369</v>
      </c>
      <c r="B771" s="61">
        <f t="shared" si="11"/>
        <v>1977</v>
      </c>
      <c r="C771">
        <v>34.200000000000003</v>
      </c>
    </row>
    <row r="772" spans="1:3" x14ac:dyDescent="0.25">
      <c r="A772" s="56">
        <v>28399</v>
      </c>
      <c r="B772" s="61">
        <f t="shared" si="11"/>
        <v>1977</v>
      </c>
      <c r="C772">
        <v>34.5</v>
      </c>
    </row>
    <row r="773" spans="1:3" x14ac:dyDescent="0.25">
      <c r="A773" s="56">
        <v>28430</v>
      </c>
      <c r="B773" s="61">
        <f t="shared" si="11"/>
        <v>1977</v>
      </c>
      <c r="C773">
        <v>34.700000000000003</v>
      </c>
    </row>
    <row r="774" spans="1:3" x14ac:dyDescent="0.25">
      <c r="A774" s="56">
        <v>28460</v>
      </c>
      <c r="B774" s="61">
        <f t="shared" si="11"/>
        <v>1977</v>
      </c>
      <c r="C774">
        <v>34.9</v>
      </c>
    </row>
    <row r="775" spans="1:3" x14ac:dyDescent="0.25">
      <c r="A775" s="56">
        <v>28491</v>
      </c>
      <c r="B775" s="61">
        <f t="shared" si="11"/>
        <v>1978</v>
      </c>
      <c r="C775">
        <v>35.1</v>
      </c>
    </row>
    <row r="776" spans="1:3" x14ac:dyDescent="0.25">
      <c r="A776" s="56">
        <v>28522</v>
      </c>
      <c r="B776" s="61">
        <f t="shared" ref="B776:B839" si="12">YEAR(A776)</f>
        <v>1978</v>
      </c>
      <c r="C776">
        <v>35.4</v>
      </c>
    </row>
    <row r="777" spans="1:3" x14ac:dyDescent="0.25">
      <c r="A777" s="56">
        <v>28550</v>
      </c>
      <c r="B777" s="61">
        <f t="shared" si="12"/>
        <v>1978</v>
      </c>
      <c r="C777">
        <v>35.700000000000003</v>
      </c>
    </row>
    <row r="778" spans="1:3" x14ac:dyDescent="0.25">
      <c r="A778" s="56">
        <v>28581</v>
      </c>
      <c r="B778" s="61">
        <f t="shared" si="12"/>
        <v>1978</v>
      </c>
      <c r="C778">
        <v>35.799999999999997</v>
      </c>
    </row>
    <row r="779" spans="1:3" x14ac:dyDescent="0.25">
      <c r="A779" s="56">
        <v>28611</v>
      </c>
      <c r="B779" s="61">
        <f t="shared" si="12"/>
        <v>1978</v>
      </c>
      <c r="C779">
        <v>36.299999999999997</v>
      </c>
    </row>
    <row r="780" spans="1:3" x14ac:dyDescent="0.25">
      <c r="A780" s="56">
        <v>28642</v>
      </c>
      <c r="B780" s="61">
        <f t="shared" si="12"/>
        <v>1978</v>
      </c>
      <c r="C780">
        <v>36.6</v>
      </c>
    </row>
    <row r="781" spans="1:3" x14ac:dyDescent="0.25">
      <c r="A781" s="56">
        <v>28672</v>
      </c>
      <c r="B781" s="61">
        <f t="shared" si="12"/>
        <v>1978</v>
      </c>
      <c r="C781">
        <v>37.1</v>
      </c>
    </row>
    <row r="782" spans="1:3" x14ac:dyDescent="0.25">
      <c r="A782" s="56">
        <v>28703</v>
      </c>
      <c r="B782" s="61">
        <f t="shared" si="12"/>
        <v>1978</v>
      </c>
      <c r="C782">
        <v>37.200000000000003</v>
      </c>
    </row>
    <row r="783" spans="1:3" x14ac:dyDescent="0.25">
      <c r="A783" s="56">
        <v>28734</v>
      </c>
      <c r="B783" s="61">
        <f t="shared" si="12"/>
        <v>1978</v>
      </c>
      <c r="C783">
        <v>37.1</v>
      </c>
    </row>
    <row r="784" spans="1:3" x14ac:dyDescent="0.25">
      <c r="A784" s="56">
        <v>28764</v>
      </c>
      <c r="B784" s="61">
        <f t="shared" si="12"/>
        <v>1978</v>
      </c>
      <c r="C784">
        <v>37.6</v>
      </c>
    </row>
    <row r="785" spans="1:3" x14ac:dyDescent="0.25">
      <c r="A785" s="56">
        <v>28795</v>
      </c>
      <c r="B785" s="61">
        <f t="shared" si="12"/>
        <v>1978</v>
      </c>
      <c r="C785">
        <v>37.799999999999997</v>
      </c>
    </row>
    <row r="786" spans="1:3" x14ac:dyDescent="0.25">
      <c r="A786" s="56">
        <v>28825</v>
      </c>
      <c r="B786" s="61">
        <f t="shared" si="12"/>
        <v>1978</v>
      </c>
      <c r="C786">
        <v>37.9</v>
      </c>
    </row>
    <row r="787" spans="1:3" x14ac:dyDescent="0.25">
      <c r="A787" s="56">
        <v>28856</v>
      </c>
      <c r="B787" s="61">
        <f t="shared" si="12"/>
        <v>1979</v>
      </c>
      <c r="C787">
        <v>38.1</v>
      </c>
    </row>
    <row r="788" spans="1:3" x14ac:dyDescent="0.25">
      <c r="A788" s="56">
        <v>28887</v>
      </c>
      <c r="B788" s="61">
        <f t="shared" si="12"/>
        <v>1979</v>
      </c>
      <c r="C788">
        <v>38.6</v>
      </c>
    </row>
    <row r="789" spans="1:3" x14ac:dyDescent="0.25">
      <c r="A789" s="56">
        <v>28915</v>
      </c>
      <c r="B789" s="61">
        <f t="shared" si="12"/>
        <v>1979</v>
      </c>
      <c r="C789">
        <v>39</v>
      </c>
    </row>
    <row r="790" spans="1:3" x14ac:dyDescent="0.25">
      <c r="A790" s="56">
        <v>28946</v>
      </c>
      <c r="B790" s="61">
        <f t="shared" si="12"/>
        <v>1979</v>
      </c>
      <c r="C790">
        <v>39.299999999999997</v>
      </c>
    </row>
    <row r="791" spans="1:3" x14ac:dyDescent="0.25">
      <c r="A791" s="56">
        <v>28976</v>
      </c>
      <c r="B791" s="61">
        <f t="shared" si="12"/>
        <v>1979</v>
      </c>
      <c r="C791">
        <v>39.700000000000003</v>
      </c>
    </row>
    <row r="792" spans="1:3" x14ac:dyDescent="0.25">
      <c r="A792" s="56">
        <v>29007</v>
      </c>
      <c r="B792" s="61">
        <f t="shared" si="12"/>
        <v>1979</v>
      </c>
      <c r="C792">
        <v>39.9</v>
      </c>
    </row>
    <row r="793" spans="1:3" x14ac:dyDescent="0.25">
      <c r="A793" s="56">
        <v>29037</v>
      </c>
      <c r="B793" s="61">
        <f t="shared" si="12"/>
        <v>1979</v>
      </c>
      <c r="C793">
        <v>40.200000000000003</v>
      </c>
    </row>
    <row r="794" spans="1:3" x14ac:dyDescent="0.25">
      <c r="A794" s="56">
        <v>29068</v>
      </c>
      <c r="B794" s="61">
        <f t="shared" si="12"/>
        <v>1979</v>
      </c>
      <c r="C794">
        <v>40.299999999999997</v>
      </c>
    </row>
    <row r="795" spans="1:3" x14ac:dyDescent="0.25">
      <c r="A795" s="56">
        <v>29099</v>
      </c>
      <c r="B795" s="61">
        <f t="shared" si="12"/>
        <v>1979</v>
      </c>
      <c r="C795">
        <v>40.700000000000003</v>
      </c>
    </row>
    <row r="796" spans="1:3" x14ac:dyDescent="0.25">
      <c r="A796" s="56">
        <v>29129</v>
      </c>
      <c r="B796" s="61">
        <f t="shared" si="12"/>
        <v>1979</v>
      </c>
      <c r="C796">
        <v>41</v>
      </c>
    </row>
    <row r="797" spans="1:3" x14ac:dyDescent="0.25">
      <c r="A797" s="56">
        <v>29160</v>
      </c>
      <c r="B797" s="61">
        <f t="shared" si="12"/>
        <v>1979</v>
      </c>
      <c r="C797">
        <v>41.4</v>
      </c>
    </row>
    <row r="798" spans="1:3" x14ac:dyDescent="0.25">
      <c r="A798" s="56">
        <v>29190</v>
      </c>
      <c r="B798" s="61">
        <f t="shared" si="12"/>
        <v>1979</v>
      </c>
      <c r="C798">
        <v>41.6</v>
      </c>
    </row>
    <row r="799" spans="1:3" x14ac:dyDescent="0.25">
      <c r="A799" s="56">
        <v>29221</v>
      </c>
      <c r="B799" s="61">
        <f t="shared" si="12"/>
        <v>1980</v>
      </c>
      <c r="C799">
        <v>41.8</v>
      </c>
    </row>
    <row r="800" spans="1:3" x14ac:dyDescent="0.25">
      <c r="A800" s="56">
        <v>29252</v>
      </c>
      <c r="B800" s="61">
        <f t="shared" si="12"/>
        <v>1980</v>
      </c>
      <c r="C800">
        <v>42.3</v>
      </c>
    </row>
    <row r="801" spans="1:3" x14ac:dyDescent="0.25">
      <c r="A801" s="56">
        <v>29281</v>
      </c>
      <c r="B801" s="61">
        <f t="shared" si="12"/>
        <v>1980</v>
      </c>
      <c r="C801">
        <v>42.6</v>
      </c>
    </row>
    <row r="802" spans="1:3" x14ac:dyDescent="0.25">
      <c r="A802" s="56">
        <v>29312</v>
      </c>
      <c r="B802" s="61">
        <f t="shared" si="12"/>
        <v>1980</v>
      </c>
      <c r="C802">
        <v>42.9</v>
      </c>
    </row>
    <row r="803" spans="1:3" x14ac:dyDescent="0.25">
      <c r="A803" s="56">
        <v>29342</v>
      </c>
      <c r="B803" s="61">
        <f t="shared" si="12"/>
        <v>1980</v>
      </c>
      <c r="C803">
        <v>43.4</v>
      </c>
    </row>
    <row r="804" spans="1:3" x14ac:dyDescent="0.25">
      <c r="A804" s="56">
        <v>29373</v>
      </c>
      <c r="B804" s="61">
        <f t="shared" si="12"/>
        <v>1980</v>
      </c>
      <c r="C804">
        <v>43.9</v>
      </c>
    </row>
    <row r="805" spans="1:3" x14ac:dyDescent="0.25">
      <c r="A805" s="56">
        <v>29403</v>
      </c>
      <c r="B805" s="61">
        <f t="shared" si="12"/>
        <v>1980</v>
      </c>
      <c r="C805">
        <v>44.2</v>
      </c>
    </row>
    <row r="806" spans="1:3" x14ac:dyDescent="0.25">
      <c r="A806" s="56">
        <v>29434</v>
      </c>
      <c r="B806" s="61">
        <f t="shared" si="12"/>
        <v>1980</v>
      </c>
      <c r="C806">
        <v>44.7</v>
      </c>
    </row>
    <row r="807" spans="1:3" x14ac:dyDescent="0.25">
      <c r="A807" s="56">
        <v>29465</v>
      </c>
      <c r="B807" s="61">
        <f t="shared" si="12"/>
        <v>1980</v>
      </c>
      <c r="C807">
        <v>45</v>
      </c>
    </row>
    <row r="808" spans="1:3" x14ac:dyDescent="0.25">
      <c r="A808" s="56">
        <v>29495</v>
      </c>
      <c r="B808" s="61">
        <f t="shared" si="12"/>
        <v>1980</v>
      </c>
      <c r="C808">
        <v>45.4</v>
      </c>
    </row>
    <row r="809" spans="1:3" x14ac:dyDescent="0.25">
      <c r="A809" s="56">
        <v>29526</v>
      </c>
      <c r="B809" s="61">
        <f t="shared" si="12"/>
        <v>1980</v>
      </c>
      <c r="C809">
        <v>46</v>
      </c>
    </row>
    <row r="810" spans="1:3" x14ac:dyDescent="0.25">
      <c r="A810" s="56">
        <v>29556</v>
      </c>
      <c r="B810" s="61">
        <f t="shared" si="12"/>
        <v>1980</v>
      </c>
      <c r="C810">
        <v>46.2</v>
      </c>
    </row>
    <row r="811" spans="1:3" x14ac:dyDescent="0.25">
      <c r="A811" s="56">
        <v>29587</v>
      </c>
      <c r="B811" s="61">
        <f t="shared" si="12"/>
        <v>1981</v>
      </c>
      <c r="C811">
        <v>46.9</v>
      </c>
    </row>
    <row r="812" spans="1:3" x14ac:dyDescent="0.25">
      <c r="A812" s="56">
        <v>29618</v>
      </c>
      <c r="B812" s="61">
        <f t="shared" si="12"/>
        <v>1981</v>
      </c>
      <c r="C812">
        <v>47.4</v>
      </c>
    </row>
    <row r="813" spans="1:3" x14ac:dyDescent="0.25">
      <c r="A813" s="56">
        <v>29646</v>
      </c>
      <c r="B813" s="61">
        <f t="shared" si="12"/>
        <v>1981</v>
      </c>
      <c r="C813">
        <v>48</v>
      </c>
    </row>
    <row r="814" spans="1:3" x14ac:dyDescent="0.25">
      <c r="A814" s="56">
        <v>29677</v>
      </c>
      <c r="B814" s="61">
        <f t="shared" si="12"/>
        <v>1981</v>
      </c>
      <c r="C814">
        <v>48.3</v>
      </c>
    </row>
    <row r="815" spans="1:3" x14ac:dyDescent="0.25">
      <c r="A815" s="56">
        <v>29707</v>
      </c>
      <c r="B815" s="61">
        <f t="shared" si="12"/>
        <v>1981</v>
      </c>
      <c r="C815">
        <v>48.7</v>
      </c>
    </row>
    <row r="816" spans="1:3" x14ac:dyDescent="0.25">
      <c r="A816" s="56">
        <v>29738</v>
      </c>
      <c r="B816" s="61">
        <f t="shared" si="12"/>
        <v>1981</v>
      </c>
      <c r="C816">
        <v>49.5</v>
      </c>
    </row>
    <row r="817" spans="1:3" x14ac:dyDescent="0.25">
      <c r="A817" s="56">
        <v>29768</v>
      </c>
      <c r="B817" s="61">
        <f t="shared" si="12"/>
        <v>1981</v>
      </c>
      <c r="C817">
        <v>49.9</v>
      </c>
    </row>
    <row r="818" spans="1:3" x14ac:dyDescent="0.25">
      <c r="A818" s="56">
        <v>29799</v>
      </c>
      <c r="B818" s="61">
        <f t="shared" si="12"/>
        <v>1981</v>
      </c>
      <c r="C818">
        <v>50.3</v>
      </c>
    </row>
    <row r="819" spans="1:3" x14ac:dyDescent="0.25">
      <c r="A819" s="56">
        <v>29830</v>
      </c>
      <c r="B819" s="61">
        <f t="shared" si="12"/>
        <v>1981</v>
      </c>
      <c r="C819">
        <v>50.7</v>
      </c>
    </row>
    <row r="820" spans="1:3" x14ac:dyDescent="0.25">
      <c r="A820" s="56">
        <v>29860</v>
      </c>
      <c r="B820" s="61">
        <f t="shared" si="12"/>
        <v>1981</v>
      </c>
      <c r="C820">
        <v>51.2</v>
      </c>
    </row>
    <row r="821" spans="1:3" x14ac:dyDescent="0.25">
      <c r="A821" s="56">
        <v>29891</v>
      </c>
      <c r="B821" s="61">
        <f t="shared" si="12"/>
        <v>1981</v>
      </c>
      <c r="C821">
        <v>51.6</v>
      </c>
    </row>
    <row r="822" spans="1:3" x14ac:dyDescent="0.25">
      <c r="A822" s="56">
        <v>29921</v>
      </c>
      <c r="B822" s="61">
        <f t="shared" si="12"/>
        <v>1981</v>
      </c>
      <c r="C822">
        <v>51.8</v>
      </c>
    </row>
    <row r="823" spans="1:3" x14ac:dyDescent="0.25">
      <c r="A823" s="56">
        <v>29952</v>
      </c>
      <c r="B823" s="61">
        <f t="shared" si="12"/>
        <v>1982</v>
      </c>
      <c r="C823">
        <v>52.2</v>
      </c>
    </row>
    <row r="824" spans="1:3" x14ac:dyDescent="0.25">
      <c r="A824" s="56">
        <v>29983</v>
      </c>
      <c r="B824" s="61">
        <f t="shared" si="12"/>
        <v>1982</v>
      </c>
      <c r="C824">
        <v>52.8</v>
      </c>
    </row>
    <row r="825" spans="1:3" x14ac:dyDescent="0.25">
      <c r="A825" s="56">
        <v>30011</v>
      </c>
      <c r="B825" s="61">
        <f t="shared" si="12"/>
        <v>1982</v>
      </c>
      <c r="C825">
        <v>53.5</v>
      </c>
    </row>
    <row r="826" spans="1:3" x14ac:dyDescent="0.25">
      <c r="A826" s="56">
        <v>30042</v>
      </c>
      <c r="B826" s="61">
        <f t="shared" si="12"/>
        <v>1982</v>
      </c>
      <c r="C826">
        <v>53.8</v>
      </c>
    </row>
    <row r="827" spans="1:3" x14ac:dyDescent="0.25">
      <c r="A827" s="56">
        <v>30072</v>
      </c>
      <c r="B827" s="61">
        <f t="shared" si="12"/>
        <v>1982</v>
      </c>
      <c r="C827">
        <v>54.5</v>
      </c>
    </row>
    <row r="828" spans="1:3" x14ac:dyDescent="0.25">
      <c r="A828" s="56">
        <v>30103</v>
      </c>
      <c r="B828" s="61">
        <f t="shared" si="12"/>
        <v>1982</v>
      </c>
      <c r="C828">
        <v>55.1</v>
      </c>
    </row>
    <row r="829" spans="1:3" x14ac:dyDescent="0.25">
      <c r="A829" s="56">
        <v>30133</v>
      </c>
      <c r="B829" s="61">
        <f t="shared" si="12"/>
        <v>1982</v>
      </c>
      <c r="C829">
        <v>55.4</v>
      </c>
    </row>
    <row r="830" spans="1:3" x14ac:dyDescent="0.25">
      <c r="A830" s="56">
        <v>30164</v>
      </c>
      <c r="B830" s="61">
        <f t="shared" si="12"/>
        <v>1982</v>
      </c>
      <c r="C830">
        <v>55.6</v>
      </c>
    </row>
    <row r="831" spans="1:3" x14ac:dyDescent="0.25">
      <c r="A831" s="56">
        <v>30195</v>
      </c>
      <c r="B831" s="61">
        <f t="shared" si="12"/>
        <v>1982</v>
      </c>
      <c r="C831">
        <v>55.9</v>
      </c>
    </row>
    <row r="832" spans="1:3" x14ac:dyDescent="0.25">
      <c r="A832" s="56">
        <v>30225</v>
      </c>
      <c r="B832" s="61">
        <f t="shared" si="12"/>
        <v>1982</v>
      </c>
      <c r="C832">
        <v>56.3</v>
      </c>
    </row>
    <row r="833" spans="1:3" x14ac:dyDescent="0.25">
      <c r="A833" s="56">
        <v>30256</v>
      </c>
      <c r="B833" s="61">
        <f t="shared" si="12"/>
        <v>1982</v>
      </c>
      <c r="C833">
        <v>56.6</v>
      </c>
    </row>
    <row r="834" spans="1:3" x14ac:dyDescent="0.25">
      <c r="A834" s="56">
        <v>30286</v>
      </c>
      <c r="B834" s="61">
        <f t="shared" si="12"/>
        <v>1982</v>
      </c>
      <c r="C834">
        <v>56.6</v>
      </c>
    </row>
    <row r="835" spans="1:3" x14ac:dyDescent="0.25">
      <c r="A835" s="56">
        <v>30317</v>
      </c>
      <c r="B835" s="61">
        <f t="shared" si="12"/>
        <v>1983</v>
      </c>
      <c r="C835">
        <v>56.5</v>
      </c>
    </row>
    <row r="836" spans="1:3" x14ac:dyDescent="0.25">
      <c r="A836" s="56">
        <v>30348</v>
      </c>
      <c r="B836" s="61">
        <f t="shared" si="12"/>
        <v>1983</v>
      </c>
      <c r="C836">
        <v>56.8</v>
      </c>
    </row>
    <row r="837" spans="1:3" x14ac:dyDescent="0.25">
      <c r="A837" s="56">
        <v>30376</v>
      </c>
      <c r="B837" s="61">
        <f t="shared" si="12"/>
        <v>1983</v>
      </c>
      <c r="C837">
        <v>57.4</v>
      </c>
    </row>
    <row r="838" spans="1:3" x14ac:dyDescent="0.25">
      <c r="A838" s="56">
        <v>30407</v>
      </c>
      <c r="B838" s="61">
        <f t="shared" si="12"/>
        <v>1983</v>
      </c>
      <c r="C838">
        <v>57.4</v>
      </c>
    </row>
    <row r="839" spans="1:3" x14ac:dyDescent="0.25">
      <c r="A839" s="56">
        <v>30437</v>
      </c>
      <c r="B839" s="61">
        <f t="shared" si="12"/>
        <v>1983</v>
      </c>
      <c r="C839">
        <v>57.5</v>
      </c>
    </row>
    <row r="840" spans="1:3" x14ac:dyDescent="0.25">
      <c r="A840" s="56">
        <v>30468</v>
      </c>
      <c r="B840" s="61">
        <f t="shared" ref="B840:B903" si="13">YEAR(A840)</f>
        <v>1983</v>
      </c>
      <c r="C840">
        <v>58.1</v>
      </c>
    </row>
    <row r="841" spans="1:3" x14ac:dyDescent="0.25">
      <c r="A841" s="56">
        <v>30498</v>
      </c>
      <c r="B841" s="61">
        <f t="shared" si="13"/>
        <v>1983</v>
      </c>
      <c r="C841">
        <v>58.4</v>
      </c>
    </row>
    <row r="842" spans="1:3" x14ac:dyDescent="0.25">
      <c r="A842" s="56">
        <v>30529</v>
      </c>
      <c r="B842" s="61">
        <f t="shared" si="13"/>
        <v>1983</v>
      </c>
      <c r="C842">
        <v>58.7</v>
      </c>
    </row>
    <row r="843" spans="1:3" x14ac:dyDescent="0.25">
      <c r="A843" s="56">
        <v>30560</v>
      </c>
      <c r="B843" s="61">
        <f t="shared" si="13"/>
        <v>1983</v>
      </c>
      <c r="C843">
        <v>58.7</v>
      </c>
    </row>
    <row r="844" spans="1:3" x14ac:dyDescent="0.25">
      <c r="A844" s="56">
        <v>30590</v>
      </c>
      <c r="B844" s="61">
        <f t="shared" si="13"/>
        <v>1983</v>
      </c>
      <c r="C844">
        <v>59.1</v>
      </c>
    </row>
    <row r="845" spans="1:3" x14ac:dyDescent="0.25">
      <c r="A845" s="56">
        <v>30621</v>
      </c>
      <c r="B845" s="61">
        <f t="shared" si="13"/>
        <v>1983</v>
      </c>
      <c r="C845">
        <v>59.1</v>
      </c>
    </row>
    <row r="846" spans="1:3" x14ac:dyDescent="0.25">
      <c r="A846" s="56">
        <v>30651</v>
      </c>
      <c r="B846" s="61">
        <f t="shared" si="13"/>
        <v>1983</v>
      </c>
      <c r="C846">
        <v>59.2</v>
      </c>
    </row>
    <row r="847" spans="1:3" x14ac:dyDescent="0.25">
      <c r="A847" s="56">
        <v>30682</v>
      </c>
      <c r="B847" s="61">
        <f t="shared" si="13"/>
        <v>1984</v>
      </c>
      <c r="C847">
        <v>59.6</v>
      </c>
    </row>
    <row r="848" spans="1:3" x14ac:dyDescent="0.25">
      <c r="A848" s="56">
        <v>30713</v>
      </c>
      <c r="B848" s="61">
        <f t="shared" si="13"/>
        <v>1984</v>
      </c>
      <c r="C848">
        <v>59.9</v>
      </c>
    </row>
    <row r="849" spans="1:3" x14ac:dyDescent="0.25">
      <c r="A849" s="56">
        <v>30742</v>
      </c>
      <c r="B849" s="61">
        <f t="shared" si="13"/>
        <v>1984</v>
      </c>
      <c r="C849">
        <v>60</v>
      </c>
    </row>
    <row r="850" spans="1:3" x14ac:dyDescent="0.25">
      <c r="A850" s="56">
        <v>30773</v>
      </c>
      <c r="B850" s="61">
        <f t="shared" si="13"/>
        <v>1984</v>
      </c>
      <c r="C850">
        <v>60.2</v>
      </c>
    </row>
    <row r="851" spans="1:3" x14ac:dyDescent="0.25">
      <c r="A851" s="56">
        <v>30803</v>
      </c>
      <c r="B851" s="61">
        <f t="shared" si="13"/>
        <v>1984</v>
      </c>
      <c r="C851">
        <v>60.2</v>
      </c>
    </row>
    <row r="852" spans="1:3" x14ac:dyDescent="0.25">
      <c r="A852" s="56">
        <v>30834</v>
      </c>
      <c r="B852" s="61">
        <f t="shared" si="13"/>
        <v>1984</v>
      </c>
      <c r="C852">
        <v>60.6</v>
      </c>
    </row>
    <row r="853" spans="1:3" x14ac:dyDescent="0.25">
      <c r="A853" s="56">
        <v>30864</v>
      </c>
      <c r="B853" s="61">
        <f t="shared" si="13"/>
        <v>1984</v>
      </c>
      <c r="C853">
        <v>60.8</v>
      </c>
    </row>
    <row r="854" spans="1:3" x14ac:dyDescent="0.25">
      <c r="A854" s="56">
        <v>30895</v>
      </c>
      <c r="B854" s="61">
        <f t="shared" si="13"/>
        <v>1984</v>
      </c>
      <c r="C854">
        <v>60.8</v>
      </c>
    </row>
    <row r="855" spans="1:3" x14ac:dyDescent="0.25">
      <c r="A855" s="56">
        <v>30926</v>
      </c>
      <c r="B855" s="61">
        <f t="shared" si="13"/>
        <v>1984</v>
      </c>
      <c r="C855">
        <v>60.9</v>
      </c>
    </row>
    <row r="856" spans="1:3" x14ac:dyDescent="0.25">
      <c r="A856" s="56">
        <v>30956</v>
      </c>
      <c r="B856" s="61">
        <f t="shared" si="13"/>
        <v>1984</v>
      </c>
      <c r="C856">
        <v>61.1</v>
      </c>
    </row>
    <row r="857" spans="1:3" x14ac:dyDescent="0.25">
      <c r="A857" s="56">
        <v>30987</v>
      </c>
      <c r="B857" s="61">
        <f t="shared" si="13"/>
        <v>1984</v>
      </c>
      <c r="C857">
        <v>61.4</v>
      </c>
    </row>
    <row r="858" spans="1:3" x14ac:dyDescent="0.25">
      <c r="A858" s="56">
        <v>31017</v>
      </c>
      <c r="B858" s="61">
        <f t="shared" si="13"/>
        <v>1984</v>
      </c>
      <c r="C858">
        <v>61.4</v>
      </c>
    </row>
    <row r="859" spans="1:3" x14ac:dyDescent="0.25">
      <c r="A859" s="56">
        <v>31048</v>
      </c>
      <c r="B859" s="61">
        <f t="shared" si="13"/>
        <v>1985</v>
      </c>
      <c r="C859">
        <v>61.7</v>
      </c>
    </row>
    <row r="860" spans="1:3" x14ac:dyDescent="0.25">
      <c r="A860" s="56">
        <v>31079</v>
      </c>
      <c r="B860" s="61">
        <f t="shared" si="13"/>
        <v>1985</v>
      </c>
      <c r="C860">
        <v>62.1</v>
      </c>
    </row>
    <row r="861" spans="1:3" x14ac:dyDescent="0.25">
      <c r="A861" s="56">
        <v>31107</v>
      </c>
      <c r="B861" s="61">
        <f t="shared" si="13"/>
        <v>1985</v>
      </c>
      <c r="C861">
        <v>62.2</v>
      </c>
    </row>
    <row r="862" spans="1:3" x14ac:dyDescent="0.25">
      <c r="A862" s="56">
        <v>31138</v>
      </c>
      <c r="B862" s="61">
        <f t="shared" si="13"/>
        <v>1985</v>
      </c>
      <c r="C862">
        <v>62.5</v>
      </c>
    </row>
    <row r="863" spans="1:3" x14ac:dyDescent="0.25">
      <c r="A863" s="56">
        <v>31168</v>
      </c>
      <c r="B863" s="61">
        <f t="shared" si="13"/>
        <v>1985</v>
      </c>
      <c r="C863">
        <v>62.7</v>
      </c>
    </row>
    <row r="864" spans="1:3" x14ac:dyDescent="0.25">
      <c r="A864" s="56">
        <v>31199</v>
      </c>
      <c r="B864" s="61">
        <f t="shared" si="13"/>
        <v>1985</v>
      </c>
      <c r="C864">
        <v>63</v>
      </c>
    </row>
    <row r="865" spans="1:3" x14ac:dyDescent="0.25">
      <c r="A865" s="56">
        <v>31229</v>
      </c>
      <c r="B865" s="61">
        <f t="shared" si="13"/>
        <v>1985</v>
      </c>
      <c r="C865">
        <v>63.3</v>
      </c>
    </row>
    <row r="866" spans="1:3" x14ac:dyDescent="0.25">
      <c r="A866" s="56">
        <v>31260</v>
      </c>
      <c r="B866" s="61">
        <f t="shared" si="13"/>
        <v>1985</v>
      </c>
      <c r="C866">
        <v>63.3</v>
      </c>
    </row>
    <row r="867" spans="1:3" x14ac:dyDescent="0.25">
      <c r="A867" s="56">
        <v>31291</v>
      </c>
      <c r="B867" s="61">
        <f t="shared" si="13"/>
        <v>1985</v>
      </c>
      <c r="C867">
        <v>63.4</v>
      </c>
    </row>
    <row r="868" spans="1:3" x14ac:dyDescent="0.25">
      <c r="A868" s="56">
        <v>31321</v>
      </c>
      <c r="B868" s="61">
        <f t="shared" si="13"/>
        <v>1985</v>
      </c>
      <c r="C868">
        <v>63.6</v>
      </c>
    </row>
    <row r="869" spans="1:3" x14ac:dyDescent="0.25">
      <c r="A869" s="56">
        <v>31352</v>
      </c>
      <c r="B869" s="61">
        <f t="shared" si="13"/>
        <v>1985</v>
      </c>
      <c r="C869">
        <v>63.8</v>
      </c>
    </row>
    <row r="870" spans="1:3" x14ac:dyDescent="0.25">
      <c r="A870" s="56">
        <v>31382</v>
      </c>
      <c r="B870" s="61">
        <f t="shared" si="13"/>
        <v>1985</v>
      </c>
      <c r="C870">
        <v>64.099999999999994</v>
      </c>
    </row>
    <row r="871" spans="1:3" x14ac:dyDescent="0.25">
      <c r="A871" s="56">
        <v>31413</v>
      </c>
      <c r="B871" s="61">
        <f t="shared" si="13"/>
        <v>1986</v>
      </c>
      <c r="C871">
        <v>64.400000000000006</v>
      </c>
    </row>
    <row r="872" spans="1:3" x14ac:dyDescent="0.25">
      <c r="A872" s="56">
        <v>31444</v>
      </c>
      <c r="B872" s="61">
        <f t="shared" si="13"/>
        <v>1986</v>
      </c>
      <c r="C872">
        <v>64.7</v>
      </c>
    </row>
    <row r="873" spans="1:3" x14ac:dyDescent="0.25">
      <c r="A873" s="56">
        <v>31472</v>
      </c>
      <c r="B873" s="61">
        <f t="shared" si="13"/>
        <v>1986</v>
      </c>
      <c r="C873">
        <v>64.900000000000006</v>
      </c>
    </row>
    <row r="874" spans="1:3" x14ac:dyDescent="0.25">
      <c r="A874" s="56">
        <v>31503</v>
      </c>
      <c r="B874" s="61">
        <f t="shared" si="13"/>
        <v>1986</v>
      </c>
      <c r="C874">
        <v>64.900000000000006</v>
      </c>
    </row>
    <row r="875" spans="1:3" x14ac:dyDescent="0.25">
      <c r="A875" s="56">
        <v>31533</v>
      </c>
      <c r="B875" s="61">
        <f t="shared" si="13"/>
        <v>1986</v>
      </c>
      <c r="C875">
        <v>65.3</v>
      </c>
    </row>
    <row r="876" spans="1:3" x14ac:dyDescent="0.25">
      <c r="A876" s="56">
        <v>31564</v>
      </c>
      <c r="B876" s="61">
        <f t="shared" si="13"/>
        <v>1986</v>
      </c>
      <c r="C876">
        <v>65.400000000000006</v>
      </c>
    </row>
    <row r="877" spans="1:3" x14ac:dyDescent="0.25">
      <c r="A877" s="56">
        <v>31594</v>
      </c>
      <c r="B877" s="61">
        <f t="shared" si="13"/>
        <v>1986</v>
      </c>
      <c r="C877">
        <v>65.900000000000006</v>
      </c>
    </row>
    <row r="878" spans="1:3" x14ac:dyDescent="0.25">
      <c r="A878" s="56">
        <v>31625</v>
      </c>
      <c r="B878" s="61">
        <f t="shared" si="13"/>
        <v>1986</v>
      </c>
      <c r="C878">
        <v>66</v>
      </c>
    </row>
    <row r="879" spans="1:3" x14ac:dyDescent="0.25">
      <c r="A879" s="56">
        <v>31656</v>
      </c>
      <c r="B879" s="61">
        <f t="shared" si="13"/>
        <v>1986</v>
      </c>
      <c r="C879">
        <v>66</v>
      </c>
    </row>
    <row r="880" spans="1:3" x14ac:dyDescent="0.25">
      <c r="A880" s="56">
        <v>31686</v>
      </c>
      <c r="B880" s="61">
        <f t="shared" si="13"/>
        <v>1986</v>
      </c>
      <c r="C880">
        <v>66.400000000000006</v>
      </c>
    </row>
    <row r="881" spans="1:3" x14ac:dyDescent="0.25">
      <c r="A881" s="56">
        <v>31717</v>
      </c>
      <c r="B881" s="61">
        <f t="shared" si="13"/>
        <v>1986</v>
      </c>
      <c r="C881">
        <v>66.7</v>
      </c>
    </row>
    <row r="882" spans="1:3" x14ac:dyDescent="0.25">
      <c r="A882" s="56">
        <v>31747</v>
      </c>
      <c r="B882" s="61">
        <f t="shared" si="13"/>
        <v>1986</v>
      </c>
      <c r="C882">
        <v>66.8</v>
      </c>
    </row>
    <row r="883" spans="1:3" x14ac:dyDescent="0.25">
      <c r="A883" s="56">
        <v>31778</v>
      </c>
      <c r="B883" s="61">
        <f t="shared" si="13"/>
        <v>1987</v>
      </c>
      <c r="C883">
        <v>67</v>
      </c>
    </row>
    <row r="884" spans="1:3" x14ac:dyDescent="0.25">
      <c r="A884" s="56">
        <v>31809</v>
      </c>
      <c r="B884" s="61">
        <f t="shared" si="13"/>
        <v>1987</v>
      </c>
      <c r="C884">
        <v>67.3</v>
      </c>
    </row>
    <row r="885" spans="1:3" x14ac:dyDescent="0.25">
      <c r="A885" s="56">
        <v>31837</v>
      </c>
      <c r="B885" s="61">
        <f t="shared" si="13"/>
        <v>1987</v>
      </c>
      <c r="C885">
        <v>67.5</v>
      </c>
    </row>
    <row r="886" spans="1:3" x14ac:dyDescent="0.25">
      <c r="A886" s="56">
        <v>31868</v>
      </c>
      <c r="B886" s="61">
        <f t="shared" si="13"/>
        <v>1987</v>
      </c>
      <c r="C886">
        <v>67.900000000000006</v>
      </c>
    </row>
    <row r="887" spans="1:3" x14ac:dyDescent="0.25">
      <c r="A887" s="56">
        <v>31898</v>
      </c>
      <c r="B887" s="61">
        <f t="shared" si="13"/>
        <v>1987</v>
      </c>
      <c r="C887">
        <v>68.3</v>
      </c>
    </row>
    <row r="888" spans="1:3" x14ac:dyDescent="0.25">
      <c r="A888" s="56">
        <v>31929</v>
      </c>
      <c r="B888" s="61">
        <f t="shared" si="13"/>
        <v>1987</v>
      </c>
      <c r="C888">
        <v>68.5</v>
      </c>
    </row>
    <row r="889" spans="1:3" x14ac:dyDescent="0.25">
      <c r="A889" s="56">
        <v>31959</v>
      </c>
      <c r="B889" s="61">
        <f t="shared" si="13"/>
        <v>1987</v>
      </c>
      <c r="C889">
        <v>68.900000000000006</v>
      </c>
    </row>
    <row r="890" spans="1:3" x14ac:dyDescent="0.25">
      <c r="A890" s="56">
        <v>31990</v>
      </c>
      <c r="B890" s="61">
        <f t="shared" si="13"/>
        <v>1987</v>
      </c>
      <c r="C890">
        <v>69</v>
      </c>
    </row>
    <row r="891" spans="1:3" x14ac:dyDescent="0.25">
      <c r="A891" s="56">
        <v>32021</v>
      </c>
      <c r="B891" s="61">
        <f t="shared" si="13"/>
        <v>1987</v>
      </c>
      <c r="C891">
        <v>69</v>
      </c>
    </row>
    <row r="892" spans="1:3" x14ac:dyDescent="0.25">
      <c r="A892" s="56">
        <v>32051</v>
      </c>
      <c r="B892" s="61">
        <f t="shared" si="13"/>
        <v>1987</v>
      </c>
      <c r="C892">
        <v>69.2</v>
      </c>
    </row>
    <row r="893" spans="1:3" x14ac:dyDescent="0.25">
      <c r="A893" s="56">
        <v>32082</v>
      </c>
      <c r="B893" s="61">
        <f t="shared" si="13"/>
        <v>1987</v>
      </c>
      <c r="C893">
        <v>69.5</v>
      </c>
    </row>
    <row r="894" spans="1:3" x14ac:dyDescent="0.25">
      <c r="A894" s="56">
        <v>32112</v>
      </c>
      <c r="B894" s="61">
        <f t="shared" si="13"/>
        <v>1987</v>
      </c>
      <c r="C894">
        <v>69.599999999999994</v>
      </c>
    </row>
    <row r="895" spans="1:3" x14ac:dyDescent="0.25">
      <c r="A895" s="56">
        <v>32143</v>
      </c>
      <c r="B895" s="61">
        <f t="shared" si="13"/>
        <v>1988</v>
      </c>
      <c r="C895">
        <v>69.7</v>
      </c>
    </row>
    <row r="896" spans="1:3" x14ac:dyDescent="0.25">
      <c r="A896" s="56">
        <v>32174</v>
      </c>
      <c r="B896" s="61">
        <f t="shared" si="13"/>
        <v>1988</v>
      </c>
      <c r="C896">
        <v>70</v>
      </c>
    </row>
    <row r="897" spans="1:3" x14ac:dyDescent="0.25">
      <c r="A897" s="56">
        <v>32203</v>
      </c>
      <c r="B897" s="61">
        <f t="shared" si="13"/>
        <v>1988</v>
      </c>
      <c r="C897">
        <v>70.400000000000006</v>
      </c>
    </row>
    <row r="898" spans="1:3" x14ac:dyDescent="0.25">
      <c r="A898" s="56">
        <v>32234</v>
      </c>
      <c r="B898" s="61">
        <f t="shared" si="13"/>
        <v>1988</v>
      </c>
      <c r="C898">
        <v>70.599999999999994</v>
      </c>
    </row>
    <row r="899" spans="1:3" x14ac:dyDescent="0.25">
      <c r="A899" s="56">
        <v>32264</v>
      </c>
      <c r="B899" s="61">
        <f t="shared" si="13"/>
        <v>1988</v>
      </c>
      <c r="C899">
        <v>71</v>
      </c>
    </row>
    <row r="900" spans="1:3" x14ac:dyDescent="0.25">
      <c r="A900" s="56">
        <v>32295</v>
      </c>
      <c r="B900" s="61">
        <f t="shared" si="13"/>
        <v>1988</v>
      </c>
      <c r="C900">
        <v>71.2</v>
      </c>
    </row>
    <row r="901" spans="1:3" x14ac:dyDescent="0.25">
      <c r="A901" s="56">
        <v>32325</v>
      </c>
      <c r="B901" s="61">
        <f t="shared" si="13"/>
        <v>1988</v>
      </c>
      <c r="C901">
        <v>71.599999999999994</v>
      </c>
    </row>
    <row r="902" spans="1:3" x14ac:dyDescent="0.25">
      <c r="A902" s="56">
        <v>32356</v>
      </c>
      <c r="B902" s="61">
        <f t="shared" si="13"/>
        <v>1988</v>
      </c>
      <c r="C902">
        <v>71.7</v>
      </c>
    </row>
    <row r="903" spans="1:3" x14ac:dyDescent="0.25">
      <c r="A903" s="56">
        <v>32387</v>
      </c>
      <c r="B903" s="61">
        <f t="shared" si="13"/>
        <v>1988</v>
      </c>
      <c r="C903">
        <v>71.8</v>
      </c>
    </row>
    <row r="904" spans="1:3" x14ac:dyDescent="0.25">
      <c r="A904" s="56">
        <v>32417</v>
      </c>
      <c r="B904" s="61">
        <f t="shared" ref="B904:B967" si="14">YEAR(A904)</f>
        <v>1988</v>
      </c>
      <c r="C904">
        <v>72.2</v>
      </c>
    </row>
    <row r="905" spans="1:3" x14ac:dyDescent="0.25">
      <c r="A905" s="56">
        <v>32448</v>
      </c>
      <c r="B905" s="61">
        <f t="shared" si="14"/>
        <v>1988</v>
      </c>
      <c r="C905">
        <v>72.3</v>
      </c>
    </row>
    <row r="906" spans="1:3" x14ac:dyDescent="0.25">
      <c r="A906" s="56">
        <v>32478</v>
      </c>
      <c r="B906" s="61">
        <f t="shared" si="14"/>
        <v>1988</v>
      </c>
      <c r="C906">
        <v>72.3</v>
      </c>
    </row>
    <row r="907" spans="1:3" x14ac:dyDescent="0.25">
      <c r="A907" s="56">
        <v>32509</v>
      </c>
      <c r="B907" s="61">
        <f t="shared" si="14"/>
        <v>1989</v>
      </c>
      <c r="C907">
        <v>72.7</v>
      </c>
    </row>
    <row r="908" spans="1:3" x14ac:dyDescent="0.25">
      <c r="A908" s="56">
        <v>32540</v>
      </c>
      <c r="B908" s="61">
        <f t="shared" si="14"/>
        <v>1989</v>
      </c>
      <c r="C908">
        <v>73.2</v>
      </c>
    </row>
    <row r="909" spans="1:3" x14ac:dyDescent="0.25">
      <c r="A909" s="56">
        <v>32568</v>
      </c>
      <c r="B909" s="61">
        <f t="shared" si="14"/>
        <v>1989</v>
      </c>
      <c r="C909">
        <v>73.599999999999994</v>
      </c>
    </row>
    <row r="910" spans="1:3" x14ac:dyDescent="0.25">
      <c r="A910" s="56">
        <v>32599</v>
      </c>
      <c r="B910" s="61">
        <f t="shared" si="14"/>
        <v>1989</v>
      </c>
      <c r="C910">
        <v>73.8</v>
      </c>
    </row>
    <row r="911" spans="1:3" x14ac:dyDescent="0.25">
      <c r="A911" s="56">
        <v>32629</v>
      </c>
      <c r="B911" s="61">
        <f t="shared" si="14"/>
        <v>1989</v>
      </c>
      <c r="C911">
        <v>74.599999999999994</v>
      </c>
    </row>
    <row r="912" spans="1:3" x14ac:dyDescent="0.25">
      <c r="A912" s="56">
        <v>32660</v>
      </c>
      <c r="B912" s="61">
        <f t="shared" si="14"/>
        <v>1989</v>
      </c>
      <c r="C912">
        <v>74.900000000000006</v>
      </c>
    </row>
    <row r="913" spans="1:3" x14ac:dyDescent="0.25">
      <c r="A913" s="56">
        <v>32690</v>
      </c>
      <c r="B913" s="61">
        <f t="shared" si="14"/>
        <v>1989</v>
      </c>
      <c r="C913">
        <v>75.400000000000006</v>
      </c>
    </row>
    <row r="914" spans="1:3" x14ac:dyDescent="0.25">
      <c r="A914" s="56">
        <v>32721</v>
      </c>
      <c r="B914" s="61">
        <f t="shared" si="14"/>
        <v>1989</v>
      </c>
      <c r="C914">
        <v>75.5</v>
      </c>
    </row>
    <row r="915" spans="1:3" x14ac:dyDescent="0.25">
      <c r="A915" s="56">
        <v>32752</v>
      </c>
      <c r="B915" s="61">
        <f t="shared" si="14"/>
        <v>1989</v>
      </c>
      <c r="C915">
        <v>75.599999999999994</v>
      </c>
    </row>
    <row r="916" spans="1:3" x14ac:dyDescent="0.25">
      <c r="A916" s="56">
        <v>32782</v>
      </c>
      <c r="B916" s="61">
        <f t="shared" si="14"/>
        <v>1989</v>
      </c>
      <c r="C916">
        <v>75.900000000000006</v>
      </c>
    </row>
    <row r="917" spans="1:3" x14ac:dyDescent="0.25">
      <c r="A917" s="56">
        <v>32813</v>
      </c>
      <c r="B917" s="61">
        <f t="shared" si="14"/>
        <v>1989</v>
      </c>
      <c r="C917">
        <v>76.099999999999994</v>
      </c>
    </row>
    <row r="918" spans="1:3" x14ac:dyDescent="0.25">
      <c r="A918" s="56">
        <v>32843</v>
      </c>
      <c r="B918" s="61">
        <f t="shared" si="14"/>
        <v>1989</v>
      </c>
      <c r="C918">
        <v>76.099999999999994</v>
      </c>
    </row>
    <row r="919" spans="1:3" x14ac:dyDescent="0.25">
      <c r="A919" s="56">
        <v>32874</v>
      </c>
      <c r="B919" s="61">
        <f t="shared" si="14"/>
        <v>1990</v>
      </c>
      <c r="C919">
        <v>76.7</v>
      </c>
    </row>
    <row r="920" spans="1:3" x14ac:dyDescent="0.25">
      <c r="A920" s="56">
        <v>32905</v>
      </c>
      <c r="B920" s="61">
        <f t="shared" si="14"/>
        <v>1990</v>
      </c>
      <c r="C920">
        <v>77.2</v>
      </c>
    </row>
    <row r="921" spans="1:3" x14ac:dyDescent="0.25">
      <c r="A921" s="56">
        <v>32933</v>
      </c>
      <c r="B921" s="61">
        <f t="shared" si="14"/>
        <v>1990</v>
      </c>
      <c r="C921">
        <v>77.5</v>
      </c>
    </row>
    <row r="922" spans="1:3" x14ac:dyDescent="0.25">
      <c r="A922" s="56">
        <v>32964</v>
      </c>
      <c r="B922" s="61">
        <f t="shared" si="14"/>
        <v>1990</v>
      </c>
      <c r="C922">
        <v>77.5</v>
      </c>
    </row>
    <row r="923" spans="1:3" x14ac:dyDescent="0.25">
      <c r="A923" s="56">
        <v>32994</v>
      </c>
      <c r="B923" s="61">
        <f t="shared" si="14"/>
        <v>1990</v>
      </c>
      <c r="C923">
        <v>77.900000000000006</v>
      </c>
    </row>
    <row r="924" spans="1:3" x14ac:dyDescent="0.25">
      <c r="A924" s="56">
        <v>33025</v>
      </c>
      <c r="B924" s="61">
        <f t="shared" si="14"/>
        <v>1990</v>
      </c>
      <c r="C924">
        <v>78.2</v>
      </c>
    </row>
    <row r="925" spans="1:3" x14ac:dyDescent="0.25">
      <c r="A925" s="56">
        <v>33055</v>
      </c>
      <c r="B925" s="61">
        <f t="shared" si="14"/>
        <v>1990</v>
      </c>
      <c r="C925">
        <v>78.5</v>
      </c>
    </row>
    <row r="926" spans="1:3" x14ac:dyDescent="0.25">
      <c r="A926" s="56">
        <v>33086</v>
      </c>
      <c r="B926" s="61">
        <f t="shared" si="14"/>
        <v>1990</v>
      </c>
      <c r="C926">
        <v>78.599999999999994</v>
      </c>
    </row>
    <row r="927" spans="1:3" x14ac:dyDescent="0.25">
      <c r="A927" s="56">
        <v>33117</v>
      </c>
      <c r="B927" s="61">
        <f t="shared" si="14"/>
        <v>1990</v>
      </c>
      <c r="C927">
        <v>78.8</v>
      </c>
    </row>
    <row r="928" spans="1:3" x14ac:dyDescent="0.25">
      <c r="A928" s="56">
        <v>33147</v>
      </c>
      <c r="B928" s="61">
        <f t="shared" si="14"/>
        <v>1990</v>
      </c>
      <c r="C928">
        <v>79.5</v>
      </c>
    </row>
    <row r="929" spans="1:3" x14ac:dyDescent="0.25">
      <c r="A929" s="56">
        <v>33178</v>
      </c>
      <c r="B929" s="61">
        <f t="shared" si="14"/>
        <v>1990</v>
      </c>
      <c r="C929">
        <v>80</v>
      </c>
    </row>
    <row r="930" spans="1:3" x14ac:dyDescent="0.25">
      <c r="A930" s="56">
        <v>33208</v>
      </c>
      <c r="B930" s="61">
        <f t="shared" si="14"/>
        <v>1990</v>
      </c>
      <c r="C930">
        <v>79.900000000000006</v>
      </c>
    </row>
    <row r="931" spans="1:3" x14ac:dyDescent="0.25">
      <c r="A931" s="56">
        <v>33239</v>
      </c>
      <c r="B931" s="61">
        <f t="shared" si="14"/>
        <v>1991</v>
      </c>
      <c r="C931">
        <v>82</v>
      </c>
    </row>
    <row r="932" spans="1:3" x14ac:dyDescent="0.25">
      <c r="A932" s="56">
        <v>33270</v>
      </c>
      <c r="B932" s="61">
        <f t="shared" si="14"/>
        <v>1991</v>
      </c>
      <c r="C932">
        <v>82</v>
      </c>
    </row>
    <row r="933" spans="1:3" x14ac:dyDescent="0.25">
      <c r="A933" s="56">
        <v>33298</v>
      </c>
      <c r="B933" s="61">
        <f t="shared" si="14"/>
        <v>1991</v>
      </c>
      <c r="C933">
        <v>82.3</v>
      </c>
    </row>
    <row r="934" spans="1:3" x14ac:dyDescent="0.25">
      <c r="A934" s="56">
        <v>33329</v>
      </c>
      <c r="B934" s="61">
        <f t="shared" si="14"/>
        <v>1991</v>
      </c>
      <c r="C934">
        <v>82.3</v>
      </c>
    </row>
    <row r="935" spans="1:3" x14ac:dyDescent="0.25">
      <c r="A935" s="56">
        <v>33359</v>
      </c>
      <c r="B935" s="61">
        <f t="shared" si="14"/>
        <v>1991</v>
      </c>
      <c r="C935">
        <v>82.7</v>
      </c>
    </row>
    <row r="936" spans="1:3" x14ac:dyDescent="0.25">
      <c r="A936" s="56">
        <v>33390</v>
      </c>
      <c r="B936" s="61">
        <f t="shared" si="14"/>
        <v>1991</v>
      </c>
      <c r="C936">
        <v>83.1</v>
      </c>
    </row>
    <row r="937" spans="1:3" x14ac:dyDescent="0.25">
      <c r="A937" s="56">
        <v>33420</v>
      </c>
      <c r="B937" s="61">
        <f t="shared" si="14"/>
        <v>1991</v>
      </c>
      <c r="C937">
        <v>83.2</v>
      </c>
    </row>
    <row r="938" spans="1:3" x14ac:dyDescent="0.25">
      <c r="A938" s="56">
        <v>33451</v>
      </c>
      <c r="B938" s="61">
        <f t="shared" si="14"/>
        <v>1991</v>
      </c>
      <c r="C938">
        <v>83.3</v>
      </c>
    </row>
    <row r="939" spans="1:3" x14ac:dyDescent="0.25">
      <c r="A939" s="56">
        <v>33482</v>
      </c>
      <c r="B939" s="61">
        <f t="shared" si="14"/>
        <v>1991</v>
      </c>
      <c r="C939">
        <v>83.1</v>
      </c>
    </row>
    <row r="940" spans="1:3" x14ac:dyDescent="0.25">
      <c r="A940" s="56">
        <v>33512</v>
      </c>
      <c r="B940" s="61">
        <f t="shared" si="14"/>
        <v>1991</v>
      </c>
      <c r="C940">
        <v>83</v>
      </c>
    </row>
    <row r="941" spans="1:3" x14ac:dyDescent="0.25">
      <c r="A941" s="56">
        <v>33543</v>
      </c>
      <c r="B941" s="61">
        <f t="shared" si="14"/>
        <v>1991</v>
      </c>
      <c r="C941">
        <v>83.3</v>
      </c>
    </row>
    <row r="942" spans="1:3" x14ac:dyDescent="0.25">
      <c r="A942" s="56">
        <v>33573</v>
      </c>
      <c r="B942" s="61">
        <f t="shared" si="14"/>
        <v>1991</v>
      </c>
      <c r="C942">
        <v>82.9</v>
      </c>
    </row>
    <row r="943" spans="1:3" x14ac:dyDescent="0.25">
      <c r="A943" s="56">
        <v>33604</v>
      </c>
      <c r="B943" s="61">
        <f t="shared" si="14"/>
        <v>1992</v>
      </c>
      <c r="C943">
        <v>83.3</v>
      </c>
    </row>
    <row r="944" spans="1:3" x14ac:dyDescent="0.25">
      <c r="A944" s="56">
        <v>33635</v>
      </c>
      <c r="B944" s="61">
        <f t="shared" si="14"/>
        <v>1992</v>
      </c>
      <c r="C944">
        <v>83.3</v>
      </c>
    </row>
    <row r="945" spans="1:3" x14ac:dyDescent="0.25">
      <c r="A945" s="56">
        <v>33664</v>
      </c>
      <c r="B945" s="61">
        <f t="shared" si="14"/>
        <v>1992</v>
      </c>
      <c r="C945">
        <v>83.6</v>
      </c>
    </row>
    <row r="946" spans="1:3" x14ac:dyDescent="0.25">
      <c r="A946" s="56">
        <v>33695</v>
      </c>
      <c r="B946" s="61">
        <f t="shared" si="14"/>
        <v>1992</v>
      </c>
      <c r="C946">
        <v>83.7</v>
      </c>
    </row>
    <row r="947" spans="1:3" x14ac:dyDescent="0.25">
      <c r="A947" s="56">
        <v>33725</v>
      </c>
      <c r="B947" s="61">
        <f t="shared" si="14"/>
        <v>1992</v>
      </c>
      <c r="C947">
        <v>83.8</v>
      </c>
    </row>
    <row r="948" spans="1:3" x14ac:dyDescent="0.25">
      <c r="A948" s="56">
        <v>33756</v>
      </c>
      <c r="B948" s="61">
        <f t="shared" si="14"/>
        <v>1992</v>
      </c>
      <c r="C948">
        <v>84</v>
      </c>
    </row>
    <row r="949" spans="1:3" x14ac:dyDescent="0.25">
      <c r="A949" s="56">
        <v>33786</v>
      </c>
      <c r="B949" s="61">
        <f t="shared" si="14"/>
        <v>1992</v>
      </c>
      <c r="C949">
        <v>84.2</v>
      </c>
    </row>
    <row r="950" spans="1:3" x14ac:dyDescent="0.25">
      <c r="A950" s="56">
        <v>33817</v>
      </c>
      <c r="B950" s="61">
        <f t="shared" si="14"/>
        <v>1992</v>
      </c>
      <c r="C950">
        <v>84.2</v>
      </c>
    </row>
    <row r="951" spans="1:3" x14ac:dyDescent="0.25">
      <c r="A951" s="56">
        <v>33848</v>
      </c>
      <c r="B951" s="61">
        <f t="shared" si="14"/>
        <v>1992</v>
      </c>
      <c r="C951">
        <v>84.2</v>
      </c>
    </row>
    <row r="952" spans="1:3" x14ac:dyDescent="0.25">
      <c r="A952" s="56">
        <v>33878</v>
      </c>
      <c r="B952" s="61">
        <f t="shared" si="14"/>
        <v>1992</v>
      </c>
      <c r="C952">
        <v>84.3</v>
      </c>
    </row>
    <row r="953" spans="1:3" x14ac:dyDescent="0.25">
      <c r="A953" s="56">
        <v>33909</v>
      </c>
      <c r="B953" s="61">
        <f t="shared" si="14"/>
        <v>1992</v>
      </c>
      <c r="C953">
        <v>84.7</v>
      </c>
    </row>
    <row r="954" spans="1:3" x14ac:dyDescent="0.25">
      <c r="A954" s="56">
        <v>33939</v>
      </c>
      <c r="B954" s="61">
        <f t="shared" si="14"/>
        <v>1992</v>
      </c>
      <c r="C954">
        <v>84.7</v>
      </c>
    </row>
    <row r="955" spans="1:3" x14ac:dyDescent="0.25">
      <c r="A955" s="56">
        <v>33970</v>
      </c>
      <c r="B955" s="61">
        <f t="shared" si="14"/>
        <v>1993</v>
      </c>
      <c r="C955">
        <v>85</v>
      </c>
    </row>
    <row r="956" spans="1:3" x14ac:dyDescent="0.25">
      <c r="A956" s="56">
        <v>34001</v>
      </c>
      <c r="B956" s="61">
        <f t="shared" si="14"/>
        <v>1993</v>
      </c>
      <c r="C956">
        <v>85.3</v>
      </c>
    </row>
    <row r="957" spans="1:3" x14ac:dyDescent="0.25">
      <c r="A957" s="56">
        <v>34029</v>
      </c>
      <c r="B957" s="61">
        <f t="shared" si="14"/>
        <v>1993</v>
      </c>
      <c r="C957">
        <v>85.2</v>
      </c>
    </row>
    <row r="958" spans="1:3" x14ac:dyDescent="0.25">
      <c r="A958" s="56">
        <v>34060</v>
      </c>
      <c r="B958" s="61">
        <f t="shared" si="14"/>
        <v>1993</v>
      </c>
      <c r="C958">
        <v>85.2</v>
      </c>
    </row>
    <row r="959" spans="1:3" x14ac:dyDescent="0.25">
      <c r="A959" s="56">
        <v>34090</v>
      </c>
      <c r="B959" s="61">
        <f t="shared" si="14"/>
        <v>1993</v>
      </c>
      <c r="C959">
        <v>85.4</v>
      </c>
    </row>
    <row r="960" spans="1:3" x14ac:dyDescent="0.25">
      <c r="A960" s="56">
        <v>34121</v>
      </c>
      <c r="B960" s="61">
        <f t="shared" si="14"/>
        <v>1993</v>
      </c>
      <c r="C960">
        <v>85.4</v>
      </c>
    </row>
    <row r="961" spans="1:3" x14ac:dyDescent="0.25">
      <c r="A961" s="56">
        <v>34151</v>
      </c>
      <c r="B961" s="61">
        <f t="shared" si="14"/>
        <v>1993</v>
      </c>
      <c r="C961">
        <v>85.6</v>
      </c>
    </row>
    <row r="962" spans="1:3" x14ac:dyDescent="0.25">
      <c r="A962" s="56">
        <v>34182</v>
      </c>
      <c r="B962" s="61">
        <f t="shared" si="14"/>
        <v>1993</v>
      </c>
      <c r="C962">
        <v>85.7</v>
      </c>
    </row>
    <row r="963" spans="1:3" x14ac:dyDescent="0.25">
      <c r="A963" s="56">
        <v>34213</v>
      </c>
      <c r="B963" s="61">
        <f t="shared" si="14"/>
        <v>1993</v>
      </c>
      <c r="C963">
        <v>85.7</v>
      </c>
    </row>
    <row r="964" spans="1:3" x14ac:dyDescent="0.25">
      <c r="A964" s="56">
        <v>34243</v>
      </c>
      <c r="B964" s="61">
        <f t="shared" si="14"/>
        <v>1993</v>
      </c>
      <c r="C964">
        <v>85.9</v>
      </c>
    </row>
    <row r="965" spans="1:3" x14ac:dyDescent="0.25">
      <c r="A965" s="56">
        <v>34274</v>
      </c>
      <c r="B965" s="61">
        <f t="shared" si="14"/>
        <v>1993</v>
      </c>
      <c r="C965">
        <v>86.3</v>
      </c>
    </row>
    <row r="966" spans="1:3" x14ac:dyDescent="0.25">
      <c r="A966" s="56">
        <v>34304</v>
      </c>
      <c r="B966" s="61">
        <f t="shared" si="14"/>
        <v>1993</v>
      </c>
      <c r="C966">
        <v>86.1</v>
      </c>
    </row>
    <row r="967" spans="1:3" x14ac:dyDescent="0.25">
      <c r="A967" s="56">
        <v>34335</v>
      </c>
      <c r="B967" s="61">
        <f t="shared" si="14"/>
        <v>1994</v>
      </c>
      <c r="C967">
        <v>86.1</v>
      </c>
    </row>
    <row r="968" spans="1:3" x14ac:dyDescent="0.25">
      <c r="A968" s="56">
        <v>34366</v>
      </c>
      <c r="B968" s="61">
        <f t="shared" ref="B968:B1031" si="15">YEAR(A968)</f>
        <v>1994</v>
      </c>
      <c r="C968">
        <v>85.4</v>
      </c>
    </row>
    <row r="969" spans="1:3" x14ac:dyDescent="0.25">
      <c r="A969" s="56">
        <v>34394</v>
      </c>
      <c r="B969" s="61">
        <f t="shared" si="15"/>
        <v>1994</v>
      </c>
      <c r="C969">
        <v>85.4</v>
      </c>
    </row>
    <row r="970" spans="1:3" x14ac:dyDescent="0.25">
      <c r="A970" s="56">
        <v>34425</v>
      </c>
      <c r="B970" s="61">
        <f t="shared" si="15"/>
        <v>1994</v>
      </c>
      <c r="C970">
        <v>85.4</v>
      </c>
    </row>
    <row r="971" spans="1:3" x14ac:dyDescent="0.25">
      <c r="A971" s="56">
        <v>34455</v>
      </c>
      <c r="B971" s="61">
        <f t="shared" si="15"/>
        <v>1994</v>
      </c>
      <c r="C971">
        <v>85.2</v>
      </c>
    </row>
    <row r="972" spans="1:3" x14ac:dyDescent="0.25">
      <c r="A972" s="56">
        <v>34486</v>
      </c>
      <c r="B972" s="61">
        <f t="shared" si="15"/>
        <v>1994</v>
      </c>
      <c r="C972">
        <v>85.4</v>
      </c>
    </row>
    <row r="973" spans="1:3" x14ac:dyDescent="0.25">
      <c r="A973" s="56">
        <v>34516</v>
      </c>
      <c r="B973" s="61">
        <f t="shared" si="15"/>
        <v>1994</v>
      </c>
      <c r="C973">
        <v>85.7</v>
      </c>
    </row>
    <row r="974" spans="1:3" x14ac:dyDescent="0.25">
      <c r="A974" s="56">
        <v>34547</v>
      </c>
      <c r="B974" s="61">
        <f t="shared" si="15"/>
        <v>1994</v>
      </c>
      <c r="C974">
        <v>85.8</v>
      </c>
    </row>
    <row r="975" spans="1:3" x14ac:dyDescent="0.25">
      <c r="A975" s="56">
        <v>34578</v>
      </c>
      <c r="B975" s="61">
        <f t="shared" si="15"/>
        <v>1994</v>
      </c>
      <c r="C975">
        <v>85.9</v>
      </c>
    </row>
    <row r="976" spans="1:3" x14ac:dyDescent="0.25">
      <c r="A976" s="56">
        <v>34608</v>
      </c>
      <c r="B976" s="61">
        <f t="shared" si="15"/>
        <v>1994</v>
      </c>
      <c r="C976">
        <v>85.7</v>
      </c>
    </row>
    <row r="977" spans="1:3" x14ac:dyDescent="0.25">
      <c r="A977" s="56">
        <v>34639</v>
      </c>
      <c r="B977" s="61">
        <f t="shared" si="15"/>
        <v>1994</v>
      </c>
      <c r="C977">
        <v>86.2</v>
      </c>
    </row>
    <row r="978" spans="1:3" x14ac:dyDescent="0.25">
      <c r="A978" s="56">
        <v>34669</v>
      </c>
      <c r="B978" s="61">
        <f t="shared" si="15"/>
        <v>1994</v>
      </c>
      <c r="C978">
        <v>86.3</v>
      </c>
    </row>
    <row r="979" spans="1:3" x14ac:dyDescent="0.25">
      <c r="A979" s="56">
        <v>34700</v>
      </c>
      <c r="B979" s="61">
        <f t="shared" si="15"/>
        <v>1995</v>
      </c>
      <c r="C979">
        <v>86.6</v>
      </c>
    </row>
    <row r="980" spans="1:3" x14ac:dyDescent="0.25">
      <c r="A980" s="56">
        <v>34731</v>
      </c>
      <c r="B980" s="61">
        <f t="shared" si="15"/>
        <v>1995</v>
      </c>
      <c r="C980">
        <v>87</v>
      </c>
    </row>
    <row r="981" spans="1:3" x14ac:dyDescent="0.25">
      <c r="A981" s="56">
        <v>34759</v>
      </c>
      <c r="B981" s="61">
        <f t="shared" si="15"/>
        <v>1995</v>
      </c>
      <c r="C981">
        <v>87.2</v>
      </c>
    </row>
    <row r="982" spans="1:3" x14ac:dyDescent="0.25">
      <c r="A982" s="56">
        <v>34790</v>
      </c>
      <c r="B982" s="61">
        <f t="shared" si="15"/>
        <v>1995</v>
      </c>
      <c r="C982">
        <v>87.5</v>
      </c>
    </row>
    <row r="983" spans="1:3" x14ac:dyDescent="0.25">
      <c r="A983" s="56">
        <v>34820</v>
      </c>
      <c r="B983" s="61">
        <f t="shared" si="15"/>
        <v>1995</v>
      </c>
      <c r="C983">
        <v>87.7</v>
      </c>
    </row>
    <row r="984" spans="1:3" x14ac:dyDescent="0.25">
      <c r="A984" s="56">
        <v>34851</v>
      </c>
      <c r="B984" s="61">
        <f t="shared" si="15"/>
        <v>1995</v>
      </c>
      <c r="C984">
        <v>87.7</v>
      </c>
    </row>
    <row r="985" spans="1:3" x14ac:dyDescent="0.25">
      <c r="A985" s="56">
        <v>34881</v>
      </c>
      <c r="B985" s="61">
        <f t="shared" si="15"/>
        <v>1995</v>
      </c>
      <c r="C985">
        <v>87.9</v>
      </c>
    </row>
    <row r="986" spans="1:3" x14ac:dyDescent="0.25">
      <c r="A986" s="56">
        <v>34912</v>
      </c>
      <c r="B986" s="61">
        <f t="shared" si="15"/>
        <v>1995</v>
      </c>
      <c r="C986">
        <v>87.7</v>
      </c>
    </row>
    <row r="987" spans="1:3" x14ac:dyDescent="0.25">
      <c r="A987" s="56">
        <v>34943</v>
      </c>
      <c r="B987" s="61">
        <f t="shared" si="15"/>
        <v>1995</v>
      </c>
      <c r="C987">
        <v>87.8</v>
      </c>
    </row>
    <row r="988" spans="1:3" x14ac:dyDescent="0.25">
      <c r="A988" s="56">
        <v>34973</v>
      </c>
      <c r="B988" s="61">
        <f t="shared" si="15"/>
        <v>1995</v>
      </c>
      <c r="C988">
        <v>87.7</v>
      </c>
    </row>
    <row r="989" spans="1:3" x14ac:dyDescent="0.25">
      <c r="A989" s="56">
        <v>35004</v>
      </c>
      <c r="B989" s="61">
        <f t="shared" si="15"/>
        <v>1995</v>
      </c>
      <c r="C989">
        <v>88</v>
      </c>
    </row>
    <row r="990" spans="1:3" x14ac:dyDescent="0.25">
      <c r="A990" s="56">
        <v>35034</v>
      </c>
      <c r="B990" s="61">
        <f t="shared" si="15"/>
        <v>1995</v>
      </c>
      <c r="C990">
        <v>87.8</v>
      </c>
    </row>
    <row r="991" spans="1:3" x14ac:dyDescent="0.25">
      <c r="A991" s="56">
        <v>35065</v>
      </c>
      <c r="B991" s="61">
        <f t="shared" si="15"/>
        <v>1996</v>
      </c>
      <c r="C991">
        <v>88</v>
      </c>
    </row>
    <row r="992" spans="1:3" x14ac:dyDescent="0.25">
      <c r="A992" s="56">
        <v>35096</v>
      </c>
      <c r="B992" s="61">
        <f t="shared" si="15"/>
        <v>1996</v>
      </c>
      <c r="C992">
        <v>88.1</v>
      </c>
    </row>
    <row r="993" spans="1:3" x14ac:dyDescent="0.25">
      <c r="A993" s="56">
        <v>35125</v>
      </c>
      <c r="B993" s="61">
        <f t="shared" si="15"/>
        <v>1996</v>
      </c>
      <c r="C993">
        <v>88.5</v>
      </c>
    </row>
    <row r="994" spans="1:3" x14ac:dyDescent="0.25">
      <c r="A994" s="56">
        <v>35156</v>
      </c>
      <c r="B994" s="61">
        <f t="shared" si="15"/>
        <v>1996</v>
      </c>
      <c r="C994">
        <v>88.7</v>
      </c>
    </row>
    <row r="995" spans="1:3" x14ac:dyDescent="0.25">
      <c r="A995" s="56">
        <v>35186</v>
      </c>
      <c r="B995" s="61">
        <f t="shared" si="15"/>
        <v>1996</v>
      </c>
      <c r="C995">
        <v>89</v>
      </c>
    </row>
    <row r="996" spans="1:3" x14ac:dyDescent="0.25">
      <c r="A996" s="56">
        <v>35217</v>
      </c>
      <c r="B996" s="61">
        <f t="shared" si="15"/>
        <v>1996</v>
      </c>
      <c r="C996">
        <v>89</v>
      </c>
    </row>
    <row r="997" spans="1:3" x14ac:dyDescent="0.25">
      <c r="A997" s="56">
        <v>35247</v>
      </c>
      <c r="B997" s="61">
        <f t="shared" si="15"/>
        <v>1996</v>
      </c>
      <c r="C997">
        <v>89</v>
      </c>
    </row>
    <row r="998" spans="1:3" x14ac:dyDescent="0.25">
      <c r="A998" s="56">
        <v>35278</v>
      </c>
      <c r="B998" s="61">
        <f t="shared" si="15"/>
        <v>1996</v>
      </c>
      <c r="C998">
        <v>89</v>
      </c>
    </row>
    <row r="999" spans="1:3" x14ac:dyDescent="0.25">
      <c r="A999" s="56">
        <v>35309</v>
      </c>
      <c r="B999" s="61">
        <f t="shared" si="15"/>
        <v>1996</v>
      </c>
      <c r="C999">
        <v>89.1</v>
      </c>
    </row>
    <row r="1000" spans="1:3" x14ac:dyDescent="0.25">
      <c r="A1000" s="56">
        <v>35339</v>
      </c>
      <c r="B1000" s="61">
        <f t="shared" si="15"/>
        <v>1996</v>
      </c>
      <c r="C1000">
        <v>89.3</v>
      </c>
    </row>
    <row r="1001" spans="1:3" x14ac:dyDescent="0.25">
      <c r="A1001" s="56">
        <v>35370</v>
      </c>
      <c r="B1001" s="61">
        <f t="shared" si="15"/>
        <v>1996</v>
      </c>
      <c r="C1001">
        <v>89.7</v>
      </c>
    </row>
    <row r="1002" spans="1:3" x14ac:dyDescent="0.25">
      <c r="A1002" s="56">
        <v>35400</v>
      </c>
      <c r="B1002" s="61">
        <f t="shared" si="15"/>
        <v>1996</v>
      </c>
      <c r="C1002">
        <v>89.7</v>
      </c>
    </row>
    <row r="1003" spans="1:3" x14ac:dyDescent="0.25">
      <c r="A1003" s="56">
        <v>35431</v>
      </c>
      <c r="B1003" s="61">
        <f t="shared" si="15"/>
        <v>1997</v>
      </c>
      <c r="C1003">
        <v>89.9</v>
      </c>
    </row>
    <row r="1004" spans="1:3" x14ac:dyDescent="0.25">
      <c r="A1004" s="56">
        <v>35462</v>
      </c>
      <c r="B1004" s="61">
        <f t="shared" si="15"/>
        <v>1997</v>
      </c>
      <c r="C1004">
        <v>90.1</v>
      </c>
    </row>
    <row r="1005" spans="1:3" x14ac:dyDescent="0.25">
      <c r="A1005" s="56">
        <v>35490</v>
      </c>
      <c r="B1005" s="61">
        <f t="shared" si="15"/>
        <v>1997</v>
      </c>
      <c r="C1005">
        <v>90.2</v>
      </c>
    </row>
    <row r="1006" spans="1:3" x14ac:dyDescent="0.25">
      <c r="A1006" s="56">
        <v>35521</v>
      </c>
      <c r="B1006" s="61">
        <f t="shared" si="15"/>
        <v>1997</v>
      </c>
      <c r="C1006">
        <v>90.2</v>
      </c>
    </row>
    <row r="1007" spans="1:3" x14ac:dyDescent="0.25">
      <c r="A1007" s="56">
        <v>35551</v>
      </c>
      <c r="B1007" s="61">
        <f t="shared" si="15"/>
        <v>1997</v>
      </c>
      <c r="C1007">
        <v>90.3</v>
      </c>
    </row>
    <row r="1008" spans="1:3" x14ac:dyDescent="0.25">
      <c r="A1008" s="56">
        <v>35582</v>
      </c>
      <c r="B1008" s="61">
        <f t="shared" si="15"/>
        <v>1997</v>
      </c>
      <c r="C1008">
        <v>90.5</v>
      </c>
    </row>
    <row r="1009" spans="1:3" x14ac:dyDescent="0.25">
      <c r="A1009" s="56">
        <v>35612</v>
      </c>
      <c r="B1009" s="61">
        <f t="shared" si="15"/>
        <v>1997</v>
      </c>
      <c r="C1009">
        <v>90.5</v>
      </c>
    </row>
    <row r="1010" spans="1:3" x14ac:dyDescent="0.25">
      <c r="A1010" s="56">
        <v>35643</v>
      </c>
      <c r="B1010" s="61">
        <f t="shared" si="15"/>
        <v>1997</v>
      </c>
      <c r="C1010">
        <v>90.6</v>
      </c>
    </row>
    <row r="1011" spans="1:3" x14ac:dyDescent="0.25">
      <c r="A1011" s="56">
        <v>35674</v>
      </c>
      <c r="B1011" s="61">
        <f t="shared" si="15"/>
        <v>1997</v>
      </c>
      <c r="C1011">
        <v>90.6</v>
      </c>
    </row>
    <row r="1012" spans="1:3" x14ac:dyDescent="0.25">
      <c r="A1012" s="56">
        <v>35704</v>
      </c>
      <c r="B1012" s="61">
        <f t="shared" si="15"/>
        <v>1997</v>
      </c>
      <c r="C1012">
        <v>90.6</v>
      </c>
    </row>
    <row r="1013" spans="1:3" x14ac:dyDescent="0.25">
      <c r="A1013" s="56">
        <v>35735</v>
      </c>
      <c r="B1013" s="61">
        <f t="shared" si="15"/>
        <v>1997</v>
      </c>
      <c r="C1013">
        <v>90.5</v>
      </c>
    </row>
    <row r="1014" spans="1:3" x14ac:dyDescent="0.25">
      <c r="A1014" s="56">
        <v>35765</v>
      </c>
      <c r="B1014" s="61">
        <f t="shared" si="15"/>
        <v>1997</v>
      </c>
      <c r="C1014">
        <v>90.4</v>
      </c>
    </row>
    <row r="1015" spans="1:3" x14ac:dyDescent="0.25">
      <c r="A1015" s="56">
        <v>35796</v>
      </c>
      <c r="B1015" s="61">
        <f t="shared" si="15"/>
        <v>1998</v>
      </c>
      <c r="C1015">
        <v>90.9</v>
      </c>
    </row>
    <row r="1016" spans="1:3" x14ac:dyDescent="0.25">
      <c r="A1016" s="56">
        <v>35827</v>
      </c>
      <c r="B1016" s="61">
        <f t="shared" si="15"/>
        <v>1998</v>
      </c>
      <c r="C1016">
        <v>91</v>
      </c>
    </row>
    <row r="1017" spans="1:3" x14ac:dyDescent="0.25">
      <c r="A1017" s="56">
        <v>35855</v>
      </c>
      <c r="B1017" s="61">
        <f t="shared" si="15"/>
        <v>1998</v>
      </c>
      <c r="C1017">
        <v>91.1</v>
      </c>
    </row>
    <row r="1018" spans="1:3" x14ac:dyDescent="0.25">
      <c r="A1018" s="56">
        <v>35886</v>
      </c>
      <c r="B1018" s="61">
        <f t="shared" si="15"/>
        <v>1998</v>
      </c>
      <c r="C1018">
        <v>91</v>
      </c>
    </row>
    <row r="1019" spans="1:3" x14ac:dyDescent="0.25">
      <c r="A1019" s="56">
        <v>35916</v>
      </c>
      <c r="B1019" s="61">
        <f t="shared" si="15"/>
        <v>1998</v>
      </c>
      <c r="C1019">
        <v>91.3</v>
      </c>
    </row>
    <row r="1020" spans="1:3" x14ac:dyDescent="0.25">
      <c r="A1020" s="56">
        <v>35947</v>
      </c>
      <c r="B1020" s="61">
        <f t="shared" si="15"/>
        <v>1998</v>
      </c>
      <c r="C1020">
        <v>91.4</v>
      </c>
    </row>
    <row r="1021" spans="1:3" x14ac:dyDescent="0.25">
      <c r="A1021" s="56">
        <v>35977</v>
      </c>
      <c r="B1021" s="61">
        <f t="shared" si="15"/>
        <v>1998</v>
      </c>
      <c r="C1021">
        <v>91.4</v>
      </c>
    </row>
    <row r="1022" spans="1:3" x14ac:dyDescent="0.25">
      <c r="A1022" s="56">
        <v>36008</v>
      </c>
      <c r="B1022" s="61">
        <f t="shared" si="15"/>
        <v>1998</v>
      </c>
      <c r="C1022">
        <v>91.4</v>
      </c>
    </row>
    <row r="1023" spans="1:3" x14ac:dyDescent="0.25">
      <c r="A1023" s="56">
        <v>36039</v>
      </c>
      <c r="B1023" s="61">
        <f t="shared" si="15"/>
        <v>1998</v>
      </c>
      <c r="C1023">
        <v>91.2</v>
      </c>
    </row>
    <row r="1024" spans="1:3" x14ac:dyDescent="0.25">
      <c r="A1024" s="56">
        <v>36069</v>
      </c>
      <c r="B1024" s="61">
        <f t="shared" si="15"/>
        <v>1998</v>
      </c>
      <c r="C1024">
        <v>91.6</v>
      </c>
    </row>
    <row r="1025" spans="1:3" x14ac:dyDescent="0.25">
      <c r="A1025" s="56">
        <v>36100</v>
      </c>
      <c r="B1025" s="61">
        <f t="shared" si="15"/>
        <v>1998</v>
      </c>
      <c r="C1025">
        <v>91.6</v>
      </c>
    </row>
    <row r="1026" spans="1:3" x14ac:dyDescent="0.25">
      <c r="A1026" s="56">
        <v>36130</v>
      </c>
      <c r="B1026" s="61">
        <f t="shared" si="15"/>
        <v>1998</v>
      </c>
      <c r="C1026">
        <v>91.3</v>
      </c>
    </row>
    <row r="1027" spans="1:3" x14ac:dyDescent="0.25">
      <c r="A1027" s="56">
        <v>36161</v>
      </c>
      <c r="B1027" s="61">
        <f t="shared" si="15"/>
        <v>1999</v>
      </c>
      <c r="C1027">
        <v>91.5</v>
      </c>
    </row>
    <row r="1028" spans="1:3" x14ac:dyDescent="0.25">
      <c r="A1028" s="56">
        <v>36192</v>
      </c>
      <c r="B1028" s="61">
        <f t="shared" si="15"/>
        <v>1999</v>
      </c>
      <c r="C1028">
        <v>91.6</v>
      </c>
    </row>
    <row r="1029" spans="1:3" x14ac:dyDescent="0.25">
      <c r="A1029" s="56">
        <v>36220</v>
      </c>
      <c r="B1029" s="61">
        <f t="shared" si="15"/>
        <v>1999</v>
      </c>
      <c r="C1029">
        <v>92</v>
      </c>
    </row>
    <row r="1030" spans="1:3" x14ac:dyDescent="0.25">
      <c r="A1030" s="56">
        <v>36251</v>
      </c>
      <c r="B1030" s="61">
        <f t="shared" si="15"/>
        <v>1999</v>
      </c>
      <c r="C1030">
        <v>92.5</v>
      </c>
    </row>
    <row r="1031" spans="1:3" x14ac:dyDescent="0.25">
      <c r="A1031" s="56">
        <v>36281</v>
      </c>
      <c r="B1031" s="61">
        <f t="shared" si="15"/>
        <v>1999</v>
      </c>
      <c r="C1031">
        <v>92.7</v>
      </c>
    </row>
    <row r="1032" spans="1:3" x14ac:dyDescent="0.25">
      <c r="A1032" s="56">
        <v>36312</v>
      </c>
      <c r="B1032" s="61">
        <f t="shared" ref="B1032:B1095" si="16">YEAR(A1032)</f>
        <v>1999</v>
      </c>
      <c r="C1032">
        <v>92.9</v>
      </c>
    </row>
    <row r="1033" spans="1:3" x14ac:dyDescent="0.25">
      <c r="A1033" s="56">
        <v>36342</v>
      </c>
      <c r="B1033" s="61">
        <f t="shared" si="16"/>
        <v>1999</v>
      </c>
      <c r="C1033">
        <v>93.1</v>
      </c>
    </row>
    <row r="1034" spans="1:3" x14ac:dyDescent="0.25">
      <c r="A1034" s="56">
        <v>36373</v>
      </c>
      <c r="B1034" s="61">
        <f t="shared" si="16"/>
        <v>1999</v>
      </c>
      <c r="C1034">
        <v>93.3</v>
      </c>
    </row>
    <row r="1035" spans="1:3" x14ac:dyDescent="0.25">
      <c r="A1035" s="56">
        <v>36404</v>
      </c>
      <c r="B1035" s="61">
        <f t="shared" si="16"/>
        <v>1999</v>
      </c>
      <c r="C1035">
        <v>93.6</v>
      </c>
    </row>
    <row r="1036" spans="1:3" x14ac:dyDescent="0.25">
      <c r="A1036" s="56">
        <v>36434</v>
      </c>
      <c r="B1036" s="61">
        <f t="shared" si="16"/>
        <v>1999</v>
      </c>
      <c r="C1036">
        <v>93.7</v>
      </c>
    </row>
    <row r="1037" spans="1:3" x14ac:dyDescent="0.25">
      <c r="A1037" s="56">
        <v>36465</v>
      </c>
      <c r="B1037" s="61">
        <f t="shared" si="16"/>
        <v>1999</v>
      </c>
      <c r="C1037">
        <v>93.6</v>
      </c>
    </row>
    <row r="1038" spans="1:3" x14ac:dyDescent="0.25">
      <c r="A1038" s="56">
        <v>36495</v>
      </c>
      <c r="B1038" s="61">
        <f t="shared" si="16"/>
        <v>1999</v>
      </c>
      <c r="C1038">
        <v>93.7</v>
      </c>
    </row>
    <row r="1039" spans="1:3" x14ac:dyDescent="0.25">
      <c r="A1039" s="56">
        <v>36526</v>
      </c>
      <c r="B1039" s="61">
        <f t="shared" si="16"/>
        <v>2000</v>
      </c>
      <c r="C1039">
        <v>93.5</v>
      </c>
    </row>
    <row r="1040" spans="1:3" x14ac:dyDescent="0.25">
      <c r="A1040" s="56">
        <v>36557</v>
      </c>
      <c r="B1040" s="61">
        <f t="shared" si="16"/>
        <v>2000</v>
      </c>
      <c r="C1040">
        <v>94.1</v>
      </c>
    </row>
    <row r="1041" spans="1:3" x14ac:dyDescent="0.25">
      <c r="A1041" s="56">
        <v>36586</v>
      </c>
      <c r="B1041" s="61">
        <f t="shared" si="16"/>
        <v>2000</v>
      </c>
      <c r="C1041">
        <v>94.8</v>
      </c>
    </row>
    <row r="1042" spans="1:3" x14ac:dyDescent="0.25">
      <c r="A1042" s="56">
        <v>36617</v>
      </c>
      <c r="B1042" s="61">
        <f t="shared" si="16"/>
        <v>2000</v>
      </c>
      <c r="C1042">
        <v>94.5</v>
      </c>
    </row>
    <row r="1043" spans="1:3" x14ac:dyDescent="0.25">
      <c r="A1043" s="56">
        <v>36647</v>
      </c>
      <c r="B1043" s="61">
        <f t="shared" si="16"/>
        <v>2000</v>
      </c>
      <c r="C1043">
        <v>94.9</v>
      </c>
    </row>
    <row r="1044" spans="1:3" x14ac:dyDescent="0.25">
      <c r="A1044" s="56">
        <v>36678</v>
      </c>
      <c r="B1044" s="61">
        <f t="shared" si="16"/>
        <v>2000</v>
      </c>
      <c r="C1044">
        <v>95.5</v>
      </c>
    </row>
    <row r="1045" spans="1:3" x14ac:dyDescent="0.25">
      <c r="A1045" s="56">
        <v>36708</v>
      </c>
      <c r="B1045" s="61">
        <f t="shared" si="16"/>
        <v>2000</v>
      </c>
      <c r="C1045">
        <v>95.8</v>
      </c>
    </row>
    <row r="1046" spans="1:3" x14ac:dyDescent="0.25">
      <c r="A1046" s="56">
        <v>36739</v>
      </c>
      <c r="B1046" s="61">
        <f t="shared" si="16"/>
        <v>2000</v>
      </c>
      <c r="C1046">
        <v>95.7</v>
      </c>
    </row>
    <row r="1047" spans="1:3" x14ac:dyDescent="0.25">
      <c r="A1047" s="56">
        <v>36770</v>
      </c>
      <c r="B1047" s="61">
        <f t="shared" si="16"/>
        <v>2000</v>
      </c>
      <c r="C1047">
        <v>96.1</v>
      </c>
    </row>
    <row r="1048" spans="1:3" x14ac:dyDescent="0.25">
      <c r="A1048" s="56">
        <v>36800</v>
      </c>
      <c r="B1048" s="61">
        <f t="shared" si="16"/>
        <v>2000</v>
      </c>
      <c r="C1048">
        <v>96.3</v>
      </c>
    </row>
    <row r="1049" spans="1:3" x14ac:dyDescent="0.25">
      <c r="A1049" s="56">
        <v>36831</v>
      </c>
      <c r="B1049" s="61">
        <f t="shared" si="16"/>
        <v>2000</v>
      </c>
      <c r="C1049">
        <v>96.6</v>
      </c>
    </row>
    <row r="1050" spans="1:3" x14ac:dyDescent="0.25">
      <c r="A1050" s="56">
        <v>36861</v>
      </c>
      <c r="B1050" s="61">
        <f t="shared" si="16"/>
        <v>2000</v>
      </c>
      <c r="C1050">
        <v>96.7</v>
      </c>
    </row>
    <row r="1051" spans="1:3" x14ac:dyDescent="0.25">
      <c r="A1051" s="56">
        <v>36892</v>
      </c>
      <c r="B1051" s="61">
        <f t="shared" si="16"/>
        <v>2001</v>
      </c>
      <c r="C1051">
        <v>96.3</v>
      </c>
    </row>
    <row r="1052" spans="1:3" x14ac:dyDescent="0.25">
      <c r="A1052" s="56">
        <v>36923</v>
      </c>
      <c r="B1052" s="61">
        <f t="shared" si="16"/>
        <v>2001</v>
      </c>
      <c r="C1052">
        <v>96.8</v>
      </c>
    </row>
    <row r="1053" spans="1:3" x14ac:dyDescent="0.25">
      <c r="A1053" s="56">
        <v>36951</v>
      </c>
      <c r="B1053" s="61">
        <f t="shared" si="16"/>
        <v>2001</v>
      </c>
      <c r="C1053">
        <v>97.1</v>
      </c>
    </row>
    <row r="1054" spans="1:3" x14ac:dyDescent="0.25">
      <c r="A1054" s="56">
        <v>36982</v>
      </c>
      <c r="B1054" s="61">
        <f t="shared" si="16"/>
        <v>2001</v>
      </c>
      <c r="C1054">
        <v>97.8</v>
      </c>
    </row>
    <row r="1055" spans="1:3" x14ac:dyDescent="0.25">
      <c r="A1055" s="56">
        <v>37012</v>
      </c>
      <c r="B1055" s="61">
        <f t="shared" si="16"/>
        <v>2001</v>
      </c>
      <c r="C1055">
        <v>98.6</v>
      </c>
    </row>
    <row r="1056" spans="1:3" x14ac:dyDescent="0.25">
      <c r="A1056" s="56">
        <v>37043</v>
      </c>
      <c r="B1056" s="61">
        <f t="shared" si="16"/>
        <v>2001</v>
      </c>
      <c r="C1056">
        <v>98.7</v>
      </c>
    </row>
    <row r="1057" spans="1:3" x14ac:dyDescent="0.25">
      <c r="A1057" s="56">
        <v>37073</v>
      </c>
      <c r="B1057" s="61">
        <f t="shared" si="16"/>
        <v>2001</v>
      </c>
      <c r="C1057">
        <v>98.4</v>
      </c>
    </row>
    <row r="1058" spans="1:3" x14ac:dyDescent="0.25">
      <c r="A1058" s="56">
        <v>37104</v>
      </c>
      <c r="B1058" s="61">
        <f t="shared" si="16"/>
        <v>2001</v>
      </c>
      <c r="C1058">
        <v>98.4</v>
      </c>
    </row>
    <row r="1059" spans="1:3" x14ac:dyDescent="0.25">
      <c r="A1059" s="56">
        <v>37135</v>
      </c>
      <c r="B1059" s="61">
        <f t="shared" si="16"/>
        <v>2001</v>
      </c>
      <c r="C1059">
        <v>98.6</v>
      </c>
    </row>
    <row r="1060" spans="1:3" x14ac:dyDescent="0.25">
      <c r="A1060" s="56">
        <v>37165</v>
      </c>
      <c r="B1060" s="61">
        <f t="shared" si="16"/>
        <v>2001</v>
      </c>
      <c r="C1060">
        <v>98.1</v>
      </c>
    </row>
    <row r="1061" spans="1:3" x14ac:dyDescent="0.25">
      <c r="A1061" s="56">
        <v>37196</v>
      </c>
      <c r="B1061" s="61">
        <f t="shared" si="16"/>
        <v>2001</v>
      </c>
      <c r="C1061">
        <v>97.2</v>
      </c>
    </row>
    <row r="1062" spans="1:3" x14ac:dyDescent="0.25">
      <c r="A1062" s="56">
        <v>37226</v>
      </c>
      <c r="B1062" s="61">
        <f t="shared" si="16"/>
        <v>2001</v>
      </c>
      <c r="C1062">
        <v>97.4</v>
      </c>
    </row>
    <row r="1063" spans="1:3" x14ac:dyDescent="0.25">
      <c r="A1063" s="56">
        <v>37257</v>
      </c>
      <c r="B1063" s="61">
        <f t="shared" si="16"/>
        <v>2002</v>
      </c>
      <c r="C1063">
        <v>97.6</v>
      </c>
    </row>
    <row r="1064" spans="1:3" x14ac:dyDescent="0.25">
      <c r="A1064" s="56">
        <v>37288</v>
      </c>
      <c r="B1064" s="61">
        <f t="shared" si="16"/>
        <v>2002</v>
      </c>
      <c r="C1064">
        <v>98.2</v>
      </c>
    </row>
    <row r="1065" spans="1:3" x14ac:dyDescent="0.25">
      <c r="A1065" s="56">
        <v>37316</v>
      </c>
      <c r="B1065" s="61">
        <f t="shared" si="16"/>
        <v>2002</v>
      </c>
      <c r="C1065">
        <v>98.9</v>
      </c>
    </row>
    <row r="1066" spans="1:3" x14ac:dyDescent="0.25">
      <c r="A1066" s="56">
        <v>37347</v>
      </c>
      <c r="B1066" s="61">
        <f t="shared" si="16"/>
        <v>2002</v>
      </c>
      <c r="C1066">
        <v>99.5</v>
      </c>
    </row>
    <row r="1067" spans="1:3" x14ac:dyDescent="0.25">
      <c r="A1067" s="56">
        <v>37377</v>
      </c>
      <c r="B1067" s="61">
        <f t="shared" si="16"/>
        <v>2002</v>
      </c>
      <c r="C1067">
        <v>99.7</v>
      </c>
    </row>
    <row r="1068" spans="1:3" x14ac:dyDescent="0.25">
      <c r="A1068" s="56">
        <v>37408</v>
      </c>
      <c r="B1068" s="61">
        <f t="shared" si="16"/>
        <v>2002</v>
      </c>
      <c r="C1068">
        <v>99.9</v>
      </c>
    </row>
    <row r="1069" spans="1:3" x14ac:dyDescent="0.25">
      <c r="A1069" s="56">
        <v>37438</v>
      </c>
      <c r="B1069" s="61">
        <f t="shared" si="16"/>
        <v>2002</v>
      </c>
      <c r="C1069">
        <v>100.5</v>
      </c>
    </row>
    <row r="1070" spans="1:3" x14ac:dyDescent="0.25">
      <c r="A1070" s="56">
        <v>37469</v>
      </c>
      <c r="B1070" s="61">
        <f t="shared" si="16"/>
        <v>2002</v>
      </c>
      <c r="C1070">
        <v>100.9</v>
      </c>
    </row>
    <row r="1071" spans="1:3" x14ac:dyDescent="0.25">
      <c r="A1071" s="56">
        <v>37500</v>
      </c>
      <c r="B1071" s="61">
        <f t="shared" si="16"/>
        <v>2002</v>
      </c>
      <c r="C1071">
        <v>100.9</v>
      </c>
    </row>
    <row r="1072" spans="1:3" x14ac:dyDescent="0.25">
      <c r="A1072" s="56">
        <v>37530</v>
      </c>
      <c r="B1072" s="61">
        <f t="shared" si="16"/>
        <v>2002</v>
      </c>
      <c r="C1072">
        <v>101.2</v>
      </c>
    </row>
    <row r="1073" spans="1:3" x14ac:dyDescent="0.25">
      <c r="A1073" s="56">
        <v>37561</v>
      </c>
      <c r="B1073" s="61">
        <f t="shared" si="16"/>
        <v>2002</v>
      </c>
      <c r="C1073">
        <v>101.5</v>
      </c>
    </row>
    <row r="1074" spans="1:3" x14ac:dyDescent="0.25">
      <c r="A1074" s="56">
        <v>37591</v>
      </c>
      <c r="B1074" s="61">
        <f t="shared" si="16"/>
        <v>2002</v>
      </c>
      <c r="C1074">
        <v>101.1</v>
      </c>
    </row>
    <row r="1075" spans="1:3" x14ac:dyDescent="0.25">
      <c r="A1075" s="56">
        <v>37622</v>
      </c>
      <c r="B1075" s="61">
        <f t="shared" si="16"/>
        <v>2003</v>
      </c>
      <c r="C1075">
        <v>102</v>
      </c>
    </row>
    <row r="1076" spans="1:3" x14ac:dyDescent="0.25">
      <c r="A1076" s="56">
        <v>37653</v>
      </c>
      <c r="B1076" s="61">
        <f t="shared" si="16"/>
        <v>2003</v>
      </c>
      <c r="C1076">
        <v>102.8</v>
      </c>
    </row>
    <row r="1077" spans="1:3" x14ac:dyDescent="0.25">
      <c r="A1077" s="56">
        <v>37681</v>
      </c>
      <c r="B1077" s="61">
        <f t="shared" si="16"/>
        <v>2003</v>
      </c>
      <c r="C1077">
        <v>103.1</v>
      </c>
    </row>
    <row r="1078" spans="1:3" x14ac:dyDescent="0.25">
      <c r="A1078" s="56">
        <v>37712</v>
      </c>
      <c r="B1078" s="61">
        <f t="shared" si="16"/>
        <v>2003</v>
      </c>
      <c r="C1078">
        <v>102.4</v>
      </c>
    </row>
    <row r="1079" spans="1:3" x14ac:dyDescent="0.25">
      <c r="A1079" s="56">
        <v>37742</v>
      </c>
      <c r="B1079" s="61">
        <f t="shared" si="16"/>
        <v>2003</v>
      </c>
      <c r="C1079">
        <v>102.5</v>
      </c>
    </row>
    <row r="1080" spans="1:3" x14ac:dyDescent="0.25">
      <c r="A1080" s="56">
        <v>37773</v>
      </c>
      <c r="B1080" s="61">
        <f t="shared" si="16"/>
        <v>2003</v>
      </c>
      <c r="C1080">
        <v>102.5</v>
      </c>
    </row>
    <row r="1081" spans="1:3" x14ac:dyDescent="0.25">
      <c r="A1081" s="56">
        <v>37803</v>
      </c>
      <c r="B1081" s="61">
        <f t="shared" si="16"/>
        <v>2003</v>
      </c>
      <c r="C1081">
        <v>102.6</v>
      </c>
    </row>
    <row r="1082" spans="1:3" x14ac:dyDescent="0.25">
      <c r="A1082" s="56">
        <v>37834</v>
      </c>
      <c r="B1082" s="61">
        <f t="shared" si="16"/>
        <v>2003</v>
      </c>
      <c r="C1082">
        <v>102.9</v>
      </c>
    </row>
    <row r="1083" spans="1:3" x14ac:dyDescent="0.25">
      <c r="A1083" s="56">
        <v>37865</v>
      </c>
      <c r="B1083" s="61">
        <f t="shared" si="16"/>
        <v>2003</v>
      </c>
      <c r="C1083">
        <v>103.1</v>
      </c>
    </row>
    <row r="1084" spans="1:3" x14ac:dyDescent="0.25">
      <c r="A1084" s="56">
        <v>37895</v>
      </c>
      <c r="B1084" s="61">
        <f t="shared" si="16"/>
        <v>2003</v>
      </c>
      <c r="C1084">
        <v>102.8</v>
      </c>
    </row>
    <row r="1085" spans="1:3" x14ac:dyDescent="0.25">
      <c r="A1085" s="56">
        <v>37926</v>
      </c>
      <c r="B1085" s="61">
        <f t="shared" si="16"/>
        <v>2003</v>
      </c>
      <c r="C1085">
        <v>103.1</v>
      </c>
    </row>
    <row r="1086" spans="1:3" x14ac:dyDescent="0.25">
      <c r="A1086" s="56">
        <v>37956</v>
      </c>
      <c r="B1086" s="61">
        <f t="shared" si="16"/>
        <v>2003</v>
      </c>
      <c r="C1086">
        <v>103.2</v>
      </c>
    </row>
    <row r="1087" spans="1:3" x14ac:dyDescent="0.25">
      <c r="A1087" s="56">
        <v>37987</v>
      </c>
      <c r="B1087" s="61">
        <f t="shared" si="16"/>
        <v>2004</v>
      </c>
      <c r="C1087">
        <v>103.3</v>
      </c>
    </row>
    <row r="1088" spans="1:3" x14ac:dyDescent="0.25">
      <c r="A1088" s="56">
        <v>38018</v>
      </c>
      <c r="B1088" s="61">
        <f t="shared" si="16"/>
        <v>2004</v>
      </c>
      <c r="C1088">
        <v>103.5</v>
      </c>
    </row>
    <row r="1089" spans="1:3" x14ac:dyDescent="0.25">
      <c r="A1089" s="56">
        <v>38047</v>
      </c>
      <c r="B1089" s="61">
        <f t="shared" si="16"/>
        <v>2004</v>
      </c>
      <c r="C1089">
        <v>103.9</v>
      </c>
    </row>
    <row r="1090" spans="1:3" x14ac:dyDescent="0.25">
      <c r="A1090" s="56">
        <v>38078</v>
      </c>
      <c r="B1090" s="61">
        <f t="shared" si="16"/>
        <v>2004</v>
      </c>
      <c r="C1090">
        <v>104.1</v>
      </c>
    </row>
    <row r="1091" spans="1:3" x14ac:dyDescent="0.25">
      <c r="A1091" s="56">
        <v>38108</v>
      </c>
      <c r="B1091" s="61">
        <f t="shared" si="16"/>
        <v>2004</v>
      </c>
      <c r="C1091">
        <v>105</v>
      </c>
    </row>
    <row r="1092" spans="1:3" x14ac:dyDescent="0.25">
      <c r="A1092" s="56">
        <v>38139</v>
      </c>
      <c r="B1092" s="61">
        <f t="shared" si="16"/>
        <v>2004</v>
      </c>
      <c r="C1092">
        <v>105.1</v>
      </c>
    </row>
    <row r="1093" spans="1:3" x14ac:dyDescent="0.25">
      <c r="A1093" s="56">
        <v>38169</v>
      </c>
      <c r="B1093" s="61">
        <f t="shared" si="16"/>
        <v>2004</v>
      </c>
      <c r="C1093">
        <v>105</v>
      </c>
    </row>
    <row r="1094" spans="1:3" x14ac:dyDescent="0.25">
      <c r="A1094" s="56">
        <v>38200</v>
      </c>
      <c r="B1094" s="61">
        <f t="shared" si="16"/>
        <v>2004</v>
      </c>
      <c r="C1094">
        <v>104.8</v>
      </c>
    </row>
    <row r="1095" spans="1:3" x14ac:dyDescent="0.25">
      <c r="A1095" s="56">
        <v>38231</v>
      </c>
      <c r="B1095" s="61">
        <f t="shared" si="16"/>
        <v>2004</v>
      </c>
      <c r="C1095">
        <v>105</v>
      </c>
    </row>
    <row r="1096" spans="1:3" x14ac:dyDescent="0.25">
      <c r="A1096" s="56">
        <v>38261</v>
      </c>
      <c r="B1096" s="61">
        <f t="shared" ref="B1096:B1159" si="17">YEAR(A1096)</f>
        <v>2004</v>
      </c>
      <c r="C1096">
        <v>105.2</v>
      </c>
    </row>
    <row r="1097" spans="1:3" x14ac:dyDescent="0.25">
      <c r="A1097" s="56">
        <v>38292</v>
      </c>
      <c r="B1097" s="61">
        <f t="shared" si="17"/>
        <v>2004</v>
      </c>
      <c r="C1097">
        <v>105.6</v>
      </c>
    </row>
    <row r="1098" spans="1:3" x14ac:dyDescent="0.25">
      <c r="A1098" s="56">
        <v>38322</v>
      </c>
      <c r="B1098" s="61">
        <f t="shared" si="17"/>
        <v>2004</v>
      </c>
      <c r="C1098">
        <v>105.4</v>
      </c>
    </row>
    <row r="1099" spans="1:3" x14ac:dyDescent="0.25">
      <c r="A1099" s="56">
        <v>38353</v>
      </c>
      <c r="B1099" s="61">
        <f t="shared" si="17"/>
        <v>2005</v>
      </c>
      <c r="C1099">
        <v>105.3</v>
      </c>
    </row>
    <row r="1100" spans="1:3" x14ac:dyDescent="0.25">
      <c r="A1100" s="56">
        <v>38384</v>
      </c>
      <c r="B1100" s="61">
        <f t="shared" si="17"/>
        <v>2005</v>
      </c>
      <c r="C1100">
        <v>105.7</v>
      </c>
    </row>
    <row r="1101" spans="1:3" x14ac:dyDescent="0.25">
      <c r="A1101" s="56">
        <v>38412</v>
      </c>
      <c r="B1101" s="61">
        <f t="shared" si="17"/>
        <v>2005</v>
      </c>
      <c r="C1101">
        <v>106.3</v>
      </c>
    </row>
    <row r="1102" spans="1:3" x14ac:dyDescent="0.25">
      <c r="A1102" s="56">
        <v>38443</v>
      </c>
      <c r="B1102" s="61">
        <f t="shared" si="17"/>
        <v>2005</v>
      </c>
      <c r="C1102">
        <v>106.6</v>
      </c>
    </row>
    <row r="1103" spans="1:3" x14ac:dyDescent="0.25">
      <c r="A1103" s="56">
        <v>38473</v>
      </c>
      <c r="B1103" s="61">
        <f t="shared" si="17"/>
        <v>2005</v>
      </c>
      <c r="C1103">
        <v>106.7</v>
      </c>
    </row>
    <row r="1104" spans="1:3" x14ac:dyDescent="0.25">
      <c r="A1104" s="56">
        <v>38504</v>
      </c>
      <c r="B1104" s="61">
        <f t="shared" si="17"/>
        <v>2005</v>
      </c>
      <c r="C1104">
        <v>106.9</v>
      </c>
    </row>
    <row r="1105" spans="1:3" x14ac:dyDescent="0.25">
      <c r="A1105" s="56">
        <v>38534</v>
      </c>
      <c r="B1105" s="61">
        <f t="shared" si="17"/>
        <v>2005</v>
      </c>
      <c r="C1105">
        <v>107.1</v>
      </c>
    </row>
    <row r="1106" spans="1:3" x14ac:dyDescent="0.25">
      <c r="A1106" s="56">
        <v>38565</v>
      </c>
      <c r="B1106" s="61">
        <f t="shared" si="17"/>
        <v>2005</v>
      </c>
      <c r="C1106">
        <v>107.5</v>
      </c>
    </row>
    <row r="1107" spans="1:3" x14ac:dyDescent="0.25">
      <c r="A1107" s="56">
        <v>38596</v>
      </c>
      <c r="B1107" s="61">
        <f t="shared" si="17"/>
        <v>2005</v>
      </c>
      <c r="C1107">
        <v>108.4</v>
      </c>
    </row>
    <row r="1108" spans="1:3" x14ac:dyDescent="0.25">
      <c r="A1108" s="56">
        <v>38626</v>
      </c>
      <c r="B1108" s="61">
        <f t="shared" si="17"/>
        <v>2005</v>
      </c>
      <c r="C1108">
        <v>107.9</v>
      </c>
    </row>
    <row r="1109" spans="1:3" x14ac:dyDescent="0.25">
      <c r="A1109" s="56">
        <v>38657</v>
      </c>
      <c r="B1109" s="61">
        <f t="shared" si="17"/>
        <v>2005</v>
      </c>
      <c r="C1109">
        <v>107.7</v>
      </c>
    </row>
    <row r="1110" spans="1:3" x14ac:dyDescent="0.25">
      <c r="A1110" s="56">
        <v>38687</v>
      </c>
      <c r="B1110" s="61">
        <f t="shared" si="17"/>
        <v>2005</v>
      </c>
      <c r="C1110">
        <v>107.6</v>
      </c>
    </row>
    <row r="1111" spans="1:3" x14ac:dyDescent="0.25">
      <c r="A1111" s="56">
        <v>38718</v>
      </c>
      <c r="B1111" s="61">
        <f t="shared" si="17"/>
        <v>2006</v>
      </c>
      <c r="C1111">
        <v>108.2</v>
      </c>
    </row>
    <row r="1112" spans="1:3" x14ac:dyDescent="0.25">
      <c r="A1112" s="56">
        <v>38749</v>
      </c>
      <c r="B1112" s="61">
        <f t="shared" si="17"/>
        <v>2006</v>
      </c>
      <c r="C1112">
        <v>108</v>
      </c>
    </row>
    <row r="1113" spans="1:3" x14ac:dyDescent="0.25">
      <c r="A1113" s="56">
        <v>38777</v>
      </c>
      <c r="B1113" s="61">
        <f t="shared" si="17"/>
        <v>2006</v>
      </c>
      <c r="C1113">
        <v>108.6</v>
      </c>
    </row>
    <row r="1114" spans="1:3" x14ac:dyDescent="0.25">
      <c r="A1114" s="56">
        <v>38808</v>
      </c>
      <c r="B1114" s="61">
        <f t="shared" si="17"/>
        <v>2006</v>
      </c>
      <c r="C1114">
        <v>109.2</v>
      </c>
    </row>
    <row r="1115" spans="1:3" x14ac:dyDescent="0.25">
      <c r="A1115" s="56">
        <v>38838</v>
      </c>
      <c r="B1115" s="61">
        <f t="shared" si="17"/>
        <v>2006</v>
      </c>
      <c r="C1115">
        <v>109.7</v>
      </c>
    </row>
    <row r="1116" spans="1:3" x14ac:dyDescent="0.25">
      <c r="A1116" s="56">
        <v>38869</v>
      </c>
      <c r="B1116" s="61">
        <f t="shared" si="17"/>
        <v>2006</v>
      </c>
      <c r="C1116">
        <v>109.5</v>
      </c>
    </row>
    <row r="1117" spans="1:3" x14ac:dyDescent="0.25">
      <c r="A1117" s="56">
        <v>38899</v>
      </c>
      <c r="B1117" s="61">
        <f t="shared" si="17"/>
        <v>2006</v>
      </c>
      <c r="C1117">
        <v>109.6</v>
      </c>
    </row>
    <row r="1118" spans="1:3" x14ac:dyDescent="0.25">
      <c r="A1118" s="56">
        <v>38930</v>
      </c>
      <c r="B1118" s="61">
        <f t="shared" si="17"/>
        <v>2006</v>
      </c>
      <c r="C1118">
        <v>109.8</v>
      </c>
    </row>
    <row r="1119" spans="1:3" x14ac:dyDescent="0.25">
      <c r="A1119" s="56">
        <v>38961</v>
      </c>
      <c r="B1119" s="61">
        <f t="shared" si="17"/>
        <v>2006</v>
      </c>
      <c r="C1119">
        <v>109.2</v>
      </c>
    </row>
    <row r="1120" spans="1:3" x14ac:dyDescent="0.25">
      <c r="A1120" s="56">
        <v>38991</v>
      </c>
      <c r="B1120" s="61">
        <f t="shared" si="17"/>
        <v>2006</v>
      </c>
      <c r="C1120">
        <v>109</v>
      </c>
    </row>
    <row r="1121" spans="1:3" x14ac:dyDescent="0.25">
      <c r="A1121" s="56">
        <v>39022</v>
      </c>
      <c r="B1121" s="61">
        <f t="shared" si="17"/>
        <v>2006</v>
      </c>
      <c r="C1121">
        <v>109.2</v>
      </c>
    </row>
    <row r="1122" spans="1:3" x14ac:dyDescent="0.25">
      <c r="A1122" s="56">
        <v>39052</v>
      </c>
      <c r="B1122" s="61">
        <f t="shared" si="17"/>
        <v>2006</v>
      </c>
      <c r="C1122">
        <v>109.4</v>
      </c>
    </row>
    <row r="1123" spans="1:3" x14ac:dyDescent="0.25">
      <c r="A1123" s="56">
        <v>39083</v>
      </c>
      <c r="B1123" s="61">
        <f t="shared" si="17"/>
        <v>2007</v>
      </c>
      <c r="C1123">
        <v>109.4</v>
      </c>
    </row>
    <row r="1124" spans="1:3" x14ac:dyDescent="0.25">
      <c r="A1124" s="56">
        <v>39114</v>
      </c>
      <c r="B1124" s="61">
        <f t="shared" si="17"/>
        <v>2007</v>
      </c>
      <c r="C1124">
        <v>110.2</v>
      </c>
    </row>
    <row r="1125" spans="1:3" x14ac:dyDescent="0.25">
      <c r="A1125" s="56">
        <v>39142</v>
      </c>
      <c r="B1125" s="61">
        <f t="shared" si="17"/>
        <v>2007</v>
      </c>
      <c r="C1125">
        <v>111.1</v>
      </c>
    </row>
    <row r="1126" spans="1:3" x14ac:dyDescent="0.25">
      <c r="A1126" s="56">
        <v>39173</v>
      </c>
      <c r="B1126" s="61">
        <f t="shared" si="17"/>
        <v>2007</v>
      </c>
      <c r="C1126">
        <v>111.6</v>
      </c>
    </row>
    <row r="1127" spans="1:3" x14ac:dyDescent="0.25">
      <c r="A1127" s="56">
        <v>39203</v>
      </c>
      <c r="B1127" s="61">
        <f t="shared" si="17"/>
        <v>2007</v>
      </c>
      <c r="C1127">
        <v>112.1</v>
      </c>
    </row>
    <row r="1128" spans="1:3" x14ac:dyDescent="0.25">
      <c r="A1128" s="56">
        <v>39234</v>
      </c>
      <c r="B1128" s="61">
        <f t="shared" si="17"/>
        <v>2007</v>
      </c>
      <c r="C1128">
        <v>111.9</v>
      </c>
    </row>
    <row r="1129" spans="1:3" x14ac:dyDescent="0.25">
      <c r="A1129" s="56">
        <v>39264</v>
      </c>
      <c r="B1129" s="61">
        <f t="shared" si="17"/>
        <v>2007</v>
      </c>
      <c r="C1129">
        <v>112</v>
      </c>
    </row>
    <row r="1130" spans="1:3" x14ac:dyDescent="0.25">
      <c r="A1130" s="56">
        <v>39295</v>
      </c>
      <c r="B1130" s="61">
        <f t="shared" si="17"/>
        <v>2007</v>
      </c>
      <c r="C1130">
        <v>111.7</v>
      </c>
    </row>
    <row r="1131" spans="1:3" x14ac:dyDescent="0.25">
      <c r="A1131" s="56">
        <v>39326</v>
      </c>
      <c r="B1131" s="61">
        <f t="shared" si="17"/>
        <v>2007</v>
      </c>
      <c r="C1131">
        <v>111.9</v>
      </c>
    </row>
    <row r="1132" spans="1:3" x14ac:dyDescent="0.25">
      <c r="A1132" s="56">
        <v>39356</v>
      </c>
      <c r="B1132" s="61">
        <f t="shared" si="17"/>
        <v>2007</v>
      </c>
      <c r="C1132">
        <v>111.6</v>
      </c>
    </row>
    <row r="1133" spans="1:3" x14ac:dyDescent="0.25">
      <c r="A1133" s="56">
        <v>39387</v>
      </c>
      <c r="B1133" s="61">
        <f t="shared" si="17"/>
        <v>2007</v>
      </c>
      <c r="C1133">
        <v>111.9</v>
      </c>
    </row>
    <row r="1134" spans="1:3" x14ac:dyDescent="0.25">
      <c r="A1134" s="56">
        <v>39417</v>
      </c>
      <c r="B1134" s="61">
        <f t="shared" si="17"/>
        <v>2007</v>
      </c>
      <c r="C1134">
        <v>112</v>
      </c>
    </row>
    <row r="1135" spans="1:3" x14ac:dyDescent="0.25">
      <c r="A1135" s="56">
        <v>39448</v>
      </c>
      <c r="B1135" s="61">
        <f t="shared" si="17"/>
        <v>2008</v>
      </c>
      <c r="C1135">
        <v>111.8</v>
      </c>
    </row>
    <row r="1136" spans="1:3" x14ac:dyDescent="0.25">
      <c r="A1136" s="56">
        <v>39479</v>
      </c>
      <c r="B1136" s="61">
        <f t="shared" si="17"/>
        <v>2008</v>
      </c>
      <c r="C1136">
        <v>112.2</v>
      </c>
    </row>
    <row r="1137" spans="1:3" x14ac:dyDescent="0.25">
      <c r="A1137" s="56">
        <v>39508</v>
      </c>
      <c r="B1137" s="61">
        <f t="shared" si="17"/>
        <v>2008</v>
      </c>
      <c r="C1137">
        <v>112.6</v>
      </c>
    </row>
    <row r="1138" spans="1:3" x14ac:dyDescent="0.25">
      <c r="A1138" s="56">
        <v>39539</v>
      </c>
      <c r="B1138" s="61">
        <f t="shared" si="17"/>
        <v>2008</v>
      </c>
      <c r="C1138">
        <v>113.5</v>
      </c>
    </row>
    <row r="1139" spans="1:3" x14ac:dyDescent="0.25">
      <c r="A1139" s="56">
        <v>39569</v>
      </c>
      <c r="B1139" s="61">
        <f t="shared" si="17"/>
        <v>2008</v>
      </c>
      <c r="C1139">
        <v>114.6</v>
      </c>
    </row>
    <row r="1140" spans="1:3" x14ac:dyDescent="0.25">
      <c r="A1140" s="56">
        <v>39600</v>
      </c>
      <c r="B1140" s="61">
        <f t="shared" si="17"/>
        <v>2008</v>
      </c>
      <c r="C1140">
        <v>115.4</v>
      </c>
    </row>
    <row r="1141" spans="1:3" x14ac:dyDescent="0.25">
      <c r="A1141" s="56">
        <v>39630</v>
      </c>
      <c r="B1141" s="61">
        <f t="shared" si="17"/>
        <v>2008</v>
      </c>
      <c r="C1141">
        <v>115.8</v>
      </c>
    </row>
    <row r="1142" spans="1:3" x14ac:dyDescent="0.25">
      <c r="A1142" s="56">
        <v>39661</v>
      </c>
      <c r="B1142" s="61">
        <f t="shared" si="17"/>
        <v>2008</v>
      </c>
      <c r="C1142">
        <v>115.6</v>
      </c>
    </row>
    <row r="1143" spans="1:3" x14ac:dyDescent="0.25">
      <c r="A1143" s="56">
        <v>39692</v>
      </c>
      <c r="B1143" s="61">
        <f t="shared" si="17"/>
        <v>2008</v>
      </c>
      <c r="C1143">
        <v>115.7</v>
      </c>
    </row>
    <row r="1144" spans="1:3" x14ac:dyDescent="0.25">
      <c r="A1144" s="56">
        <v>39722</v>
      </c>
      <c r="B1144" s="61">
        <f t="shared" si="17"/>
        <v>2008</v>
      </c>
      <c r="C1144">
        <v>114.5</v>
      </c>
    </row>
    <row r="1145" spans="1:3" x14ac:dyDescent="0.25">
      <c r="A1145" s="56">
        <v>39753</v>
      </c>
      <c r="B1145" s="61">
        <f t="shared" si="17"/>
        <v>2008</v>
      </c>
      <c r="C1145">
        <v>114.1</v>
      </c>
    </row>
    <row r="1146" spans="1:3" x14ac:dyDescent="0.25">
      <c r="A1146" s="56">
        <v>39783</v>
      </c>
      <c r="B1146" s="61">
        <f t="shared" si="17"/>
        <v>2008</v>
      </c>
      <c r="C1146">
        <v>113.3</v>
      </c>
    </row>
    <row r="1147" spans="1:3" x14ac:dyDescent="0.25">
      <c r="A1147" s="56">
        <v>39814</v>
      </c>
      <c r="B1147" s="61">
        <f t="shared" si="17"/>
        <v>2009</v>
      </c>
      <c r="C1147">
        <v>113</v>
      </c>
    </row>
    <row r="1148" spans="1:3" x14ac:dyDescent="0.25">
      <c r="A1148" s="56">
        <v>39845</v>
      </c>
      <c r="B1148" s="61">
        <f t="shared" si="17"/>
        <v>2009</v>
      </c>
      <c r="C1148">
        <v>113.8</v>
      </c>
    </row>
    <row r="1149" spans="1:3" x14ac:dyDescent="0.25">
      <c r="A1149" s="56">
        <v>39873</v>
      </c>
      <c r="B1149" s="61">
        <f t="shared" si="17"/>
        <v>2009</v>
      </c>
      <c r="C1149">
        <v>114</v>
      </c>
    </row>
    <row r="1150" spans="1:3" x14ac:dyDescent="0.25">
      <c r="A1150" s="56">
        <v>39904</v>
      </c>
      <c r="B1150" s="61">
        <f t="shared" si="17"/>
        <v>2009</v>
      </c>
      <c r="C1150">
        <v>113.9</v>
      </c>
    </row>
    <row r="1151" spans="1:3" x14ac:dyDescent="0.25">
      <c r="A1151" s="56">
        <v>39934</v>
      </c>
      <c r="B1151" s="61">
        <f t="shared" si="17"/>
        <v>2009</v>
      </c>
      <c r="C1151">
        <v>114.7</v>
      </c>
    </row>
    <row r="1152" spans="1:3" x14ac:dyDescent="0.25">
      <c r="A1152" s="56">
        <v>39965</v>
      </c>
      <c r="B1152" s="61">
        <f t="shared" si="17"/>
        <v>2009</v>
      </c>
      <c r="C1152">
        <v>115.1</v>
      </c>
    </row>
    <row r="1153" spans="1:3" x14ac:dyDescent="0.25">
      <c r="A1153" s="56">
        <v>39995</v>
      </c>
      <c r="B1153" s="61">
        <f t="shared" si="17"/>
        <v>2009</v>
      </c>
      <c r="C1153">
        <v>114.7</v>
      </c>
    </row>
    <row r="1154" spans="1:3" x14ac:dyDescent="0.25">
      <c r="A1154" s="56">
        <v>40026</v>
      </c>
      <c r="B1154" s="61">
        <f t="shared" si="17"/>
        <v>2009</v>
      </c>
      <c r="C1154">
        <v>114.7</v>
      </c>
    </row>
    <row r="1155" spans="1:3" x14ac:dyDescent="0.25">
      <c r="A1155" s="56">
        <v>40057</v>
      </c>
      <c r="B1155" s="61">
        <f t="shared" si="17"/>
        <v>2009</v>
      </c>
      <c r="C1155">
        <v>114.7</v>
      </c>
    </row>
    <row r="1156" spans="1:3" x14ac:dyDescent="0.25">
      <c r="A1156" s="56">
        <v>40087</v>
      </c>
      <c r="B1156" s="61">
        <f t="shared" si="17"/>
        <v>2009</v>
      </c>
      <c r="C1156">
        <v>114.6</v>
      </c>
    </row>
    <row r="1157" spans="1:3" x14ac:dyDescent="0.25">
      <c r="A1157" s="56">
        <v>40118</v>
      </c>
      <c r="B1157" s="61">
        <f t="shared" si="17"/>
        <v>2009</v>
      </c>
      <c r="C1157">
        <v>115.2</v>
      </c>
    </row>
    <row r="1158" spans="1:3" x14ac:dyDescent="0.25">
      <c r="A1158" s="56">
        <v>40148</v>
      </c>
      <c r="B1158" s="61">
        <f t="shared" si="17"/>
        <v>2009</v>
      </c>
      <c r="C1158">
        <v>114.8</v>
      </c>
    </row>
    <row r="1159" spans="1:3" x14ac:dyDescent="0.25">
      <c r="A1159" s="56">
        <v>40179</v>
      </c>
      <c r="B1159" s="61">
        <f t="shared" si="17"/>
        <v>2010</v>
      </c>
      <c r="C1159">
        <v>115.1</v>
      </c>
    </row>
    <row r="1160" spans="1:3" x14ac:dyDescent="0.25">
      <c r="A1160" s="56">
        <v>40210</v>
      </c>
      <c r="B1160" s="61">
        <f t="shared" ref="B1160:B1223" si="18">YEAR(A1160)</f>
        <v>2010</v>
      </c>
      <c r="C1160">
        <v>115.6</v>
      </c>
    </row>
    <row r="1161" spans="1:3" x14ac:dyDescent="0.25">
      <c r="A1161" s="56">
        <v>40238</v>
      </c>
      <c r="B1161" s="61">
        <f t="shared" si="18"/>
        <v>2010</v>
      </c>
      <c r="C1161">
        <v>115.6</v>
      </c>
    </row>
    <row r="1162" spans="1:3" x14ac:dyDescent="0.25">
      <c r="A1162" s="56">
        <v>40269</v>
      </c>
      <c r="B1162" s="61">
        <f t="shared" si="18"/>
        <v>2010</v>
      </c>
      <c r="C1162">
        <v>116</v>
      </c>
    </row>
    <row r="1163" spans="1:3" x14ac:dyDescent="0.25">
      <c r="A1163" s="56">
        <v>40299</v>
      </c>
      <c r="B1163" s="61">
        <f t="shared" si="18"/>
        <v>2010</v>
      </c>
      <c r="C1163">
        <v>116.3</v>
      </c>
    </row>
    <row r="1164" spans="1:3" x14ac:dyDescent="0.25">
      <c r="A1164" s="56">
        <v>40330</v>
      </c>
      <c r="B1164" s="61">
        <f t="shared" si="18"/>
        <v>2010</v>
      </c>
      <c r="C1164">
        <v>116.2</v>
      </c>
    </row>
    <row r="1165" spans="1:3" x14ac:dyDescent="0.25">
      <c r="A1165" s="56">
        <v>40360</v>
      </c>
      <c r="B1165" s="61">
        <f t="shared" si="18"/>
        <v>2010</v>
      </c>
      <c r="C1165">
        <v>116.8</v>
      </c>
    </row>
    <row r="1166" spans="1:3" x14ac:dyDescent="0.25">
      <c r="A1166" s="56">
        <v>40391</v>
      </c>
      <c r="B1166" s="61">
        <f t="shared" si="18"/>
        <v>2010</v>
      </c>
      <c r="C1166">
        <v>116.7</v>
      </c>
    </row>
    <row r="1167" spans="1:3" x14ac:dyDescent="0.25">
      <c r="A1167" s="56">
        <v>40422</v>
      </c>
      <c r="B1167" s="61">
        <f t="shared" si="18"/>
        <v>2010</v>
      </c>
      <c r="C1167">
        <v>116.9</v>
      </c>
    </row>
    <row r="1168" spans="1:3" x14ac:dyDescent="0.25">
      <c r="A1168" s="56">
        <v>40452</v>
      </c>
      <c r="B1168" s="61">
        <f t="shared" si="18"/>
        <v>2010</v>
      </c>
      <c r="C1168">
        <v>117.4</v>
      </c>
    </row>
    <row r="1169" spans="1:3" x14ac:dyDescent="0.25">
      <c r="A1169" s="56">
        <v>40483</v>
      </c>
      <c r="B1169" s="61">
        <f t="shared" si="18"/>
        <v>2010</v>
      </c>
      <c r="C1169">
        <v>117.5</v>
      </c>
    </row>
    <row r="1170" spans="1:3" x14ac:dyDescent="0.25">
      <c r="A1170" s="56">
        <v>40513</v>
      </c>
      <c r="B1170" s="61">
        <f t="shared" si="18"/>
        <v>2010</v>
      </c>
      <c r="C1170">
        <v>117.5</v>
      </c>
    </row>
    <row r="1171" spans="1:3" x14ac:dyDescent="0.25">
      <c r="A1171" s="56">
        <v>40544</v>
      </c>
      <c r="B1171" s="61">
        <f t="shared" si="18"/>
        <v>2011</v>
      </c>
      <c r="C1171">
        <v>117.8</v>
      </c>
    </row>
    <row r="1172" spans="1:3" x14ac:dyDescent="0.25">
      <c r="A1172" s="56">
        <v>40575</v>
      </c>
      <c r="B1172" s="61">
        <f t="shared" si="18"/>
        <v>2011</v>
      </c>
      <c r="C1172">
        <v>118.1</v>
      </c>
    </row>
    <row r="1173" spans="1:3" x14ac:dyDescent="0.25">
      <c r="A1173" s="56">
        <v>40603</v>
      </c>
      <c r="B1173" s="61">
        <f t="shared" si="18"/>
        <v>2011</v>
      </c>
      <c r="C1173">
        <v>119.4</v>
      </c>
    </row>
    <row r="1174" spans="1:3" x14ac:dyDescent="0.25">
      <c r="A1174" s="56">
        <v>40634</v>
      </c>
      <c r="B1174" s="61">
        <f t="shared" si="18"/>
        <v>2011</v>
      </c>
      <c r="C1174">
        <v>119.8</v>
      </c>
    </row>
    <row r="1175" spans="1:3" x14ac:dyDescent="0.25">
      <c r="A1175" s="56">
        <v>40664</v>
      </c>
      <c r="B1175" s="61">
        <f t="shared" si="18"/>
        <v>2011</v>
      </c>
      <c r="C1175">
        <v>120.6</v>
      </c>
    </row>
    <row r="1176" spans="1:3" x14ac:dyDescent="0.25">
      <c r="A1176" s="56">
        <v>40695</v>
      </c>
      <c r="B1176" s="61">
        <f t="shared" si="18"/>
        <v>2011</v>
      </c>
      <c r="C1176">
        <v>119.8</v>
      </c>
    </row>
    <row r="1177" spans="1:3" x14ac:dyDescent="0.25">
      <c r="A1177" s="56">
        <v>40725</v>
      </c>
      <c r="B1177" s="61">
        <f t="shared" si="18"/>
        <v>2011</v>
      </c>
      <c r="C1177">
        <v>120</v>
      </c>
    </row>
    <row r="1178" spans="1:3" x14ac:dyDescent="0.25">
      <c r="A1178" s="56">
        <v>40756</v>
      </c>
      <c r="B1178" s="61">
        <f t="shared" si="18"/>
        <v>2011</v>
      </c>
      <c r="C1178">
        <v>120.3</v>
      </c>
    </row>
    <row r="1179" spans="1:3" x14ac:dyDescent="0.25">
      <c r="A1179" s="56">
        <v>40787</v>
      </c>
      <c r="B1179" s="61">
        <f t="shared" si="18"/>
        <v>2011</v>
      </c>
      <c r="C1179">
        <v>120.6</v>
      </c>
    </row>
    <row r="1180" spans="1:3" x14ac:dyDescent="0.25">
      <c r="A1180" s="56">
        <v>40817</v>
      </c>
      <c r="B1180" s="61">
        <f t="shared" si="18"/>
        <v>2011</v>
      </c>
      <c r="C1180">
        <v>120.8</v>
      </c>
    </row>
    <row r="1181" spans="1:3" x14ac:dyDescent="0.25">
      <c r="A1181" s="56">
        <v>40848</v>
      </c>
      <c r="B1181" s="61">
        <f t="shared" si="18"/>
        <v>2011</v>
      </c>
      <c r="C1181">
        <v>120.9</v>
      </c>
    </row>
    <row r="1182" spans="1:3" x14ac:dyDescent="0.25">
      <c r="A1182" s="56">
        <v>40878</v>
      </c>
      <c r="B1182" s="61">
        <f t="shared" si="18"/>
        <v>2011</v>
      </c>
      <c r="C1182">
        <v>120.2</v>
      </c>
    </row>
    <row r="1183" spans="1:3" x14ac:dyDescent="0.25">
      <c r="A1183" s="56">
        <v>40909</v>
      </c>
      <c r="B1183" s="61">
        <f t="shared" si="18"/>
        <v>2012</v>
      </c>
      <c r="C1183">
        <v>120.7</v>
      </c>
    </row>
    <row r="1184" spans="1:3" x14ac:dyDescent="0.25">
      <c r="A1184" s="56">
        <v>40940</v>
      </c>
      <c r="B1184" s="61">
        <f t="shared" si="18"/>
        <v>2012</v>
      </c>
      <c r="C1184">
        <v>121.2</v>
      </c>
    </row>
    <row r="1185" spans="1:3" x14ac:dyDescent="0.25">
      <c r="A1185" s="56">
        <v>40969</v>
      </c>
      <c r="B1185" s="61">
        <f t="shared" si="18"/>
        <v>2012</v>
      </c>
      <c r="C1185">
        <v>121.7</v>
      </c>
    </row>
    <row r="1186" spans="1:3" x14ac:dyDescent="0.25">
      <c r="A1186" s="56">
        <v>41000</v>
      </c>
      <c r="B1186" s="61">
        <f t="shared" si="18"/>
        <v>2012</v>
      </c>
      <c r="C1186">
        <v>122.2</v>
      </c>
    </row>
    <row r="1187" spans="1:3" x14ac:dyDescent="0.25">
      <c r="A1187" s="56">
        <v>41030</v>
      </c>
      <c r="B1187" s="61">
        <f t="shared" si="18"/>
        <v>2012</v>
      </c>
      <c r="C1187">
        <v>122.1</v>
      </c>
    </row>
    <row r="1188" spans="1:3" x14ac:dyDescent="0.25">
      <c r="A1188" s="56">
        <v>41061</v>
      </c>
      <c r="B1188" s="61">
        <f t="shared" si="18"/>
        <v>2012</v>
      </c>
      <c r="C1188">
        <v>121.6</v>
      </c>
    </row>
    <row r="1189" spans="1:3" x14ac:dyDescent="0.25">
      <c r="A1189" s="56">
        <v>41091</v>
      </c>
      <c r="B1189" s="61">
        <f t="shared" si="18"/>
        <v>2012</v>
      </c>
      <c r="C1189">
        <v>121.5</v>
      </c>
    </row>
    <row r="1190" spans="1:3" x14ac:dyDescent="0.25">
      <c r="A1190" s="56">
        <v>41122</v>
      </c>
      <c r="B1190" s="61">
        <f t="shared" si="18"/>
        <v>2012</v>
      </c>
      <c r="C1190">
        <v>121.8</v>
      </c>
    </row>
    <row r="1191" spans="1:3" x14ac:dyDescent="0.25">
      <c r="A1191" s="56">
        <v>41153</v>
      </c>
      <c r="B1191" s="61">
        <f t="shared" si="18"/>
        <v>2012</v>
      </c>
      <c r="C1191">
        <v>122</v>
      </c>
    </row>
    <row r="1192" spans="1:3" x14ac:dyDescent="0.25">
      <c r="A1192" s="56">
        <v>41183</v>
      </c>
      <c r="B1192" s="61">
        <f t="shared" si="18"/>
        <v>2012</v>
      </c>
      <c r="C1192">
        <v>122.2</v>
      </c>
    </row>
    <row r="1193" spans="1:3" x14ac:dyDescent="0.25">
      <c r="A1193" s="56">
        <v>41214</v>
      </c>
      <c r="B1193" s="61">
        <f t="shared" si="18"/>
        <v>2012</v>
      </c>
      <c r="C1193">
        <v>121.9</v>
      </c>
    </row>
    <row r="1194" spans="1:3" x14ac:dyDescent="0.25">
      <c r="A1194" s="56">
        <v>41244</v>
      </c>
      <c r="B1194" s="61">
        <f t="shared" si="18"/>
        <v>2012</v>
      </c>
      <c r="C1194">
        <v>121.2</v>
      </c>
    </row>
    <row r="1195" spans="1:3" x14ac:dyDescent="0.25">
      <c r="A1195" s="56">
        <v>41275</v>
      </c>
      <c r="B1195" s="61">
        <f t="shared" si="18"/>
        <v>2013</v>
      </c>
      <c r="C1195">
        <v>121.3</v>
      </c>
    </row>
    <row r="1196" spans="1:3" x14ac:dyDescent="0.25">
      <c r="A1196" s="56">
        <v>41306</v>
      </c>
      <c r="B1196" s="61">
        <f t="shared" si="18"/>
        <v>2013</v>
      </c>
      <c r="C1196">
        <v>122.7</v>
      </c>
    </row>
    <row r="1197" spans="1:3" x14ac:dyDescent="0.25">
      <c r="A1197" s="56">
        <v>41334</v>
      </c>
      <c r="B1197" s="61">
        <f t="shared" si="18"/>
        <v>2013</v>
      </c>
      <c r="C1197">
        <v>122.9</v>
      </c>
    </row>
    <row r="1198" spans="1:3" x14ac:dyDescent="0.25">
      <c r="A1198" s="56">
        <v>41365</v>
      </c>
      <c r="B1198" s="61">
        <f t="shared" si="18"/>
        <v>2013</v>
      </c>
      <c r="C1198">
        <v>122.7</v>
      </c>
    </row>
    <row r="1199" spans="1:3" x14ac:dyDescent="0.25">
      <c r="A1199" s="56">
        <v>41395</v>
      </c>
      <c r="B1199" s="61">
        <f t="shared" si="18"/>
        <v>2013</v>
      </c>
      <c r="C1199">
        <v>123</v>
      </c>
    </row>
    <row r="1200" spans="1:3" x14ac:dyDescent="0.25">
      <c r="A1200" s="56">
        <v>41426</v>
      </c>
      <c r="B1200" s="61">
        <f t="shared" si="18"/>
        <v>2013</v>
      </c>
      <c r="C1200">
        <v>123</v>
      </c>
    </row>
    <row r="1201" spans="1:3" x14ac:dyDescent="0.25">
      <c r="A1201" s="56">
        <v>41456</v>
      </c>
      <c r="B1201" s="61">
        <f t="shared" si="18"/>
        <v>2013</v>
      </c>
      <c r="C1201">
        <v>123.1</v>
      </c>
    </row>
    <row r="1202" spans="1:3" x14ac:dyDescent="0.25">
      <c r="A1202" s="56">
        <v>41487</v>
      </c>
      <c r="B1202" s="61">
        <f t="shared" si="18"/>
        <v>2013</v>
      </c>
      <c r="C1202">
        <v>123.1</v>
      </c>
    </row>
    <row r="1203" spans="1:3" x14ac:dyDescent="0.25">
      <c r="A1203" s="56">
        <v>41518</v>
      </c>
      <c r="B1203" s="61">
        <f t="shared" si="18"/>
        <v>2013</v>
      </c>
      <c r="C1203">
        <v>123.3</v>
      </c>
    </row>
    <row r="1204" spans="1:3" x14ac:dyDescent="0.25">
      <c r="A1204" s="56">
        <v>41548</v>
      </c>
      <c r="B1204" s="61">
        <f t="shared" si="18"/>
        <v>2013</v>
      </c>
      <c r="C1204">
        <v>123</v>
      </c>
    </row>
    <row r="1205" spans="1:3" x14ac:dyDescent="0.25">
      <c r="A1205" s="56">
        <v>41579</v>
      </c>
      <c r="B1205" s="61">
        <f t="shared" si="18"/>
        <v>2013</v>
      </c>
      <c r="C1205">
        <v>123</v>
      </c>
    </row>
    <row r="1206" spans="1:3" x14ac:dyDescent="0.25">
      <c r="A1206" s="56">
        <v>41609</v>
      </c>
      <c r="B1206" s="61">
        <f t="shared" si="18"/>
        <v>2013</v>
      </c>
      <c r="C1206">
        <v>122.7</v>
      </c>
    </row>
    <row r="1207" spans="1:3" x14ac:dyDescent="0.25">
      <c r="A1207" s="56">
        <v>41640</v>
      </c>
      <c r="B1207" s="61">
        <f t="shared" si="18"/>
        <v>2014</v>
      </c>
      <c r="C1207">
        <v>123.1</v>
      </c>
    </row>
    <row r="1208" spans="1:3" x14ac:dyDescent="0.25">
      <c r="A1208" s="56">
        <v>41671</v>
      </c>
      <c r="B1208" s="61">
        <f t="shared" si="18"/>
        <v>2014</v>
      </c>
      <c r="C1208">
        <v>124.1</v>
      </c>
    </row>
    <row r="1209" spans="1:3" x14ac:dyDescent="0.25">
      <c r="A1209" s="56">
        <v>41699</v>
      </c>
      <c r="B1209" s="61">
        <f t="shared" si="18"/>
        <v>2014</v>
      </c>
      <c r="C1209">
        <v>124.8</v>
      </c>
    </row>
    <row r="1210" spans="1:3" x14ac:dyDescent="0.25">
      <c r="A1210" s="56">
        <v>41730</v>
      </c>
      <c r="B1210" s="61">
        <f t="shared" si="18"/>
        <v>2014</v>
      </c>
      <c r="C1210">
        <v>125.2</v>
      </c>
    </row>
    <row r="1211" spans="1:3" x14ac:dyDescent="0.25">
      <c r="A1211" s="56">
        <v>41760</v>
      </c>
      <c r="B1211" s="61">
        <f t="shared" si="18"/>
        <v>2014</v>
      </c>
      <c r="C1211">
        <v>125.8</v>
      </c>
    </row>
    <row r="1212" spans="1:3" x14ac:dyDescent="0.25">
      <c r="A1212" s="56">
        <v>41791</v>
      </c>
      <c r="B1212" s="61">
        <f t="shared" si="18"/>
        <v>2014</v>
      </c>
      <c r="C1212">
        <v>125.9</v>
      </c>
    </row>
    <row r="1213" spans="1:3" x14ac:dyDescent="0.25">
      <c r="A1213" s="56">
        <v>41821</v>
      </c>
      <c r="B1213" s="61">
        <f t="shared" si="18"/>
        <v>2014</v>
      </c>
      <c r="C1213">
        <v>125.7</v>
      </c>
    </row>
    <row r="1214" spans="1:3" x14ac:dyDescent="0.25">
      <c r="A1214" s="56">
        <v>41852</v>
      </c>
      <c r="B1214" s="61">
        <f t="shared" si="18"/>
        <v>2014</v>
      </c>
      <c r="C1214">
        <v>125.7</v>
      </c>
    </row>
    <row r="1215" spans="1:3" x14ac:dyDescent="0.25">
      <c r="A1215" s="56">
        <v>41883</v>
      </c>
      <c r="B1215" s="61">
        <f t="shared" si="18"/>
        <v>2014</v>
      </c>
      <c r="C1215">
        <v>125.8</v>
      </c>
    </row>
    <row r="1216" spans="1:3" x14ac:dyDescent="0.25">
      <c r="A1216" s="56">
        <v>41913</v>
      </c>
      <c r="B1216" s="61">
        <f t="shared" si="18"/>
        <v>2014</v>
      </c>
      <c r="C1216">
        <v>125.9</v>
      </c>
    </row>
    <row r="1217" spans="1:3" x14ac:dyDescent="0.25">
      <c r="A1217" s="56">
        <v>41944</v>
      </c>
      <c r="B1217" s="61">
        <f t="shared" si="18"/>
        <v>2014</v>
      </c>
      <c r="C1217">
        <v>125.4</v>
      </c>
    </row>
    <row r="1218" spans="1:3" x14ac:dyDescent="0.25">
      <c r="A1218" s="56">
        <v>41974</v>
      </c>
      <c r="B1218" s="61">
        <f t="shared" si="18"/>
        <v>2014</v>
      </c>
      <c r="C1218">
        <v>124.5</v>
      </c>
    </row>
    <row r="1219" spans="1:3" x14ac:dyDescent="0.25">
      <c r="A1219" s="56">
        <v>42005</v>
      </c>
      <c r="B1219" s="61">
        <f t="shared" si="18"/>
        <v>2015</v>
      </c>
      <c r="C1219">
        <v>124.3</v>
      </c>
    </row>
    <row r="1220" spans="1:3" x14ac:dyDescent="0.25">
      <c r="A1220" s="56">
        <v>42036</v>
      </c>
      <c r="B1220" s="61">
        <f t="shared" si="18"/>
        <v>2015</v>
      </c>
      <c r="C1220">
        <v>125.4</v>
      </c>
    </row>
    <row r="1221" spans="1:3" x14ac:dyDescent="0.25">
      <c r="A1221" s="56">
        <v>42064</v>
      </c>
      <c r="B1221" s="61">
        <f t="shared" si="18"/>
        <v>2015</v>
      </c>
      <c r="C1221">
        <v>126.3</v>
      </c>
    </row>
    <row r="1222" spans="1:3" x14ac:dyDescent="0.25">
      <c r="A1222" s="56">
        <v>42095</v>
      </c>
      <c r="B1222" s="61">
        <f t="shared" si="18"/>
        <v>2015</v>
      </c>
      <c r="C1222">
        <v>126.2</v>
      </c>
    </row>
    <row r="1223" spans="1:3" x14ac:dyDescent="0.25">
      <c r="A1223" s="56">
        <v>42125</v>
      </c>
      <c r="B1223" s="61">
        <f t="shared" si="18"/>
        <v>2015</v>
      </c>
      <c r="C1223">
        <v>126.9</v>
      </c>
    </row>
    <row r="1224" spans="1:3" x14ac:dyDescent="0.25">
      <c r="A1224" s="56">
        <v>42156</v>
      </c>
      <c r="B1224" s="61">
        <f t="shared" ref="B1224:B1248" si="19">YEAR(A1224)</f>
        <v>2015</v>
      </c>
      <c r="C1224">
        <v>127.2</v>
      </c>
    </row>
    <row r="1225" spans="1:3" x14ac:dyDescent="0.25">
      <c r="A1225" s="56">
        <v>42186</v>
      </c>
      <c r="B1225" s="61">
        <f t="shared" si="19"/>
        <v>2015</v>
      </c>
      <c r="C1225">
        <v>127.3</v>
      </c>
    </row>
    <row r="1226" spans="1:3" x14ac:dyDescent="0.25">
      <c r="A1226" s="56">
        <v>42217</v>
      </c>
      <c r="B1226" s="61">
        <f t="shared" si="19"/>
        <v>2015</v>
      </c>
      <c r="C1226">
        <v>127.3</v>
      </c>
    </row>
    <row r="1227" spans="1:3" x14ac:dyDescent="0.25">
      <c r="A1227" s="56">
        <v>42248</v>
      </c>
      <c r="B1227" s="61">
        <f t="shared" si="19"/>
        <v>2015</v>
      </c>
      <c r="C1227">
        <v>127.1</v>
      </c>
    </row>
    <row r="1228" spans="1:3" x14ac:dyDescent="0.25">
      <c r="A1228" s="56">
        <v>42278</v>
      </c>
      <c r="B1228" s="61">
        <f t="shared" si="19"/>
        <v>2015</v>
      </c>
      <c r="C1228">
        <v>127.2</v>
      </c>
    </row>
    <row r="1229" spans="1:3" x14ac:dyDescent="0.25">
      <c r="A1229" s="56">
        <v>42309</v>
      </c>
      <c r="B1229" s="61">
        <f t="shared" si="19"/>
        <v>2015</v>
      </c>
      <c r="C1229">
        <v>127.1</v>
      </c>
    </row>
    <row r="1230" spans="1:3" x14ac:dyDescent="0.25">
      <c r="A1230" s="56">
        <v>42339</v>
      </c>
      <c r="B1230" s="61">
        <f t="shared" si="19"/>
        <v>2015</v>
      </c>
      <c r="C1230">
        <v>126.5</v>
      </c>
    </row>
    <row r="1231" spans="1:3" x14ac:dyDescent="0.25">
      <c r="A1231" s="56">
        <v>42370</v>
      </c>
      <c r="B1231" s="61">
        <f t="shared" si="19"/>
        <v>2016</v>
      </c>
      <c r="C1231">
        <v>126.8</v>
      </c>
    </row>
    <row r="1232" spans="1:3" x14ac:dyDescent="0.25">
      <c r="A1232" s="56">
        <v>42401</v>
      </c>
      <c r="B1232" s="61">
        <f t="shared" si="19"/>
        <v>2016</v>
      </c>
      <c r="C1232">
        <v>127.1</v>
      </c>
    </row>
    <row r="1233" spans="1:3" x14ac:dyDescent="0.25">
      <c r="A1233" s="56">
        <v>42430</v>
      </c>
      <c r="B1233" s="61">
        <f t="shared" si="19"/>
        <v>2016</v>
      </c>
      <c r="C1233">
        <v>127.9</v>
      </c>
    </row>
    <row r="1234" spans="1:3" x14ac:dyDescent="0.25">
      <c r="A1234" s="56">
        <v>42461</v>
      </c>
      <c r="B1234" s="61">
        <f t="shared" si="19"/>
        <v>2016</v>
      </c>
      <c r="C1234">
        <v>128.30000000000001</v>
      </c>
    </row>
    <row r="1235" spans="1:3" x14ac:dyDescent="0.25">
      <c r="A1235" s="56">
        <v>42491</v>
      </c>
      <c r="B1235" s="61">
        <f t="shared" si="19"/>
        <v>2016</v>
      </c>
      <c r="C1235">
        <v>128.80000000000001</v>
      </c>
    </row>
    <row r="1236" spans="1:3" x14ac:dyDescent="0.25">
      <c r="A1236" s="56">
        <v>42522</v>
      </c>
      <c r="B1236" s="61">
        <f t="shared" si="19"/>
        <v>2016</v>
      </c>
      <c r="C1236">
        <v>129.1</v>
      </c>
    </row>
    <row r="1237" spans="1:3" x14ac:dyDescent="0.25">
      <c r="A1237" s="56">
        <v>42552</v>
      </c>
      <c r="B1237" s="61">
        <f t="shared" si="19"/>
        <v>2016</v>
      </c>
      <c r="C1237">
        <v>128.9</v>
      </c>
    </row>
    <row r="1238" spans="1:3" x14ac:dyDescent="0.25">
      <c r="A1238" s="56">
        <v>42583</v>
      </c>
      <c r="B1238" s="61">
        <f t="shared" si="19"/>
        <v>2016</v>
      </c>
      <c r="C1238">
        <v>128.69999999999999</v>
      </c>
    </row>
    <row r="1239" spans="1:3" x14ac:dyDescent="0.25">
      <c r="A1239" s="56">
        <v>42614</v>
      </c>
      <c r="B1239" s="61">
        <f t="shared" si="19"/>
        <v>2016</v>
      </c>
      <c r="C1239">
        <v>128.80000000000001</v>
      </c>
    </row>
    <row r="1240" spans="1:3" x14ac:dyDescent="0.25">
      <c r="A1240" s="56">
        <v>42644</v>
      </c>
      <c r="B1240" s="61">
        <f t="shared" si="19"/>
        <v>2016</v>
      </c>
      <c r="C1240">
        <v>129.1</v>
      </c>
    </row>
    <row r="1241" spans="1:3" x14ac:dyDescent="0.25">
      <c r="A1241" s="56">
        <v>42675</v>
      </c>
      <c r="B1241" s="61">
        <f t="shared" si="19"/>
        <v>2016</v>
      </c>
      <c r="C1241">
        <v>128.6</v>
      </c>
    </row>
    <row r="1242" spans="1:3" x14ac:dyDescent="0.25">
      <c r="A1242" s="56">
        <v>42705</v>
      </c>
      <c r="B1242" s="61">
        <f t="shared" si="19"/>
        <v>2016</v>
      </c>
      <c r="C1242">
        <v>128.4</v>
      </c>
    </row>
    <row r="1243" spans="1:3" x14ac:dyDescent="0.25">
      <c r="A1243" s="56">
        <v>42736</v>
      </c>
      <c r="B1243" s="61">
        <f t="shared" si="19"/>
        <v>2017</v>
      </c>
      <c r="C1243">
        <v>129.5</v>
      </c>
    </row>
    <row r="1244" spans="1:3" x14ac:dyDescent="0.25">
      <c r="A1244" s="56">
        <v>42767</v>
      </c>
      <c r="B1244" s="61">
        <f t="shared" si="19"/>
        <v>2017</v>
      </c>
      <c r="C1244">
        <v>129.69999999999999</v>
      </c>
    </row>
    <row r="1245" spans="1:3" x14ac:dyDescent="0.25">
      <c r="A1245" s="56">
        <v>42795</v>
      </c>
      <c r="B1245" s="61">
        <f t="shared" si="19"/>
        <v>2017</v>
      </c>
      <c r="C1245">
        <v>129.9</v>
      </c>
    </row>
    <row r="1246" spans="1:3" x14ac:dyDescent="0.25">
      <c r="A1246" s="56">
        <v>42826</v>
      </c>
      <c r="B1246" s="61">
        <f t="shared" si="19"/>
        <v>2017</v>
      </c>
      <c r="C1246">
        <v>130.4</v>
      </c>
    </row>
    <row r="1247" spans="1:3" x14ac:dyDescent="0.25">
      <c r="A1247" s="56">
        <v>42856</v>
      </c>
      <c r="B1247" s="61">
        <f t="shared" si="19"/>
        <v>2017</v>
      </c>
      <c r="C1247">
        <v>130.5</v>
      </c>
    </row>
    <row r="1248" spans="1:3" x14ac:dyDescent="0.25">
      <c r="A1248" s="56">
        <v>42887</v>
      </c>
      <c r="B1248" s="61">
        <f t="shared" si="19"/>
        <v>2017</v>
      </c>
      <c r="C1248">
        <v>130.4</v>
      </c>
    </row>
    <row r="1249" spans="1:8" x14ac:dyDescent="0.25">
      <c r="A1249" s="56" t="s">
        <v>105</v>
      </c>
      <c r="B1249" s="56"/>
    </row>
    <row r="1250" spans="1:8" ht="242.25" customHeight="1" x14ac:dyDescent="0.25">
      <c r="A1250" s="368">
        <v>2</v>
      </c>
      <c r="B1250" s="56"/>
      <c r="C1250" s="375" t="s">
        <v>106</v>
      </c>
      <c r="D1250" s="375"/>
      <c r="E1250" s="375"/>
      <c r="F1250" s="375"/>
      <c r="G1250" s="375"/>
      <c r="H1250" s="375"/>
    </row>
    <row r="1251" spans="1:8" ht="40.5" customHeight="1" x14ac:dyDescent="0.25">
      <c r="A1251" s="368">
        <v>9</v>
      </c>
      <c r="B1251" s="56"/>
      <c r="C1251" s="375" t="s">
        <v>107</v>
      </c>
      <c r="D1251" s="375"/>
      <c r="E1251" s="375"/>
      <c r="F1251" s="375"/>
      <c r="G1251" s="375"/>
      <c r="H1251" s="375"/>
    </row>
    <row r="1252" spans="1:8" ht="312" customHeight="1" x14ac:dyDescent="0.25">
      <c r="A1252" s="368">
        <v>15</v>
      </c>
      <c r="B1252" s="56"/>
      <c r="C1252" s="375" t="s">
        <v>108</v>
      </c>
      <c r="D1252" s="375"/>
      <c r="E1252" s="375"/>
      <c r="F1252" s="375"/>
      <c r="G1252" s="375"/>
      <c r="H1252" s="375"/>
    </row>
    <row r="1253" spans="1:8" x14ac:dyDescent="0.25">
      <c r="A1253" s="56" t="s">
        <v>109</v>
      </c>
      <c r="B1253" s="56"/>
    </row>
    <row r="1254" spans="1:8" ht="31.5" customHeight="1" x14ac:dyDescent="0.25">
      <c r="A1254" s="376" t="s">
        <v>110</v>
      </c>
      <c r="B1254" s="376"/>
      <c r="C1254" s="376"/>
      <c r="D1254" s="376"/>
      <c r="E1254" s="376"/>
      <c r="F1254" s="376"/>
      <c r="G1254" s="376"/>
      <c r="H1254" s="376"/>
    </row>
    <row r="1255" spans="1:8" x14ac:dyDescent="0.25">
      <c r="A1255" s="56" t="s">
        <v>111</v>
      </c>
      <c r="B1255" s="56"/>
    </row>
    <row r="1340" spans="1:1" x14ac:dyDescent="0.25">
      <c r="A1340">
        <v>3</v>
      </c>
    </row>
  </sheetData>
  <mergeCells count="4">
    <mergeCell ref="C1250:H1250"/>
    <mergeCell ref="C1251:H1251"/>
    <mergeCell ref="C1252:H1252"/>
    <mergeCell ref="A1254:H1254"/>
  </mergeCells>
  <pageMargins left="0.7" right="0.7" top="0.75" bottom="0.75" header="0.3" footer="0.3"/>
  <pageSetup scale="9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B2:R36"/>
  <sheetViews>
    <sheetView showGridLines="0" view="pageBreakPreview" zoomScale="60" zoomScaleNormal="75" workbookViewId="0">
      <selection activeCell="N2" sqref="N2"/>
    </sheetView>
  </sheetViews>
  <sheetFormatPr defaultRowHeight="15" x14ac:dyDescent="0.25"/>
  <cols>
    <col min="2" max="2" width="6" customWidth="1"/>
    <col min="3" max="3" width="23.7109375" customWidth="1"/>
    <col min="4" max="4" width="14.42578125" customWidth="1"/>
    <col min="5" max="5" width="18.42578125" customWidth="1"/>
    <col min="6" max="7" width="19.28515625" customWidth="1"/>
    <col min="8" max="8" width="40.5703125" customWidth="1"/>
    <col min="9" max="10" width="24" customWidth="1"/>
    <col min="11" max="11" width="6" customWidth="1"/>
    <col min="12" max="12" width="24" customWidth="1"/>
    <col min="13" max="13" width="14.5703125" customWidth="1"/>
    <col min="14" max="14" width="18.28515625" customWidth="1"/>
    <col min="15" max="15" width="14.85546875" customWidth="1"/>
    <col min="16" max="16" width="14.7109375" customWidth="1"/>
    <col min="17" max="17" width="15" customWidth="1"/>
    <col min="18" max="18" width="41.28515625" customWidth="1"/>
  </cols>
  <sheetData>
    <row r="2" spans="2:18" ht="18.75" x14ac:dyDescent="0.3">
      <c r="B2" s="28" t="str">
        <f ca="1">MID(CELL("filename",B1),FIND("]",CELL("filename",B1))+1,256)</f>
        <v>Capital Price Calculation</v>
      </c>
      <c r="F2" s="1"/>
      <c r="G2" s="1"/>
      <c r="I2" s="1"/>
      <c r="J2" s="1"/>
      <c r="K2" s="1"/>
      <c r="L2" s="1"/>
      <c r="M2" s="1"/>
      <c r="N2" s="1"/>
      <c r="O2" s="1"/>
    </row>
    <row r="3" spans="2:18" x14ac:dyDescent="0.25">
      <c r="B3" s="1"/>
      <c r="F3" s="1"/>
      <c r="G3" s="1"/>
      <c r="I3" s="1"/>
      <c r="J3" s="1"/>
      <c r="K3" s="1"/>
      <c r="L3" s="1"/>
      <c r="M3" s="1"/>
      <c r="N3" s="1"/>
      <c r="O3" s="1"/>
    </row>
    <row r="4" spans="2:18" x14ac:dyDescent="0.25">
      <c r="B4" s="65" t="s">
        <v>40</v>
      </c>
      <c r="C4" s="65"/>
      <c r="D4" s="69"/>
      <c r="E4" s="69"/>
      <c r="F4" s="64"/>
      <c r="G4" s="1"/>
      <c r="I4" s="1"/>
      <c r="J4" s="1"/>
      <c r="K4" s="1"/>
      <c r="L4" s="1"/>
      <c r="M4" s="1"/>
      <c r="N4" s="1"/>
      <c r="O4" s="1"/>
    </row>
    <row r="5" spans="2:18" x14ac:dyDescent="0.25">
      <c r="B5" s="30" t="s">
        <v>166</v>
      </c>
      <c r="C5" s="30"/>
      <c r="D5" s="70"/>
      <c r="E5" s="72"/>
      <c r="F5" s="71"/>
      <c r="G5" s="1"/>
      <c r="I5" s="1"/>
      <c r="J5" s="1"/>
      <c r="K5" s="1"/>
      <c r="L5" s="1"/>
      <c r="M5" s="1"/>
      <c r="N5" s="1"/>
      <c r="O5" s="1"/>
    </row>
    <row r="6" spans="2:18" x14ac:dyDescent="0.25">
      <c r="B6" s="1"/>
      <c r="C6" s="1"/>
      <c r="D6" s="1"/>
      <c r="E6" s="1"/>
      <c r="F6" s="1"/>
      <c r="G6" s="1"/>
      <c r="I6" s="1"/>
      <c r="J6" s="1"/>
      <c r="K6" s="1"/>
      <c r="L6" s="1"/>
      <c r="M6" s="1"/>
      <c r="N6" s="1"/>
      <c r="O6" s="1"/>
    </row>
    <row r="7" spans="2:18" ht="15.75" x14ac:dyDescent="0.25">
      <c r="B7" s="31" t="s">
        <v>157</v>
      </c>
      <c r="C7" s="31"/>
      <c r="D7" s="31"/>
      <c r="E7" s="31"/>
      <c r="F7" s="32"/>
      <c r="G7" s="32"/>
      <c r="H7" s="32"/>
      <c r="I7" s="32"/>
      <c r="J7" s="32"/>
      <c r="K7" s="370"/>
      <c r="L7" s="370"/>
      <c r="M7" s="370"/>
      <c r="N7" s="370"/>
      <c r="O7" s="370"/>
    </row>
    <row r="8" spans="2:18" x14ac:dyDescent="0.25">
      <c r="B8" s="33"/>
      <c r="C8" s="33"/>
      <c r="D8" s="33"/>
      <c r="E8" s="33"/>
      <c r="F8" s="34"/>
      <c r="G8" s="1"/>
      <c r="I8" s="1"/>
      <c r="J8" s="1"/>
      <c r="K8" s="1"/>
      <c r="L8" s="1"/>
      <c r="M8" s="1"/>
      <c r="N8" s="1"/>
      <c r="O8" s="1"/>
    </row>
    <row r="9" spans="2:18" x14ac:dyDescent="0.25">
      <c r="B9" s="35" t="s">
        <v>42</v>
      </c>
      <c r="C9" s="35"/>
      <c r="D9" s="72" t="s">
        <v>167</v>
      </c>
      <c r="E9" s="35"/>
      <c r="F9" s="36"/>
      <c r="G9" s="36"/>
      <c r="H9" s="36"/>
      <c r="I9" s="36"/>
      <c r="J9" s="36"/>
      <c r="K9" s="371"/>
      <c r="L9" s="371"/>
      <c r="M9" s="371"/>
      <c r="N9" s="371"/>
      <c r="O9" s="371"/>
    </row>
    <row r="11" spans="2:18" ht="60" x14ac:dyDescent="0.25">
      <c r="B11" s="24"/>
      <c r="C11" s="24" t="s">
        <v>1</v>
      </c>
      <c r="D11" s="24" t="s">
        <v>0</v>
      </c>
      <c r="E11" s="24" t="s">
        <v>13</v>
      </c>
      <c r="F11" s="24" t="s">
        <v>136</v>
      </c>
      <c r="G11" s="24" t="s">
        <v>137</v>
      </c>
      <c r="H11" s="24" t="s">
        <v>141</v>
      </c>
      <c r="I11" s="24" t="s">
        <v>143</v>
      </c>
      <c r="J11" s="24" t="s">
        <v>142</v>
      </c>
      <c r="K11" s="24"/>
      <c r="L11" s="24" t="s">
        <v>1</v>
      </c>
      <c r="M11" s="24" t="s">
        <v>0</v>
      </c>
      <c r="N11" s="24" t="s">
        <v>13</v>
      </c>
      <c r="O11" s="24" t="s">
        <v>138</v>
      </c>
      <c r="P11" s="24" t="s">
        <v>150</v>
      </c>
      <c r="Q11" s="24" t="s">
        <v>151</v>
      </c>
      <c r="R11" s="24" t="s">
        <v>152</v>
      </c>
    </row>
    <row r="12" spans="2:18" x14ac:dyDescent="0.25">
      <c r="B12" s="24"/>
      <c r="C12" s="24"/>
      <c r="D12" s="24"/>
      <c r="E12" s="24"/>
      <c r="F12" s="24" t="s">
        <v>144</v>
      </c>
      <c r="G12" s="24" t="s">
        <v>145</v>
      </c>
      <c r="H12" s="24" t="s">
        <v>149</v>
      </c>
      <c r="I12" s="24" t="s">
        <v>148</v>
      </c>
      <c r="J12" s="24" t="s">
        <v>147</v>
      </c>
      <c r="K12" s="24"/>
      <c r="L12" s="24"/>
      <c r="M12" s="24"/>
      <c r="N12" s="24"/>
      <c r="O12" s="24" t="s">
        <v>146</v>
      </c>
      <c r="P12" s="24" t="s">
        <v>153</v>
      </c>
      <c r="Q12" s="24" t="s">
        <v>154</v>
      </c>
      <c r="R12" s="24" t="s">
        <v>155</v>
      </c>
    </row>
    <row r="13" spans="2:18" ht="41.25" customHeight="1" x14ac:dyDescent="0.25">
      <c r="B13" s="24"/>
      <c r="C13" s="24"/>
      <c r="D13" s="24"/>
      <c r="E13" s="24"/>
      <c r="F13" s="24"/>
      <c r="G13" s="24"/>
      <c r="H13" s="24"/>
      <c r="I13" s="24"/>
      <c r="J13" s="24"/>
      <c r="K13" s="24"/>
      <c r="L13" s="24"/>
      <c r="M13" s="24"/>
      <c r="N13" s="24"/>
      <c r="O13" s="24"/>
      <c r="P13" s="24"/>
      <c r="Q13" s="24" t="s">
        <v>156</v>
      </c>
      <c r="R13" s="24"/>
    </row>
    <row r="14" spans="2:18" x14ac:dyDescent="0.25">
      <c r="B14" s="74">
        <v>1</v>
      </c>
      <c r="C14" s="26" t="s">
        <v>165</v>
      </c>
      <c r="D14" s="26">
        <v>1999</v>
      </c>
      <c r="E14" s="26" t="s">
        <v>29</v>
      </c>
      <c r="F14" s="66">
        <f>'All Variables'!D13</f>
        <v>0</v>
      </c>
      <c r="G14" s="66">
        <f>'All Variables'!E13</f>
        <v>0.38</v>
      </c>
      <c r="H14" s="359">
        <f t="array" ref="H14">INDEX('All Variables'!$J$13:$J$30,MATCH('Capital Price Calculation'!D14,'All Variables'!$C$13:$C$30,0))</f>
        <v>0.51147759340371279</v>
      </c>
      <c r="I14" s="67" t="str">
        <f>IFERROR(INDEX('Union Ratings and Yields'!$D$24:$T$24,MATCH('Capital Price Calculation'!$D14,'Union Ratings and Yields'!$D$23:$T$23,0))/100,"-")</f>
        <v>-</v>
      </c>
      <c r="J14" s="67">
        <f>INDEX('Expected Inflation (i)'!$H$14:$H$32,MATCH('Capital Price Calculation'!D14,'Expected Inflation (i)'!$C$14:$C$32,0))/100</f>
        <v>3.9007503281570675E-2</v>
      </c>
      <c r="K14" s="74">
        <v>1</v>
      </c>
      <c r="L14" s="26" t="s">
        <v>165</v>
      </c>
      <c r="M14" s="26">
        <v>1999</v>
      </c>
      <c r="N14" s="26" t="s">
        <v>29</v>
      </c>
      <c r="O14" s="360">
        <f>'All Variables'!F13</f>
        <v>33</v>
      </c>
      <c r="P14" s="68">
        <f>IFERROR(INDEX('Handy-Whitman Index'!$B$3:$G$107,MATCH('Capital Price Calculation'!D14,'Handy-Whitman Index'!$A$3:$A$107,0)-1,MATCH('Capital Price Calculation'!E14,'Handy-Whitman Index'!$B$2:$G$2,0)),"-")</f>
        <v>334.25</v>
      </c>
      <c r="Q14" s="55">
        <f t="shared" ref="Q14:Q31" si="0">IFERROR((P14/100),"-")</f>
        <v>3.3424999999999998</v>
      </c>
      <c r="R14" s="55" t="str">
        <f t="shared" ref="R14:R31" si="1">IFERROR((1-$F14-($G14*$H14))/(1-$G14)*($I14-$J14)*(1-(((1+$J14)/(1+$I14))^$O14))^(-1)*$Q14,"-")</f>
        <v>-</v>
      </c>
    </row>
    <row r="15" spans="2:18" x14ac:dyDescent="0.25">
      <c r="B15" s="74">
        <f t="shared" ref="B15:B31" si="2">B14+1</f>
        <v>2</v>
      </c>
      <c r="C15" s="26" t="s">
        <v>165</v>
      </c>
      <c r="D15" s="26">
        <v>2000</v>
      </c>
      <c r="E15" s="26" t="s">
        <v>29</v>
      </c>
      <c r="F15" s="66">
        <f>'All Variables'!D14</f>
        <v>0</v>
      </c>
      <c r="G15" s="66">
        <f>'All Variables'!E14</f>
        <v>0.38</v>
      </c>
      <c r="H15" s="359">
        <f t="array" ref="H15">INDEX('All Variables'!$J$13:$J$30,MATCH('Capital Price Calculation'!D15,'All Variables'!$C$13:$C$30,0))</f>
        <v>0.51147759340371279</v>
      </c>
      <c r="I15" s="67">
        <f>IFERROR(INDEX('Union Ratings and Yields'!$D$24:$T$24,MATCH('Capital Price Calculation'!$D15,'Union Ratings and Yields'!$D$23:$T$23,0))/100,"-")</f>
        <v>8.2451816336790607E-2</v>
      </c>
      <c r="J15" s="67">
        <f>INDEX('Expected Inflation (i)'!$H$14:$H$32,MATCH('Capital Price Calculation'!D15,'Expected Inflation (i)'!$C$14:$C$32,0))/100</f>
        <v>4.2857503281570689E-2</v>
      </c>
      <c r="K15" s="74">
        <f t="shared" ref="K15:K31" si="3">K14+1</f>
        <v>2</v>
      </c>
      <c r="L15" s="26" t="s">
        <v>165</v>
      </c>
      <c r="M15" s="26">
        <v>2000</v>
      </c>
      <c r="N15" s="26" t="s">
        <v>29</v>
      </c>
      <c r="O15" s="360">
        <f>'All Variables'!F14</f>
        <v>33</v>
      </c>
      <c r="P15" s="68">
        <f>IFERROR(INDEX('Handy-Whitman Index'!$B$3:$G$107,MATCH('Capital Price Calculation'!D15,'Handy-Whitman Index'!$A$3:$A$107,0)-1,MATCH('Capital Price Calculation'!E15,'Handy-Whitman Index'!$B$2:$G$2,0)),"-")</f>
        <v>336.75</v>
      </c>
      <c r="Q15" s="55">
        <f t="shared" si="0"/>
        <v>3.3675000000000002</v>
      </c>
      <c r="R15" s="55">
        <f t="shared" si="1"/>
        <v>0.24484212113320272</v>
      </c>
    </row>
    <row r="16" spans="2:18" x14ac:dyDescent="0.25">
      <c r="B16" s="74">
        <f t="shared" si="2"/>
        <v>3</v>
      </c>
      <c r="C16" s="26" t="s">
        <v>165</v>
      </c>
      <c r="D16" s="26">
        <v>2001</v>
      </c>
      <c r="E16" s="26" t="s">
        <v>29</v>
      </c>
      <c r="F16" s="66">
        <f>'All Variables'!D15</f>
        <v>0</v>
      </c>
      <c r="G16" s="66">
        <f>'All Variables'!E15</f>
        <v>0.38</v>
      </c>
      <c r="H16" s="359">
        <f t="array" ref="H16">INDEX('All Variables'!$J$13:$J$30,MATCH('Capital Price Calculation'!D16,'All Variables'!$C$13:$C$30,0))</f>
        <v>0.51147759340371279</v>
      </c>
      <c r="I16" s="67">
        <f>IFERROR(INDEX('Union Ratings and Yields'!$D$24:$T$24,MATCH('Capital Price Calculation'!$D16,'Union Ratings and Yields'!$D$23:$T$23,0))/100,"-")</f>
        <v>7.7602651363483238E-2</v>
      </c>
      <c r="J16" s="67">
        <f>INDEX('Expected Inflation (i)'!$H$14:$H$32,MATCH('Capital Price Calculation'!D16,'Expected Inflation (i)'!$C$14:$C$32,0))/100</f>
        <v>3.839916994823734E-2</v>
      </c>
      <c r="K16" s="74">
        <f t="shared" si="3"/>
        <v>3</v>
      </c>
      <c r="L16" s="26" t="s">
        <v>165</v>
      </c>
      <c r="M16" s="26">
        <v>2001</v>
      </c>
      <c r="N16" s="26" t="s">
        <v>29</v>
      </c>
      <c r="O16" s="360">
        <f>'All Variables'!F15</f>
        <v>33</v>
      </c>
      <c r="P16" s="68">
        <f>IFERROR(INDEX('Handy-Whitman Index'!$B$3:$G$107,MATCH('Capital Price Calculation'!D16,'Handy-Whitman Index'!$A$3:$A$107,0)-1,MATCH('Capital Price Calculation'!E16,'Handy-Whitman Index'!$B$2:$G$2,0)),"-")</f>
        <v>345.5</v>
      </c>
      <c r="Q16" s="55">
        <f t="shared" si="0"/>
        <v>3.4550000000000001</v>
      </c>
      <c r="R16" s="55">
        <f t="shared" si="1"/>
        <v>0.24942595717592431</v>
      </c>
    </row>
    <row r="17" spans="2:18" x14ac:dyDescent="0.25">
      <c r="B17" s="74">
        <f t="shared" si="2"/>
        <v>4</v>
      </c>
      <c r="C17" s="26" t="s">
        <v>165</v>
      </c>
      <c r="D17" s="26">
        <v>2002</v>
      </c>
      <c r="E17" s="26" t="s">
        <v>29</v>
      </c>
      <c r="F17" s="66">
        <f>'All Variables'!D16</f>
        <v>0</v>
      </c>
      <c r="G17" s="66">
        <f>'All Variables'!E16</f>
        <v>0.38</v>
      </c>
      <c r="H17" s="359">
        <f t="array" ref="H17">INDEX('All Variables'!$J$13:$J$30,MATCH('Capital Price Calculation'!D17,'All Variables'!$C$13:$C$30,0))</f>
        <v>0.51147759340371279</v>
      </c>
      <c r="I17" s="67">
        <f>IFERROR(INDEX('Union Ratings and Yields'!$D$24:$T$24,MATCH('Capital Price Calculation'!$D17,'Union Ratings and Yields'!$D$23:$T$23,0))/100,"-")</f>
        <v>7.371311090225563E-2</v>
      </c>
      <c r="J17" s="67">
        <f>INDEX('Expected Inflation (i)'!$H$14:$H$32,MATCH('Capital Price Calculation'!D17,'Expected Inflation (i)'!$C$14:$C$32,0))/100</f>
        <v>3.6515836614904013E-2</v>
      </c>
      <c r="K17" s="74">
        <f t="shared" si="3"/>
        <v>4</v>
      </c>
      <c r="L17" s="26" t="s">
        <v>165</v>
      </c>
      <c r="M17" s="26">
        <v>2002</v>
      </c>
      <c r="N17" s="26" t="s">
        <v>29</v>
      </c>
      <c r="O17" s="360">
        <f>'All Variables'!F16</f>
        <v>33</v>
      </c>
      <c r="P17" s="68">
        <f>IFERROR(INDEX('Handy-Whitman Index'!$B$3:$G$107,MATCH('Capital Price Calculation'!D17,'Handy-Whitman Index'!$A$3:$A$107,0)-1,MATCH('Capital Price Calculation'!E17,'Handy-Whitman Index'!$B$2:$G$2,0)),"-")</f>
        <v>355.75</v>
      </c>
      <c r="Q17" s="55">
        <f t="shared" si="0"/>
        <v>3.5575000000000001</v>
      </c>
      <c r="R17" s="55">
        <f t="shared" si="1"/>
        <v>0.25006953391849357</v>
      </c>
    </row>
    <row r="18" spans="2:18" x14ac:dyDescent="0.25">
      <c r="B18" s="74">
        <f t="shared" si="2"/>
        <v>5</v>
      </c>
      <c r="C18" s="26" t="s">
        <v>165</v>
      </c>
      <c r="D18" s="26">
        <v>2003</v>
      </c>
      <c r="E18" s="26" t="s">
        <v>29</v>
      </c>
      <c r="F18" s="66">
        <f>'All Variables'!D17</f>
        <v>0</v>
      </c>
      <c r="G18" s="66">
        <f>'All Variables'!E17</f>
        <v>0.38</v>
      </c>
      <c r="H18" s="359">
        <f t="array" ref="H18">INDEX('All Variables'!$J$13:$J$30,MATCH('Capital Price Calculation'!D18,'All Variables'!$C$13:$C$30,0))</f>
        <v>0.51147759340371279</v>
      </c>
      <c r="I18" s="67">
        <f>IFERROR(INDEX('Union Ratings and Yields'!$D$24:$T$24,MATCH('Capital Price Calculation'!$D18,'Union Ratings and Yields'!$D$23:$T$23,0))/100,"-")</f>
        <v>6.7307708274697439E-2</v>
      </c>
      <c r="J18" s="67">
        <f>INDEX('Expected Inflation (i)'!$H$14:$H$32,MATCH('Capital Price Calculation'!D18,'Expected Inflation (i)'!$C$14:$C$32,0))/100</f>
        <v>3.1707503281570668E-2</v>
      </c>
      <c r="K18" s="74">
        <f t="shared" si="3"/>
        <v>5</v>
      </c>
      <c r="L18" s="26" t="s">
        <v>165</v>
      </c>
      <c r="M18" s="26">
        <v>2003</v>
      </c>
      <c r="N18" s="26" t="s">
        <v>29</v>
      </c>
      <c r="O18" s="360">
        <f>'All Variables'!F17</f>
        <v>33</v>
      </c>
      <c r="P18" s="68">
        <f>IFERROR(INDEX('Handy-Whitman Index'!$B$3:$G$107,MATCH('Capital Price Calculation'!D18,'Handy-Whitman Index'!$A$3:$A$107,0)-1,MATCH('Capital Price Calculation'!E18,'Handy-Whitman Index'!$B$2:$G$2,0)),"-")</f>
        <v>367.5</v>
      </c>
      <c r="Q18" s="55">
        <f t="shared" si="0"/>
        <v>3.6749999999999998</v>
      </c>
      <c r="R18" s="55">
        <f t="shared" si="1"/>
        <v>0.25239739715095916</v>
      </c>
    </row>
    <row r="19" spans="2:18" x14ac:dyDescent="0.25">
      <c r="B19" s="74">
        <f t="shared" si="2"/>
        <v>6</v>
      </c>
      <c r="C19" s="26" t="s">
        <v>165</v>
      </c>
      <c r="D19" s="26">
        <v>2004</v>
      </c>
      <c r="E19" s="26" t="s">
        <v>29</v>
      </c>
      <c r="F19" s="66">
        <f>'All Variables'!D18</f>
        <v>0</v>
      </c>
      <c r="G19" s="66">
        <f>'All Variables'!E18</f>
        <v>0.38</v>
      </c>
      <c r="H19" s="359">
        <f t="array" ref="H19">INDEX('All Variables'!$J$13:$J$30,MATCH('Capital Price Calculation'!D19,'All Variables'!$C$13:$C$30,0))</f>
        <v>0.51147759340371279</v>
      </c>
      <c r="I19" s="67">
        <f>IFERROR(INDEX('Union Ratings and Yields'!$D$24:$T$24,MATCH('Capital Price Calculation'!$D19,'Union Ratings and Yields'!$D$23:$T$23,0))/100,"-")</f>
        <v>6.3956689942081826E-2</v>
      </c>
      <c r="J19" s="67">
        <f>INDEX('Expected Inflation (i)'!$H$14:$H$32,MATCH('Capital Price Calculation'!D19,'Expected Inflation (i)'!$C$14:$C$32,0))/100</f>
        <v>2.9382503281570688E-2</v>
      </c>
      <c r="K19" s="74">
        <f t="shared" si="3"/>
        <v>6</v>
      </c>
      <c r="L19" s="26" t="s">
        <v>165</v>
      </c>
      <c r="M19" s="26">
        <v>2004</v>
      </c>
      <c r="N19" s="26" t="s">
        <v>29</v>
      </c>
      <c r="O19" s="360">
        <f>'All Variables'!F18</f>
        <v>33</v>
      </c>
      <c r="P19" s="68">
        <f>IFERROR(INDEX('Handy-Whitman Index'!$B$3:$G$107,MATCH('Capital Price Calculation'!D19,'Handy-Whitman Index'!$A$3:$A$107,0)-1,MATCH('Capital Price Calculation'!E19,'Handy-Whitman Index'!$B$2:$G$2,0)),"-")</f>
        <v>374.75</v>
      </c>
      <c r="Q19" s="55">
        <f t="shared" si="0"/>
        <v>3.7475000000000001</v>
      </c>
      <c r="R19" s="55">
        <f t="shared" si="1"/>
        <v>0.25361645564574209</v>
      </c>
    </row>
    <row r="20" spans="2:18" x14ac:dyDescent="0.25">
      <c r="B20" s="74">
        <f t="shared" si="2"/>
        <v>7</v>
      </c>
      <c r="C20" s="26" t="s">
        <v>165</v>
      </c>
      <c r="D20" s="26">
        <v>2005</v>
      </c>
      <c r="E20" s="26" t="s">
        <v>29</v>
      </c>
      <c r="F20" s="66">
        <f>'All Variables'!D19</f>
        <v>0</v>
      </c>
      <c r="G20" s="66">
        <f>'All Variables'!E19</f>
        <v>0.38</v>
      </c>
      <c r="H20" s="359">
        <f t="array" ref="H20">INDEX('All Variables'!$J$13:$J$30,MATCH('Capital Price Calculation'!D20,'All Variables'!$C$13:$C$30,0))</f>
        <v>0.51147759340371279</v>
      </c>
      <c r="I20" s="67">
        <f>IFERROR(INDEX('Union Ratings and Yields'!$D$24:$T$24,MATCH('Capital Price Calculation'!$D20,'Union Ratings and Yields'!$D$23:$T$23,0))/100,"-")</f>
        <v>5.9238457428980887E-2</v>
      </c>
      <c r="J20" s="67">
        <f>INDEX('Expected Inflation (i)'!$H$14:$H$32,MATCH('Capital Price Calculation'!D20,'Expected Inflation (i)'!$C$14:$C$32,0))/100</f>
        <v>2.4274169948237345E-2</v>
      </c>
      <c r="K20" s="74">
        <f t="shared" si="3"/>
        <v>7</v>
      </c>
      <c r="L20" s="26" t="s">
        <v>165</v>
      </c>
      <c r="M20" s="26">
        <v>2005</v>
      </c>
      <c r="N20" s="26" t="s">
        <v>29</v>
      </c>
      <c r="O20" s="360">
        <f>'All Variables'!F19</f>
        <v>33</v>
      </c>
      <c r="P20" s="68">
        <f>IFERROR(INDEX('Handy-Whitman Index'!$B$3:$G$107,MATCH('Capital Price Calculation'!D20,'Handy-Whitman Index'!$A$3:$A$107,0)-1,MATCH('Capital Price Calculation'!E20,'Handy-Whitman Index'!$B$2:$G$2,0)),"-")</f>
        <v>399.25</v>
      </c>
      <c r="Q20" s="55">
        <f t="shared" si="0"/>
        <v>3.9925000000000002</v>
      </c>
      <c r="R20" s="55">
        <f t="shared" si="1"/>
        <v>0.27086585259021556</v>
      </c>
    </row>
    <row r="21" spans="2:18" x14ac:dyDescent="0.25">
      <c r="B21" s="74">
        <f t="shared" si="2"/>
        <v>8</v>
      </c>
      <c r="C21" s="26" t="s">
        <v>165</v>
      </c>
      <c r="D21" s="26">
        <v>2006</v>
      </c>
      <c r="E21" s="26" t="s">
        <v>29</v>
      </c>
      <c r="F21" s="66">
        <f>'All Variables'!D20</f>
        <v>0</v>
      </c>
      <c r="G21" s="66">
        <f>'All Variables'!E20</f>
        <v>0.38</v>
      </c>
      <c r="H21" s="359">
        <f t="array" ref="H21">INDEX('All Variables'!$J$13:$J$30,MATCH('Capital Price Calculation'!D21,'All Variables'!$C$13:$C$30,0))</f>
        <v>0.51147759340371279</v>
      </c>
      <c r="I21" s="67">
        <f>IFERROR(INDEX('Union Ratings and Yields'!$D$24:$T$24,MATCH('Capital Price Calculation'!$D21,'Union Ratings and Yields'!$D$23:$T$23,0))/100,"-")</f>
        <v>6.3174412274097633E-2</v>
      </c>
      <c r="J21" s="67">
        <f>INDEX('Expected Inflation (i)'!$H$14:$H$32,MATCH('Capital Price Calculation'!D21,'Expected Inflation (i)'!$C$14:$C$32,0))/100</f>
        <v>2.5690836614904011E-2</v>
      </c>
      <c r="K21" s="74">
        <f t="shared" si="3"/>
        <v>8</v>
      </c>
      <c r="L21" s="26" t="s">
        <v>165</v>
      </c>
      <c r="M21" s="26">
        <v>2006</v>
      </c>
      <c r="N21" s="26" t="s">
        <v>29</v>
      </c>
      <c r="O21" s="360">
        <f>'All Variables'!F20</f>
        <v>33</v>
      </c>
      <c r="P21" s="68">
        <f>IFERROR(INDEX('Handy-Whitman Index'!$B$3:$G$107,MATCH('Capital Price Calculation'!D21,'Handy-Whitman Index'!$A$3:$A$107,0)-1,MATCH('Capital Price Calculation'!E21,'Handy-Whitman Index'!$B$2:$G$2,0)),"-")</f>
        <v>432.5</v>
      </c>
      <c r="Q21" s="55">
        <f t="shared" si="0"/>
        <v>4.3250000000000002</v>
      </c>
      <c r="R21" s="55">
        <f t="shared" si="1"/>
        <v>0.3035011273384603</v>
      </c>
    </row>
    <row r="22" spans="2:18" x14ac:dyDescent="0.25">
      <c r="B22" s="74">
        <f t="shared" si="2"/>
        <v>9</v>
      </c>
      <c r="C22" s="26" t="s">
        <v>165</v>
      </c>
      <c r="D22" s="26">
        <v>2007</v>
      </c>
      <c r="E22" s="26" t="s">
        <v>29</v>
      </c>
      <c r="F22" s="66">
        <f>'All Variables'!D21</f>
        <v>0</v>
      </c>
      <c r="G22" s="66">
        <f>'All Variables'!E21</f>
        <v>0.38</v>
      </c>
      <c r="H22" s="359">
        <f t="array" ref="H22">INDEX('All Variables'!$J$13:$J$30,MATCH('Capital Price Calculation'!D22,'All Variables'!$C$13:$C$30,0))</f>
        <v>0.51147759340371279</v>
      </c>
      <c r="I22" s="67">
        <f>IFERROR(INDEX('Union Ratings and Yields'!$D$24:$T$24,MATCH('Capital Price Calculation'!$D22,'Union Ratings and Yields'!$D$23:$T$23,0))/100,"-")</f>
        <v>6.3312135823749102E-2</v>
      </c>
      <c r="J22" s="67">
        <f>INDEX('Expected Inflation (i)'!$H$14:$H$32,MATCH('Capital Price Calculation'!D22,'Expected Inflation (i)'!$C$14:$C$32,0))/100</f>
        <v>2.6299169948237344E-2</v>
      </c>
      <c r="K22" s="74">
        <f t="shared" si="3"/>
        <v>9</v>
      </c>
      <c r="L22" s="26" t="s">
        <v>165</v>
      </c>
      <c r="M22" s="26">
        <v>2007</v>
      </c>
      <c r="N22" s="26" t="s">
        <v>29</v>
      </c>
      <c r="O22" s="360">
        <f>'All Variables'!F21</f>
        <v>33</v>
      </c>
      <c r="P22" s="68">
        <f>IFERROR(INDEX('Handy-Whitman Index'!$B$3:$G$107,MATCH('Capital Price Calculation'!D22,'Handy-Whitman Index'!$A$3:$A$107,0)-1,MATCH('Capital Price Calculation'!E22,'Handy-Whitman Index'!$B$2:$G$2,0)),"-")</f>
        <v>478.5</v>
      </c>
      <c r="Q22" s="55">
        <f t="shared" si="0"/>
        <v>4.7850000000000001</v>
      </c>
      <c r="R22" s="55">
        <f t="shared" si="1"/>
        <v>0.33383246652415477</v>
      </c>
    </row>
    <row r="23" spans="2:18" x14ac:dyDescent="0.25">
      <c r="B23" s="74">
        <f t="shared" si="2"/>
        <v>10</v>
      </c>
      <c r="C23" s="26" t="s">
        <v>165</v>
      </c>
      <c r="D23" s="26">
        <v>2008</v>
      </c>
      <c r="E23" s="26" t="s">
        <v>29</v>
      </c>
      <c r="F23" s="66">
        <f>'All Variables'!D22</f>
        <v>0</v>
      </c>
      <c r="G23" s="66">
        <f>'All Variables'!E22</f>
        <v>0.38</v>
      </c>
      <c r="H23" s="359">
        <f t="array" ref="H23">INDEX('All Variables'!$J$13:$J$30,MATCH('Capital Price Calculation'!D23,'All Variables'!$C$13:$C$30,0))</f>
        <v>0.51147759340371279</v>
      </c>
      <c r="I23" s="67">
        <f>IFERROR(INDEX('Union Ratings and Yields'!$D$24:$T$24,MATCH('Capital Price Calculation'!$D23,'Union Ratings and Yields'!$D$23:$T$23,0))/100,"-")</f>
        <v>7.2436829004329018E-2</v>
      </c>
      <c r="J23" s="67">
        <f>INDEX('Expected Inflation (i)'!$H$14:$H$32,MATCH('Capital Price Calculation'!D23,'Expected Inflation (i)'!$C$14:$C$32,0))/100</f>
        <v>1.965750328157069E-2</v>
      </c>
      <c r="K23" s="74">
        <f t="shared" si="3"/>
        <v>10</v>
      </c>
      <c r="L23" s="26" t="s">
        <v>165</v>
      </c>
      <c r="M23" s="26">
        <v>2008</v>
      </c>
      <c r="N23" s="26" t="s">
        <v>29</v>
      </c>
      <c r="O23" s="360">
        <f>'All Variables'!F22</f>
        <v>33</v>
      </c>
      <c r="P23" s="68">
        <f>IFERROR(INDEX('Handy-Whitman Index'!$B$3:$G$107,MATCH('Capital Price Calculation'!D23,'Handy-Whitman Index'!$A$3:$A$107,0)-1,MATCH('Capital Price Calculation'!E23,'Handy-Whitman Index'!$B$2:$G$2,0)),"-")</f>
        <v>532.44704139288206</v>
      </c>
      <c r="Q23" s="55">
        <f t="shared" si="0"/>
        <v>5.3244704139288208</v>
      </c>
      <c r="R23" s="55">
        <f t="shared" si="1"/>
        <v>0.45032854313771337</v>
      </c>
    </row>
    <row r="24" spans="2:18" x14ac:dyDescent="0.25">
      <c r="B24" s="74">
        <f t="shared" si="2"/>
        <v>11</v>
      </c>
      <c r="C24" s="26" t="s">
        <v>165</v>
      </c>
      <c r="D24" s="26">
        <v>2009</v>
      </c>
      <c r="E24" s="26" t="s">
        <v>29</v>
      </c>
      <c r="F24" s="66">
        <f>'All Variables'!D23</f>
        <v>0</v>
      </c>
      <c r="G24" s="66">
        <f>'All Variables'!E23</f>
        <v>0.38</v>
      </c>
      <c r="H24" s="359">
        <f t="array" ref="H24">INDEX('All Variables'!$J$13:$J$30,MATCH('Capital Price Calculation'!D24,'All Variables'!$C$13:$C$30,0))</f>
        <v>0.51147759340371279</v>
      </c>
      <c r="I24" s="67">
        <f>IFERROR(INDEX('Union Ratings and Yields'!$D$24:$T$24,MATCH('Capital Price Calculation'!$D24,'Union Ratings and Yields'!$D$23:$T$23,0))/100,"-")</f>
        <v>7.053617547657022E-2</v>
      </c>
      <c r="J24" s="67">
        <f>INDEX('Expected Inflation (i)'!$H$14:$H$32,MATCH('Capital Price Calculation'!D24,'Expected Inflation (i)'!$C$14:$C$32,0))/100</f>
        <v>1.5907503281570683E-2</v>
      </c>
      <c r="K24" s="74">
        <f t="shared" si="3"/>
        <v>11</v>
      </c>
      <c r="L24" s="26" t="s">
        <v>165</v>
      </c>
      <c r="M24" s="26">
        <v>2009</v>
      </c>
      <c r="N24" s="26" t="s">
        <v>29</v>
      </c>
      <c r="O24" s="360">
        <f>'All Variables'!F23</f>
        <v>33</v>
      </c>
      <c r="P24" s="68">
        <f>IFERROR(INDEX('Handy-Whitman Index'!$B$3:$G$107,MATCH('Capital Price Calculation'!D24,'Handy-Whitman Index'!$A$3:$A$107,0)-1,MATCH('Capital Price Calculation'!E24,'Handy-Whitman Index'!$B$2:$G$2,0)),"-")</f>
        <v>582.25</v>
      </c>
      <c r="Q24" s="55">
        <f t="shared" si="0"/>
        <v>5.8224999999999998</v>
      </c>
      <c r="R24" s="55">
        <f t="shared" si="1"/>
        <v>0.50254389643830299</v>
      </c>
    </row>
    <row r="25" spans="2:18" x14ac:dyDescent="0.25">
      <c r="B25" s="74">
        <f t="shared" si="2"/>
        <v>12</v>
      </c>
      <c r="C25" s="26" t="s">
        <v>165</v>
      </c>
      <c r="D25" s="26">
        <v>2010</v>
      </c>
      <c r="E25" s="26" t="s">
        <v>29</v>
      </c>
      <c r="F25" s="66">
        <f>'All Variables'!D24</f>
        <v>0</v>
      </c>
      <c r="G25" s="66">
        <f>'All Variables'!E24</f>
        <v>0.38</v>
      </c>
      <c r="H25" s="359">
        <f t="array" ref="H25">INDEX('All Variables'!$J$13:$J$30,MATCH('Capital Price Calculation'!D25,'All Variables'!$C$13:$C$30,0))</f>
        <v>0.51147759340371279</v>
      </c>
      <c r="I25" s="67">
        <f>IFERROR(INDEX('Union Ratings and Yields'!$D$24:$T$24,MATCH('Capital Price Calculation'!$D25,'Union Ratings and Yields'!$D$23:$T$23,0))/100,"-")</f>
        <v>5.96097755918122E-2</v>
      </c>
      <c r="J25" s="67">
        <f>INDEX('Expected Inflation (i)'!$H$14:$H$32,MATCH('Capital Price Calculation'!D25,'Expected Inflation (i)'!$C$14:$C$32,0))/100</f>
        <v>1.5957503281570685E-2</v>
      </c>
      <c r="K25" s="74">
        <f t="shared" si="3"/>
        <v>12</v>
      </c>
      <c r="L25" s="26" t="s">
        <v>165</v>
      </c>
      <c r="M25" s="26">
        <v>2010</v>
      </c>
      <c r="N25" s="26" t="s">
        <v>29</v>
      </c>
      <c r="O25" s="360">
        <f>'All Variables'!F24</f>
        <v>33</v>
      </c>
      <c r="P25" s="68">
        <f>IFERROR(INDEX('Handy-Whitman Index'!$B$3:$G$107,MATCH('Capital Price Calculation'!D25,'Handy-Whitman Index'!$A$3:$A$107,0)-1,MATCH('Capital Price Calculation'!E25,'Handy-Whitman Index'!$B$2:$G$2,0)),"-")</f>
        <v>598.25</v>
      </c>
      <c r="Q25" s="55">
        <f t="shared" si="0"/>
        <v>5.9824999999999999</v>
      </c>
      <c r="R25" s="55">
        <f t="shared" si="1"/>
        <v>0.45215706312426862</v>
      </c>
    </row>
    <row r="26" spans="2:18" x14ac:dyDescent="0.25">
      <c r="B26" s="74">
        <f t="shared" si="2"/>
        <v>13</v>
      </c>
      <c r="C26" s="26" t="s">
        <v>165</v>
      </c>
      <c r="D26" s="26">
        <v>2011</v>
      </c>
      <c r="E26" s="26" t="s">
        <v>29</v>
      </c>
      <c r="F26" s="66">
        <f>'All Variables'!D25</f>
        <v>0</v>
      </c>
      <c r="G26" s="66">
        <f>'All Variables'!E25</f>
        <v>0.38</v>
      </c>
      <c r="H26" s="359">
        <f t="array" ref="H26">INDEX('All Variables'!$J$13:$J$30,MATCH('Capital Price Calculation'!D26,'All Variables'!$C$13:$C$30,0))</f>
        <v>0.51147759340371279</v>
      </c>
      <c r="I26" s="67">
        <f>IFERROR(INDEX('Union Ratings and Yields'!$D$24:$T$24,MATCH('Capital Price Calculation'!$D26,'Union Ratings and Yields'!$D$23:$T$23,0))/100,"-")</f>
        <v>5.5671782267757673E-2</v>
      </c>
      <c r="J26" s="67">
        <f>INDEX('Expected Inflation (i)'!$H$14:$H$32,MATCH('Capital Price Calculation'!D26,'Expected Inflation (i)'!$C$14:$C$32,0))/100</f>
        <v>1.1440836614904011E-2</v>
      </c>
      <c r="K26" s="74">
        <f t="shared" si="3"/>
        <v>13</v>
      </c>
      <c r="L26" s="26" t="s">
        <v>165</v>
      </c>
      <c r="M26" s="26">
        <v>2011</v>
      </c>
      <c r="N26" s="26" t="s">
        <v>29</v>
      </c>
      <c r="O26" s="360">
        <f>'All Variables'!F25</f>
        <v>33</v>
      </c>
      <c r="P26" s="68">
        <f>IFERROR(INDEX('Handy-Whitman Index'!$B$3:$G$107,MATCH('Capital Price Calculation'!D26,'Handy-Whitman Index'!$A$3:$A$107,0)-1,MATCH('Capital Price Calculation'!E26,'Handy-Whitman Index'!$B$2:$G$2,0)),"-")</f>
        <v>619.25</v>
      </c>
      <c r="Q26" s="55">
        <f t="shared" si="0"/>
        <v>6.1924999999999999</v>
      </c>
      <c r="R26" s="55">
        <f t="shared" si="1"/>
        <v>0.47049879728842964</v>
      </c>
    </row>
    <row r="27" spans="2:18" x14ac:dyDescent="0.25">
      <c r="B27" s="74">
        <f t="shared" si="2"/>
        <v>14</v>
      </c>
      <c r="C27" s="26" t="s">
        <v>165</v>
      </c>
      <c r="D27" s="26">
        <v>2012</v>
      </c>
      <c r="E27" s="26" t="s">
        <v>29</v>
      </c>
      <c r="F27" s="66">
        <f>'All Variables'!D26</f>
        <v>0</v>
      </c>
      <c r="G27" s="66">
        <f>'All Variables'!E26</f>
        <v>0.38</v>
      </c>
      <c r="H27" s="359">
        <f t="array" ref="H27">INDEX('All Variables'!$J$13:$J$30,MATCH('Capital Price Calculation'!D27,'All Variables'!$C$13:$C$30,0))</f>
        <v>0.51147759340371279</v>
      </c>
      <c r="I27" s="67">
        <f>IFERROR(INDEX('Union Ratings and Yields'!$D$24:$T$24,MATCH('Capital Price Calculation'!$D27,'Union Ratings and Yields'!$D$23:$T$23,0))/100,"-")</f>
        <v>4.8539514307838101E-2</v>
      </c>
      <c r="J27" s="67">
        <f>INDEX('Expected Inflation (i)'!$H$14:$H$32,MATCH('Capital Price Calculation'!D27,'Expected Inflation (i)'!$C$14:$C$32,0))/100</f>
        <v>2.3408366149040138E-3</v>
      </c>
      <c r="K27" s="74">
        <f t="shared" si="3"/>
        <v>14</v>
      </c>
      <c r="L27" s="26" t="s">
        <v>165</v>
      </c>
      <c r="M27" s="26">
        <v>2012</v>
      </c>
      <c r="N27" s="26" t="s">
        <v>29</v>
      </c>
      <c r="O27" s="360">
        <f>'All Variables'!F26</f>
        <v>33</v>
      </c>
      <c r="P27" s="68">
        <f>IFERROR(INDEX('Handy-Whitman Index'!$B$3:$G$107,MATCH('Capital Price Calculation'!D27,'Handy-Whitman Index'!$A$3:$A$107,0)-1,MATCH('Capital Price Calculation'!E27,'Handy-Whitman Index'!$B$2:$G$2,0)),"-")</f>
        <v>649.75</v>
      </c>
      <c r="Q27" s="55">
        <f t="shared" si="0"/>
        <v>6.4974999999999996</v>
      </c>
      <c r="R27" s="55">
        <f t="shared" si="1"/>
        <v>0.50397990993629538</v>
      </c>
    </row>
    <row r="28" spans="2:18" x14ac:dyDescent="0.25">
      <c r="B28" s="74">
        <f t="shared" si="2"/>
        <v>15</v>
      </c>
      <c r="C28" s="26" t="s">
        <v>165</v>
      </c>
      <c r="D28" s="26">
        <v>2013</v>
      </c>
      <c r="E28" s="26" t="s">
        <v>29</v>
      </c>
      <c r="F28" s="66">
        <f>'All Variables'!D27</f>
        <v>0</v>
      </c>
      <c r="G28" s="66">
        <f>'All Variables'!E27</f>
        <v>0.38</v>
      </c>
      <c r="H28" s="359">
        <f t="array" ref="H28">INDEX('All Variables'!$J$13:$J$30,MATCH('Capital Price Calculation'!D28,'All Variables'!$C$13:$C$30,0))</f>
        <v>0.51147759340371279</v>
      </c>
      <c r="I28" s="67">
        <f>IFERROR(INDEX('Union Ratings and Yields'!$D$24:$T$24,MATCH('Capital Price Calculation'!$D28,'Union Ratings and Yields'!$D$23:$T$23,0))/100,"-")</f>
        <v>4.9833303618895722E-2</v>
      </c>
      <c r="J28" s="67">
        <f>INDEX('Expected Inflation (i)'!$H$14:$H$32,MATCH('Capital Price Calculation'!D28,'Expected Inflation (i)'!$C$14:$C$32,0))/100</f>
        <v>6.2158366149040155E-3</v>
      </c>
      <c r="K28" s="74">
        <f t="shared" si="3"/>
        <v>15</v>
      </c>
      <c r="L28" s="26" t="s">
        <v>165</v>
      </c>
      <c r="M28" s="26">
        <v>2013</v>
      </c>
      <c r="N28" s="26" t="s">
        <v>29</v>
      </c>
      <c r="O28" s="360">
        <f>'All Variables'!F27</f>
        <v>33</v>
      </c>
      <c r="P28" s="68">
        <f>IFERROR(INDEX('Handy-Whitman Index'!$B$3:$G$107,MATCH('Capital Price Calculation'!D28,'Handy-Whitman Index'!$A$3:$A$107,0)-1,MATCH('Capital Price Calculation'!E28,'Handy-Whitman Index'!$B$2:$G$2,0)),"-")</f>
        <v>678.5</v>
      </c>
      <c r="Q28" s="55">
        <f t="shared" si="0"/>
        <v>6.7850000000000001</v>
      </c>
      <c r="R28" s="55">
        <f t="shared" si="1"/>
        <v>0.51036627351527208</v>
      </c>
    </row>
    <row r="29" spans="2:18" x14ac:dyDescent="0.25">
      <c r="B29" s="74">
        <f t="shared" si="2"/>
        <v>16</v>
      </c>
      <c r="C29" s="26" t="s">
        <v>165</v>
      </c>
      <c r="D29" s="26">
        <v>2014</v>
      </c>
      <c r="E29" s="26" t="s">
        <v>29</v>
      </c>
      <c r="F29" s="66">
        <f>'All Variables'!D28</f>
        <v>0</v>
      </c>
      <c r="G29" s="66">
        <f>'All Variables'!E28</f>
        <v>0.38</v>
      </c>
      <c r="H29" s="359">
        <f t="array" ref="H29">INDEX('All Variables'!$J$13:$J$30,MATCH('Capital Price Calculation'!D29,'All Variables'!$C$13:$C$30,0))</f>
        <v>0.51147759340371279</v>
      </c>
      <c r="I29" s="67">
        <f>IFERROR(INDEX('Union Ratings and Yields'!$D$24:$T$24,MATCH('Capital Price Calculation'!$D29,'Union Ratings and Yields'!$D$23:$T$23,0))/100,"-")</f>
        <v>4.7980696058327638E-2</v>
      </c>
      <c r="J29" s="67">
        <f>INDEX('Expected Inflation (i)'!$H$14:$H$32,MATCH('Capital Price Calculation'!D29,'Expected Inflation (i)'!$C$14:$C$32,0))/100</f>
        <v>5.890836614904014E-3</v>
      </c>
      <c r="K29" s="74">
        <f t="shared" si="3"/>
        <v>16</v>
      </c>
      <c r="L29" s="26" t="s">
        <v>165</v>
      </c>
      <c r="M29" s="26">
        <v>2014</v>
      </c>
      <c r="N29" s="26" t="s">
        <v>29</v>
      </c>
      <c r="O29" s="360">
        <f>'All Variables'!F28</f>
        <v>33</v>
      </c>
      <c r="P29" s="68">
        <f>IFERROR(INDEX('Handy-Whitman Index'!$B$3:$G$107,MATCH('Capital Price Calculation'!D29,'Handy-Whitman Index'!$A$3:$A$107,0)-1,MATCH('Capital Price Calculation'!E29,'Handy-Whitman Index'!$B$2:$G$2,0)),"-")</f>
        <v>701</v>
      </c>
      <c r="Q29" s="55">
        <f t="shared" si="0"/>
        <v>7.01</v>
      </c>
      <c r="R29" s="55">
        <f t="shared" si="1"/>
        <v>0.5170749728672982</v>
      </c>
    </row>
    <row r="30" spans="2:18" x14ac:dyDescent="0.25">
      <c r="B30" s="74">
        <f t="shared" si="2"/>
        <v>17</v>
      </c>
      <c r="C30" s="26" t="s">
        <v>165</v>
      </c>
      <c r="D30" s="26">
        <v>2015</v>
      </c>
      <c r="E30" s="26" t="s">
        <v>29</v>
      </c>
      <c r="F30" s="66">
        <f>'All Variables'!D29</f>
        <v>0</v>
      </c>
      <c r="G30" s="66">
        <f>'All Variables'!E29</f>
        <v>0.38</v>
      </c>
      <c r="H30" s="359">
        <f t="array" ref="H30">INDEX('All Variables'!$J$13:$J$30,MATCH('Capital Price Calculation'!D30,'All Variables'!$C$13:$C$30,0))</f>
        <v>0.51147759340371279</v>
      </c>
      <c r="I30" s="67">
        <f>IFERROR(INDEX('Union Ratings and Yields'!$D$24:$T$24,MATCH('Capital Price Calculation'!$D30,'Union Ratings and Yields'!$D$23:$T$23,0))/100,"-")</f>
        <v>5.0283637028176502E-2</v>
      </c>
      <c r="J30" s="67">
        <f>INDEX('Expected Inflation (i)'!$H$14:$H$32,MATCH('Capital Price Calculation'!D30,'Expected Inflation (i)'!$C$14:$C$32,0))/100</f>
        <v>-1.192496718429319E-3</v>
      </c>
      <c r="K30" s="74">
        <f t="shared" si="3"/>
        <v>17</v>
      </c>
      <c r="L30" s="26" t="s">
        <v>165</v>
      </c>
      <c r="M30" s="26">
        <v>2015</v>
      </c>
      <c r="N30" s="26" t="s">
        <v>29</v>
      </c>
      <c r="O30" s="360">
        <f>'All Variables'!F29</f>
        <v>33</v>
      </c>
      <c r="P30" s="68">
        <f>IFERROR(INDEX('Handy-Whitman Index'!$B$3:$G$107,MATCH('Capital Price Calculation'!D30,'Handy-Whitman Index'!$A$3:$A$107,0)-1,MATCH('Capital Price Calculation'!E30,'Handy-Whitman Index'!$B$2:$G$2,0)),"-")</f>
        <v>722</v>
      </c>
      <c r="Q30" s="55">
        <f t="shared" si="0"/>
        <v>7.22</v>
      </c>
      <c r="R30" s="55">
        <f t="shared" si="1"/>
        <v>0.59655170774078159</v>
      </c>
    </row>
    <row r="31" spans="2:18" x14ac:dyDescent="0.25">
      <c r="B31" s="74">
        <f t="shared" si="2"/>
        <v>18</v>
      </c>
      <c r="C31" s="26" t="s">
        <v>165</v>
      </c>
      <c r="D31" s="26">
        <v>2016</v>
      </c>
      <c r="E31" s="26" t="s">
        <v>29</v>
      </c>
      <c r="F31" s="66">
        <f>'All Variables'!D30</f>
        <v>0</v>
      </c>
      <c r="G31" s="66">
        <f>'All Variables'!E30</f>
        <v>0.38</v>
      </c>
      <c r="H31" s="359">
        <f t="array" ref="H31">INDEX('All Variables'!$J$13:$J$30,MATCH('Capital Price Calculation'!D31,'All Variables'!$C$13:$C$30,0))</f>
        <v>0.51147759340371279</v>
      </c>
      <c r="I31" s="67">
        <f>IFERROR(INDEX('Union Ratings and Yields'!$D$24:$T$24,MATCH('Capital Price Calculation'!$D31,'Union Ratings and Yields'!$D$23:$T$23,0))/100,"-")</f>
        <v>4.6753089509016278E-2</v>
      </c>
      <c r="J31" s="67">
        <f>INDEX('Expected Inflation (i)'!$H$14:$H$32,MATCH('Capital Price Calculation'!D31,'Expected Inflation (i)'!$C$14:$C$32,0))/100</f>
        <v>-3.8841633850959846E-3</v>
      </c>
      <c r="K31" s="74">
        <f t="shared" si="3"/>
        <v>18</v>
      </c>
      <c r="L31" s="26" t="s">
        <v>165</v>
      </c>
      <c r="M31" s="26">
        <v>2016</v>
      </c>
      <c r="N31" s="26" t="s">
        <v>29</v>
      </c>
      <c r="O31" s="360">
        <f>'All Variables'!F30</f>
        <v>33</v>
      </c>
      <c r="P31" s="68">
        <f>IFERROR(INDEX('Handy-Whitman Index'!$B$3:$G$107,MATCH('Capital Price Calculation'!D31,'Handy-Whitman Index'!$A$3:$A$107,0)-1,MATCH('Capital Price Calculation'!E31,'Handy-Whitman Index'!$B$2:$G$2,0)),"-")</f>
        <v>737.25</v>
      </c>
      <c r="Q31" s="55">
        <f t="shared" si="0"/>
        <v>7.3724999999999996</v>
      </c>
      <c r="R31" s="55">
        <f t="shared" si="1"/>
        <v>0.60238676011531678</v>
      </c>
    </row>
    <row r="32" spans="2:18" x14ac:dyDescent="0.25">
      <c r="I32" s="80"/>
    </row>
    <row r="36" spans="18:18" x14ac:dyDescent="0.25">
      <c r="R36" s="364"/>
    </row>
  </sheetData>
  <pageMargins left="0.7" right="0.7" top="0.75" bottom="0.75" header="0.3" footer="0.3"/>
  <pageSetup scale="60" orientation="landscape" r:id="rId1"/>
  <drawing r:id="rId2"/>
  <legacyDrawing r:id="rId3"/>
  <oleObjects>
    <mc:AlternateContent xmlns:mc="http://schemas.openxmlformats.org/markup-compatibility/2006">
      <mc:Choice Requires="x14">
        <oleObject progId="Equation.3" shapeId="22531" r:id="rId4">
          <objectPr defaultSize="0" autoPict="0" r:id="rId5">
            <anchor moveWithCells="1" sizeWithCells="1">
              <from>
                <xdr:col>7</xdr:col>
                <xdr:colOff>85725</xdr:colOff>
                <xdr:row>12</xdr:row>
                <xdr:rowOff>19050</xdr:rowOff>
              </from>
              <to>
                <xdr:col>7</xdr:col>
                <xdr:colOff>2628900</xdr:colOff>
                <xdr:row>13</xdr:row>
                <xdr:rowOff>9525</xdr:rowOff>
              </to>
            </anchor>
          </objectPr>
        </oleObject>
      </mc:Choice>
      <mc:Fallback>
        <oleObject progId="Equation.3" shapeId="22531" r:id="rId4"/>
      </mc:Fallback>
    </mc:AlternateContent>
    <mc:AlternateContent xmlns:mc="http://schemas.openxmlformats.org/markup-compatibility/2006">
      <mc:Choice Requires="x14">
        <oleObject progId="Equation.3" shapeId="22534" r:id="rId6">
          <objectPr defaultSize="0" autoPict="0" r:id="rId7">
            <anchor moveWithCells="1" sizeWithCells="1">
              <from>
                <xdr:col>17</xdr:col>
                <xdr:colOff>104775</xdr:colOff>
                <xdr:row>12</xdr:row>
                <xdr:rowOff>28575</xdr:rowOff>
              </from>
              <to>
                <xdr:col>17</xdr:col>
                <xdr:colOff>2590800</xdr:colOff>
                <xdr:row>12</xdr:row>
                <xdr:rowOff>457200</xdr:rowOff>
              </to>
            </anchor>
          </objectPr>
        </oleObject>
      </mc:Choice>
      <mc:Fallback>
        <oleObject progId="Equation.3" shapeId="22534" r:id="rId6"/>
      </mc:Fallback>
    </mc:AlternateContent>
  </oleObjects>
  <extLst>
    <ext xmlns:x14="http://schemas.microsoft.com/office/spreadsheetml/2009/9/main" uri="{78C0D931-6437-407d-A8EE-F0AAD7539E65}">
      <x14:conditionalFormattings>
        <x14:conditionalFormatting xmlns:xm="http://schemas.microsoft.com/office/excel/2006/main">
          <x14:cfRule type="containsText" priority="8" operator="containsText" text="See Memo on TFP Update for Enbridge" id="{CC46CAE4-0A85-4FA6-9D83-6350D6255903}">
            <xm:f>NOT(ISERROR(SEARCH("See Memo on TFP Update for Enbridge",'Capital Stock Calculation'!A2)))</xm:f>
            <x14:dxf>
              <fill>
                <patternFill>
                  <bgColor rgb="FFFFFF00"/>
                </patternFill>
              </fill>
            </x14:dxf>
          </x14:cfRule>
          <xm:sqref>D11:E12 C11:C13 M11:N12 L11:L13</xm:sqref>
        </x14:conditionalFormatting>
        <x14:conditionalFormatting xmlns:xm="http://schemas.microsoft.com/office/excel/2006/main">
          <x14:cfRule type="containsText" priority="7" operator="containsText" text="See Memo on TFP Update for Enbridge" id="{331E9FFF-BC32-4769-AB76-0264BDF28CE3}">
            <xm:f>NOT(ISERROR(SEARCH("See Memo on TFP Update for Enbridge",'Capital Stock Calculation'!B2)))</xm:f>
            <x14:dxf>
              <fill>
                <patternFill>
                  <bgColor rgb="FFFFFF00"/>
                </patternFill>
              </fill>
            </x14:dxf>
          </x14:cfRule>
          <xm:sqref>B11:B12 K11:K12</xm:sqref>
        </x14:conditionalFormatting>
        <x14:conditionalFormatting xmlns:xm="http://schemas.microsoft.com/office/excel/2006/main">
          <x14:cfRule type="containsText" priority="42" operator="containsText" text="See Memo on TFP Update for Enbridge" id="{CC46CAE4-0A85-4FA6-9D83-6350D6255903}">
            <xm:f>NOT(ISERROR(SEARCH("See Memo on TFP Update for Enbridge",'Capital Stock Calculation'!B3)))</xm:f>
            <x14:dxf>
              <fill>
                <patternFill>
                  <bgColor rgb="FFFFFF00"/>
                </patternFill>
              </fill>
            </x14:dxf>
          </x14:cfRule>
          <xm:sqref>D13:E13 M13:N13</xm:sqref>
        </x14:conditionalFormatting>
        <x14:conditionalFormatting xmlns:xm="http://schemas.microsoft.com/office/excel/2006/main">
          <x14:cfRule type="containsText" priority="44" operator="containsText" text="See Memo on TFP Update for Enbridge" id="{2D706C77-1A46-4B32-B1B6-F88E081BEE97}">
            <xm:f>NOT(ISERROR(SEARCH("See Memo on TFP Update for Enbridge",'Capital Stock Calculation'!B3)))</xm:f>
            <x14:dxf>
              <fill>
                <patternFill>
                  <bgColor rgb="FFFFFF00"/>
                </patternFill>
              </fill>
            </x14:dxf>
          </x14:cfRule>
          <xm:sqref>B13 K13</xm:sqref>
        </x14:conditionalFormatting>
        <x14:conditionalFormatting xmlns:xm="http://schemas.microsoft.com/office/excel/2006/main">
          <x14:cfRule type="containsText" priority="6" operator="containsText" text="See Memo on TFP Update for Enbridge" id="{1AA96712-6660-40D9-9BD7-FEE1D03D2FAB}">
            <xm:f>NOT(ISERROR(SEARCH("See Memo on TFP Update for Enbridge",'Capital Stock Calculation'!K2)))</xm:f>
            <x14:dxf>
              <fill>
                <patternFill>
                  <bgColor rgb="FFFFFF00"/>
                </patternFill>
              </fill>
            </x14:dxf>
          </x14:cfRule>
          <xm:sqref>P11:R13</xm:sqref>
        </x14:conditionalFormatting>
        <x14:conditionalFormatting xmlns:xm="http://schemas.microsoft.com/office/excel/2006/main">
          <x14:cfRule type="containsText" priority="49" operator="containsText" text="See Memo on TFP Update for Enbridge" id="{CC46CAE4-0A85-4FA6-9D83-6350D6255903}">
            <xm:f>NOT(ISERROR(SEARCH("See Memo on TFP Update for Enbridge",'Capital Stock Calculation'!C3)))</xm:f>
            <x14:dxf>
              <fill>
                <patternFill>
                  <bgColor rgb="FFFFFF00"/>
                </patternFill>
              </fill>
            </x14:dxf>
          </x14:cfRule>
          <xm:sqref>F13:G13 J13</xm:sqref>
        </x14:conditionalFormatting>
        <x14:conditionalFormatting xmlns:xm="http://schemas.microsoft.com/office/excel/2006/main">
          <x14:cfRule type="containsText" priority="57" operator="containsText" text="See Memo on TFP Update for Enbridge" id="{CC46CAE4-0A85-4FA6-9D83-6350D6255903}">
            <xm:f>NOT(ISERROR(SEARCH("See Memo on TFP Update for Enbridge",'Capital Stock Calculation'!E3)))</xm:f>
            <x14:dxf>
              <fill>
                <patternFill>
                  <bgColor rgb="FFFFFF00"/>
                </patternFill>
              </fill>
            </x14:dxf>
          </x14:cfRule>
          <xm:sqref>O13</xm:sqref>
        </x14:conditionalFormatting>
        <x14:conditionalFormatting xmlns:xm="http://schemas.microsoft.com/office/excel/2006/main">
          <x14:cfRule type="containsText" priority="65" operator="containsText" text="See Memo on TFP Update for Enbridge" id="{1AA96712-6660-40D9-9BD7-FEE1D03D2FAB}">
            <xm:f>NOT(ISERROR(SEARCH("See Memo on TFP Update for Enbridge",'Capital Stock Calculation'!J2)))</xm:f>
            <x14:dxf>
              <fill>
                <patternFill>
                  <bgColor rgb="FFFFFF00"/>
                </patternFill>
              </fill>
            </x14:dxf>
          </x14:cfRule>
          <xm:sqref>H11:H12</xm:sqref>
        </x14:conditionalFormatting>
        <x14:conditionalFormatting xmlns:xm="http://schemas.microsoft.com/office/excel/2006/main">
          <x14:cfRule type="containsText" priority="69" operator="containsText" text="See Memo on TFP Update for Enbridge" id="{CC46CAE4-0A85-4FA6-9D83-6350D6255903}">
            <xm:f>NOT(ISERROR(SEARCH("See Memo on TFP Update for Enbridge",'Capital Stock Calculation'!J3)))</xm:f>
            <x14:dxf>
              <fill>
                <patternFill>
                  <bgColor rgb="FFFFFF00"/>
                </patternFill>
              </fill>
            </x14:dxf>
          </x14:cfRule>
          <xm:sqref>H13</xm:sqref>
        </x14:conditionalFormatting>
        <x14:conditionalFormatting xmlns:xm="http://schemas.microsoft.com/office/excel/2006/main">
          <x14:cfRule type="containsText" priority="81" operator="containsText" text="See Memo on TFP Update for Enbridge" id="{CC46CAE4-0A85-4FA6-9D83-6350D6255903}">
            <xm:f>NOT(ISERROR(SEARCH("See Memo on TFP Update for Enbridge",'Capital Stock Calculation'!H3)))</xm:f>
            <x14:dxf>
              <fill>
                <patternFill>
                  <bgColor rgb="FFFFFF00"/>
                </patternFill>
              </fill>
            </x14:dxf>
          </x14:cfRule>
          <xm:sqref>I13</xm:sqref>
        </x14:conditionalFormatting>
        <x14:conditionalFormatting xmlns:xm="http://schemas.microsoft.com/office/excel/2006/main">
          <x14:cfRule type="containsText" priority="87" operator="containsText" text="See Memo on TFP Update for Enbridge" id="{1AA96712-6660-40D9-9BD7-FEE1D03D2FAB}">
            <xm:f>NOT(ISERROR(SEARCH("See Memo on TFP Update for Enbridge",'Capital Stock Calculation'!E2)))</xm:f>
            <x14:dxf>
              <fill>
                <patternFill>
                  <bgColor rgb="FFFFFF00"/>
                </patternFill>
              </fill>
            </x14:dxf>
          </x14:cfRule>
          <xm:sqref>O11:O12</xm:sqref>
        </x14:conditionalFormatting>
        <x14:conditionalFormatting xmlns:xm="http://schemas.microsoft.com/office/excel/2006/main">
          <x14:cfRule type="containsText" priority="253" operator="containsText" text="See Memo on TFP Update for Enbridge" id="{1AA96712-6660-40D9-9BD7-FEE1D03D2FAB}">
            <xm:f>NOT(ISERROR(SEARCH("See Memo on TFP Update for Enbridge",'Capital Stock Calculation'!H2)))</xm:f>
            <x14:dxf>
              <fill>
                <patternFill>
                  <bgColor rgb="FFFFFF00"/>
                </patternFill>
              </fill>
            </x14:dxf>
          </x14:cfRule>
          <xm:sqref>I11:I12</xm:sqref>
        </x14:conditionalFormatting>
        <x14:conditionalFormatting xmlns:xm="http://schemas.microsoft.com/office/excel/2006/main">
          <x14:cfRule type="containsText" priority="269" operator="containsText" text="See Memo on TFP Update for Enbridge" id="{1AA96712-6660-40D9-9BD7-FEE1D03D2FAB}">
            <xm:f>NOT(ISERROR(SEARCH("See Memo on TFP Update for Enbridge",'Capital Stock Calculation'!C2)))</xm:f>
            <x14:dxf>
              <fill>
                <patternFill>
                  <bgColor rgb="FFFFFF00"/>
                </patternFill>
              </fill>
            </x14:dxf>
          </x14:cfRule>
          <xm:sqref>J11:J12 F11:G12</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H701"/>
  <sheetViews>
    <sheetView workbookViewId="0">
      <selection activeCell="F13" sqref="F13"/>
    </sheetView>
  </sheetViews>
  <sheetFormatPr defaultRowHeight="15" x14ac:dyDescent="0.25"/>
  <cols>
    <col min="1" max="2" width="13.5703125" customWidth="1"/>
  </cols>
  <sheetData>
    <row r="1" spans="1:8" x14ac:dyDescent="0.25">
      <c r="A1" s="57" t="s">
        <v>112</v>
      </c>
      <c r="B1" s="57"/>
      <c r="C1" s="57"/>
    </row>
    <row r="2" spans="1:8" x14ac:dyDescent="0.25">
      <c r="A2" s="57" t="s">
        <v>113</v>
      </c>
      <c r="B2" s="57"/>
      <c r="C2" s="57"/>
    </row>
    <row r="3" spans="1:8" x14ac:dyDescent="0.25">
      <c r="A3" s="57" t="s">
        <v>114</v>
      </c>
      <c r="B3" s="57"/>
      <c r="C3" s="57"/>
    </row>
    <row r="4" spans="1:8" x14ac:dyDescent="0.25">
      <c r="A4" s="57" t="s">
        <v>115</v>
      </c>
      <c r="B4" s="57"/>
      <c r="C4" s="57"/>
    </row>
    <row r="5" spans="1:8" x14ac:dyDescent="0.25">
      <c r="A5" s="57" t="s">
        <v>116</v>
      </c>
      <c r="B5" s="57"/>
      <c r="C5" s="57"/>
    </row>
    <row r="6" spans="1:8" x14ac:dyDescent="0.25">
      <c r="A6" s="57" t="s">
        <v>117</v>
      </c>
      <c r="B6" s="57"/>
      <c r="C6" s="57"/>
    </row>
    <row r="8" spans="1:8" ht="39.75" customHeight="1" x14ac:dyDescent="0.25">
      <c r="A8" s="369" t="s">
        <v>118</v>
      </c>
      <c r="B8" s="57"/>
      <c r="C8" s="377" t="s">
        <v>119</v>
      </c>
      <c r="D8" s="377"/>
      <c r="E8" s="377"/>
      <c r="F8" s="377"/>
      <c r="G8" s="377"/>
      <c r="H8" s="377"/>
    </row>
    <row r="10" spans="1:8" x14ac:dyDescent="0.25">
      <c r="A10" s="57" t="s">
        <v>120</v>
      </c>
      <c r="B10" s="57"/>
      <c r="C10" s="57"/>
    </row>
    <row r="11" spans="1:8" x14ac:dyDescent="0.25">
      <c r="A11" s="57" t="s">
        <v>121</v>
      </c>
      <c r="B11" s="57"/>
      <c r="C11" s="57" t="s">
        <v>118</v>
      </c>
    </row>
    <row r="12" spans="1:8" x14ac:dyDescent="0.25">
      <c r="A12" s="58">
        <v>21916</v>
      </c>
      <c r="B12" s="60">
        <f>YEAR(A12)</f>
        <v>1960</v>
      </c>
      <c r="C12" s="59">
        <v>5.54</v>
      </c>
    </row>
    <row r="13" spans="1:8" x14ac:dyDescent="0.25">
      <c r="A13" s="58">
        <v>21947</v>
      </c>
      <c r="B13" s="60">
        <f t="shared" ref="B13:B76" si="0">YEAR(A13)</f>
        <v>1960</v>
      </c>
      <c r="C13" s="59">
        <v>5.46</v>
      </c>
    </row>
    <row r="14" spans="1:8" x14ac:dyDescent="0.25">
      <c r="A14" s="58">
        <v>21976</v>
      </c>
      <c r="B14" s="60">
        <f t="shared" si="0"/>
        <v>1960</v>
      </c>
      <c r="C14" s="59">
        <v>5.39</v>
      </c>
    </row>
    <row r="15" spans="1:8" x14ac:dyDescent="0.25">
      <c r="A15" s="58">
        <v>22007</v>
      </c>
      <c r="B15" s="60">
        <f t="shared" si="0"/>
        <v>1960</v>
      </c>
      <c r="C15" s="59">
        <v>5.29</v>
      </c>
    </row>
    <row r="16" spans="1:8" x14ac:dyDescent="0.25">
      <c r="A16" s="58">
        <v>22037</v>
      </c>
      <c r="B16" s="60">
        <f t="shared" si="0"/>
        <v>1960</v>
      </c>
      <c r="C16" s="59">
        <v>5.21</v>
      </c>
    </row>
    <row r="17" spans="1:3" x14ac:dyDescent="0.25">
      <c r="A17" s="58">
        <v>22068</v>
      </c>
      <c r="B17" s="60">
        <f t="shared" si="0"/>
        <v>1960</v>
      </c>
      <c r="C17" s="59">
        <v>5.07</v>
      </c>
    </row>
    <row r="18" spans="1:3" x14ac:dyDescent="0.25">
      <c r="A18" s="58">
        <v>22098</v>
      </c>
      <c r="B18" s="60">
        <f t="shared" si="0"/>
        <v>1960</v>
      </c>
      <c r="C18" s="59">
        <v>5.08</v>
      </c>
    </row>
    <row r="19" spans="1:3" x14ac:dyDescent="0.25">
      <c r="A19" s="58">
        <v>22129</v>
      </c>
      <c r="B19" s="60">
        <f t="shared" si="0"/>
        <v>1960</v>
      </c>
      <c r="C19" s="59">
        <v>4.9800000000000004</v>
      </c>
    </row>
    <row r="20" spans="1:3" x14ac:dyDescent="0.25">
      <c r="A20" s="58">
        <v>22160</v>
      </c>
      <c r="B20" s="60">
        <f t="shared" si="0"/>
        <v>1960</v>
      </c>
      <c r="C20" s="59">
        <v>4.8</v>
      </c>
    </row>
    <row r="21" spans="1:3" x14ac:dyDescent="0.25">
      <c r="A21" s="58">
        <v>22190</v>
      </c>
      <c r="B21" s="60">
        <f t="shared" si="0"/>
        <v>1960</v>
      </c>
      <c r="C21" s="59">
        <v>4.96</v>
      </c>
    </row>
    <row r="22" spans="1:3" x14ac:dyDescent="0.25">
      <c r="A22" s="58">
        <v>22221</v>
      </c>
      <c r="B22" s="60">
        <f t="shared" si="0"/>
        <v>1960</v>
      </c>
      <c r="C22" s="59">
        <v>5.2</v>
      </c>
    </row>
    <row r="23" spans="1:3" x14ac:dyDescent="0.25">
      <c r="A23" s="58">
        <v>22251</v>
      </c>
      <c r="B23" s="60">
        <f t="shared" si="0"/>
        <v>1960</v>
      </c>
      <c r="C23" s="59">
        <v>5.28</v>
      </c>
    </row>
    <row r="24" spans="1:3" x14ac:dyDescent="0.25">
      <c r="A24" s="58">
        <v>22282</v>
      </c>
      <c r="B24" s="60">
        <f t="shared" si="0"/>
        <v>1961</v>
      </c>
      <c r="C24" s="59">
        <v>5.27</v>
      </c>
    </row>
    <row r="25" spans="1:3" x14ac:dyDescent="0.25">
      <c r="A25" s="58">
        <v>22313</v>
      </c>
      <c r="B25" s="60">
        <f t="shared" si="0"/>
        <v>1961</v>
      </c>
      <c r="C25" s="59">
        <v>5.17</v>
      </c>
    </row>
    <row r="26" spans="1:3" x14ac:dyDescent="0.25">
      <c r="A26" s="58">
        <v>22341</v>
      </c>
      <c r="B26" s="60">
        <f t="shared" si="0"/>
        <v>1961</v>
      </c>
      <c r="C26" s="59">
        <v>5.14</v>
      </c>
    </row>
    <row r="27" spans="1:3" x14ac:dyDescent="0.25">
      <c r="A27" s="58">
        <v>22372</v>
      </c>
      <c r="B27" s="60">
        <f t="shared" si="0"/>
        <v>1961</v>
      </c>
      <c r="C27" s="59">
        <v>5.21</v>
      </c>
    </row>
    <row r="28" spans="1:3" x14ac:dyDescent="0.25">
      <c r="A28" s="58">
        <v>22402</v>
      </c>
      <c r="B28" s="60">
        <f t="shared" si="0"/>
        <v>1961</v>
      </c>
      <c r="C28" s="59">
        <v>5.17</v>
      </c>
    </row>
    <row r="29" spans="1:3" x14ac:dyDescent="0.25">
      <c r="A29" s="58">
        <v>22433</v>
      </c>
      <c r="B29" s="60">
        <f t="shared" si="0"/>
        <v>1961</v>
      </c>
      <c r="C29" s="59">
        <v>5.04</v>
      </c>
    </row>
    <row r="30" spans="1:3" x14ac:dyDescent="0.25">
      <c r="A30" s="58">
        <v>22463</v>
      </c>
      <c r="B30" s="60">
        <f t="shared" si="0"/>
        <v>1961</v>
      </c>
      <c r="C30" s="59">
        <v>4.95</v>
      </c>
    </row>
    <row r="31" spans="1:3" x14ac:dyDescent="0.25">
      <c r="A31" s="58">
        <v>22494</v>
      </c>
      <c r="B31" s="60">
        <f t="shared" si="0"/>
        <v>1961</v>
      </c>
      <c r="C31" s="59">
        <v>4.99</v>
      </c>
    </row>
    <row r="32" spans="1:3" x14ac:dyDescent="0.25">
      <c r="A32" s="58">
        <v>22525</v>
      </c>
      <c r="B32" s="60">
        <f t="shared" si="0"/>
        <v>1961</v>
      </c>
      <c r="C32" s="59">
        <v>4.9800000000000004</v>
      </c>
    </row>
    <row r="33" spans="1:3" x14ac:dyDescent="0.25">
      <c r="A33" s="58">
        <v>22555</v>
      </c>
      <c r="B33" s="60">
        <f t="shared" si="0"/>
        <v>1961</v>
      </c>
      <c r="C33" s="59">
        <v>4.97</v>
      </c>
    </row>
    <row r="34" spans="1:3" x14ac:dyDescent="0.25">
      <c r="A34" s="58">
        <v>22586</v>
      </c>
      <c r="B34" s="60">
        <f t="shared" si="0"/>
        <v>1961</v>
      </c>
      <c r="C34" s="59">
        <v>4.87</v>
      </c>
    </row>
    <row r="35" spans="1:3" x14ac:dyDescent="0.25">
      <c r="A35" s="58">
        <v>22616</v>
      </c>
      <c r="B35" s="60">
        <f t="shared" si="0"/>
        <v>1961</v>
      </c>
      <c r="C35" s="59">
        <v>4.9400000000000004</v>
      </c>
    </row>
    <row r="36" spans="1:3" x14ac:dyDescent="0.25">
      <c r="A36" s="58">
        <v>22647</v>
      </c>
      <c r="B36" s="60">
        <f t="shared" si="0"/>
        <v>1962</v>
      </c>
      <c r="C36" s="59">
        <v>4.96</v>
      </c>
    </row>
    <row r="37" spans="1:3" x14ac:dyDescent="0.25">
      <c r="A37" s="58">
        <v>22678</v>
      </c>
      <c r="B37" s="60">
        <f t="shared" si="0"/>
        <v>1962</v>
      </c>
      <c r="C37" s="59">
        <v>4.95</v>
      </c>
    </row>
    <row r="38" spans="1:3" x14ac:dyDescent="0.25">
      <c r="A38" s="58">
        <v>22706</v>
      </c>
      <c r="B38" s="60">
        <f t="shared" si="0"/>
        <v>1962</v>
      </c>
      <c r="C38" s="59">
        <v>4.88</v>
      </c>
    </row>
    <row r="39" spans="1:3" x14ac:dyDescent="0.25">
      <c r="A39" s="58">
        <v>22737</v>
      </c>
      <c r="B39" s="60">
        <f t="shared" si="0"/>
        <v>1962</v>
      </c>
      <c r="C39" s="59">
        <v>4.8099999999999996</v>
      </c>
    </row>
    <row r="40" spans="1:3" x14ac:dyDescent="0.25">
      <c r="A40" s="58">
        <v>22767</v>
      </c>
      <c r="B40" s="60">
        <f t="shared" si="0"/>
        <v>1962</v>
      </c>
      <c r="C40" s="59">
        <v>4.8899999999999997</v>
      </c>
    </row>
    <row r="41" spans="1:3" x14ac:dyDescent="0.25">
      <c r="A41" s="58">
        <v>22798</v>
      </c>
      <c r="B41" s="60">
        <f t="shared" si="0"/>
        <v>1962</v>
      </c>
      <c r="C41" s="59">
        <v>5.13</v>
      </c>
    </row>
    <row r="42" spans="1:3" x14ac:dyDescent="0.25">
      <c r="A42" s="58">
        <v>22828</v>
      </c>
      <c r="B42" s="60">
        <f t="shared" si="0"/>
        <v>1962</v>
      </c>
      <c r="C42" s="59">
        <v>5.41</v>
      </c>
    </row>
    <row r="43" spans="1:3" x14ac:dyDescent="0.25">
      <c r="A43" s="58">
        <v>22859</v>
      </c>
      <c r="B43" s="60">
        <f t="shared" si="0"/>
        <v>1962</v>
      </c>
      <c r="C43" s="59">
        <v>5.42</v>
      </c>
    </row>
    <row r="44" spans="1:3" x14ac:dyDescent="0.25">
      <c r="A44" s="58">
        <v>22890</v>
      </c>
      <c r="B44" s="60">
        <f t="shared" si="0"/>
        <v>1962</v>
      </c>
      <c r="C44" s="59">
        <v>5.38</v>
      </c>
    </row>
    <row r="45" spans="1:3" x14ac:dyDescent="0.25">
      <c r="A45" s="58">
        <v>22920</v>
      </c>
      <c r="B45" s="60">
        <f t="shared" si="0"/>
        <v>1962</v>
      </c>
      <c r="C45" s="59">
        <v>5.19</v>
      </c>
    </row>
    <row r="46" spans="1:3" x14ac:dyDescent="0.25">
      <c r="A46" s="58">
        <v>22951</v>
      </c>
      <c r="B46" s="60">
        <f t="shared" si="0"/>
        <v>1962</v>
      </c>
      <c r="C46" s="59">
        <v>5.0599999999999996</v>
      </c>
    </row>
    <row r="47" spans="1:3" x14ac:dyDescent="0.25">
      <c r="A47" s="58">
        <v>22981</v>
      </c>
      <c r="B47" s="60">
        <f t="shared" si="0"/>
        <v>1962</v>
      </c>
      <c r="C47" s="59">
        <v>5.1100000000000003</v>
      </c>
    </row>
    <row r="48" spans="1:3" x14ac:dyDescent="0.25">
      <c r="A48" s="58">
        <v>23012</v>
      </c>
      <c r="B48" s="60">
        <f t="shared" si="0"/>
        <v>1963</v>
      </c>
      <c r="C48" s="59">
        <v>5.0999999999999996</v>
      </c>
    </row>
    <row r="49" spans="1:3" x14ac:dyDescent="0.25">
      <c r="A49" s="58">
        <v>23043</v>
      </c>
      <c r="B49" s="60">
        <f t="shared" si="0"/>
        <v>1963</v>
      </c>
      <c r="C49" s="59">
        <v>5.1100000000000003</v>
      </c>
    </row>
    <row r="50" spans="1:3" x14ac:dyDescent="0.25">
      <c r="A50" s="58">
        <v>23071</v>
      </c>
      <c r="B50" s="60">
        <f t="shared" si="0"/>
        <v>1963</v>
      </c>
      <c r="C50" s="59">
        <v>5.1100000000000003</v>
      </c>
    </row>
    <row r="51" spans="1:3" x14ac:dyDescent="0.25">
      <c r="A51" s="58">
        <v>23102</v>
      </c>
      <c r="B51" s="60">
        <f t="shared" si="0"/>
        <v>1963</v>
      </c>
      <c r="C51" s="59">
        <v>5.01</v>
      </c>
    </row>
    <row r="52" spans="1:3" x14ac:dyDescent="0.25">
      <c r="A52" s="58">
        <v>23132</v>
      </c>
      <c r="B52" s="60">
        <f t="shared" si="0"/>
        <v>1963</v>
      </c>
      <c r="C52" s="59">
        <v>4.95</v>
      </c>
    </row>
    <row r="53" spans="1:3" x14ac:dyDescent="0.25">
      <c r="A53" s="58">
        <v>23163</v>
      </c>
      <c r="B53" s="60">
        <f t="shared" si="0"/>
        <v>1963</v>
      </c>
      <c r="C53" s="59">
        <v>4.95</v>
      </c>
    </row>
    <row r="54" spans="1:3" x14ac:dyDescent="0.25">
      <c r="A54" s="58">
        <v>23193</v>
      </c>
      <c r="B54" s="60">
        <f t="shared" si="0"/>
        <v>1963</v>
      </c>
      <c r="C54" s="59">
        <v>5.0599999999999996</v>
      </c>
    </row>
    <row r="55" spans="1:3" x14ac:dyDescent="0.25">
      <c r="A55" s="58">
        <v>23224</v>
      </c>
      <c r="B55" s="60">
        <f t="shared" si="0"/>
        <v>1963</v>
      </c>
      <c r="C55" s="59">
        <v>5.22</v>
      </c>
    </row>
    <row r="56" spans="1:3" x14ac:dyDescent="0.25">
      <c r="A56" s="58">
        <v>23255</v>
      </c>
      <c r="B56" s="60">
        <f t="shared" si="0"/>
        <v>1963</v>
      </c>
      <c r="C56" s="59">
        <v>5.22</v>
      </c>
    </row>
    <row r="57" spans="1:3" x14ac:dyDescent="0.25">
      <c r="A57" s="58">
        <v>23285</v>
      </c>
      <c r="B57" s="60">
        <f t="shared" si="0"/>
        <v>1963</v>
      </c>
      <c r="C57" s="59">
        <v>5.07</v>
      </c>
    </row>
    <row r="58" spans="1:3" x14ac:dyDescent="0.25">
      <c r="A58" s="58">
        <v>23316</v>
      </c>
      <c r="B58" s="60">
        <f t="shared" si="0"/>
        <v>1963</v>
      </c>
      <c r="C58" s="59">
        <v>5.14</v>
      </c>
    </row>
    <row r="59" spans="1:3" x14ac:dyDescent="0.25">
      <c r="A59" s="58">
        <v>23346</v>
      </c>
      <c r="B59" s="60">
        <f t="shared" si="0"/>
        <v>1963</v>
      </c>
      <c r="C59" s="59">
        <v>5.15</v>
      </c>
    </row>
    <row r="60" spans="1:3" x14ac:dyDescent="0.25">
      <c r="A60" s="58">
        <v>23377</v>
      </c>
      <c r="B60" s="60">
        <f t="shared" si="0"/>
        <v>1964</v>
      </c>
      <c r="C60" s="59">
        <v>5.17</v>
      </c>
    </row>
    <row r="61" spans="1:3" x14ac:dyDescent="0.25">
      <c r="A61" s="58">
        <v>23408</v>
      </c>
      <c r="B61" s="60">
        <f t="shared" si="0"/>
        <v>1964</v>
      </c>
      <c r="C61" s="59">
        <v>5.17</v>
      </c>
    </row>
    <row r="62" spans="1:3" x14ac:dyDescent="0.25">
      <c r="A62" s="58">
        <v>23437</v>
      </c>
      <c r="B62" s="60">
        <f t="shared" si="0"/>
        <v>1964</v>
      </c>
      <c r="C62" s="59">
        <v>5.22</v>
      </c>
    </row>
    <row r="63" spans="1:3" x14ac:dyDescent="0.25">
      <c r="A63" s="58">
        <v>23468</v>
      </c>
      <c r="B63" s="60">
        <f t="shared" si="0"/>
        <v>1964</v>
      </c>
      <c r="C63" s="59">
        <v>5.24</v>
      </c>
    </row>
    <row r="64" spans="1:3" x14ac:dyDescent="0.25">
      <c r="A64" s="58">
        <v>23498</v>
      </c>
      <c r="B64" s="60">
        <f t="shared" si="0"/>
        <v>1964</v>
      </c>
      <c r="C64" s="59">
        <v>5.2</v>
      </c>
    </row>
    <row r="65" spans="1:3" x14ac:dyDescent="0.25">
      <c r="A65" s="58">
        <v>23529</v>
      </c>
      <c r="B65" s="60">
        <f t="shared" si="0"/>
        <v>1964</v>
      </c>
      <c r="C65" s="59">
        <v>5.2</v>
      </c>
    </row>
    <row r="66" spans="1:3" x14ac:dyDescent="0.25">
      <c r="A66" s="58">
        <v>23559</v>
      </c>
      <c r="B66" s="60">
        <f t="shared" si="0"/>
        <v>1964</v>
      </c>
      <c r="C66" s="59">
        <v>5.21</v>
      </c>
    </row>
    <row r="67" spans="1:3" x14ac:dyDescent="0.25">
      <c r="A67" s="58">
        <v>23590</v>
      </c>
      <c r="B67" s="60">
        <f t="shared" si="0"/>
        <v>1964</v>
      </c>
      <c r="C67" s="59">
        <v>5.24</v>
      </c>
    </row>
    <row r="68" spans="1:3" x14ac:dyDescent="0.25">
      <c r="A68" s="58">
        <v>23621</v>
      </c>
      <c r="B68" s="60">
        <f t="shared" si="0"/>
        <v>1964</v>
      </c>
      <c r="C68" s="59">
        <v>5.22</v>
      </c>
    </row>
    <row r="69" spans="1:3" x14ac:dyDescent="0.25">
      <c r="A69" s="58">
        <v>23651</v>
      </c>
      <c r="B69" s="60">
        <f t="shared" si="0"/>
        <v>1964</v>
      </c>
      <c r="C69" s="59">
        <v>5.19</v>
      </c>
    </row>
    <row r="70" spans="1:3" x14ac:dyDescent="0.25">
      <c r="A70" s="58">
        <v>23682</v>
      </c>
      <c r="B70" s="60">
        <f t="shared" si="0"/>
        <v>1964</v>
      </c>
      <c r="C70" s="59">
        <v>5.09</v>
      </c>
    </row>
    <row r="71" spans="1:3" x14ac:dyDescent="0.25">
      <c r="A71" s="58">
        <v>23712</v>
      </c>
      <c r="B71" s="60">
        <f t="shared" si="0"/>
        <v>1964</v>
      </c>
      <c r="C71" s="59">
        <v>5.0599999999999996</v>
      </c>
    </row>
    <row r="72" spans="1:3" x14ac:dyDescent="0.25">
      <c r="A72" s="58">
        <v>23743</v>
      </c>
      <c r="B72" s="60">
        <f t="shared" si="0"/>
        <v>1965</v>
      </c>
      <c r="C72" s="59">
        <v>4.9800000000000004</v>
      </c>
    </row>
    <row r="73" spans="1:3" x14ac:dyDescent="0.25">
      <c r="A73" s="58">
        <v>23774</v>
      </c>
      <c r="B73" s="60">
        <f t="shared" si="0"/>
        <v>1965</v>
      </c>
      <c r="C73" s="59">
        <v>5</v>
      </c>
    </row>
    <row r="74" spans="1:3" x14ac:dyDescent="0.25">
      <c r="A74" s="58">
        <v>23802</v>
      </c>
      <c r="B74" s="60">
        <f t="shared" si="0"/>
        <v>1965</v>
      </c>
      <c r="C74" s="59">
        <v>5.09</v>
      </c>
    </row>
    <row r="75" spans="1:3" x14ac:dyDescent="0.25">
      <c r="A75" s="58">
        <v>23833</v>
      </c>
      <c r="B75" s="60">
        <f t="shared" si="0"/>
        <v>1965</v>
      </c>
      <c r="C75" s="59">
        <v>5.05</v>
      </c>
    </row>
    <row r="76" spans="1:3" x14ac:dyDescent="0.25">
      <c r="A76" s="58">
        <v>23863</v>
      </c>
      <c r="B76" s="60">
        <f t="shared" si="0"/>
        <v>1965</v>
      </c>
      <c r="C76" s="59">
        <v>5.08</v>
      </c>
    </row>
    <row r="77" spans="1:3" x14ac:dyDescent="0.25">
      <c r="A77" s="58">
        <v>23894</v>
      </c>
      <c r="B77" s="60">
        <f t="shared" ref="B77:B140" si="1">YEAR(A77)</f>
        <v>1965</v>
      </c>
      <c r="C77" s="59">
        <v>5.15</v>
      </c>
    </row>
    <row r="78" spans="1:3" x14ac:dyDescent="0.25">
      <c r="A78" s="58">
        <v>23924</v>
      </c>
      <c r="B78" s="60">
        <f t="shared" si="1"/>
        <v>1965</v>
      </c>
      <c r="C78" s="59">
        <v>5.24</v>
      </c>
    </row>
    <row r="79" spans="1:3" x14ac:dyDescent="0.25">
      <c r="A79" s="58">
        <v>23955</v>
      </c>
      <c r="B79" s="60">
        <f t="shared" si="1"/>
        <v>1965</v>
      </c>
      <c r="C79" s="59">
        <v>5.3</v>
      </c>
    </row>
    <row r="80" spans="1:3" x14ac:dyDescent="0.25">
      <c r="A80" s="58">
        <v>23986</v>
      </c>
      <c r="B80" s="60">
        <f t="shared" si="1"/>
        <v>1965</v>
      </c>
      <c r="C80" s="59">
        <v>5.3</v>
      </c>
    </row>
    <row r="81" spans="1:3" x14ac:dyDescent="0.25">
      <c r="A81" s="58">
        <v>24016</v>
      </c>
      <c r="B81" s="60">
        <f t="shared" si="1"/>
        <v>1965</v>
      </c>
      <c r="C81" s="59">
        <v>5.36</v>
      </c>
    </row>
    <row r="82" spans="1:3" x14ac:dyDescent="0.25">
      <c r="A82" s="58">
        <v>24047</v>
      </c>
      <c r="B82" s="60">
        <f t="shared" si="1"/>
        <v>1965</v>
      </c>
      <c r="C82" s="59">
        <v>5.42</v>
      </c>
    </row>
    <row r="83" spans="1:3" x14ac:dyDescent="0.25">
      <c r="A83" s="58">
        <v>24077</v>
      </c>
      <c r="B83" s="60">
        <f t="shared" si="1"/>
        <v>1965</v>
      </c>
      <c r="C83" s="59">
        <v>5.42</v>
      </c>
    </row>
    <row r="84" spans="1:3" x14ac:dyDescent="0.25">
      <c r="A84" s="58">
        <v>24108</v>
      </c>
      <c r="B84" s="60">
        <f t="shared" si="1"/>
        <v>1966</v>
      </c>
      <c r="C84" s="59">
        <v>5.41</v>
      </c>
    </row>
    <row r="85" spans="1:3" x14ac:dyDescent="0.25">
      <c r="A85" s="58">
        <v>24139</v>
      </c>
      <c r="B85" s="60">
        <f t="shared" si="1"/>
        <v>1966</v>
      </c>
      <c r="C85" s="59">
        <v>5.54</v>
      </c>
    </row>
    <row r="86" spans="1:3" x14ac:dyDescent="0.25">
      <c r="A86" s="58">
        <v>24167</v>
      </c>
      <c r="B86" s="60">
        <f t="shared" si="1"/>
        <v>1966</v>
      </c>
      <c r="C86" s="59">
        <v>5.63</v>
      </c>
    </row>
    <row r="87" spans="1:3" x14ac:dyDescent="0.25">
      <c r="A87" s="58">
        <v>24198</v>
      </c>
      <c r="B87" s="60">
        <f t="shared" si="1"/>
        <v>1966</v>
      </c>
      <c r="C87" s="59">
        <v>5.6</v>
      </c>
    </row>
    <row r="88" spans="1:3" x14ac:dyDescent="0.25">
      <c r="A88" s="58">
        <v>24228</v>
      </c>
      <c r="B88" s="60">
        <f t="shared" si="1"/>
        <v>1966</v>
      </c>
      <c r="C88" s="59">
        <v>5.6</v>
      </c>
    </row>
    <row r="89" spans="1:3" x14ac:dyDescent="0.25">
      <c r="A89" s="58">
        <v>24259</v>
      </c>
      <c r="B89" s="60">
        <f t="shared" si="1"/>
        <v>1966</v>
      </c>
      <c r="C89" s="59">
        <v>5.64</v>
      </c>
    </row>
    <row r="90" spans="1:3" x14ac:dyDescent="0.25">
      <c r="A90" s="58">
        <v>24289</v>
      </c>
      <c r="B90" s="60">
        <f t="shared" si="1"/>
        <v>1966</v>
      </c>
      <c r="C90" s="59">
        <v>5.72</v>
      </c>
    </row>
    <row r="91" spans="1:3" x14ac:dyDescent="0.25">
      <c r="A91" s="58">
        <v>24320</v>
      </c>
      <c r="B91" s="60">
        <f t="shared" si="1"/>
        <v>1966</v>
      </c>
      <c r="C91" s="59">
        <v>5.88</v>
      </c>
    </row>
    <row r="92" spans="1:3" x14ac:dyDescent="0.25">
      <c r="A92" s="58">
        <v>24351</v>
      </c>
      <c r="B92" s="60">
        <f t="shared" si="1"/>
        <v>1966</v>
      </c>
      <c r="C92" s="59">
        <v>5.79</v>
      </c>
    </row>
    <row r="93" spans="1:3" x14ac:dyDescent="0.25">
      <c r="A93" s="58">
        <v>24381</v>
      </c>
      <c r="B93" s="60">
        <f t="shared" si="1"/>
        <v>1966</v>
      </c>
      <c r="C93" s="59">
        <v>5.73</v>
      </c>
    </row>
    <row r="94" spans="1:3" x14ac:dyDescent="0.25">
      <c r="A94" s="58">
        <v>24412</v>
      </c>
      <c r="B94" s="60">
        <f t="shared" si="1"/>
        <v>1966</v>
      </c>
      <c r="C94" s="59">
        <v>5.82</v>
      </c>
    </row>
    <row r="95" spans="1:3" x14ac:dyDescent="0.25">
      <c r="A95" s="58">
        <v>24442</v>
      </c>
      <c r="B95" s="60">
        <f t="shared" si="1"/>
        <v>1966</v>
      </c>
      <c r="C95" s="59">
        <v>5.86</v>
      </c>
    </row>
    <row r="96" spans="1:3" x14ac:dyDescent="0.25">
      <c r="A96" s="58">
        <v>24473</v>
      </c>
      <c r="B96" s="60">
        <f t="shared" si="1"/>
        <v>1967</v>
      </c>
      <c r="C96" s="59">
        <v>5.62</v>
      </c>
    </row>
    <row r="97" spans="1:3" x14ac:dyDescent="0.25">
      <c r="A97" s="58">
        <v>24504</v>
      </c>
      <c r="B97" s="60">
        <f t="shared" si="1"/>
        <v>1967</v>
      </c>
      <c r="C97" s="59">
        <v>5.57</v>
      </c>
    </row>
    <row r="98" spans="1:3" x14ac:dyDescent="0.25">
      <c r="A98" s="58">
        <v>24532</v>
      </c>
      <c r="B98" s="60">
        <f t="shared" si="1"/>
        <v>1967</v>
      </c>
      <c r="C98" s="59">
        <v>5.5</v>
      </c>
    </row>
    <row r="99" spans="1:3" x14ac:dyDescent="0.25">
      <c r="A99" s="58">
        <v>24563</v>
      </c>
      <c r="B99" s="60">
        <f t="shared" si="1"/>
        <v>1967</v>
      </c>
      <c r="C99" s="59">
        <v>5.51</v>
      </c>
    </row>
    <row r="100" spans="1:3" x14ac:dyDescent="0.25">
      <c r="A100" s="58">
        <v>24593</v>
      </c>
      <c r="B100" s="60">
        <f t="shared" si="1"/>
        <v>1967</v>
      </c>
      <c r="C100" s="59">
        <v>5.72</v>
      </c>
    </row>
    <row r="101" spans="1:3" x14ac:dyDescent="0.25">
      <c r="A101" s="58">
        <v>24624</v>
      </c>
      <c r="B101" s="60">
        <f t="shared" si="1"/>
        <v>1967</v>
      </c>
      <c r="C101" s="59">
        <v>5.85</v>
      </c>
    </row>
    <row r="102" spans="1:3" x14ac:dyDescent="0.25">
      <c r="A102" s="58">
        <v>24654</v>
      </c>
      <c r="B102" s="60">
        <f t="shared" si="1"/>
        <v>1967</v>
      </c>
      <c r="C102" s="59">
        <v>5.85</v>
      </c>
    </row>
    <row r="103" spans="1:3" x14ac:dyDescent="0.25">
      <c r="A103" s="58">
        <v>24685</v>
      </c>
      <c r="B103" s="60">
        <f t="shared" si="1"/>
        <v>1967</v>
      </c>
      <c r="C103" s="59">
        <v>5.92</v>
      </c>
    </row>
    <row r="104" spans="1:3" x14ac:dyDescent="0.25">
      <c r="A104" s="58">
        <v>24716</v>
      </c>
      <c r="B104" s="60">
        <f t="shared" si="1"/>
        <v>1967</v>
      </c>
      <c r="C104" s="59">
        <v>6.05</v>
      </c>
    </row>
    <row r="105" spans="1:3" x14ac:dyDescent="0.25">
      <c r="A105" s="58">
        <v>24746</v>
      </c>
      <c r="B105" s="60">
        <f t="shared" si="1"/>
        <v>1967</v>
      </c>
      <c r="C105" s="59">
        <v>6.32</v>
      </c>
    </row>
    <row r="106" spans="1:3" x14ac:dyDescent="0.25">
      <c r="A106" s="58">
        <v>24777</v>
      </c>
      <c r="B106" s="60">
        <f t="shared" si="1"/>
        <v>1967</v>
      </c>
      <c r="C106" s="59">
        <v>6.39</v>
      </c>
    </row>
    <row r="107" spans="1:3" x14ac:dyDescent="0.25">
      <c r="A107" s="58">
        <v>24807</v>
      </c>
      <c r="B107" s="60">
        <f t="shared" si="1"/>
        <v>1967</v>
      </c>
      <c r="C107" s="59">
        <v>6.48</v>
      </c>
    </row>
    <row r="108" spans="1:3" x14ac:dyDescent="0.25">
      <c r="A108" s="58">
        <v>24838</v>
      </c>
      <c r="B108" s="60">
        <f t="shared" si="1"/>
        <v>1968</v>
      </c>
      <c r="C108" s="59">
        <v>6.49</v>
      </c>
    </row>
    <row r="109" spans="1:3" x14ac:dyDescent="0.25">
      <c r="A109" s="58">
        <v>24869</v>
      </c>
      <c r="B109" s="60">
        <f t="shared" si="1"/>
        <v>1968</v>
      </c>
      <c r="C109" s="59">
        <v>6.69</v>
      </c>
    </row>
    <row r="110" spans="1:3" x14ac:dyDescent="0.25">
      <c r="A110" s="58">
        <v>24898</v>
      </c>
      <c r="B110" s="60">
        <f t="shared" si="1"/>
        <v>1968</v>
      </c>
      <c r="C110" s="59">
        <v>6.88</v>
      </c>
    </row>
    <row r="111" spans="1:3" x14ac:dyDescent="0.25">
      <c r="A111" s="58">
        <v>24929</v>
      </c>
      <c r="B111" s="60">
        <f t="shared" si="1"/>
        <v>1968</v>
      </c>
      <c r="C111" s="59">
        <v>6.61</v>
      </c>
    </row>
    <row r="112" spans="1:3" x14ac:dyDescent="0.25">
      <c r="A112" s="58">
        <v>24959</v>
      </c>
      <c r="B112" s="60">
        <f t="shared" si="1"/>
        <v>1968</v>
      </c>
      <c r="C112" s="59">
        <v>6.81</v>
      </c>
    </row>
    <row r="113" spans="1:3" x14ac:dyDescent="0.25">
      <c r="A113" s="58">
        <v>24990</v>
      </c>
      <c r="B113" s="60">
        <f t="shared" si="1"/>
        <v>1968</v>
      </c>
      <c r="C113" s="59">
        <v>6.74</v>
      </c>
    </row>
    <row r="114" spans="1:3" x14ac:dyDescent="0.25">
      <c r="A114" s="58">
        <v>25020</v>
      </c>
      <c r="B114" s="60">
        <f t="shared" si="1"/>
        <v>1968</v>
      </c>
      <c r="C114" s="59">
        <v>6.6</v>
      </c>
    </row>
    <row r="115" spans="1:3" x14ac:dyDescent="0.25">
      <c r="A115" s="58">
        <v>25051</v>
      </c>
      <c r="B115" s="60">
        <f t="shared" si="1"/>
        <v>1968</v>
      </c>
      <c r="C115" s="59">
        <v>6.45</v>
      </c>
    </row>
    <row r="116" spans="1:3" x14ac:dyDescent="0.25">
      <c r="A116" s="58">
        <v>25082</v>
      </c>
      <c r="B116" s="60">
        <f t="shared" si="1"/>
        <v>1968</v>
      </c>
      <c r="C116" s="59">
        <v>6.51</v>
      </c>
    </row>
    <row r="117" spans="1:3" x14ac:dyDescent="0.25">
      <c r="A117" s="58">
        <v>25112</v>
      </c>
      <c r="B117" s="60">
        <f t="shared" si="1"/>
        <v>1968</v>
      </c>
      <c r="C117" s="59">
        <v>6.8</v>
      </c>
    </row>
    <row r="118" spans="1:3" x14ac:dyDescent="0.25">
      <c r="A118" s="58">
        <v>25143</v>
      </c>
      <c r="B118" s="60">
        <f t="shared" si="1"/>
        <v>1968</v>
      </c>
      <c r="C118" s="59">
        <v>6.93</v>
      </c>
    </row>
    <row r="119" spans="1:3" x14ac:dyDescent="0.25">
      <c r="A119" s="58">
        <v>25173</v>
      </c>
      <c r="B119" s="60">
        <f t="shared" si="1"/>
        <v>1968</v>
      </c>
      <c r="C119" s="59">
        <v>7.19</v>
      </c>
    </row>
    <row r="120" spans="1:3" x14ac:dyDescent="0.25">
      <c r="A120" s="58">
        <v>25204</v>
      </c>
      <c r="B120" s="60">
        <f t="shared" si="1"/>
        <v>1969</v>
      </c>
      <c r="C120" s="59">
        <v>7.23</v>
      </c>
    </row>
    <row r="121" spans="1:3" x14ac:dyDescent="0.25">
      <c r="A121" s="58">
        <v>25235</v>
      </c>
      <c r="B121" s="60">
        <f t="shared" si="1"/>
        <v>1969</v>
      </c>
      <c r="C121" s="59">
        <v>7.16</v>
      </c>
    </row>
    <row r="122" spans="1:3" x14ac:dyDescent="0.25">
      <c r="A122" s="58">
        <v>25263</v>
      </c>
      <c r="B122" s="60">
        <f t="shared" si="1"/>
        <v>1969</v>
      </c>
      <c r="C122" s="59">
        <v>7.24</v>
      </c>
    </row>
    <row r="123" spans="1:3" x14ac:dyDescent="0.25">
      <c r="A123" s="58">
        <v>25294</v>
      </c>
      <c r="B123" s="60">
        <f t="shared" si="1"/>
        <v>1969</v>
      </c>
      <c r="C123" s="59">
        <v>7.23</v>
      </c>
    </row>
    <row r="124" spans="1:3" x14ac:dyDescent="0.25">
      <c r="A124" s="58">
        <v>25324</v>
      </c>
      <c r="B124" s="60">
        <f t="shared" si="1"/>
        <v>1969</v>
      </c>
      <c r="C124" s="59">
        <v>7.38</v>
      </c>
    </row>
    <row r="125" spans="1:3" x14ac:dyDescent="0.25">
      <c r="A125" s="58">
        <v>25355</v>
      </c>
      <c r="B125" s="60">
        <f t="shared" si="1"/>
        <v>1969</v>
      </c>
      <c r="C125" s="59">
        <v>7.55</v>
      </c>
    </row>
    <row r="126" spans="1:3" x14ac:dyDescent="0.25">
      <c r="A126" s="58">
        <v>25385</v>
      </c>
      <c r="B126" s="60">
        <f t="shared" si="1"/>
        <v>1969</v>
      </c>
      <c r="C126" s="59">
        <v>7.54</v>
      </c>
    </row>
    <row r="127" spans="1:3" x14ac:dyDescent="0.25">
      <c r="A127" s="58">
        <v>25416</v>
      </c>
      <c r="B127" s="60">
        <f t="shared" si="1"/>
        <v>1969</v>
      </c>
      <c r="C127" s="59">
        <v>7.51</v>
      </c>
    </row>
    <row r="128" spans="1:3" x14ac:dyDescent="0.25">
      <c r="A128" s="58">
        <v>25447</v>
      </c>
      <c r="B128" s="60">
        <f t="shared" si="1"/>
        <v>1969</v>
      </c>
      <c r="C128" s="59">
        <v>7.72</v>
      </c>
    </row>
    <row r="129" spans="1:3" x14ac:dyDescent="0.25">
      <c r="A129" s="58">
        <v>25477</v>
      </c>
      <c r="B129" s="60">
        <f t="shared" si="1"/>
        <v>1969</v>
      </c>
      <c r="C129" s="59">
        <v>7.84</v>
      </c>
    </row>
    <row r="130" spans="1:3" x14ac:dyDescent="0.25">
      <c r="A130" s="58">
        <v>25508</v>
      </c>
      <c r="B130" s="60">
        <f t="shared" si="1"/>
        <v>1969</v>
      </c>
      <c r="C130" s="59">
        <v>8.0299999999999994</v>
      </c>
    </row>
    <row r="131" spans="1:3" x14ac:dyDescent="0.25">
      <c r="A131" s="58">
        <v>25538</v>
      </c>
      <c r="B131" s="60">
        <f t="shared" si="1"/>
        <v>1969</v>
      </c>
      <c r="C131" s="59">
        <v>8.27</v>
      </c>
    </row>
    <row r="132" spans="1:3" x14ac:dyDescent="0.25">
      <c r="A132" s="58">
        <v>25569</v>
      </c>
      <c r="B132" s="60">
        <f t="shared" si="1"/>
        <v>1970</v>
      </c>
      <c r="C132" s="59">
        <v>8.34</v>
      </c>
    </row>
    <row r="133" spans="1:3" x14ac:dyDescent="0.25">
      <c r="A133" s="58">
        <v>25600</v>
      </c>
      <c r="B133" s="60">
        <f t="shared" si="1"/>
        <v>1970</v>
      </c>
      <c r="C133" s="59">
        <v>8.2100000000000009</v>
      </c>
    </row>
    <row r="134" spans="1:3" x14ac:dyDescent="0.25">
      <c r="A134" s="58">
        <v>25628</v>
      </c>
      <c r="B134" s="60">
        <f t="shared" si="1"/>
        <v>1970</v>
      </c>
      <c r="C134" s="59">
        <v>8.0500000000000007</v>
      </c>
    </row>
    <row r="135" spans="1:3" x14ac:dyDescent="0.25">
      <c r="A135" s="58">
        <v>25659</v>
      </c>
      <c r="B135" s="60">
        <f t="shared" si="1"/>
        <v>1970</v>
      </c>
      <c r="C135" s="59">
        <v>7.88</v>
      </c>
    </row>
    <row r="136" spans="1:3" x14ac:dyDescent="0.25">
      <c r="A136" s="58">
        <v>25689</v>
      </c>
      <c r="B136" s="60">
        <f t="shared" si="1"/>
        <v>1970</v>
      </c>
      <c r="C136" s="59">
        <v>8.18</v>
      </c>
    </row>
    <row r="137" spans="1:3" x14ac:dyDescent="0.25">
      <c r="A137" s="58">
        <v>25720</v>
      </c>
      <c r="B137" s="60">
        <f t="shared" si="1"/>
        <v>1970</v>
      </c>
      <c r="C137" s="59">
        <v>8.06</v>
      </c>
    </row>
    <row r="138" spans="1:3" x14ac:dyDescent="0.25">
      <c r="A138" s="58">
        <v>25750</v>
      </c>
      <c r="B138" s="60">
        <f t="shared" si="1"/>
        <v>1970</v>
      </c>
      <c r="C138" s="59">
        <v>7.97</v>
      </c>
    </row>
    <row r="139" spans="1:3" x14ac:dyDescent="0.25">
      <c r="A139" s="58">
        <v>25781</v>
      </c>
      <c r="B139" s="60">
        <f t="shared" si="1"/>
        <v>1970</v>
      </c>
      <c r="C139" s="59">
        <v>7.99</v>
      </c>
    </row>
    <row r="140" spans="1:3" x14ac:dyDescent="0.25">
      <c r="A140" s="58">
        <v>25812</v>
      </c>
      <c r="B140" s="60">
        <f t="shared" si="1"/>
        <v>1970</v>
      </c>
      <c r="C140" s="59">
        <v>7.92</v>
      </c>
    </row>
    <row r="141" spans="1:3" x14ac:dyDescent="0.25">
      <c r="A141" s="58">
        <v>25842</v>
      </c>
      <c r="B141" s="60">
        <f t="shared" ref="B141:B204" si="2">YEAR(A141)</f>
        <v>1970</v>
      </c>
      <c r="C141" s="59">
        <v>7.93</v>
      </c>
    </row>
    <row r="142" spans="1:3" x14ac:dyDescent="0.25">
      <c r="A142" s="58">
        <v>25873</v>
      </c>
      <c r="B142" s="60">
        <f t="shared" si="2"/>
        <v>1970</v>
      </c>
      <c r="C142" s="59">
        <v>7.8</v>
      </c>
    </row>
    <row r="143" spans="1:3" x14ac:dyDescent="0.25">
      <c r="A143" s="58">
        <v>25903</v>
      </c>
      <c r="B143" s="60">
        <f t="shared" si="2"/>
        <v>1970</v>
      </c>
      <c r="C143" s="59">
        <v>7.26</v>
      </c>
    </row>
    <row r="144" spans="1:3" x14ac:dyDescent="0.25">
      <c r="A144" s="58">
        <v>25934</v>
      </c>
      <c r="B144" s="60">
        <f t="shared" si="2"/>
        <v>1971</v>
      </c>
      <c r="C144" s="59">
        <v>6.69</v>
      </c>
    </row>
    <row r="145" spans="1:3" x14ac:dyDescent="0.25">
      <c r="A145" s="58">
        <v>25965</v>
      </c>
      <c r="B145" s="60">
        <f t="shared" si="2"/>
        <v>1971</v>
      </c>
      <c r="C145" s="59">
        <v>6.81</v>
      </c>
    </row>
    <row r="146" spans="1:3" x14ac:dyDescent="0.25">
      <c r="A146" s="58">
        <v>25993</v>
      </c>
      <c r="B146" s="60">
        <f t="shared" si="2"/>
        <v>1971</v>
      </c>
      <c r="C146" s="59">
        <v>6.8</v>
      </c>
    </row>
    <row r="147" spans="1:3" x14ac:dyDescent="0.25">
      <c r="A147" s="58">
        <v>26024</v>
      </c>
      <c r="B147" s="60">
        <f t="shared" si="2"/>
        <v>1971</v>
      </c>
      <c r="C147" s="59">
        <v>6.83</v>
      </c>
    </row>
    <row r="148" spans="1:3" x14ac:dyDescent="0.25">
      <c r="A148" s="58">
        <v>26054</v>
      </c>
      <c r="B148" s="60">
        <f t="shared" si="2"/>
        <v>1971</v>
      </c>
      <c r="C148" s="59">
        <v>7.19</v>
      </c>
    </row>
    <row r="149" spans="1:3" x14ac:dyDescent="0.25">
      <c r="A149" s="58">
        <v>26085</v>
      </c>
      <c r="B149" s="60">
        <f t="shared" si="2"/>
        <v>1971</v>
      </c>
      <c r="C149" s="59">
        <v>7.25</v>
      </c>
    </row>
    <row r="150" spans="1:3" x14ac:dyDescent="0.25">
      <c r="A150" s="58">
        <v>26115</v>
      </c>
      <c r="B150" s="60">
        <f t="shared" si="2"/>
        <v>1971</v>
      </c>
      <c r="C150" s="59">
        <v>7.41</v>
      </c>
    </row>
    <row r="151" spans="1:3" x14ac:dyDescent="0.25">
      <c r="A151" s="58">
        <v>26146</v>
      </c>
      <c r="B151" s="60">
        <f t="shared" si="2"/>
        <v>1971</v>
      </c>
      <c r="C151" s="59">
        <v>7.34</v>
      </c>
    </row>
    <row r="152" spans="1:3" x14ac:dyDescent="0.25">
      <c r="A152" s="58">
        <v>26177</v>
      </c>
      <c r="B152" s="60">
        <f t="shared" si="2"/>
        <v>1971</v>
      </c>
      <c r="C152" s="59">
        <v>7</v>
      </c>
    </row>
    <row r="153" spans="1:3" x14ac:dyDescent="0.25">
      <c r="A153" s="58">
        <v>26207</v>
      </c>
      <c r="B153" s="60">
        <f t="shared" si="2"/>
        <v>1971</v>
      </c>
      <c r="C153" s="59">
        <v>6.82</v>
      </c>
    </row>
    <row r="154" spans="1:3" x14ac:dyDescent="0.25">
      <c r="A154" s="58">
        <v>26238</v>
      </c>
      <c r="B154" s="60">
        <f t="shared" si="2"/>
        <v>1971</v>
      </c>
      <c r="C154" s="59">
        <v>6.66</v>
      </c>
    </row>
    <row r="155" spans="1:3" x14ac:dyDescent="0.25">
      <c r="A155" s="58">
        <v>26268</v>
      </c>
      <c r="B155" s="60">
        <f t="shared" si="2"/>
        <v>1971</v>
      </c>
      <c r="C155" s="59">
        <v>6.54</v>
      </c>
    </row>
    <row r="156" spans="1:3" x14ac:dyDescent="0.25">
      <c r="A156" s="58">
        <v>26299</v>
      </c>
      <c r="B156" s="60">
        <f t="shared" si="2"/>
        <v>1972</v>
      </c>
      <c r="C156" s="59">
        <v>6.66</v>
      </c>
    </row>
    <row r="157" spans="1:3" x14ac:dyDescent="0.25">
      <c r="A157" s="58">
        <v>26330</v>
      </c>
      <c r="B157" s="60">
        <f t="shared" si="2"/>
        <v>1972</v>
      </c>
      <c r="C157" s="59">
        <v>6.87</v>
      </c>
    </row>
    <row r="158" spans="1:3" x14ac:dyDescent="0.25">
      <c r="A158" s="58">
        <v>26359</v>
      </c>
      <c r="B158" s="60">
        <f t="shared" si="2"/>
        <v>1972</v>
      </c>
      <c r="C158" s="59">
        <v>7.07</v>
      </c>
    </row>
    <row r="159" spans="1:3" x14ac:dyDescent="0.25">
      <c r="A159" s="58">
        <v>26390</v>
      </c>
      <c r="B159" s="60">
        <f t="shared" si="2"/>
        <v>1972</v>
      </c>
      <c r="C159" s="59">
        <v>7.32</v>
      </c>
    </row>
    <row r="160" spans="1:3" x14ac:dyDescent="0.25">
      <c r="A160" s="58">
        <v>26420</v>
      </c>
      <c r="B160" s="60">
        <f t="shared" si="2"/>
        <v>1972</v>
      </c>
      <c r="C160" s="59">
        <v>7.33</v>
      </c>
    </row>
    <row r="161" spans="1:3" x14ac:dyDescent="0.25">
      <c r="A161" s="58">
        <v>26451</v>
      </c>
      <c r="B161" s="60">
        <f t="shared" si="2"/>
        <v>1972</v>
      </c>
      <c r="C161" s="59">
        <v>7.39</v>
      </c>
    </row>
    <row r="162" spans="1:3" x14ac:dyDescent="0.25">
      <c r="A162" s="58">
        <v>26481</v>
      </c>
      <c r="B162" s="60">
        <f t="shared" si="2"/>
        <v>1972</v>
      </c>
      <c r="C162" s="59">
        <v>7.48</v>
      </c>
    </row>
    <row r="163" spans="1:3" x14ac:dyDescent="0.25">
      <c r="A163" s="58">
        <v>26512</v>
      </c>
      <c r="B163" s="60">
        <f t="shared" si="2"/>
        <v>1972</v>
      </c>
      <c r="C163" s="59">
        <v>7.46</v>
      </c>
    </row>
    <row r="164" spans="1:3" x14ac:dyDescent="0.25">
      <c r="A164" s="58">
        <v>26543</v>
      </c>
      <c r="B164" s="60">
        <f t="shared" si="2"/>
        <v>1972</v>
      </c>
      <c r="C164" s="59">
        <v>7.48</v>
      </c>
    </row>
    <row r="165" spans="1:3" x14ac:dyDescent="0.25">
      <c r="A165" s="58">
        <v>26573</v>
      </c>
      <c r="B165" s="60">
        <f t="shared" si="2"/>
        <v>1972</v>
      </c>
      <c r="C165" s="59">
        <v>7.34</v>
      </c>
    </row>
    <row r="166" spans="1:3" x14ac:dyDescent="0.25">
      <c r="A166" s="58">
        <v>26604</v>
      </c>
      <c r="B166" s="60">
        <f t="shared" si="2"/>
        <v>1972</v>
      </c>
      <c r="C166" s="59">
        <v>7.18</v>
      </c>
    </row>
    <row r="167" spans="1:3" x14ac:dyDescent="0.25">
      <c r="A167" s="58">
        <v>26634</v>
      </c>
      <c r="B167" s="60">
        <f t="shared" si="2"/>
        <v>1972</v>
      </c>
      <c r="C167" s="59">
        <v>7.12</v>
      </c>
    </row>
    <row r="168" spans="1:3" x14ac:dyDescent="0.25">
      <c r="A168" s="58">
        <v>26665</v>
      </c>
      <c r="B168" s="60">
        <f t="shared" si="2"/>
        <v>1973</v>
      </c>
      <c r="C168" s="59">
        <v>7.12</v>
      </c>
    </row>
    <row r="169" spans="1:3" x14ac:dyDescent="0.25">
      <c r="A169" s="58">
        <v>26696</v>
      </c>
      <c r="B169" s="60">
        <f t="shared" si="2"/>
        <v>1973</v>
      </c>
      <c r="C169" s="59">
        <v>7.18</v>
      </c>
    </row>
    <row r="170" spans="1:3" x14ac:dyDescent="0.25">
      <c r="A170" s="58">
        <v>26724</v>
      </c>
      <c r="B170" s="60">
        <f t="shared" si="2"/>
        <v>1973</v>
      </c>
      <c r="C170" s="59">
        <v>7.3</v>
      </c>
    </row>
    <row r="171" spans="1:3" x14ac:dyDescent="0.25">
      <c r="A171" s="58">
        <v>26755</v>
      </c>
      <c r="B171" s="60">
        <f t="shared" si="2"/>
        <v>1973</v>
      </c>
      <c r="C171" s="59">
        <v>7.34</v>
      </c>
    </row>
    <row r="172" spans="1:3" x14ac:dyDescent="0.25">
      <c r="A172" s="58">
        <v>26785</v>
      </c>
      <c r="B172" s="60">
        <f t="shared" si="2"/>
        <v>1973</v>
      </c>
      <c r="C172" s="59">
        <v>7.58</v>
      </c>
    </row>
    <row r="173" spans="1:3" x14ac:dyDescent="0.25">
      <c r="A173" s="58">
        <v>26816</v>
      </c>
      <c r="B173" s="60">
        <f t="shared" si="2"/>
        <v>1973</v>
      </c>
      <c r="C173" s="59">
        <v>7.76</v>
      </c>
    </row>
    <row r="174" spans="1:3" x14ac:dyDescent="0.25">
      <c r="A174" s="58">
        <v>26846</v>
      </c>
      <c r="B174" s="60">
        <f t="shared" si="2"/>
        <v>1973</v>
      </c>
      <c r="C174" s="59">
        <v>7.75</v>
      </c>
    </row>
    <row r="175" spans="1:3" x14ac:dyDescent="0.25">
      <c r="A175" s="58">
        <v>26877</v>
      </c>
      <c r="B175" s="60">
        <f t="shared" si="2"/>
        <v>1973</v>
      </c>
      <c r="C175" s="59">
        <v>7.8</v>
      </c>
    </row>
    <row r="176" spans="1:3" x14ac:dyDescent="0.25">
      <c r="A176" s="58">
        <v>26908</v>
      </c>
      <c r="B176" s="60">
        <f t="shared" si="2"/>
        <v>1973</v>
      </c>
      <c r="C176" s="59">
        <v>7.82</v>
      </c>
    </row>
    <row r="177" spans="1:3" x14ac:dyDescent="0.25">
      <c r="A177" s="58">
        <v>26938</v>
      </c>
      <c r="B177" s="60">
        <f t="shared" si="2"/>
        <v>1973</v>
      </c>
      <c r="C177" s="59">
        <v>7.63</v>
      </c>
    </row>
    <row r="178" spans="1:3" x14ac:dyDescent="0.25">
      <c r="A178" s="58">
        <v>26969</v>
      </c>
      <c r="B178" s="60">
        <f t="shared" si="2"/>
        <v>1973</v>
      </c>
      <c r="C178" s="59">
        <v>7.37</v>
      </c>
    </row>
    <row r="179" spans="1:3" x14ac:dyDescent="0.25">
      <c r="A179" s="58">
        <v>26999</v>
      </c>
      <c r="B179" s="60">
        <f t="shared" si="2"/>
        <v>1973</v>
      </c>
      <c r="C179" s="59">
        <v>7.69</v>
      </c>
    </row>
    <row r="180" spans="1:3" x14ac:dyDescent="0.25">
      <c r="A180" s="58">
        <v>27030</v>
      </c>
      <c r="B180" s="60">
        <f t="shared" si="2"/>
        <v>1974</v>
      </c>
      <c r="C180" s="59">
        <v>7.74</v>
      </c>
    </row>
    <row r="181" spans="1:3" x14ac:dyDescent="0.25">
      <c r="A181" s="58">
        <v>27061</v>
      </c>
      <c r="B181" s="60">
        <f t="shared" si="2"/>
        <v>1974</v>
      </c>
      <c r="C181" s="59">
        <v>7.73</v>
      </c>
    </row>
    <row r="182" spans="1:3" x14ac:dyDescent="0.25">
      <c r="A182" s="58">
        <v>27089</v>
      </c>
      <c r="B182" s="60">
        <f t="shared" si="2"/>
        <v>1974</v>
      </c>
      <c r="C182" s="59">
        <v>7.92</v>
      </c>
    </row>
    <row r="183" spans="1:3" x14ac:dyDescent="0.25">
      <c r="A183" s="58">
        <v>27120</v>
      </c>
      <c r="B183" s="60">
        <f t="shared" si="2"/>
        <v>1974</v>
      </c>
      <c r="C183" s="59">
        <v>8.59</v>
      </c>
    </row>
    <row r="184" spans="1:3" x14ac:dyDescent="0.25">
      <c r="A184" s="58">
        <v>27150</v>
      </c>
      <c r="B184" s="60">
        <f t="shared" si="2"/>
        <v>1974</v>
      </c>
      <c r="C184" s="59">
        <v>8.8699999999999992</v>
      </c>
    </row>
    <row r="185" spans="1:3" x14ac:dyDescent="0.25">
      <c r="A185" s="58">
        <v>27181</v>
      </c>
      <c r="B185" s="60">
        <f t="shared" si="2"/>
        <v>1974</v>
      </c>
      <c r="C185" s="59">
        <v>9.26</v>
      </c>
    </row>
    <row r="186" spans="1:3" x14ac:dyDescent="0.25">
      <c r="A186" s="58">
        <v>27211</v>
      </c>
      <c r="B186" s="60">
        <f t="shared" si="2"/>
        <v>1974</v>
      </c>
      <c r="C186" s="59">
        <v>9.66</v>
      </c>
    </row>
    <row r="187" spans="1:3" x14ac:dyDescent="0.25">
      <c r="A187" s="58">
        <v>27242</v>
      </c>
      <c r="B187" s="60">
        <f t="shared" si="2"/>
        <v>1974</v>
      </c>
      <c r="C187" s="59">
        <v>9.73</v>
      </c>
    </row>
    <row r="188" spans="1:3" x14ac:dyDescent="0.25">
      <c r="A188" s="58">
        <v>27273</v>
      </c>
      <c r="B188" s="60">
        <f t="shared" si="2"/>
        <v>1974</v>
      </c>
      <c r="C188" s="59">
        <v>9.76</v>
      </c>
    </row>
    <row r="189" spans="1:3" x14ac:dyDescent="0.25">
      <c r="A189" s="58">
        <v>27303</v>
      </c>
      <c r="B189" s="60">
        <f t="shared" si="2"/>
        <v>1974</v>
      </c>
      <c r="C189" s="59">
        <v>9.42</v>
      </c>
    </row>
    <row r="190" spans="1:3" x14ac:dyDescent="0.25">
      <c r="A190" s="58">
        <v>27334</v>
      </c>
      <c r="B190" s="60">
        <f t="shared" si="2"/>
        <v>1974</v>
      </c>
      <c r="C190" s="59">
        <v>8.92</v>
      </c>
    </row>
    <row r="191" spans="1:3" x14ac:dyDescent="0.25">
      <c r="A191" s="58">
        <v>27364</v>
      </c>
      <c r="B191" s="60">
        <f t="shared" si="2"/>
        <v>1974</v>
      </c>
      <c r="C191" s="59">
        <v>8.84</v>
      </c>
    </row>
    <row r="192" spans="1:3" x14ac:dyDescent="0.25">
      <c r="A192" s="58">
        <v>27395</v>
      </c>
      <c r="B192" s="60">
        <f t="shared" si="2"/>
        <v>1975</v>
      </c>
      <c r="C192" s="59">
        <v>8.42</v>
      </c>
    </row>
    <row r="193" spans="1:3" x14ac:dyDescent="0.25">
      <c r="A193" s="58">
        <v>27426</v>
      </c>
      <c r="B193" s="60">
        <f t="shared" si="2"/>
        <v>1975</v>
      </c>
      <c r="C193" s="59">
        <v>8.1999999999999993</v>
      </c>
    </row>
    <row r="194" spans="1:3" x14ac:dyDescent="0.25">
      <c r="A194" s="58">
        <v>27454</v>
      </c>
      <c r="B194" s="60">
        <f t="shared" si="2"/>
        <v>1975</v>
      </c>
      <c r="C194" s="59">
        <v>8.26</v>
      </c>
    </row>
    <row r="195" spans="1:3" x14ac:dyDescent="0.25">
      <c r="A195" s="58">
        <v>27485</v>
      </c>
      <c r="B195" s="60">
        <f t="shared" si="2"/>
        <v>1975</v>
      </c>
      <c r="C195" s="59">
        <v>8.73</v>
      </c>
    </row>
    <row r="196" spans="1:3" x14ac:dyDescent="0.25">
      <c r="A196" s="58">
        <v>27515</v>
      </c>
      <c r="B196" s="60">
        <f t="shared" si="2"/>
        <v>1975</v>
      </c>
      <c r="C196" s="59">
        <v>8.81</v>
      </c>
    </row>
    <row r="197" spans="1:3" x14ac:dyDescent="0.25">
      <c r="A197" s="58">
        <v>27546</v>
      </c>
      <c r="B197" s="60">
        <f t="shared" si="2"/>
        <v>1975</v>
      </c>
      <c r="C197" s="59">
        <v>8.8000000000000007</v>
      </c>
    </row>
    <row r="198" spans="1:3" x14ac:dyDescent="0.25">
      <c r="A198" s="58">
        <v>27576</v>
      </c>
      <c r="B198" s="60">
        <f t="shared" si="2"/>
        <v>1975</v>
      </c>
      <c r="C198" s="59">
        <v>9.06</v>
      </c>
    </row>
    <row r="199" spans="1:3" x14ac:dyDescent="0.25">
      <c r="A199" s="58">
        <v>27607</v>
      </c>
      <c r="B199" s="60">
        <f t="shared" si="2"/>
        <v>1975</v>
      </c>
      <c r="C199" s="59">
        <v>9.41</v>
      </c>
    </row>
    <row r="200" spans="1:3" x14ac:dyDescent="0.25">
      <c r="A200" s="58">
        <v>27638</v>
      </c>
      <c r="B200" s="60">
        <f t="shared" si="2"/>
        <v>1975</v>
      </c>
      <c r="C200" s="59">
        <v>9.6999999999999993</v>
      </c>
    </row>
    <row r="201" spans="1:3" x14ac:dyDescent="0.25">
      <c r="A201" s="58">
        <v>27668</v>
      </c>
      <c r="B201" s="60">
        <f t="shared" si="2"/>
        <v>1975</v>
      </c>
      <c r="C201" s="59">
        <v>9.5399999999999991</v>
      </c>
    </row>
    <row r="202" spans="1:3" x14ac:dyDescent="0.25">
      <c r="A202" s="58">
        <v>27699</v>
      </c>
      <c r="B202" s="60">
        <f t="shared" si="2"/>
        <v>1975</v>
      </c>
      <c r="C202" s="59">
        <v>9.4499999999999993</v>
      </c>
    </row>
    <row r="203" spans="1:3" x14ac:dyDescent="0.25">
      <c r="A203" s="58">
        <v>27729</v>
      </c>
      <c r="B203" s="60">
        <f t="shared" si="2"/>
        <v>1975</v>
      </c>
      <c r="C203" s="59">
        <v>9.5399999999999991</v>
      </c>
    </row>
    <row r="204" spans="1:3" x14ac:dyDescent="0.25">
      <c r="A204" s="58">
        <v>27760</v>
      </c>
      <c r="B204" s="60">
        <f t="shared" si="2"/>
        <v>1976</v>
      </c>
      <c r="C204" s="59">
        <v>9.39</v>
      </c>
    </row>
    <row r="205" spans="1:3" x14ac:dyDescent="0.25">
      <c r="A205" s="58">
        <v>27791</v>
      </c>
      <c r="B205" s="60">
        <f t="shared" ref="B205:B268" si="3">YEAR(A205)</f>
        <v>1976</v>
      </c>
      <c r="C205" s="59">
        <v>9.2899999999999991</v>
      </c>
    </row>
    <row r="206" spans="1:3" x14ac:dyDescent="0.25">
      <c r="A206" s="58">
        <v>27820</v>
      </c>
      <c r="B206" s="60">
        <f t="shared" si="3"/>
        <v>1976</v>
      </c>
      <c r="C206" s="59">
        <v>9.4700000000000006</v>
      </c>
    </row>
    <row r="207" spans="1:3" x14ac:dyDescent="0.25">
      <c r="A207" s="58">
        <v>27851</v>
      </c>
      <c r="B207" s="60">
        <f t="shared" si="3"/>
        <v>1976</v>
      </c>
      <c r="C207" s="59">
        <v>9.33</v>
      </c>
    </row>
    <row r="208" spans="1:3" x14ac:dyDescent="0.25">
      <c r="A208" s="58">
        <v>27881</v>
      </c>
      <c r="B208" s="60">
        <f t="shared" si="3"/>
        <v>1976</v>
      </c>
      <c r="C208" s="59">
        <v>9.33</v>
      </c>
    </row>
    <row r="209" spans="1:3" x14ac:dyDescent="0.25">
      <c r="A209" s="58">
        <v>27912</v>
      </c>
      <c r="B209" s="60">
        <f t="shared" si="3"/>
        <v>1976</v>
      </c>
      <c r="C209" s="59">
        <v>9.32</v>
      </c>
    </row>
    <row r="210" spans="1:3" x14ac:dyDescent="0.25">
      <c r="A210" s="58">
        <v>27942</v>
      </c>
      <c r="B210" s="60">
        <f t="shared" si="3"/>
        <v>1976</v>
      </c>
      <c r="C210" s="59">
        <v>9.35</v>
      </c>
    </row>
    <row r="211" spans="1:3" x14ac:dyDescent="0.25">
      <c r="A211" s="58">
        <v>27973</v>
      </c>
      <c r="B211" s="60">
        <f t="shared" si="3"/>
        <v>1976</v>
      </c>
      <c r="C211" s="59">
        <v>9.32</v>
      </c>
    </row>
    <row r="212" spans="1:3" x14ac:dyDescent="0.25">
      <c r="A212" s="58">
        <v>28004</v>
      </c>
      <c r="B212" s="60">
        <f t="shared" si="3"/>
        <v>1976</v>
      </c>
      <c r="C212" s="59">
        <v>9.14</v>
      </c>
    </row>
    <row r="213" spans="1:3" x14ac:dyDescent="0.25">
      <c r="A213" s="58">
        <v>28034</v>
      </c>
      <c r="B213" s="60">
        <f t="shared" si="3"/>
        <v>1976</v>
      </c>
      <c r="C213" s="59">
        <v>9.1300000000000008</v>
      </c>
    </row>
    <row r="214" spans="1:3" x14ac:dyDescent="0.25">
      <c r="A214" s="58">
        <v>28065</v>
      </c>
      <c r="B214" s="60">
        <f t="shared" si="3"/>
        <v>1976</v>
      </c>
      <c r="C214" s="59">
        <v>9.01</v>
      </c>
    </row>
    <row r="215" spans="1:3" x14ac:dyDescent="0.25">
      <c r="A215" s="58">
        <v>28095</v>
      </c>
      <c r="B215" s="60">
        <f t="shared" si="3"/>
        <v>1976</v>
      </c>
      <c r="C215" s="59">
        <v>8.67</v>
      </c>
    </row>
    <row r="216" spans="1:3" x14ac:dyDescent="0.25">
      <c r="A216" s="58">
        <v>28126</v>
      </c>
      <c r="B216" s="60">
        <f t="shared" si="3"/>
        <v>1977</v>
      </c>
      <c r="C216" s="59">
        <v>8.5</v>
      </c>
    </row>
    <row r="217" spans="1:3" x14ac:dyDescent="0.25">
      <c r="A217" s="58">
        <v>28157</v>
      </c>
      <c r="B217" s="60">
        <f t="shared" si="3"/>
        <v>1977</v>
      </c>
      <c r="C217" s="59">
        <v>8.57</v>
      </c>
    </row>
    <row r="218" spans="1:3" x14ac:dyDescent="0.25">
      <c r="A218" s="58">
        <v>28185</v>
      </c>
      <c r="B218" s="60">
        <f t="shared" si="3"/>
        <v>1977</v>
      </c>
      <c r="C218" s="59">
        <v>8.76</v>
      </c>
    </row>
    <row r="219" spans="1:3" x14ac:dyDescent="0.25">
      <c r="A219" s="58">
        <v>28216</v>
      </c>
      <c r="B219" s="60">
        <f t="shared" si="3"/>
        <v>1977</v>
      </c>
      <c r="C219" s="59">
        <v>8.8000000000000007</v>
      </c>
    </row>
    <row r="220" spans="1:3" x14ac:dyDescent="0.25">
      <c r="A220" s="58">
        <v>28246</v>
      </c>
      <c r="B220" s="60">
        <f t="shared" si="3"/>
        <v>1977</v>
      </c>
      <c r="C220" s="59">
        <v>8.81</v>
      </c>
    </row>
    <row r="221" spans="1:3" x14ac:dyDescent="0.25">
      <c r="A221" s="58">
        <v>28277</v>
      </c>
      <c r="B221" s="60">
        <f t="shared" si="3"/>
        <v>1977</v>
      </c>
      <c r="C221" s="59">
        <v>8.74</v>
      </c>
    </row>
    <row r="222" spans="1:3" x14ac:dyDescent="0.25">
      <c r="A222" s="58">
        <v>28307</v>
      </c>
      <c r="B222" s="60">
        <f t="shared" si="3"/>
        <v>1977</v>
      </c>
      <c r="C222" s="59">
        <v>8.7200000000000006</v>
      </c>
    </row>
    <row r="223" spans="1:3" x14ac:dyDescent="0.25">
      <c r="A223" s="58">
        <v>28338</v>
      </c>
      <c r="B223" s="60">
        <f t="shared" si="3"/>
        <v>1977</v>
      </c>
      <c r="C223" s="59">
        <v>8.67</v>
      </c>
    </row>
    <row r="224" spans="1:3" x14ac:dyDescent="0.25">
      <c r="A224" s="58">
        <v>28369</v>
      </c>
      <c r="B224" s="60">
        <f t="shared" si="3"/>
        <v>1977</v>
      </c>
      <c r="C224" s="59">
        <v>8.57</v>
      </c>
    </row>
    <row r="225" spans="1:3" x14ac:dyDescent="0.25">
      <c r="A225" s="58">
        <v>28399</v>
      </c>
      <c r="B225" s="60">
        <f t="shared" si="3"/>
        <v>1977</v>
      </c>
      <c r="C225" s="59">
        <v>8.69</v>
      </c>
    </row>
    <row r="226" spans="1:3" x14ac:dyDescent="0.25">
      <c r="A226" s="58">
        <v>28430</v>
      </c>
      <c r="B226" s="60">
        <f t="shared" si="3"/>
        <v>1977</v>
      </c>
      <c r="C226" s="59">
        <v>8.73</v>
      </c>
    </row>
    <row r="227" spans="1:3" x14ac:dyDescent="0.25">
      <c r="A227" s="58">
        <v>28460</v>
      </c>
      <c r="B227" s="60">
        <f t="shared" si="3"/>
        <v>1977</v>
      </c>
      <c r="C227" s="59">
        <v>8.76</v>
      </c>
    </row>
    <row r="228" spans="1:3" x14ac:dyDescent="0.25">
      <c r="A228" s="58">
        <v>28491</v>
      </c>
      <c r="B228" s="60">
        <f t="shared" si="3"/>
        <v>1978</v>
      </c>
      <c r="C228" s="59">
        <v>8.98</v>
      </c>
    </row>
    <row r="229" spans="1:3" x14ac:dyDescent="0.25">
      <c r="A229" s="58">
        <v>28522</v>
      </c>
      <c r="B229" s="60">
        <f t="shared" si="3"/>
        <v>1978</v>
      </c>
      <c r="C229" s="59">
        <v>9.1199999999999992</v>
      </c>
    </row>
    <row r="230" spans="1:3" x14ac:dyDescent="0.25">
      <c r="A230" s="58">
        <v>28550</v>
      </c>
      <c r="B230" s="60">
        <f t="shared" si="3"/>
        <v>1978</v>
      </c>
      <c r="C230" s="59">
        <v>9.15</v>
      </c>
    </row>
    <row r="231" spans="1:3" x14ac:dyDescent="0.25">
      <c r="A231" s="58">
        <v>28581</v>
      </c>
      <c r="B231" s="60">
        <f t="shared" si="3"/>
        <v>1978</v>
      </c>
      <c r="C231" s="59">
        <v>9.23</v>
      </c>
    </row>
    <row r="232" spans="1:3" x14ac:dyDescent="0.25">
      <c r="A232" s="58">
        <v>28611</v>
      </c>
      <c r="B232" s="60">
        <f t="shared" si="3"/>
        <v>1978</v>
      </c>
      <c r="C232" s="59">
        <v>9.16</v>
      </c>
    </row>
    <row r="233" spans="1:3" x14ac:dyDescent="0.25">
      <c r="A233" s="58">
        <v>28642</v>
      </c>
      <c r="B233" s="60">
        <f t="shared" si="3"/>
        <v>1978</v>
      </c>
      <c r="C233" s="59">
        <v>9.23</v>
      </c>
    </row>
    <row r="234" spans="1:3" x14ac:dyDescent="0.25">
      <c r="A234" s="58">
        <v>28672</v>
      </c>
      <c r="B234" s="60">
        <f t="shared" si="3"/>
        <v>1978</v>
      </c>
      <c r="C234" s="59">
        <v>9.19</v>
      </c>
    </row>
    <row r="235" spans="1:3" x14ac:dyDescent="0.25">
      <c r="A235" s="58">
        <v>28703</v>
      </c>
      <c r="B235" s="60">
        <f t="shared" si="3"/>
        <v>1978</v>
      </c>
      <c r="C235" s="59">
        <v>9.1300000000000008</v>
      </c>
    </row>
    <row r="236" spans="1:3" x14ac:dyDescent="0.25">
      <c r="A236" s="58">
        <v>28734</v>
      </c>
      <c r="B236" s="60">
        <f t="shared" si="3"/>
        <v>1978</v>
      </c>
      <c r="C236" s="59">
        <v>9.16</v>
      </c>
    </row>
    <row r="237" spans="1:3" x14ac:dyDescent="0.25">
      <c r="A237" s="58">
        <v>28764</v>
      </c>
      <c r="B237" s="60">
        <f t="shared" si="3"/>
        <v>1978</v>
      </c>
      <c r="C237" s="59">
        <v>9.3000000000000007</v>
      </c>
    </row>
    <row r="238" spans="1:3" x14ac:dyDescent="0.25">
      <c r="A238" s="58">
        <v>28795</v>
      </c>
      <c r="B238" s="60">
        <f t="shared" si="3"/>
        <v>1978</v>
      </c>
      <c r="C238" s="59">
        <v>9.5500000000000007</v>
      </c>
    </row>
    <row r="239" spans="1:3" x14ac:dyDescent="0.25">
      <c r="A239" s="58">
        <v>28825</v>
      </c>
      <c r="B239" s="60">
        <f t="shared" si="3"/>
        <v>1978</v>
      </c>
      <c r="C239" s="59">
        <v>9.6300000000000008</v>
      </c>
    </row>
    <row r="240" spans="1:3" x14ac:dyDescent="0.25">
      <c r="A240" s="58">
        <v>28856</v>
      </c>
      <c r="B240" s="60">
        <f t="shared" si="3"/>
        <v>1979</v>
      </c>
      <c r="C240" s="59">
        <v>9.83</v>
      </c>
    </row>
    <row r="241" spans="1:3" x14ac:dyDescent="0.25">
      <c r="A241" s="58">
        <v>28887</v>
      </c>
      <c r="B241" s="60">
        <f t="shared" si="3"/>
        <v>1979</v>
      </c>
      <c r="C241" s="59">
        <v>9.91</v>
      </c>
    </row>
    <row r="242" spans="1:3" x14ac:dyDescent="0.25">
      <c r="A242" s="58">
        <v>28915</v>
      </c>
      <c r="B242" s="60">
        <f t="shared" si="3"/>
        <v>1979</v>
      </c>
      <c r="C242" s="59">
        <v>9.92</v>
      </c>
    </row>
    <row r="243" spans="1:3" x14ac:dyDescent="0.25">
      <c r="A243" s="58">
        <v>28946</v>
      </c>
      <c r="B243" s="60">
        <f t="shared" si="3"/>
        <v>1979</v>
      </c>
      <c r="C243" s="59">
        <v>9.76</v>
      </c>
    </row>
    <row r="244" spans="1:3" x14ac:dyDescent="0.25">
      <c r="A244" s="58">
        <v>28976</v>
      </c>
      <c r="B244" s="60">
        <f t="shared" si="3"/>
        <v>1979</v>
      </c>
      <c r="C244" s="59">
        <v>9.76</v>
      </c>
    </row>
    <row r="245" spans="1:3" x14ac:dyDescent="0.25">
      <c r="A245" s="58">
        <v>29007</v>
      </c>
      <c r="B245" s="60">
        <f t="shared" si="3"/>
        <v>1979</v>
      </c>
      <c r="C245" s="59">
        <v>9.74</v>
      </c>
    </row>
    <row r="246" spans="1:3" x14ac:dyDescent="0.25">
      <c r="A246" s="58">
        <v>29037</v>
      </c>
      <c r="B246" s="60">
        <f t="shared" si="3"/>
        <v>1979</v>
      </c>
      <c r="C246" s="59">
        <v>9.76</v>
      </c>
    </row>
    <row r="247" spans="1:3" x14ac:dyDescent="0.25">
      <c r="A247" s="58">
        <v>29068</v>
      </c>
      <c r="B247" s="60">
        <f t="shared" si="3"/>
        <v>1979</v>
      </c>
      <c r="C247" s="59">
        <v>10.01</v>
      </c>
    </row>
    <row r="248" spans="1:3" x14ac:dyDescent="0.25">
      <c r="A248" s="58">
        <v>29099</v>
      </c>
      <c r="B248" s="60">
        <f t="shared" si="3"/>
        <v>1979</v>
      </c>
      <c r="C248" s="59">
        <v>10.29</v>
      </c>
    </row>
    <row r="249" spans="1:3" x14ac:dyDescent="0.25">
      <c r="A249" s="58">
        <v>29129</v>
      </c>
      <c r="B249" s="60">
        <f t="shared" si="3"/>
        <v>1979</v>
      </c>
      <c r="C249" s="59">
        <v>10.85</v>
      </c>
    </row>
    <row r="250" spans="1:3" x14ac:dyDescent="0.25">
      <c r="A250" s="58">
        <v>29160</v>
      </c>
      <c r="B250" s="60">
        <f t="shared" si="3"/>
        <v>1979</v>
      </c>
      <c r="C250" s="59">
        <v>11.12</v>
      </c>
    </row>
    <row r="251" spans="1:3" x14ac:dyDescent="0.25">
      <c r="A251" s="58">
        <v>29190</v>
      </c>
      <c r="B251" s="60">
        <f t="shared" si="3"/>
        <v>1979</v>
      </c>
      <c r="C251" s="59">
        <v>11.2</v>
      </c>
    </row>
    <row r="252" spans="1:3" x14ac:dyDescent="0.25">
      <c r="A252" s="58">
        <v>29221</v>
      </c>
      <c r="B252" s="60">
        <f t="shared" si="3"/>
        <v>1980</v>
      </c>
      <c r="C252" s="59">
        <v>11.69</v>
      </c>
    </row>
    <row r="253" spans="1:3" x14ac:dyDescent="0.25">
      <c r="A253" s="58">
        <v>29252</v>
      </c>
      <c r="B253" s="60">
        <f t="shared" si="3"/>
        <v>1980</v>
      </c>
      <c r="C253" s="59">
        <v>12.61</v>
      </c>
    </row>
    <row r="254" spans="1:3" x14ac:dyDescent="0.25">
      <c r="A254" s="58">
        <v>29281</v>
      </c>
      <c r="B254" s="60">
        <f t="shared" si="3"/>
        <v>1980</v>
      </c>
      <c r="C254" s="59">
        <v>13.22</v>
      </c>
    </row>
    <row r="255" spans="1:3" x14ac:dyDescent="0.25">
      <c r="A255" s="58">
        <v>29312</v>
      </c>
      <c r="B255" s="60">
        <f t="shared" si="3"/>
        <v>1980</v>
      </c>
      <c r="C255" s="59">
        <v>12.56</v>
      </c>
    </row>
    <row r="256" spans="1:3" x14ac:dyDescent="0.25">
      <c r="A256" s="58">
        <v>29342</v>
      </c>
      <c r="B256" s="60">
        <f t="shared" si="3"/>
        <v>1980</v>
      </c>
      <c r="C256" s="59">
        <v>11.4</v>
      </c>
    </row>
    <row r="257" spans="1:3" x14ac:dyDescent="0.25">
      <c r="A257" s="58">
        <v>29373</v>
      </c>
      <c r="B257" s="60">
        <f t="shared" si="3"/>
        <v>1980</v>
      </c>
      <c r="C257" s="59">
        <v>11.28</v>
      </c>
    </row>
    <row r="258" spans="1:3" x14ac:dyDescent="0.25">
      <c r="A258" s="58">
        <v>29403</v>
      </c>
      <c r="B258" s="60">
        <f t="shared" si="3"/>
        <v>1980</v>
      </c>
      <c r="C258" s="59">
        <v>11.6</v>
      </c>
    </row>
    <row r="259" spans="1:3" x14ac:dyDescent="0.25">
      <c r="A259" s="58">
        <v>29434</v>
      </c>
      <c r="B259" s="60">
        <f t="shared" si="3"/>
        <v>1980</v>
      </c>
      <c r="C259" s="59">
        <v>12.38</v>
      </c>
    </row>
    <row r="260" spans="1:3" x14ac:dyDescent="0.25">
      <c r="A260" s="58">
        <v>29465</v>
      </c>
      <c r="B260" s="60">
        <f t="shared" si="3"/>
        <v>1980</v>
      </c>
      <c r="C260" s="59">
        <v>12.59</v>
      </c>
    </row>
    <row r="261" spans="1:3" x14ac:dyDescent="0.25">
      <c r="A261" s="58">
        <v>29495</v>
      </c>
      <c r="B261" s="60">
        <f t="shared" si="3"/>
        <v>1980</v>
      </c>
      <c r="C261" s="59">
        <v>12.76</v>
      </c>
    </row>
    <row r="262" spans="1:3" x14ac:dyDescent="0.25">
      <c r="A262" s="58">
        <v>29526</v>
      </c>
      <c r="B262" s="60">
        <f t="shared" si="3"/>
        <v>1980</v>
      </c>
      <c r="C262" s="59">
        <v>13.03</v>
      </c>
    </row>
    <row r="263" spans="1:3" x14ac:dyDescent="0.25">
      <c r="A263" s="58">
        <v>29556</v>
      </c>
      <c r="B263" s="60">
        <f t="shared" si="3"/>
        <v>1980</v>
      </c>
      <c r="C263" s="59">
        <v>12.94</v>
      </c>
    </row>
    <row r="264" spans="1:3" x14ac:dyDescent="0.25">
      <c r="A264" s="58">
        <v>29587</v>
      </c>
      <c r="B264" s="60">
        <f t="shared" si="3"/>
        <v>1981</v>
      </c>
      <c r="C264" s="59">
        <v>12.82</v>
      </c>
    </row>
    <row r="265" spans="1:3" x14ac:dyDescent="0.25">
      <c r="A265" s="58">
        <v>29618</v>
      </c>
      <c r="B265" s="60">
        <f t="shared" si="3"/>
        <v>1981</v>
      </c>
      <c r="C265" s="59">
        <v>13.3</v>
      </c>
    </row>
    <row r="266" spans="1:3" x14ac:dyDescent="0.25">
      <c r="A266" s="58">
        <v>29646</v>
      </c>
      <c r="B266" s="60">
        <f t="shared" si="3"/>
        <v>1981</v>
      </c>
      <c r="C266" s="59">
        <v>13.37</v>
      </c>
    </row>
    <row r="267" spans="1:3" x14ac:dyDescent="0.25">
      <c r="A267" s="58">
        <v>29677</v>
      </c>
      <c r="B267" s="60">
        <f t="shared" si="3"/>
        <v>1981</v>
      </c>
      <c r="C267" s="59">
        <v>14.25</v>
      </c>
    </row>
    <row r="268" spans="1:3" x14ac:dyDescent="0.25">
      <c r="A268" s="58">
        <v>29707</v>
      </c>
      <c r="B268" s="60">
        <f t="shared" si="3"/>
        <v>1981</v>
      </c>
      <c r="C268" s="59">
        <v>15.34</v>
      </c>
    </row>
    <row r="269" spans="1:3" x14ac:dyDescent="0.25">
      <c r="A269" s="58">
        <v>29738</v>
      </c>
      <c r="B269" s="60">
        <f t="shared" ref="B269:B332" si="4">YEAR(A269)</f>
        <v>1981</v>
      </c>
      <c r="C269" s="59">
        <v>14.76</v>
      </c>
    </row>
    <row r="270" spans="1:3" x14ac:dyDescent="0.25">
      <c r="A270" s="58">
        <v>29768</v>
      </c>
      <c r="B270" s="60">
        <f t="shared" si="4"/>
        <v>1981</v>
      </c>
      <c r="C270" s="59">
        <v>15.89</v>
      </c>
    </row>
    <row r="271" spans="1:3" x14ac:dyDescent="0.25">
      <c r="A271" s="58">
        <v>29799</v>
      </c>
      <c r="B271" s="60">
        <f t="shared" si="4"/>
        <v>1981</v>
      </c>
      <c r="C271" s="59">
        <v>16.45</v>
      </c>
    </row>
    <row r="272" spans="1:3" x14ac:dyDescent="0.25">
      <c r="A272" s="58">
        <v>29830</v>
      </c>
      <c r="B272" s="60">
        <f t="shared" si="4"/>
        <v>1981</v>
      </c>
      <c r="C272" s="59">
        <v>17</v>
      </c>
    </row>
    <row r="273" spans="1:3" x14ac:dyDescent="0.25">
      <c r="A273" s="58">
        <v>29860</v>
      </c>
      <c r="B273" s="60">
        <f t="shared" si="4"/>
        <v>1981</v>
      </c>
      <c r="C273" s="59">
        <v>16.760000000000002</v>
      </c>
    </row>
    <row r="274" spans="1:3" x14ac:dyDescent="0.25">
      <c r="A274" s="58">
        <v>29891</v>
      </c>
      <c r="B274" s="60">
        <f t="shared" si="4"/>
        <v>1981</v>
      </c>
      <c r="C274" s="59">
        <v>14.93</v>
      </c>
    </row>
    <row r="275" spans="1:3" x14ac:dyDescent="0.25">
      <c r="A275" s="58">
        <v>29921</v>
      </c>
      <c r="B275" s="60">
        <f t="shared" si="4"/>
        <v>1981</v>
      </c>
      <c r="C275" s="59">
        <v>15</v>
      </c>
    </row>
    <row r="276" spans="1:3" x14ac:dyDescent="0.25">
      <c r="A276" s="58">
        <v>29952</v>
      </c>
      <c r="B276" s="60">
        <f t="shared" si="4"/>
        <v>1982</v>
      </c>
      <c r="C276" s="59">
        <v>15.82</v>
      </c>
    </row>
    <row r="277" spans="1:3" x14ac:dyDescent="0.25">
      <c r="A277" s="58">
        <v>29983</v>
      </c>
      <c r="B277" s="60">
        <f t="shared" si="4"/>
        <v>1982</v>
      </c>
      <c r="C277" s="59">
        <v>15.66</v>
      </c>
    </row>
    <row r="278" spans="1:3" x14ac:dyDescent="0.25">
      <c r="A278" s="58">
        <v>30011</v>
      </c>
      <c r="B278" s="60">
        <f t="shared" si="4"/>
        <v>1982</v>
      </c>
      <c r="C278" s="59">
        <v>14.95</v>
      </c>
    </row>
    <row r="279" spans="1:3" x14ac:dyDescent="0.25">
      <c r="A279" s="58">
        <v>30042</v>
      </c>
      <c r="B279" s="60">
        <f t="shared" si="4"/>
        <v>1982</v>
      </c>
      <c r="C279" s="59">
        <v>14.93</v>
      </c>
    </row>
    <row r="280" spans="1:3" x14ac:dyDescent="0.25">
      <c r="A280" s="58">
        <v>30072</v>
      </c>
      <c r="B280" s="60">
        <f t="shared" si="4"/>
        <v>1982</v>
      </c>
      <c r="C280" s="59">
        <v>14.7</v>
      </c>
    </row>
    <row r="281" spans="1:3" x14ac:dyDescent="0.25">
      <c r="A281" s="58">
        <v>30103</v>
      </c>
      <c r="B281" s="60">
        <f t="shared" si="4"/>
        <v>1982</v>
      </c>
      <c r="C281" s="59">
        <v>15.96</v>
      </c>
    </row>
    <row r="282" spans="1:3" x14ac:dyDescent="0.25">
      <c r="A282" s="58">
        <v>30133</v>
      </c>
      <c r="B282" s="60">
        <f t="shared" si="4"/>
        <v>1982</v>
      </c>
      <c r="C282" s="59">
        <v>16.16</v>
      </c>
    </row>
    <row r="283" spans="1:3" x14ac:dyDescent="0.25">
      <c r="A283" s="58">
        <v>30164</v>
      </c>
      <c r="B283" s="60">
        <f t="shared" si="4"/>
        <v>1982</v>
      </c>
      <c r="C283" s="59">
        <v>14.96</v>
      </c>
    </row>
    <row r="284" spans="1:3" x14ac:dyDescent="0.25">
      <c r="A284" s="58">
        <v>30195</v>
      </c>
      <c r="B284" s="60">
        <f t="shared" si="4"/>
        <v>1982</v>
      </c>
      <c r="C284" s="59">
        <v>13.93</v>
      </c>
    </row>
    <row r="285" spans="1:3" x14ac:dyDescent="0.25">
      <c r="A285" s="58">
        <v>30225</v>
      </c>
      <c r="B285" s="60">
        <f t="shared" si="4"/>
        <v>1982</v>
      </c>
      <c r="C285" s="59">
        <v>12.74</v>
      </c>
    </row>
    <row r="286" spans="1:3" x14ac:dyDescent="0.25">
      <c r="A286" s="58">
        <v>30256</v>
      </c>
      <c r="B286" s="60">
        <f t="shared" si="4"/>
        <v>1982</v>
      </c>
      <c r="C286" s="59">
        <v>11.77</v>
      </c>
    </row>
    <row r="287" spans="1:3" x14ac:dyDescent="0.25">
      <c r="A287" s="58">
        <v>30286</v>
      </c>
      <c r="B287" s="60">
        <f t="shared" si="4"/>
        <v>1982</v>
      </c>
      <c r="C287" s="59">
        <v>11.65</v>
      </c>
    </row>
    <row r="288" spans="1:3" x14ac:dyDescent="0.25">
      <c r="A288" s="58">
        <v>30317</v>
      </c>
      <c r="B288" s="60">
        <f t="shared" si="4"/>
        <v>1983</v>
      </c>
      <c r="C288" s="59">
        <v>11.37</v>
      </c>
    </row>
    <row r="289" spans="1:3" x14ac:dyDescent="0.25">
      <c r="A289" s="58">
        <v>30348</v>
      </c>
      <c r="B289" s="60">
        <f t="shared" si="4"/>
        <v>1983</v>
      </c>
      <c r="C289" s="59">
        <v>11.43</v>
      </c>
    </row>
    <row r="290" spans="1:3" x14ac:dyDescent="0.25">
      <c r="A290" s="58">
        <v>30376</v>
      </c>
      <c r="B290" s="60">
        <f t="shared" si="4"/>
        <v>1983</v>
      </c>
      <c r="C290" s="59">
        <v>11.19</v>
      </c>
    </row>
    <row r="291" spans="1:3" x14ac:dyDescent="0.25">
      <c r="A291" s="58">
        <v>30407</v>
      </c>
      <c r="B291" s="60">
        <f t="shared" si="4"/>
        <v>1983</v>
      </c>
      <c r="C291" s="59">
        <v>11.07</v>
      </c>
    </row>
    <row r="292" spans="1:3" x14ac:dyDescent="0.25">
      <c r="A292" s="58">
        <v>30437</v>
      </c>
      <c r="B292" s="60">
        <f t="shared" si="4"/>
        <v>1983</v>
      </c>
      <c r="C292" s="59">
        <v>10.71</v>
      </c>
    </row>
    <row r="293" spans="1:3" x14ac:dyDescent="0.25">
      <c r="A293" s="58">
        <v>30468</v>
      </c>
      <c r="B293" s="60">
        <f t="shared" si="4"/>
        <v>1983</v>
      </c>
      <c r="C293" s="59">
        <v>11.05</v>
      </c>
    </row>
    <row r="294" spans="1:3" x14ac:dyDescent="0.25">
      <c r="A294" s="58">
        <v>30498</v>
      </c>
      <c r="B294" s="60">
        <f t="shared" si="4"/>
        <v>1983</v>
      </c>
      <c r="C294" s="59">
        <v>11.57</v>
      </c>
    </row>
    <row r="295" spans="1:3" x14ac:dyDescent="0.25">
      <c r="A295" s="58">
        <v>30529</v>
      </c>
      <c r="B295" s="60">
        <f t="shared" si="4"/>
        <v>1983</v>
      </c>
      <c r="C295" s="59">
        <v>11.79</v>
      </c>
    </row>
    <row r="296" spans="1:3" x14ac:dyDescent="0.25">
      <c r="A296" s="58">
        <v>30560</v>
      </c>
      <c r="B296" s="60">
        <f t="shared" si="4"/>
        <v>1983</v>
      </c>
      <c r="C296" s="59">
        <v>11.77</v>
      </c>
    </row>
    <row r="297" spans="1:3" x14ac:dyDescent="0.25">
      <c r="A297" s="58">
        <v>30590</v>
      </c>
      <c r="B297" s="60">
        <f t="shared" si="4"/>
        <v>1983</v>
      </c>
      <c r="C297" s="59">
        <v>11.55</v>
      </c>
    </row>
    <row r="298" spans="1:3" x14ac:dyDescent="0.25">
      <c r="A298" s="58">
        <v>30621</v>
      </c>
      <c r="B298" s="60">
        <f t="shared" si="4"/>
        <v>1983</v>
      </c>
      <c r="C298" s="59">
        <v>11.52</v>
      </c>
    </row>
    <row r="299" spans="1:3" x14ac:dyDescent="0.25">
      <c r="A299" s="58">
        <v>30651</v>
      </c>
      <c r="B299" s="60">
        <f t="shared" si="4"/>
        <v>1983</v>
      </c>
      <c r="C299" s="59">
        <v>11.79</v>
      </c>
    </row>
    <row r="300" spans="1:3" x14ac:dyDescent="0.25">
      <c r="A300" s="58">
        <v>30682</v>
      </c>
      <c r="B300" s="60">
        <f t="shared" si="4"/>
        <v>1984</v>
      </c>
      <c r="C300" s="59">
        <v>11.72</v>
      </c>
    </row>
    <row r="301" spans="1:3" x14ac:dyDescent="0.25">
      <c r="A301" s="58">
        <v>30713</v>
      </c>
      <c r="B301" s="60">
        <f t="shared" si="4"/>
        <v>1984</v>
      </c>
      <c r="C301" s="59">
        <v>11.87</v>
      </c>
    </row>
    <row r="302" spans="1:3" x14ac:dyDescent="0.25">
      <c r="A302" s="58">
        <v>30742</v>
      </c>
      <c r="B302" s="60">
        <f t="shared" si="4"/>
        <v>1984</v>
      </c>
      <c r="C302" s="59">
        <v>12.84</v>
      </c>
    </row>
    <row r="303" spans="1:3" x14ac:dyDescent="0.25">
      <c r="A303" s="58">
        <v>30773</v>
      </c>
      <c r="B303" s="60">
        <f t="shared" si="4"/>
        <v>1984</v>
      </c>
      <c r="C303" s="59">
        <v>13.24</v>
      </c>
    </row>
    <row r="304" spans="1:3" x14ac:dyDescent="0.25">
      <c r="A304" s="58">
        <v>30803</v>
      </c>
      <c r="B304" s="60">
        <f t="shared" si="4"/>
        <v>1984</v>
      </c>
      <c r="C304" s="59">
        <v>13.64</v>
      </c>
    </row>
    <row r="305" spans="1:3" x14ac:dyDescent="0.25">
      <c r="A305" s="58">
        <v>30834</v>
      </c>
      <c r="B305" s="60">
        <f t="shared" si="4"/>
        <v>1984</v>
      </c>
      <c r="C305" s="59">
        <v>13.67</v>
      </c>
    </row>
    <row r="306" spans="1:3" x14ac:dyDescent="0.25">
      <c r="A306" s="58">
        <v>30864</v>
      </c>
      <c r="B306" s="60">
        <f t="shared" si="4"/>
        <v>1984</v>
      </c>
      <c r="C306" s="59">
        <v>13.73</v>
      </c>
    </row>
    <row r="307" spans="1:3" x14ac:dyDescent="0.25">
      <c r="A307" s="58">
        <v>30895</v>
      </c>
      <c r="B307" s="60">
        <f t="shared" si="4"/>
        <v>1984</v>
      </c>
      <c r="C307" s="59">
        <v>12.91</v>
      </c>
    </row>
    <row r="308" spans="1:3" x14ac:dyDescent="0.25">
      <c r="A308" s="58">
        <v>30926</v>
      </c>
      <c r="B308" s="60">
        <f t="shared" si="4"/>
        <v>1984</v>
      </c>
      <c r="C308" s="59">
        <v>12.77</v>
      </c>
    </row>
    <row r="309" spans="1:3" x14ac:dyDescent="0.25">
      <c r="A309" s="58">
        <v>30956</v>
      </c>
      <c r="B309" s="60">
        <f t="shared" si="4"/>
        <v>1984</v>
      </c>
      <c r="C309" s="59">
        <v>12.54</v>
      </c>
    </row>
    <row r="310" spans="1:3" x14ac:dyDescent="0.25">
      <c r="A310" s="58">
        <v>30987</v>
      </c>
      <c r="B310" s="60">
        <f t="shared" si="4"/>
        <v>1984</v>
      </c>
      <c r="C310" s="59">
        <v>11.93</v>
      </c>
    </row>
    <row r="311" spans="1:3" x14ac:dyDescent="0.25">
      <c r="A311" s="58">
        <v>31017</v>
      </c>
      <c r="B311" s="60">
        <f t="shared" si="4"/>
        <v>1984</v>
      </c>
      <c r="C311" s="59">
        <v>11.66</v>
      </c>
    </row>
    <row r="312" spans="1:3" x14ac:dyDescent="0.25">
      <c r="A312" s="58">
        <v>31048</v>
      </c>
      <c r="B312" s="60">
        <f t="shared" si="4"/>
        <v>1985</v>
      </c>
      <c r="C312" s="59">
        <v>11.41</v>
      </c>
    </row>
    <row r="313" spans="1:3" x14ac:dyDescent="0.25">
      <c r="A313" s="58">
        <v>31079</v>
      </c>
      <c r="B313" s="60">
        <f t="shared" si="4"/>
        <v>1985</v>
      </c>
      <c r="C313" s="59">
        <v>11.86</v>
      </c>
    </row>
    <row r="314" spans="1:3" x14ac:dyDescent="0.25">
      <c r="A314" s="58">
        <v>31107</v>
      </c>
      <c r="B314" s="60">
        <f t="shared" si="4"/>
        <v>1985</v>
      </c>
      <c r="C314" s="59">
        <v>12.16</v>
      </c>
    </row>
    <row r="315" spans="1:3" x14ac:dyDescent="0.25">
      <c r="A315" s="58">
        <v>31138</v>
      </c>
      <c r="B315" s="60">
        <f t="shared" si="4"/>
        <v>1985</v>
      </c>
      <c r="C315" s="59">
        <v>11.55</v>
      </c>
    </row>
    <row r="316" spans="1:3" x14ac:dyDescent="0.25">
      <c r="A316" s="58">
        <v>31168</v>
      </c>
      <c r="B316" s="60">
        <f t="shared" si="4"/>
        <v>1985</v>
      </c>
      <c r="C316" s="59">
        <v>11.07</v>
      </c>
    </row>
    <row r="317" spans="1:3" x14ac:dyDescent="0.25">
      <c r="A317" s="58">
        <v>31199</v>
      </c>
      <c r="B317" s="60">
        <f t="shared" si="4"/>
        <v>1985</v>
      </c>
      <c r="C317" s="59">
        <v>10.52</v>
      </c>
    </row>
    <row r="318" spans="1:3" x14ac:dyDescent="0.25">
      <c r="A318" s="58">
        <v>31229</v>
      </c>
      <c r="B318" s="60">
        <f t="shared" si="4"/>
        <v>1985</v>
      </c>
      <c r="C318" s="59">
        <v>10.59</v>
      </c>
    </row>
    <row r="319" spans="1:3" x14ac:dyDescent="0.25">
      <c r="A319" s="58">
        <v>31260</v>
      </c>
      <c r="B319" s="60">
        <f t="shared" si="4"/>
        <v>1985</v>
      </c>
      <c r="C319" s="59">
        <v>10.6</v>
      </c>
    </row>
    <row r="320" spans="1:3" x14ac:dyDescent="0.25">
      <c r="A320" s="58">
        <v>31291</v>
      </c>
      <c r="B320" s="60">
        <f t="shared" si="4"/>
        <v>1985</v>
      </c>
      <c r="C320" s="59">
        <v>10.79</v>
      </c>
    </row>
    <row r="321" spans="1:3" x14ac:dyDescent="0.25">
      <c r="A321" s="58">
        <v>31321</v>
      </c>
      <c r="B321" s="60">
        <f t="shared" si="4"/>
        <v>1985</v>
      </c>
      <c r="C321" s="59">
        <v>10.67</v>
      </c>
    </row>
    <row r="322" spans="1:3" x14ac:dyDescent="0.25">
      <c r="A322" s="58">
        <v>31352</v>
      </c>
      <c r="B322" s="60">
        <f t="shared" si="4"/>
        <v>1985</v>
      </c>
      <c r="C322" s="59">
        <v>10.02</v>
      </c>
    </row>
    <row r="323" spans="1:3" x14ac:dyDescent="0.25">
      <c r="A323" s="58">
        <v>31382</v>
      </c>
      <c r="B323" s="60">
        <f t="shared" si="4"/>
        <v>1985</v>
      </c>
      <c r="C323" s="59">
        <v>9.7200000000000006</v>
      </c>
    </row>
    <row r="324" spans="1:3" x14ac:dyDescent="0.25">
      <c r="A324" s="58">
        <v>31413</v>
      </c>
      <c r="B324" s="60">
        <f t="shared" si="4"/>
        <v>1986</v>
      </c>
      <c r="C324" s="59">
        <v>10.039999999999999</v>
      </c>
    </row>
    <row r="325" spans="1:3" x14ac:dyDescent="0.25">
      <c r="A325" s="58">
        <v>31444</v>
      </c>
      <c r="B325" s="60">
        <f t="shared" si="4"/>
        <v>1986</v>
      </c>
      <c r="C325" s="59">
        <v>9.9700000000000006</v>
      </c>
    </row>
    <row r="326" spans="1:3" x14ac:dyDescent="0.25">
      <c r="A326" s="58">
        <v>31472</v>
      </c>
      <c r="B326" s="60">
        <f t="shared" si="4"/>
        <v>1986</v>
      </c>
      <c r="C326" s="59">
        <v>9.4</v>
      </c>
    </row>
    <row r="327" spans="1:3" x14ac:dyDescent="0.25">
      <c r="A327" s="58">
        <v>31503</v>
      </c>
      <c r="B327" s="60">
        <f t="shared" si="4"/>
        <v>1986</v>
      </c>
      <c r="C327" s="59">
        <v>8.85</v>
      </c>
    </row>
    <row r="328" spans="1:3" x14ac:dyDescent="0.25">
      <c r="A328" s="58">
        <v>31533</v>
      </c>
      <c r="B328" s="60">
        <f t="shared" si="4"/>
        <v>1986</v>
      </c>
      <c r="C328" s="59">
        <v>8.93</v>
      </c>
    </row>
    <row r="329" spans="1:3" x14ac:dyDescent="0.25">
      <c r="A329" s="58">
        <v>31564</v>
      </c>
      <c r="B329" s="60">
        <f t="shared" si="4"/>
        <v>1986</v>
      </c>
      <c r="C329" s="59">
        <v>9.1199999999999992</v>
      </c>
    </row>
    <row r="330" spans="1:3" x14ac:dyDescent="0.25">
      <c r="A330" s="58">
        <v>31594</v>
      </c>
      <c r="B330" s="60">
        <f t="shared" si="4"/>
        <v>1986</v>
      </c>
      <c r="C330" s="59">
        <v>8.8699999999999992</v>
      </c>
    </row>
    <row r="331" spans="1:3" x14ac:dyDescent="0.25">
      <c r="A331" s="58">
        <v>31625</v>
      </c>
      <c r="B331" s="60">
        <f t="shared" si="4"/>
        <v>1986</v>
      </c>
      <c r="C331" s="59">
        <v>8.83</v>
      </c>
    </row>
    <row r="332" spans="1:3" x14ac:dyDescent="0.25">
      <c r="A332" s="58">
        <v>31656</v>
      </c>
      <c r="B332" s="60">
        <f t="shared" si="4"/>
        <v>1986</v>
      </c>
      <c r="C332" s="59">
        <v>9</v>
      </c>
    </row>
    <row r="333" spans="1:3" x14ac:dyDescent="0.25">
      <c r="A333" s="58">
        <v>31686</v>
      </c>
      <c r="B333" s="60">
        <f t="shared" ref="B333:B396" si="5">YEAR(A333)</f>
        <v>1986</v>
      </c>
      <c r="C333" s="59">
        <v>9.17</v>
      </c>
    </row>
    <row r="334" spans="1:3" x14ac:dyDescent="0.25">
      <c r="A334" s="58">
        <v>31717</v>
      </c>
      <c r="B334" s="60">
        <f t="shared" si="5"/>
        <v>1986</v>
      </c>
      <c r="C334" s="59">
        <v>8.9</v>
      </c>
    </row>
    <row r="335" spans="1:3" x14ac:dyDescent="0.25">
      <c r="A335" s="58">
        <v>31747</v>
      </c>
      <c r="B335" s="60">
        <f t="shared" si="5"/>
        <v>1986</v>
      </c>
      <c r="C335" s="59">
        <v>8.67</v>
      </c>
    </row>
    <row r="336" spans="1:3" x14ac:dyDescent="0.25">
      <c r="A336" s="58">
        <v>31778</v>
      </c>
      <c r="B336" s="60">
        <f t="shared" si="5"/>
        <v>1987</v>
      </c>
      <c r="C336" s="59">
        <v>8.33</v>
      </c>
    </row>
    <row r="337" spans="1:3" x14ac:dyDescent="0.25">
      <c r="A337" s="58">
        <v>31809</v>
      </c>
      <c r="B337" s="60">
        <f t="shared" si="5"/>
        <v>1987</v>
      </c>
      <c r="C337" s="59">
        <v>8.4600000000000009</v>
      </c>
    </row>
    <row r="338" spans="1:3" x14ac:dyDescent="0.25">
      <c r="A338" s="58">
        <v>31837</v>
      </c>
      <c r="B338" s="60">
        <f t="shared" si="5"/>
        <v>1987</v>
      </c>
      <c r="C338" s="59">
        <v>8.2799999999999994</v>
      </c>
    </row>
    <row r="339" spans="1:3" x14ac:dyDescent="0.25">
      <c r="A339" s="58">
        <v>31868</v>
      </c>
      <c r="B339" s="60">
        <f t="shared" si="5"/>
        <v>1987</v>
      </c>
      <c r="C339" s="59">
        <v>8.83</v>
      </c>
    </row>
    <row r="340" spans="1:3" x14ac:dyDescent="0.25">
      <c r="A340" s="58">
        <v>31898</v>
      </c>
      <c r="B340" s="60">
        <f t="shared" si="5"/>
        <v>1987</v>
      </c>
      <c r="C340" s="59">
        <v>9.59</v>
      </c>
    </row>
    <row r="341" spans="1:3" x14ac:dyDescent="0.25">
      <c r="A341" s="58">
        <v>31929</v>
      </c>
      <c r="B341" s="60">
        <f t="shared" si="5"/>
        <v>1987</v>
      </c>
      <c r="C341" s="59">
        <v>9.33</v>
      </c>
    </row>
    <row r="342" spans="1:3" x14ac:dyDescent="0.25">
      <c r="A342" s="58">
        <v>31959</v>
      </c>
      <c r="B342" s="60">
        <f t="shared" si="5"/>
        <v>1987</v>
      </c>
      <c r="C342" s="59">
        <v>9.57</v>
      </c>
    </row>
    <row r="343" spans="1:3" x14ac:dyDescent="0.25">
      <c r="A343" s="58">
        <v>31990</v>
      </c>
      <c r="B343" s="60">
        <f t="shared" si="5"/>
        <v>1987</v>
      </c>
      <c r="C343" s="59">
        <v>10.1</v>
      </c>
    </row>
    <row r="344" spans="1:3" x14ac:dyDescent="0.25">
      <c r="A344" s="58">
        <v>32021</v>
      </c>
      <c r="B344" s="60">
        <f t="shared" si="5"/>
        <v>1987</v>
      </c>
      <c r="C344" s="59">
        <v>10.72</v>
      </c>
    </row>
    <row r="345" spans="1:3" x14ac:dyDescent="0.25">
      <c r="A345" s="58">
        <v>32051</v>
      </c>
      <c r="B345" s="60">
        <f t="shared" si="5"/>
        <v>1987</v>
      </c>
      <c r="C345" s="59">
        <v>10.44</v>
      </c>
    </row>
    <row r="346" spans="1:3" x14ac:dyDescent="0.25">
      <c r="A346" s="58">
        <v>32082</v>
      </c>
      <c r="B346" s="60">
        <f t="shared" si="5"/>
        <v>1987</v>
      </c>
      <c r="C346" s="59">
        <v>9.8800000000000008</v>
      </c>
    </row>
    <row r="347" spans="1:3" x14ac:dyDescent="0.25">
      <c r="A347" s="58">
        <v>32112</v>
      </c>
      <c r="B347" s="60">
        <f t="shared" si="5"/>
        <v>1987</v>
      </c>
      <c r="C347" s="59">
        <v>10.119999999999999</v>
      </c>
    </row>
    <row r="348" spans="1:3" x14ac:dyDescent="0.25">
      <c r="A348" s="58">
        <v>32143</v>
      </c>
      <c r="B348" s="60">
        <f t="shared" si="5"/>
        <v>1988</v>
      </c>
      <c r="C348" s="59">
        <v>9.7200000000000006</v>
      </c>
    </row>
    <row r="349" spans="1:3" x14ac:dyDescent="0.25">
      <c r="A349" s="58">
        <v>32174</v>
      </c>
      <c r="B349" s="60">
        <f t="shared" si="5"/>
        <v>1988</v>
      </c>
      <c r="C349" s="59">
        <v>9.1999999999999993</v>
      </c>
    </row>
    <row r="350" spans="1:3" x14ac:dyDescent="0.25">
      <c r="A350" s="58">
        <v>32203</v>
      </c>
      <c r="B350" s="60">
        <f t="shared" si="5"/>
        <v>1988</v>
      </c>
      <c r="C350" s="59">
        <v>9.42</v>
      </c>
    </row>
    <row r="351" spans="1:3" x14ac:dyDescent="0.25">
      <c r="A351" s="58">
        <v>32234</v>
      </c>
      <c r="B351" s="60">
        <f t="shared" si="5"/>
        <v>1988</v>
      </c>
      <c r="C351" s="59">
        <v>9.69</v>
      </c>
    </row>
    <row r="352" spans="1:3" x14ac:dyDescent="0.25">
      <c r="A352" s="58">
        <v>32264</v>
      </c>
      <c r="B352" s="60">
        <f t="shared" si="5"/>
        <v>1988</v>
      </c>
      <c r="C352" s="59">
        <v>9.94</v>
      </c>
    </row>
    <row r="353" spans="1:3" x14ac:dyDescent="0.25">
      <c r="A353" s="58">
        <v>32295</v>
      </c>
      <c r="B353" s="60">
        <f t="shared" si="5"/>
        <v>1988</v>
      </c>
      <c r="C353" s="59">
        <v>9.7200000000000006</v>
      </c>
    </row>
    <row r="354" spans="1:3" x14ac:dyDescent="0.25">
      <c r="A354" s="58">
        <v>32325</v>
      </c>
      <c r="B354" s="60">
        <f t="shared" si="5"/>
        <v>1988</v>
      </c>
      <c r="C354" s="59">
        <v>9.9</v>
      </c>
    </row>
    <row r="355" spans="1:3" x14ac:dyDescent="0.25">
      <c r="A355" s="58">
        <v>32356</v>
      </c>
      <c r="B355" s="60">
        <f t="shared" si="5"/>
        <v>1988</v>
      </c>
      <c r="C355" s="59">
        <v>10.24</v>
      </c>
    </row>
    <row r="356" spans="1:3" x14ac:dyDescent="0.25">
      <c r="A356" s="58">
        <v>32387</v>
      </c>
      <c r="B356" s="60">
        <f t="shared" si="5"/>
        <v>1988</v>
      </c>
      <c r="C356" s="59">
        <v>10.15</v>
      </c>
    </row>
    <row r="357" spans="1:3" x14ac:dyDescent="0.25">
      <c r="A357" s="58">
        <v>32417</v>
      </c>
      <c r="B357" s="60">
        <f t="shared" si="5"/>
        <v>1988</v>
      </c>
      <c r="C357" s="59">
        <v>9.85</v>
      </c>
    </row>
    <row r="358" spans="1:3" x14ac:dyDescent="0.25">
      <c r="A358" s="58">
        <v>32448</v>
      </c>
      <c r="B358" s="60">
        <f t="shared" si="5"/>
        <v>1988</v>
      </c>
      <c r="C358" s="59">
        <v>10.02</v>
      </c>
    </row>
    <row r="359" spans="1:3" x14ac:dyDescent="0.25">
      <c r="A359" s="58">
        <v>32478</v>
      </c>
      <c r="B359" s="60">
        <f t="shared" si="5"/>
        <v>1988</v>
      </c>
      <c r="C359" s="59">
        <v>10.119999999999999</v>
      </c>
    </row>
    <row r="360" spans="1:3" x14ac:dyDescent="0.25">
      <c r="A360" s="58">
        <v>32509</v>
      </c>
      <c r="B360" s="60">
        <f t="shared" si="5"/>
        <v>1989</v>
      </c>
      <c r="C360" s="59">
        <v>10.14</v>
      </c>
    </row>
    <row r="361" spans="1:3" x14ac:dyDescent="0.25">
      <c r="A361" s="58">
        <v>32540</v>
      </c>
      <c r="B361" s="60">
        <f t="shared" si="5"/>
        <v>1989</v>
      </c>
      <c r="C361" s="59">
        <v>10.19</v>
      </c>
    </row>
    <row r="362" spans="1:3" x14ac:dyDescent="0.25">
      <c r="A362" s="58">
        <v>32568</v>
      </c>
      <c r="B362" s="60">
        <f t="shared" si="5"/>
        <v>1989</v>
      </c>
      <c r="C362" s="59">
        <v>10.56</v>
      </c>
    </row>
    <row r="363" spans="1:3" x14ac:dyDescent="0.25">
      <c r="A363" s="58">
        <v>32599</v>
      </c>
      <c r="B363" s="60">
        <f t="shared" si="5"/>
        <v>1989</v>
      </c>
      <c r="C363" s="59">
        <v>10.32</v>
      </c>
    </row>
    <row r="364" spans="1:3" x14ac:dyDescent="0.25">
      <c r="A364" s="58">
        <v>32629</v>
      </c>
      <c r="B364" s="60">
        <f t="shared" si="5"/>
        <v>1989</v>
      </c>
      <c r="C364" s="59">
        <v>9.91</v>
      </c>
    </row>
    <row r="365" spans="1:3" x14ac:dyDescent="0.25">
      <c r="A365" s="58">
        <v>32660</v>
      </c>
      <c r="B365" s="60">
        <f t="shared" si="5"/>
        <v>1989</v>
      </c>
      <c r="C365" s="59">
        <v>9.43</v>
      </c>
    </row>
    <row r="366" spans="1:3" x14ac:dyDescent="0.25">
      <c r="A366" s="58">
        <v>32690</v>
      </c>
      <c r="B366" s="60">
        <f t="shared" si="5"/>
        <v>1989</v>
      </c>
      <c r="C366" s="59">
        <v>9.34</v>
      </c>
    </row>
    <row r="367" spans="1:3" x14ac:dyDescent="0.25">
      <c r="A367" s="58">
        <v>32721</v>
      </c>
      <c r="B367" s="60">
        <f t="shared" si="5"/>
        <v>1989</v>
      </c>
      <c r="C367" s="59">
        <v>9.32</v>
      </c>
    </row>
    <row r="368" spans="1:3" x14ac:dyDescent="0.25">
      <c r="A368" s="58">
        <v>32752</v>
      </c>
      <c r="B368" s="60">
        <f t="shared" si="5"/>
        <v>1989</v>
      </c>
      <c r="C368" s="59">
        <v>9.5500000000000007</v>
      </c>
    </row>
    <row r="369" spans="1:3" x14ac:dyDescent="0.25">
      <c r="A369" s="58">
        <v>32782</v>
      </c>
      <c r="B369" s="60">
        <f t="shared" si="5"/>
        <v>1989</v>
      </c>
      <c r="C369" s="59">
        <v>9.5299999999999994</v>
      </c>
    </row>
    <row r="370" spans="1:3" x14ac:dyDescent="0.25">
      <c r="A370" s="58">
        <v>32813</v>
      </c>
      <c r="B370" s="60">
        <f t="shared" si="5"/>
        <v>1989</v>
      </c>
      <c r="C370" s="59">
        <v>9.49</v>
      </c>
    </row>
    <row r="371" spans="1:3" x14ac:dyDescent="0.25">
      <c r="A371" s="58">
        <v>32843</v>
      </c>
      <c r="B371" s="60">
        <f t="shared" si="5"/>
        <v>1989</v>
      </c>
      <c r="C371" s="59">
        <v>9.59</v>
      </c>
    </row>
    <row r="372" spans="1:3" x14ac:dyDescent="0.25">
      <c r="A372" s="58">
        <v>32874</v>
      </c>
      <c r="B372" s="60">
        <f t="shared" si="5"/>
        <v>1990</v>
      </c>
      <c r="C372" s="59">
        <v>9.75</v>
      </c>
    </row>
    <row r="373" spans="1:3" x14ac:dyDescent="0.25">
      <c r="A373" s="58">
        <v>32905</v>
      </c>
      <c r="B373" s="60">
        <f t="shared" si="5"/>
        <v>1990</v>
      </c>
      <c r="C373" s="59">
        <v>10.19</v>
      </c>
    </row>
    <row r="374" spans="1:3" x14ac:dyDescent="0.25">
      <c r="A374" s="58">
        <v>32933</v>
      </c>
      <c r="B374" s="60">
        <f t="shared" si="5"/>
        <v>1990</v>
      </c>
      <c r="C374" s="59">
        <v>10.74</v>
      </c>
    </row>
    <row r="375" spans="1:3" x14ac:dyDescent="0.25">
      <c r="A375" s="58">
        <v>32964</v>
      </c>
      <c r="B375" s="60">
        <f t="shared" si="5"/>
        <v>1990</v>
      </c>
      <c r="C375" s="59">
        <v>11.35</v>
      </c>
    </row>
    <row r="376" spans="1:3" x14ac:dyDescent="0.25">
      <c r="A376" s="58">
        <v>32994</v>
      </c>
      <c r="B376" s="60">
        <f t="shared" si="5"/>
        <v>1990</v>
      </c>
      <c r="C376" s="59">
        <v>11.32</v>
      </c>
    </row>
    <row r="377" spans="1:3" x14ac:dyDescent="0.25">
      <c r="A377" s="58">
        <v>33025</v>
      </c>
      <c r="B377" s="60">
        <f t="shared" si="5"/>
        <v>1990</v>
      </c>
      <c r="C377" s="59">
        <v>10.76</v>
      </c>
    </row>
    <row r="378" spans="1:3" x14ac:dyDescent="0.25">
      <c r="A378" s="58">
        <v>33055</v>
      </c>
      <c r="B378" s="60">
        <f t="shared" si="5"/>
        <v>1990</v>
      </c>
      <c r="C378" s="59">
        <v>10.67</v>
      </c>
    </row>
    <row r="379" spans="1:3" x14ac:dyDescent="0.25">
      <c r="A379" s="58">
        <v>33086</v>
      </c>
      <c r="B379" s="60">
        <f t="shared" si="5"/>
        <v>1990</v>
      </c>
      <c r="C379" s="59">
        <v>10.64</v>
      </c>
    </row>
    <row r="380" spans="1:3" x14ac:dyDescent="0.25">
      <c r="A380" s="58">
        <v>33117</v>
      </c>
      <c r="B380" s="60">
        <f t="shared" si="5"/>
        <v>1990</v>
      </c>
      <c r="C380" s="59">
        <v>10.8</v>
      </c>
    </row>
    <row r="381" spans="1:3" x14ac:dyDescent="0.25">
      <c r="A381" s="58">
        <v>33147</v>
      </c>
      <c r="B381" s="60">
        <f t="shared" si="5"/>
        <v>1990</v>
      </c>
      <c r="C381" s="59">
        <v>11.27</v>
      </c>
    </row>
    <row r="382" spans="1:3" x14ac:dyDescent="0.25">
      <c r="A382" s="58">
        <v>33178</v>
      </c>
      <c r="B382" s="60">
        <f t="shared" si="5"/>
        <v>1990</v>
      </c>
      <c r="C382" s="59">
        <v>10.71</v>
      </c>
    </row>
    <row r="383" spans="1:3" x14ac:dyDescent="0.25">
      <c r="A383" s="58">
        <v>33208</v>
      </c>
      <c r="B383" s="60">
        <f t="shared" si="5"/>
        <v>1990</v>
      </c>
      <c r="C383" s="59">
        <v>10.31</v>
      </c>
    </row>
    <row r="384" spans="1:3" x14ac:dyDescent="0.25">
      <c r="A384" s="58">
        <v>33239</v>
      </c>
      <c r="B384" s="60">
        <f t="shared" si="5"/>
        <v>1991</v>
      </c>
      <c r="C384" s="59">
        <v>10.210000000000001</v>
      </c>
    </row>
    <row r="385" spans="1:3" x14ac:dyDescent="0.25">
      <c r="A385" s="58">
        <v>33270</v>
      </c>
      <c r="B385" s="60">
        <f t="shared" si="5"/>
        <v>1991</v>
      </c>
      <c r="C385" s="59">
        <v>9.68</v>
      </c>
    </row>
    <row r="386" spans="1:3" x14ac:dyDescent="0.25">
      <c r="A386" s="58">
        <v>33298</v>
      </c>
      <c r="B386" s="60">
        <f t="shared" si="5"/>
        <v>1991</v>
      </c>
      <c r="C386" s="59">
        <v>9.6300000000000008</v>
      </c>
    </row>
    <row r="387" spans="1:3" x14ac:dyDescent="0.25">
      <c r="A387" s="58">
        <v>33329</v>
      </c>
      <c r="B387" s="60">
        <f t="shared" si="5"/>
        <v>1991</v>
      </c>
      <c r="C387" s="59">
        <v>9.5</v>
      </c>
    </row>
    <row r="388" spans="1:3" x14ac:dyDescent="0.25">
      <c r="A388" s="58">
        <v>33359</v>
      </c>
      <c r="B388" s="60">
        <f t="shared" si="5"/>
        <v>1991</v>
      </c>
      <c r="C388" s="59">
        <v>9.57</v>
      </c>
    </row>
    <row r="389" spans="1:3" x14ac:dyDescent="0.25">
      <c r="A389" s="58">
        <v>33390</v>
      </c>
      <c r="B389" s="60">
        <f t="shared" si="5"/>
        <v>1991</v>
      </c>
      <c r="C389" s="59">
        <v>9.82</v>
      </c>
    </row>
    <row r="390" spans="1:3" x14ac:dyDescent="0.25">
      <c r="A390" s="58">
        <v>33420</v>
      </c>
      <c r="B390" s="60">
        <f t="shared" si="5"/>
        <v>1991</v>
      </c>
      <c r="C390" s="59">
        <v>10.01</v>
      </c>
    </row>
    <row r="391" spans="1:3" x14ac:dyDescent="0.25">
      <c r="A391" s="58">
        <v>33451</v>
      </c>
      <c r="B391" s="60">
        <f t="shared" si="5"/>
        <v>1991</v>
      </c>
      <c r="C391" s="59">
        <v>9.77</v>
      </c>
    </row>
    <row r="392" spans="1:3" x14ac:dyDescent="0.25">
      <c r="A392" s="58">
        <v>33482</v>
      </c>
      <c r="B392" s="60">
        <f t="shared" si="5"/>
        <v>1991</v>
      </c>
      <c r="C392" s="59">
        <v>9.58</v>
      </c>
    </row>
    <row r="393" spans="1:3" x14ac:dyDescent="0.25">
      <c r="A393" s="58">
        <v>33512</v>
      </c>
      <c r="B393" s="60">
        <f t="shared" si="5"/>
        <v>1991</v>
      </c>
      <c r="C393" s="59">
        <v>9.1199999999999992</v>
      </c>
    </row>
    <row r="394" spans="1:3" x14ac:dyDescent="0.25">
      <c r="A394" s="58">
        <v>33543</v>
      </c>
      <c r="B394" s="60">
        <f t="shared" si="5"/>
        <v>1991</v>
      </c>
      <c r="C394" s="59">
        <v>8.6199999999999992</v>
      </c>
    </row>
    <row r="395" spans="1:3" x14ac:dyDescent="0.25">
      <c r="A395" s="58">
        <v>33573</v>
      </c>
      <c r="B395" s="60">
        <f t="shared" si="5"/>
        <v>1991</v>
      </c>
      <c r="C395" s="59">
        <v>8.5299999999999994</v>
      </c>
    </row>
    <row r="396" spans="1:3" x14ac:dyDescent="0.25">
      <c r="A396" s="58">
        <v>33604</v>
      </c>
      <c r="B396" s="60">
        <f t="shared" si="5"/>
        <v>1992</v>
      </c>
      <c r="C396" s="59">
        <v>8.1300000000000008</v>
      </c>
    </row>
    <row r="397" spans="1:3" x14ac:dyDescent="0.25">
      <c r="A397" s="58">
        <v>33635</v>
      </c>
      <c r="B397" s="60">
        <f t="shared" ref="B397:B460" si="6">YEAR(A397)</f>
        <v>1992</v>
      </c>
      <c r="C397" s="59">
        <v>8.35</v>
      </c>
    </row>
    <row r="398" spans="1:3" x14ac:dyDescent="0.25">
      <c r="A398" s="58">
        <v>33664</v>
      </c>
      <c r="B398" s="60">
        <f t="shared" si="6"/>
        <v>1992</v>
      </c>
      <c r="C398" s="59">
        <v>8.6300000000000008</v>
      </c>
    </row>
    <row r="399" spans="1:3" x14ac:dyDescent="0.25">
      <c r="A399" s="58">
        <v>33695</v>
      </c>
      <c r="B399" s="60">
        <f t="shared" si="6"/>
        <v>1992</v>
      </c>
      <c r="C399" s="59">
        <v>8.76</v>
      </c>
    </row>
    <row r="400" spans="1:3" x14ac:dyDescent="0.25">
      <c r="A400" s="58">
        <v>33725</v>
      </c>
      <c r="B400" s="60">
        <f t="shared" si="6"/>
        <v>1992</v>
      </c>
      <c r="C400" s="59">
        <v>8.64</v>
      </c>
    </row>
    <row r="401" spans="1:3" x14ac:dyDescent="0.25">
      <c r="A401" s="58">
        <v>33756</v>
      </c>
      <c r="B401" s="60">
        <f t="shared" si="6"/>
        <v>1992</v>
      </c>
      <c r="C401" s="59">
        <v>8.34</v>
      </c>
    </row>
    <row r="402" spans="1:3" x14ac:dyDescent="0.25">
      <c r="A402" s="58">
        <v>33786</v>
      </c>
      <c r="B402" s="60">
        <f t="shared" si="6"/>
        <v>1992</v>
      </c>
      <c r="C402" s="59">
        <v>7.92</v>
      </c>
    </row>
    <row r="403" spans="1:3" x14ac:dyDescent="0.25">
      <c r="A403" s="58">
        <v>33817</v>
      </c>
      <c r="B403" s="60">
        <f t="shared" si="6"/>
        <v>1992</v>
      </c>
      <c r="C403" s="59">
        <v>7.3</v>
      </c>
    </row>
    <row r="404" spans="1:3" x14ac:dyDescent="0.25">
      <c r="A404" s="58">
        <v>33848</v>
      </c>
      <c r="B404" s="60">
        <f t="shared" si="6"/>
        <v>1992</v>
      </c>
      <c r="C404" s="59">
        <v>7.41</v>
      </c>
    </row>
    <row r="405" spans="1:3" x14ac:dyDescent="0.25">
      <c r="A405" s="58">
        <v>33878</v>
      </c>
      <c r="B405" s="60">
        <f t="shared" si="6"/>
        <v>1992</v>
      </c>
      <c r="C405" s="59">
        <v>7.77</v>
      </c>
    </row>
    <row r="406" spans="1:3" x14ac:dyDescent="0.25">
      <c r="A406" s="58">
        <v>33909</v>
      </c>
      <c r="B406" s="60">
        <f t="shared" si="6"/>
        <v>1992</v>
      </c>
      <c r="C406" s="59">
        <v>7.73</v>
      </c>
    </row>
    <row r="407" spans="1:3" x14ac:dyDescent="0.25">
      <c r="A407" s="58">
        <v>33939</v>
      </c>
      <c r="B407" s="60">
        <f t="shared" si="6"/>
        <v>1992</v>
      </c>
      <c r="C407" s="59">
        <v>7.87</v>
      </c>
    </row>
    <row r="408" spans="1:3" x14ac:dyDescent="0.25">
      <c r="A408" s="58">
        <v>33970</v>
      </c>
      <c r="B408" s="60">
        <f t="shared" si="6"/>
        <v>1993</v>
      </c>
      <c r="C408" s="59">
        <v>7.93</v>
      </c>
    </row>
    <row r="409" spans="1:3" x14ac:dyDescent="0.25">
      <c r="A409" s="58">
        <v>34001</v>
      </c>
      <c r="B409" s="60">
        <f t="shared" si="6"/>
        <v>1993</v>
      </c>
      <c r="C409" s="59">
        <v>7.84</v>
      </c>
    </row>
    <row r="410" spans="1:3" x14ac:dyDescent="0.25">
      <c r="A410" s="58">
        <v>34029</v>
      </c>
      <c r="B410" s="60">
        <f t="shared" si="6"/>
        <v>1993</v>
      </c>
      <c r="C410" s="59">
        <v>7.44</v>
      </c>
    </row>
    <row r="411" spans="1:3" x14ac:dyDescent="0.25">
      <c r="A411" s="58">
        <v>34060</v>
      </c>
      <c r="B411" s="60">
        <f t="shared" si="6"/>
        <v>1993</v>
      </c>
      <c r="C411" s="59">
        <v>7.46</v>
      </c>
    </row>
    <row r="412" spans="1:3" x14ac:dyDescent="0.25">
      <c r="A412" s="58">
        <v>34090</v>
      </c>
      <c r="B412" s="60">
        <f t="shared" si="6"/>
        <v>1993</v>
      </c>
      <c r="C412" s="59">
        <v>7.56</v>
      </c>
    </row>
    <row r="413" spans="1:3" x14ac:dyDescent="0.25">
      <c r="A413" s="58">
        <v>34121</v>
      </c>
      <c r="B413" s="60">
        <f t="shared" si="6"/>
        <v>1993</v>
      </c>
      <c r="C413" s="59">
        <v>7.47</v>
      </c>
    </row>
    <row r="414" spans="1:3" x14ac:dyDescent="0.25">
      <c r="A414" s="58">
        <v>34151</v>
      </c>
      <c r="B414" s="60">
        <f t="shared" si="6"/>
        <v>1993</v>
      </c>
      <c r="C414" s="59">
        <v>7.25</v>
      </c>
    </row>
    <row r="415" spans="1:3" x14ac:dyDescent="0.25">
      <c r="A415" s="58">
        <v>34182</v>
      </c>
      <c r="B415" s="60">
        <f t="shared" si="6"/>
        <v>1993</v>
      </c>
      <c r="C415" s="59">
        <v>7.09</v>
      </c>
    </row>
    <row r="416" spans="1:3" x14ac:dyDescent="0.25">
      <c r="A416" s="58">
        <v>34213</v>
      </c>
      <c r="B416" s="60">
        <f t="shared" si="6"/>
        <v>1993</v>
      </c>
      <c r="C416" s="59">
        <v>6.82</v>
      </c>
    </row>
    <row r="417" spans="1:3" x14ac:dyDescent="0.25">
      <c r="A417" s="58">
        <v>34243</v>
      </c>
      <c r="B417" s="60">
        <f t="shared" si="6"/>
        <v>1993</v>
      </c>
      <c r="C417" s="59">
        <v>6.82</v>
      </c>
    </row>
    <row r="418" spans="1:3" x14ac:dyDescent="0.25">
      <c r="A418" s="58">
        <v>34274</v>
      </c>
      <c r="B418" s="60">
        <f t="shared" si="6"/>
        <v>1993</v>
      </c>
      <c r="C418" s="59">
        <v>6.82</v>
      </c>
    </row>
    <row r="419" spans="1:3" x14ac:dyDescent="0.25">
      <c r="A419" s="58">
        <v>34304</v>
      </c>
      <c r="B419" s="60">
        <f t="shared" si="6"/>
        <v>1993</v>
      </c>
      <c r="C419" s="59">
        <v>6.75</v>
      </c>
    </row>
    <row r="420" spans="1:3" x14ac:dyDescent="0.25">
      <c r="A420" s="58">
        <v>34335</v>
      </c>
      <c r="B420" s="60">
        <f t="shared" si="6"/>
        <v>1994</v>
      </c>
      <c r="C420" s="59">
        <v>6.52</v>
      </c>
    </row>
    <row r="421" spans="1:3" x14ac:dyDescent="0.25">
      <c r="A421" s="58">
        <v>34366</v>
      </c>
      <c r="B421" s="60">
        <f t="shared" si="6"/>
        <v>1994</v>
      </c>
      <c r="C421" s="59">
        <v>6.54</v>
      </c>
    </row>
    <row r="422" spans="1:3" x14ac:dyDescent="0.25">
      <c r="A422" s="58">
        <v>34394</v>
      </c>
      <c r="B422" s="60">
        <f t="shared" si="6"/>
        <v>1994</v>
      </c>
      <c r="C422" s="59">
        <v>7.25</v>
      </c>
    </row>
    <row r="423" spans="1:3" x14ac:dyDescent="0.25">
      <c r="A423" s="58">
        <v>34425</v>
      </c>
      <c r="B423" s="60">
        <f t="shared" si="6"/>
        <v>1994</v>
      </c>
      <c r="C423" s="59">
        <v>8.06</v>
      </c>
    </row>
    <row r="424" spans="1:3" x14ac:dyDescent="0.25">
      <c r="A424" s="58">
        <v>34455</v>
      </c>
      <c r="B424" s="60">
        <f t="shared" si="6"/>
        <v>1994</v>
      </c>
      <c r="C424" s="59">
        <v>8.2899999999999991</v>
      </c>
    </row>
    <row r="425" spans="1:3" x14ac:dyDescent="0.25">
      <c r="A425" s="58">
        <v>34486</v>
      </c>
      <c r="B425" s="60">
        <f t="shared" si="6"/>
        <v>1994</v>
      </c>
      <c r="C425" s="59">
        <v>8.83</v>
      </c>
    </row>
    <row r="426" spans="1:3" x14ac:dyDescent="0.25">
      <c r="A426" s="58">
        <v>34516</v>
      </c>
      <c r="B426" s="60">
        <f t="shared" si="6"/>
        <v>1994</v>
      </c>
      <c r="C426" s="59">
        <v>9.11</v>
      </c>
    </row>
    <row r="427" spans="1:3" x14ac:dyDescent="0.25">
      <c r="A427" s="58">
        <v>34547</v>
      </c>
      <c r="B427" s="60">
        <f t="shared" si="6"/>
        <v>1994</v>
      </c>
      <c r="C427" s="59">
        <v>8.98</v>
      </c>
    </row>
    <row r="428" spans="1:3" x14ac:dyDescent="0.25">
      <c r="A428" s="58">
        <v>34578</v>
      </c>
      <c r="B428" s="60">
        <f t="shared" si="6"/>
        <v>1994</v>
      </c>
      <c r="C428" s="59">
        <v>8.9</v>
      </c>
    </row>
    <row r="429" spans="1:3" x14ac:dyDescent="0.25">
      <c r="A429" s="58">
        <v>34608</v>
      </c>
      <c r="B429" s="60">
        <f t="shared" si="6"/>
        <v>1994</v>
      </c>
      <c r="C429" s="59">
        <v>9.02</v>
      </c>
    </row>
    <row r="430" spans="1:3" x14ac:dyDescent="0.25">
      <c r="A430" s="58">
        <v>34639</v>
      </c>
      <c r="B430" s="60">
        <f t="shared" si="6"/>
        <v>1994</v>
      </c>
      <c r="C430" s="59">
        <v>9.15</v>
      </c>
    </row>
    <row r="431" spans="1:3" x14ac:dyDescent="0.25">
      <c r="A431" s="58">
        <v>34669</v>
      </c>
      <c r="B431" s="60">
        <f t="shared" si="6"/>
        <v>1994</v>
      </c>
      <c r="C431" s="59">
        <v>9.07</v>
      </c>
    </row>
    <row r="432" spans="1:3" x14ac:dyDescent="0.25">
      <c r="A432" s="58">
        <v>34700</v>
      </c>
      <c r="B432" s="60">
        <f t="shared" si="6"/>
        <v>1995</v>
      </c>
      <c r="C432" s="59">
        <v>9.35</v>
      </c>
    </row>
    <row r="433" spans="1:3" x14ac:dyDescent="0.25">
      <c r="A433" s="58">
        <v>34731</v>
      </c>
      <c r="B433" s="60">
        <f t="shared" si="6"/>
        <v>1995</v>
      </c>
      <c r="C433" s="59">
        <v>8.9</v>
      </c>
    </row>
    <row r="434" spans="1:3" x14ac:dyDescent="0.25">
      <c r="A434" s="58">
        <v>34759</v>
      </c>
      <c r="B434" s="60">
        <f t="shared" si="6"/>
        <v>1995</v>
      </c>
      <c r="C434" s="59">
        <v>8.64</v>
      </c>
    </row>
    <row r="435" spans="1:3" x14ac:dyDescent="0.25">
      <c r="A435" s="58">
        <v>34790</v>
      </c>
      <c r="B435" s="60">
        <f t="shared" si="6"/>
        <v>1995</v>
      </c>
      <c r="C435" s="59">
        <v>8.42</v>
      </c>
    </row>
    <row r="436" spans="1:3" x14ac:dyDescent="0.25">
      <c r="A436" s="58">
        <v>34820</v>
      </c>
      <c r="B436" s="60">
        <f t="shared" si="6"/>
        <v>1995</v>
      </c>
      <c r="C436" s="59">
        <v>8.06</v>
      </c>
    </row>
    <row r="437" spans="1:3" x14ac:dyDescent="0.25">
      <c r="A437" s="58">
        <v>34851</v>
      </c>
      <c r="B437" s="60">
        <f t="shared" si="6"/>
        <v>1995</v>
      </c>
      <c r="C437" s="59">
        <v>7.86</v>
      </c>
    </row>
    <row r="438" spans="1:3" x14ac:dyDescent="0.25">
      <c r="A438" s="58">
        <v>34881</v>
      </c>
      <c r="B438" s="60">
        <f t="shared" si="6"/>
        <v>1995</v>
      </c>
      <c r="C438" s="59">
        <v>8.08</v>
      </c>
    </row>
    <row r="439" spans="1:3" x14ac:dyDescent="0.25">
      <c r="A439" s="58">
        <v>34912</v>
      </c>
      <c r="B439" s="60">
        <f t="shared" si="6"/>
        <v>1995</v>
      </c>
      <c r="C439" s="59">
        <v>8.26</v>
      </c>
    </row>
    <row r="440" spans="1:3" x14ac:dyDescent="0.25">
      <c r="A440" s="58">
        <v>34943</v>
      </c>
      <c r="B440" s="60">
        <f t="shared" si="6"/>
        <v>1995</v>
      </c>
      <c r="C440" s="59">
        <v>7.93</v>
      </c>
    </row>
    <row r="441" spans="1:3" x14ac:dyDescent="0.25">
      <c r="A441" s="58">
        <v>34973</v>
      </c>
      <c r="B441" s="60">
        <f t="shared" si="6"/>
        <v>1995</v>
      </c>
      <c r="C441" s="59">
        <v>7.72</v>
      </c>
    </row>
    <row r="442" spans="1:3" x14ac:dyDescent="0.25">
      <c r="A442" s="58">
        <v>35004</v>
      </c>
      <c r="B442" s="60">
        <f t="shared" si="6"/>
        <v>1995</v>
      </c>
      <c r="C442" s="59">
        <v>7.47</v>
      </c>
    </row>
    <row r="443" spans="1:3" x14ac:dyDescent="0.25">
      <c r="A443" s="58">
        <v>35034</v>
      </c>
      <c r="B443" s="60">
        <f t="shared" si="6"/>
        <v>1995</v>
      </c>
      <c r="C443" s="59">
        <v>7.25</v>
      </c>
    </row>
    <row r="444" spans="1:3" x14ac:dyDescent="0.25">
      <c r="A444" s="58">
        <v>35065</v>
      </c>
      <c r="B444" s="60">
        <f t="shared" si="6"/>
        <v>1996</v>
      </c>
      <c r="C444" s="59">
        <v>7.09</v>
      </c>
    </row>
    <row r="445" spans="1:3" x14ac:dyDescent="0.25">
      <c r="A445" s="58">
        <v>35096</v>
      </c>
      <c r="B445" s="60">
        <f t="shared" si="6"/>
        <v>1996</v>
      </c>
      <c r="C445" s="59">
        <v>7.24</v>
      </c>
    </row>
    <row r="446" spans="1:3" x14ac:dyDescent="0.25">
      <c r="A446" s="58">
        <v>35125</v>
      </c>
      <c r="B446" s="60">
        <f t="shared" si="6"/>
        <v>1996</v>
      </c>
      <c r="C446" s="59">
        <v>7.62</v>
      </c>
    </row>
    <row r="447" spans="1:3" x14ac:dyDescent="0.25">
      <c r="A447" s="58">
        <v>35156</v>
      </c>
      <c r="B447" s="60">
        <f t="shared" si="6"/>
        <v>1996</v>
      </c>
      <c r="C447" s="59">
        <v>7.7</v>
      </c>
    </row>
    <row r="448" spans="1:3" x14ac:dyDescent="0.25">
      <c r="A448" s="58">
        <v>35186</v>
      </c>
      <c r="B448" s="60">
        <f t="shared" si="6"/>
        <v>1996</v>
      </c>
      <c r="C448" s="59">
        <v>7.77</v>
      </c>
    </row>
    <row r="449" spans="1:3" x14ac:dyDescent="0.25">
      <c r="A449" s="58">
        <v>35217</v>
      </c>
      <c r="B449" s="60">
        <f t="shared" si="6"/>
        <v>1996</v>
      </c>
      <c r="C449" s="59">
        <v>7.81</v>
      </c>
    </row>
    <row r="450" spans="1:3" x14ac:dyDescent="0.25">
      <c r="A450" s="58">
        <v>35247</v>
      </c>
      <c r="B450" s="60">
        <f t="shared" si="6"/>
        <v>1996</v>
      </c>
      <c r="C450" s="59">
        <v>7.71</v>
      </c>
    </row>
    <row r="451" spans="1:3" x14ac:dyDescent="0.25">
      <c r="A451" s="58">
        <v>35278</v>
      </c>
      <c r="B451" s="60">
        <f t="shared" si="6"/>
        <v>1996</v>
      </c>
      <c r="C451" s="59">
        <v>7.31</v>
      </c>
    </row>
    <row r="452" spans="1:3" x14ac:dyDescent="0.25">
      <c r="A452" s="58">
        <v>35309</v>
      </c>
      <c r="B452" s="60">
        <f t="shared" si="6"/>
        <v>1996</v>
      </c>
      <c r="C452" s="59">
        <v>7.34</v>
      </c>
    </row>
    <row r="453" spans="1:3" x14ac:dyDescent="0.25">
      <c r="A453" s="58">
        <v>35339</v>
      </c>
      <c r="B453" s="60">
        <f t="shared" si="6"/>
        <v>1996</v>
      </c>
      <c r="C453" s="59">
        <v>6.64</v>
      </c>
    </row>
    <row r="454" spans="1:3" x14ac:dyDescent="0.25">
      <c r="A454" s="58">
        <v>35370</v>
      </c>
      <c r="B454" s="60">
        <f t="shared" si="6"/>
        <v>1996</v>
      </c>
      <c r="C454" s="59">
        <v>6.14</v>
      </c>
    </row>
    <row r="455" spans="1:3" x14ac:dyDescent="0.25">
      <c r="A455" s="58">
        <v>35400</v>
      </c>
      <c r="B455" s="60">
        <f t="shared" si="6"/>
        <v>1996</v>
      </c>
      <c r="C455" s="59">
        <v>6.39</v>
      </c>
    </row>
    <row r="456" spans="1:3" x14ac:dyDescent="0.25">
      <c r="A456" s="58">
        <v>35431</v>
      </c>
      <c r="B456" s="60">
        <f t="shared" si="6"/>
        <v>1997</v>
      </c>
      <c r="C456" s="59">
        <v>6.63</v>
      </c>
    </row>
    <row r="457" spans="1:3" x14ac:dyDescent="0.25">
      <c r="A457" s="58">
        <v>35462</v>
      </c>
      <c r="B457" s="60">
        <f t="shared" si="6"/>
        <v>1997</v>
      </c>
      <c r="C457" s="59">
        <v>6.3</v>
      </c>
    </row>
    <row r="458" spans="1:3" x14ac:dyDescent="0.25">
      <c r="A458" s="58">
        <v>35490</v>
      </c>
      <c r="B458" s="60">
        <f t="shared" si="6"/>
        <v>1997</v>
      </c>
      <c r="C458" s="59">
        <v>6.54</v>
      </c>
    </row>
    <row r="459" spans="1:3" x14ac:dyDescent="0.25">
      <c r="A459" s="58">
        <v>35521</v>
      </c>
      <c r="B459" s="60">
        <f t="shared" si="6"/>
        <v>1997</v>
      </c>
      <c r="C459" s="59">
        <v>6.78</v>
      </c>
    </row>
    <row r="460" spans="1:3" x14ac:dyDescent="0.25">
      <c r="A460" s="58">
        <v>35551</v>
      </c>
      <c r="B460" s="60">
        <f t="shared" si="6"/>
        <v>1997</v>
      </c>
      <c r="C460" s="59">
        <v>6.57</v>
      </c>
    </row>
    <row r="461" spans="1:3" x14ac:dyDescent="0.25">
      <c r="A461" s="58">
        <v>35582</v>
      </c>
      <c r="B461" s="60">
        <f t="shared" ref="B461:B524" si="7">YEAR(A461)</f>
        <v>1997</v>
      </c>
      <c r="C461" s="59">
        <v>6.27</v>
      </c>
    </row>
    <row r="462" spans="1:3" x14ac:dyDescent="0.25">
      <c r="A462" s="58">
        <v>35612</v>
      </c>
      <c r="B462" s="60">
        <f t="shared" si="7"/>
        <v>1997</v>
      </c>
      <c r="C462" s="59">
        <v>5.96</v>
      </c>
    </row>
    <row r="463" spans="1:3" x14ac:dyDescent="0.25">
      <c r="A463" s="58">
        <v>35643</v>
      </c>
      <c r="B463" s="60">
        <f t="shared" si="7"/>
        <v>1997</v>
      </c>
      <c r="C463" s="59">
        <v>5.99</v>
      </c>
    </row>
    <row r="464" spans="1:3" x14ac:dyDescent="0.25">
      <c r="A464" s="58">
        <v>35674</v>
      </c>
      <c r="B464" s="60">
        <f t="shared" si="7"/>
        <v>1997</v>
      </c>
      <c r="C464" s="59">
        <v>5.88</v>
      </c>
    </row>
    <row r="465" spans="1:3" x14ac:dyDescent="0.25">
      <c r="A465" s="58">
        <v>35704</v>
      </c>
      <c r="B465" s="60">
        <f t="shared" si="7"/>
        <v>1997</v>
      </c>
      <c r="C465" s="59">
        <v>5.61</v>
      </c>
    </row>
    <row r="466" spans="1:3" x14ac:dyDescent="0.25">
      <c r="A466" s="58">
        <v>35735</v>
      </c>
      <c r="B466" s="60">
        <f t="shared" si="7"/>
        <v>1997</v>
      </c>
      <c r="C466" s="59">
        <v>5.5</v>
      </c>
    </row>
    <row r="467" spans="1:3" x14ac:dyDescent="0.25">
      <c r="A467" s="58">
        <v>35765</v>
      </c>
      <c r="B467" s="60">
        <f t="shared" si="7"/>
        <v>1997</v>
      </c>
      <c r="C467" s="59">
        <v>5.67</v>
      </c>
    </row>
    <row r="468" spans="1:3" x14ac:dyDescent="0.25">
      <c r="A468" s="58">
        <v>35796</v>
      </c>
      <c r="B468" s="60">
        <f t="shared" si="7"/>
        <v>1998</v>
      </c>
      <c r="C468" s="59">
        <v>5.36</v>
      </c>
    </row>
    <row r="469" spans="1:3" x14ac:dyDescent="0.25">
      <c r="A469" s="58">
        <v>35827</v>
      </c>
      <c r="B469" s="60">
        <f t="shared" si="7"/>
        <v>1998</v>
      </c>
      <c r="C469" s="59">
        <v>5.43</v>
      </c>
    </row>
    <row r="470" spans="1:3" x14ac:dyDescent="0.25">
      <c r="A470" s="58">
        <v>35855</v>
      </c>
      <c r="B470" s="60">
        <f t="shared" si="7"/>
        <v>1998</v>
      </c>
      <c r="C470" s="59">
        <v>5.43</v>
      </c>
    </row>
    <row r="471" spans="1:3" x14ac:dyDescent="0.25">
      <c r="A471" s="58">
        <v>35886</v>
      </c>
      <c r="B471" s="60">
        <f t="shared" si="7"/>
        <v>1998</v>
      </c>
      <c r="C471" s="59">
        <v>5.31</v>
      </c>
    </row>
    <row r="472" spans="1:3" x14ac:dyDescent="0.25">
      <c r="A472" s="58">
        <v>35916</v>
      </c>
      <c r="B472" s="60">
        <f t="shared" si="7"/>
        <v>1998</v>
      </c>
      <c r="C472" s="59">
        <v>5.39</v>
      </c>
    </row>
    <row r="473" spans="1:3" x14ac:dyDescent="0.25">
      <c r="A473" s="58">
        <v>35947</v>
      </c>
      <c r="B473" s="60">
        <f t="shared" si="7"/>
        <v>1998</v>
      </c>
      <c r="C473" s="59">
        <v>5.32</v>
      </c>
    </row>
    <row r="474" spans="1:3" x14ac:dyDescent="0.25">
      <c r="A474" s="58">
        <v>35977</v>
      </c>
      <c r="B474" s="60">
        <f t="shared" si="7"/>
        <v>1998</v>
      </c>
      <c r="C474" s="59">
        <v>5.35</v>
      </c>
    </row>
    <row r="475" spans="1:3" x14ac:dyDescent="0.25">
      <c r="A475" s="58">
        <v>36008</v>
      </c>
      <c r="B475" s="60">
        <f t="shared" si="7"/>
        <v>1998</v>
      </c>
      <c r="C475" s="59">
        <v>5.57</v>
      </c>
    </row>
    <row r="476" spans="1:3" x14ac:dyDescent="0.25">
      <c r="A476" s="58">
        <v>36039</v>
      </c>
      <c r="B476" s="60">
        <f t="shared" si="7"/>
        <v>1998</v>
      </c>
      <c r="C476" s="59">
        <v>5.25</v>
      </c>
    </row>
    <row r="477" spans="1:3" x14ac:dyDescent="0.25">
      <c r="A477" s="58">
        <v>36069</v>
      </c>
      <c r="B477" s="60">
        <f t="shared" si="7"/>
        <v>1998</v>
      </c>
      <c r="C477" s="59">
        <v>4.91</v>
      </c>
    </row>
    <row r="478" spans="1:3" x14ac:dyDescent="0.25">
      <c r="A478" s="58">
        <v>36100</v>
      </c>
      <c r="B478" s="60">
        <f t="shared" si="7"/>
        <v>1998</v>
      </c>
      <c r="C478" s="59">
        <v>5.17</v>
      </c>
    </row>
    <row r="479" spans="1:3" x14ac:dyDescent="0.25">
      <c r="A479" s="58">
        <v>36130</v>
      </c>
      <c r="B479" s="60">
        <f t="shared" si="7"/>
        <v>1998</v>
      </c>
      <c r="C479" s="59">
        <v>4.87</v>
      </c>
    </row>
    <row r="480" spans="1:3" x14ac:dyDescent="0.25">
      <c r="A480" s="58">
        <v>36161</v>
      </c>
      <c r="B480" s="60">
        <f t="shared" si="7"/>
        <v>1999</v>
      </c>
      <c r="C480" s="59">
        <v>4.95</v>
      </c>
    </row>
    <row r="481" spans="1:3" x14ac:dyDescent="0.25">
      <c r="A481" s="58">
        <v>36192</v>
      </c>
      <c r="B481" s="60">
        <f t="shared" si="7"/>
        <v>1999</v>
      </c>
      <c r="C481" s="59">
        <v>5.12</v>
      </c>
    </row>
    <row r="482" spans="1:3" x14ac:dyDescent="0.25">
      <c r="A482" s="58">
        <v>36220</v>
      </c>
      <c r="B482" s="60">
        <f t="shared" si="7"/>
        <v>1999</v>
      </c>
      <c r="C482" s="59">
        <v>5.22</v>
      </c>
    </row>
    <row r="483" spans="1:3" x14ac:dyDescent="0.25">
      <c r="A483" s="58">
        <v>36251</v>
      </c>
      <c r="B483" s="60">
        <f t="shared" si="7"/>
        <v>1999</v>
      </c>
      <c r="C483" s="59">
        <v>5.03</v>
      </c>
    </row>
    <row r="484" spans="1:3" x14ac:dyDescent="0.25">
      <c r="A484" s="58">
        <v>36281</v>
      </c>
      <c r="B484" s="60">
        <f t="shared" si="7"/>
        <v>1999</v>
      </c>
      <c r="C484" s="59">
        <v>5.36</v>
      </c>
    </row>
    <row r="485" spans="1:3" x14ac:dyDescent="0.25">
      <c r="A485" s="58">
        <v>36312</v>
      </c>
      <c r="B485" s="60">
        <f t="shared" si="7"/>
        <v>1999</v>
      </c>
      <c r="C485" s="59">
        <v>5.58</v>
      </c>
    </row>
    <row r="486" spans="1:3" x14ac:dyDescent="0.25">
      <c r="A486" s="58">
        <v>36342</v>
      </c>
      <c r="B486" s="60">
        <f t="shared" si="7"/>
        <v>1999</v>
      </c>
      <c r="C486" s="59">
        <v>5.49</v>
      </c>
    </row>
    <row r="487" spans="1:3" x14ac:dyDescent="0.25">
      <c r="A487" s="58">
        <v>36373</v>
      </c>
      <c r="B487" s="60">
        <f t="shared" si="7"/>
        <v>1999</v>
      </c>
      <c r="C487" s="59">
        <v>5.76</v>
      </c>
    </row>
    <row r="488" spans="1:3" x14ac:dyDescent="0.25">
      <c r="A488" s="58">
        <v>36404</v>
      </c>
      <c r="B488" s="60">
        <f t="shared" si="7"/>
        <v>1999</v>
      </c>
      <c r="C488" s="59">
        <v>5.72</v>
      </c>
    </row>
    <row r="489" spans="1:3" x14ac:dyDescent="0.25">
      <c r="A489" s="58">
        <v>36434</v>
      </c>
      <c r="B489" s="60">
        <f t="shared" si="7"/>
        <v>1999</v>
      </c>
      <c r="C489" s="59">
        <v>6.09</v>
      </c>
    </row>
    <row r="490" spans="1:3" x14ac:dyDescent="0.25">
      <c r="A490" s="58">
        <v>36465</v>
      </c>
      <c r="B490" s="60">
        <f t="shared" si="7"/>
        <v>1999</v>
      </c>
      <c r="C490" s="59">
        <v>6.03</v>
      </c>
    </row>
    <row r="491" spans="1:3" x14ac:dyDescent="0.25">
      <c r="A491" s="58">
        <v>36495</v>
      </c>
      <c r="B491" s="60">
        <f t="shared" si="7"/>
        <v>1999</v>
      </c>
      <c r="C491" s="59">
        <v>6.14</v>
      </c>
    </row>
    <row r="492" spans="1:3" x14ac:dyDescent="0.25">
      <c r="A492" s="58">
        <v>36526</v>
      </c>
      <c r="B492" s="60">
        <f t="shared" si="7"/>
        <v>2000</v>
      </c>
      <c r="C492" s="59">
        <v>6.49</v>
      </c>
    </row>
    <row r="493" spans="1:3" x14ac:dyDescent="0.25">
      <c r="A493" s="58">
        <v>36557</v>
      </c>
      <c r="B493" s="60">
        <f t="shared" si="7"/>
        <v>2000</v>
      </c>
      <c r="C493" s="59">
        <v>6.34</v>
      </c>
    </row>
    <row r="494" spans="1:3" x14ac:dyDescent="0.25">
      <c r="A494" s="58">
        <v>36586</v>
      </c>
      <c r="B494" s="60">
        <f t="shared" si="7"/>
        <v>2000</v>
      </c>
      <c r="C494" s="59">
        <v>6.03</v>
      </c>
    </row>
    <row r="495" spans="1:3" x14ac:dyDescent="0.25">
      <c r="A495" s="58">
        <v>36617</v>
      </c>
      <c r="B495" s="60">
        <f t="shared" si="7"/>
        <v>2000</v>
      </c>
      <c r="C495" s="59">
        <v>5.92</v>
      </c>
    </row>
    <row r="496" spans="1:3" x14ac:dyDescent="0.25">
      <c r="A496" s="58">
        <v>36647</v>
      </c>
      <c r="B496" s="60">
        <f t="shared" si="7"/>
        <v>2000</v>
      </c>
      <c r="C496" s="59">
        <v>6.22</v>
      </c>
    </row>
    <row r="497" spans="1:3" x14ac:dyDescent="0.25">
      <c r="A497" s="58">
        <v>36678</v>
      </c>
      <c r="B497" s="60">
        <f t="shared" si="7"/>
        <v>2000</v>
      </c>
      <c r="C497" s="59">
        <v>5.9</v>
      </c>
    </row>
    <row r="498" spans="1:3" x14ac:dyDescent="0.25">
      <c r="A498" s="58">
        <v>36708</v>
      </c>
      <c r="B498" s="60">
        <f t="shared" si="7"/>
        <v>2000</v>
      </c>
      <c r="C498" s="59">
        <v>5.86</v>
      </c>
    </row>
    <row r="499" spans="1:3" x14ac:dyDescent="0.25">
      <c r="A499" s="58">
        <v>36739</v>
      </c>
      <c r="B499" s="60">
        <f t="shared" si="7"/>
        <v>2000</v>
      </c>
      <c r="C499" s="59">
        <v>5.77</v>
      </c>
    </row>
    <row r="500" spans="1:3" x14ac:dyDescent="0.25">
      <c r="A500" s="58">
        <v>36770</v>
      </c>
      <c r="B500" s="60">
        <f t="shared" si="7"/>
        <v>2000</v>
      </c>
      <c r="C500" s="59">
        <v>5.73</v>
      </c>
    </row>
    <row r="501" spans="1:3" x14ac:dyDescent="0.25">
      <c r="A501" s="58">
        <v>36800</v>
      </c>
      <c r="B501" s="60">
        <f t="shared" si="7"/>
        <v>2000</v>
      </c>
      <c r="C501" s="59">
        <v>5.72</v>
      </c>
    </row>
    <row r="502" spans="1:3" x14ac:dyDescent="0.25">
      <c r="A502" s="58">
        <v>36831</v>
      </c>
      <c r="B502" s="60">
        <f t="shared" si="7"/>
        <v>2000</v>
      </c>
      <c r="C502" s="59">
        <v>5.73</v>
      </c>
    </row>
    <row r="503" spans="1:3" x14ac:dyDescent="0.25">
      <c r="A503" s="58">
        <v>36861</v>
      </c>
      <c r="B503" s="60">
        <f t="shared" si="7"/>
        <v>2000</v>
      </c>
      <c r="C503" s="59">
        <v>5.4</v>
      </c>
    </row>
    <row r="504" spans="1:3" x14ac:dyDescent="0.25">
      <c r="A504" s="58">
        <v>36892</v>
      </c>
      <c r="B504" s="60">
        <f t="shared" si="7"/>
        <v>2001</v>
      </c>
      <c r="C504" s="59">
        <v>5.42</v>
      </c>
    </row>
    <row r="505" spans="1:3" x14ac:dyDescent="0.25">
      <c r="A505" s="58">
        <v>36923</v>
      </c>
      <c r="B505" s="60">
        <f t="shared" si="7"/>
        <v>2001</v>
      </c>
      <c r="C505" s="59">
        <v>5.43</v>
      </c>
    </row>
    <row r="506" spans="1:3" x14ac:dyDescent="0.25">
      <c r="A506" s="58">
        <v>36951</v>
      </c>
      <c r="B506" s="60">
        <f t="shared" si="7"/>
        <v>2001</v>
      </c>
      <c r="C506" s="59">
        <v>5.3</v>
      </c>
    </row>
    <row r="507" spans="1:3" x14ac:dyDescent="0.25">
      <c r="A507" s="58">
        <v>36982</v>
      </c>
      <c r="B507" s="60">
        <f t="shared" si="7"/>
        <v>2001</v>
      </c>
      <c r="C507" s="59">
        <v>5.59</v>
      </c>
    </row>
    <row r="508" spans="1:3" x14ac:dyDescent="0.25">
      <c r="A508" s="58">
        <v>37012</v>
      </c>
      <c r="B508" s="60">
        <f t="shared" si="7"/>
        <v>2001</v>
      </c>
      <c r="C508" s="59">
        <v>5.85</v>
      </c>
    </row>
    <row r="509" spans="1:3" x14ac:dyDescent="0.25">
      <c r="A509" s="58">
        <v>37043</v>
      </c>
      <c r="B509" s="60">
        <f t="shared" si="7"/>
        <v>2001</v>
      </c>
      <c r="C509" s="59">
        <v>5.72</v>
      </c>
    </row>
    <row r="510" spans="1:3" x14ac:dyDescent="0.25">
      <c r="A510" s="58">
        <v>37073</v>
      </c>
      <c r="B510" s="60">
        <f t="shared" si="7"/>
        <v>2001</v>
      </c>
      <c r="C510" s="59">
        <v>5.8</v>
      </c>
    </row>
    <row r="511" spans="1:3" x14ac:dyDescent="0.25">
      <c r="A511" s="58">
        <v>37104</v>
      </c>
      <c r="B511" s="60">
        <f t="shared" si="7"/>
        <v>2001</v>
      </c>
      <c r="C511" s="59">
        <v>5.53</v>
      </c>
    </row>
    <row r="512" spans="1:3" x14ac:dyDescent="0.25">
      <c r="A512" s="58">
        <v>37135</v>
      </c>
      <c r="B512" s="60">
        <f t="shared" si="7"/>
        <v>2001</v>
      </c>
      <c r="C512" s="59">
        <v>5.3</v>
      </c>
    </row>
    <row r="513" spans="1:3" x14ac:dyDescent="0.25">
      <c r="A513" s="58">
        <v>37165</v>
      </c>
      <c r="B513" s="60">
        <f t="shared" si="7"/>
        <v>2001</v>
      </c>
      <c r="C513" s="59">
        <v>5.23</v>
      </c>
    </row>
    <row r="514" spans="1:3" x14ac:dyDescent="0.25">
      <c r="A514" s="58">
        <v>37196</v>
      </c>
      <c r="B514" s="60">
        <f t="shared" si="7"/>
        <v>2001</v>
      </c>
      <c r="C514" s="59">
        <v>5.18</v>
      </c>
    </row>
    <row r="515" spans="1:3" x14ac:dyDescent="0.25">
      <c r="A515" s="58">
        <v>37226</v>
      </c>
      <c r="B515" s="60">
        <f t="shared" si="7"/>
        <v>2001</v>
      </c>
      <c r="C515" s="59">
        <v>5.41</v>
      </c>
    </row>
    <row r="516" spans="1:3" x14ac:dyDescent="0.25">
      <c r="A516" s="58">
        <v>37257</v>
      </c>
      <c r="B516" s="60">
        <f t="shared" si="7"/>
        <v>2002</v>
      </c>
      <c r="C516" s="59">
        <v>5.34</v>
      </c>
    </row>
    <row r="517" spans="1:3" x14ac:dyDescent="0.25">
      <c r="A517" s="58">
        <v>37288</v>
      </c>
      <c r="B517" s="60">
        <f t="shared" si="7"/>
        <v>2002</v>
      </c>
      <c r="C517" s="59">
        <v>5.32</v>
      </c>
    </row>
    <row r="518" spans="1:3" x14ac:dyDescent="0.25">
      <c r="A518" s="58">
        <v>37316</v>
      </c>
      <c r="B518" s="60">
        <f t="shared" si="7"/>
        <v>2002</v>
      </c>
      <c r="C518" s="59">
        <v>5.67</v>
      </c>
    </row>
    <row r="519" spans="1:3" x14ac:dyDescent="0.25">
      <c r="A519" s="58">
        <v>37347</v>
      </c>
      <c r="B519" s="60">
        <f t="shared" si="7"/>
        <v>2002</v>
      </c>
      <c r="C519" s="59">
        <v>5.66</v>
      </c>
    </row>
    <row r="520" spans="1:3" x14ac:dyDescent="0.25">
      <c r="A520" s="58">
        <v>37377</v>
      </c>
      <c r="B520" s="60">
        <f t="shared" si="7"/>
        <v>2002</v>
      </c>
      <c r="C520" s="59">
        <v>5.6</v>
      </c>
    </row>
    <row r="521" spans="1:3" x14ac:dyDescent="0.25">
      <c r="A521" s="58">
        <v>37408</v>
      </c>
      <c r="B521" s="60">
        <f t="shared" si="7"/>
        <v>2002</v>
      </c>
      <c r="C521" s="59">
        <v>5.42</v>
      </c>
    </row>
    <row r="522" spans="1:3" x14ac:dyDescent="0.25">
      <c r="A522" s="58">
        <v>37438</v>
      </c>
      <c r="B522" s="60">
        <f t="shared" si="7"/>
        <v>2002</v>
      </c>
      <c r="C522" s="59">
        <v>5.29</v>
      </c>
    </row>
    <row r="523" spans="1:3" x14ac:dyDescent="0.25">
      <c r="A523" s="58">
        <v>37469</v>
      </c>
      <c r="B523" s="60">
        <f t="shared" si="7"/>
        <v>2002</v>
      </c>
      <c r="C523" s="59">
        <v>5.12</v>
      </c>
    </row>
    <row r="524" spans="1:3" x14ac:dyDescent="0.25">
      <c r="A524" s="58">
        <v>37500</v>
      </c>
      <c r="B524" s="60">
        <f t="shared" si="7"/>
        <v>2002</v>
      </c>
      <c r="C524" s="59">
        <v>4.8899999999999997</v>
      </c>
    </row>
    <row r="525" spans="1:3" x14ac:dyDescent="0.25">
      <c r="A525" s="58">
        <v>37530</v>
      </c>
      <c r="B525" s="60">
        <f t="shared" ref="B525:B588" si="8">YEAR(A525)</f>
        <v>2002</v>
      </c>
      <c r="C525" s="59">
        <v>5.13</v>
      </c>
    </row>
    <row r="526" spans="1:3" x14ac:dyDescent="0.25">
      <c r="A526" s="58">
        <v>37561</v>
      </c>
      <c r="B526" s="60">
        <f t="shared" si="8"/>
        <v>2002</v>
      </c>
      <c r="C526" s="59">
        <v>5.09</v>
      </c>
    </row>
    <row r="527" spans="1:3" x14ac:dyDescent="0.25">
      <c r="A527" s="58">
        <v>37591</v>
      </c>
      <c r="B527" s="60">
        <f t="shared" si="8"/>
        <v>2002</v>
      </c>
      <c r="C527" s="59">
        <v>4.97</v>
      </c>
    </row>
    <row r="528" spans="1:3" x14ac:dyDescent="0.25">
      <c r="A528" s="58">
        <v>37622</v>
      </c>
      <c r="B528" s="60">
        <f t="shared" si="8"/>
        <v>2003</v>
      </c>
      <c r="C528" s="59">
        <v>4.96</v>
      </c>
    </row>
    <row r="529" spans="1:3" x14ac:dyDescent="0.25">
      <c r="A529" s="58">
        <v>37653</v>
      </c>
      <c r="B529" s="60">
        <f t="shared" si="8"/>
        <v>2003</v>
      </c>
      <c r="C529" s="59">
        <v>5.01</v>
      </c>
    </row>
    <row r="530" spans="1:3" x14ac:dyDescent="0.25">
      <c r="A530" s="58">
        <v>37681</v>
      </c>
      <c r="B530" s="60">
        <f t="shared" si="8"/>
        <v>2003</v>
      </c>
      <c r="C530" s="59">
        <v>5</v>
      </c>
    </row>
    <row r="531" spans="1:3" x14ac:dyDescent="0.25">
      <c r="A531" s="58">
        <v>37712</v>
      </c>
      <c r="B531" s="60">
        <f t="shared" si="8"/>
        <v>2003</v>
      </c>
      <c r="C531" s="59">
        <v>5.05</v>
      </c>
    </row>
    <row r="532" spans="1:3" x14ac:dyDescent="0.25">
      <c r="A532" s="58">
        <v>37742</v>
      </c>
      <c r="B532" s="60">
        <f t="shared" si="8"/>
        <v>2003</v>
      </c>
      <c r="C532" s="59">
        <v>4.67</v>
      </c>
    </row>
    <row r="533" spans="1:3" x14ac:dyDescent="0.25">
      <c r="A533" s="58">
        <v>37773</v>
      </c>
      <c r="B533" s="60">
        <f t="shared" si="8"/>
        <v>2003</v>
      </c>
      <c r="C533" s="59">
        <v>4.29</v>
      </c>
    </row>
    <row r="534" spans="1:3" x14ac:dyDescent="0.25">
      <c r="A534" s="58">
        <v>37803</v>
      </c>
      <c r="B534" s="60">
        <f t="shared" si="8"/>
        <v>2003</v>
      </c>
      <c r="C534" s="59">
        <v>4.68</v>
      </c>
    </row>
    <row r="535" spans="1:3" x14ac:dyDescent="0.25">
      <c r="A535" s="58">
        <v>37834</v>
      </c>
      <c r="B535" s="60">
        <f t="shared" si="8"/>
        <v>2003</v>
      </c>
      <c r="C535" s="59">
        <v>4.9000000000000004</v>
      </c>
    </row>
    <row r="536" spans="1:3" x14ac:dyDescent="0.25">
      <c r="A536" s="58">
        <v>37865</v>
      </c>
      <c r="B536" s="60">
        <f t="shared" si="8"/>
        <v>2003</v>
      </c>
      <c r="C536" s="59">
        <v>4.76</v>
      </c>
    </row>
    <row r="537" spans="1:3" x14ac:dyDescent="0.25">
      <c r="A537" s="58">
        <v>37895</v>
      </c>
      <c r="B537" s="60">
        <f t="shared" si="8"/>
        <v>2003</v>
      </c>
      <c r="C537" s="59">
        <v>4.82</v>
      </c>
    </row>
    <row r="538" spans="1:3" x14ac:dyDescent="0.25">
      <c r="A538" s="58">
        <v>37926</v>
      </c>
      <c r="B538" s="60">
        <f t="shared" si="8"/>
        <v>2003</v>
      </c>
      <c r="C538" s="59">
        <v>4.8600000000000003</v>
      </c>
    </row>
    <row r="539" spans="1:3" x14ac:dyDescent="0.25">
      <c r="A539" s="58">
        <v>37956</v>
      </c>
      <c r="B539" s="60">
        <f t="shared" si="8"/>
        <v>2003</v>
      </c>
      <c r="C539" s="59">
        <v>4.7300000000000004</v>
      </c>
    </row>
    <row r="540" spans="1:3" x14ac:dyDescent="0.25">
      <c r="A540" s="58">
        <v>37987</v>
      </c>
      <c r="B540" s="60">
        <f t="shared" si="8"/>
        <v>2004</v>
      </c>
      <c r="C540" s="59">
        <v>4.59</v>
      </c>
    </row>
    <row r="541" spans="1:3" x14ac:dyDescent="0.25">
      <c r="A541" s="58">
        <v>38018</v>
      </c>
      <c r="B541" s="60">
        <f t="shared" si="8"/>
        <v>2004</v>
      </c>
      <c r="C541" s="59">
        <v>4.45</v>
      </c>
    </row>
    <row r="542" spans="1:3" x14ac:dyDescent="0.25">
      <c r="A542" s="58">
        <v>38047</v>
      </c>
      <c r="B542" s="60">
        <f t="shared" si="8"/>
        <v>2004</v>
      </c>
      <c r="C542" s="59">
        <v>4.26</v>
      </c>
    </row>
    <row r="543" spans="1:3" x14ac:dyDescent="0.25">
      <c r="A543" s="58">
        <v>38078</v>
      </c>
      <c r="B543" s="60">
        <f t="shared" si="8"/>
        <v>2004</v>
      </c>
      <c r="C543" s="59">
        <v>4.6100000000000003</v>
      </c>
    </row>
    <row r="544" spans="1:3" x14ac:dyDescent="0.25">
      <c r="A544" s="58">
        <v>38108</v>
      </c>
      <c r="B544" s="60">
        <f t="shared" si="8"/>
        <v>2004</v>
      </c>
      <c r="C544" s="59">
        <v>4.7699999999999996</v>
      </c>
    </row>
    <row r="545" spans="1:3" x14ac:dyDescent="0.25">
      <c r="A545" s="58">
        <v>38139</v>
      </c>
      <c r="B545" s="60">
        <f t="shared" si="8"/>
        <v>2004</v>
      </c>
      <c r="C545" s="59">
        <v>4.93</v>
      </c>
    </row>
    <row r="546" spans="1:3" x14ac:dyDescent="0.25">
      <c r="A546" s="58">
        <v>38169</v>
      </c>
      <c r="B546" s="60">
        <f t="shared" si="8"/>
        <v>2004</v>
      </c>
      <c r="C546" s="59">
        <v>4.75</v>
      </c>
    </row>
    <row r="547" spans="1:3" x14ac:dyDescent="0.25">
      <c r="A547" s="58">
        <v>38200</v>
      </c>
      <c r="B547" s="60">
        <f t="shared" si="8"/>
        <v>2004</v>
      </c>
      <c r="C547" s="59">
        <v>4.63</v>
      </c>
    </row>
    <row r="548" spans="1:3" x14ac:dyDescent="0.25">
      <c r="A548" s="58">
        <v>38231</v>
      </c>
      <c r="B548" s="60">
        <f t="shared" si="8"/>
        <v>2004</v>
      </c>
      <c r="C548" s="59">
        <v>4.5999999999999996</v>
      </c>
    </row>
    <row r="549" spans="1:3" x14ac:dyDescent="0.25">
      <c r="A549" s="58">
        <v>38261</v>
      </c>
      <c r="B549" s="60">
        <f t="shared" si="8"/>
        <v>2004</v>
      </c>
      <c r="C549" s="59">
        <v>4.55</v>
      </c>
    </row>
    <row r="550" spans="1:3" x14ac:dyDescent="0.25">
      <c r="A550" s="58">
        <v>38292</v>
      </c>
      <c r="B550" s="60">
        <f t="shared" si="8"/>
        <v>2004</v>
      </c>
      <c r="C550" s="59">
        <v>4.4800000000000004</v>
      </c>
    </row>
    <row r="551" spans="1:3" x14ac:dyDescent="0.25">
      <c r="A551" s="58">
        <v>38322</v>
      </c>
      <c r="B551" s="60">
        <f t="shared" si="8"/>
        <v>2004</v>
      </c>
      <c r="C551" s="59">
        <v>4.32</v>
      </c>
    </row>
    <row r="552" spans="1:3" x14ac:dyDescent="0.25">
      <c r="A552" s="58">
        <v>38353</v>
      </c>
      <c r="B552" s="60">
        <f t="shared" si="8"/>
        <v>2005</v>
      </c>
      <c r="C552" s="59">
        <v>4.26</v>
      </c>
    </row>
    <row r="553" spans="1:3" x14ac:dyDescent="0.25">
      <c r="A553" s="58">
        <v>38384</v>
      </c>
      <c r="B553" s="60">
        <f t="shared" si="8"/>
        <v>2005</v>
      </c>
      <c r="C553" s="59">
        <v>4.21</v>
      </c>
    </row>
    <row r="554" spans="1:3" x14ac:dyDescent="0.25">
      <c r="A554" s="58">
        <v>38412</v>
      </c>
      <c r="B554" s="60">
        <f t="shared" si="8"/>
        <v>2005</v>
      </c>
      <c r="C554" s="59">
        <v>4.3600000000000003</v>
      </c>
    </row>
    <row r="555" spans="1:3" x14ac:dyDescent="0.25">
      <c r="A555" s="58">
        <v>38443</v>
      </c>
      <c r="B555" s="60">
        <f t="shared" si="8"/>
        <v>2005</v>
      </c>
      <c r="C555" s="59">
        <v>4.1900000000000004</v>
      </c>
    </row>
    <row r="556" spans="1:3" x14ac:dyDescent="0.25">
      <c r="A556" s="58">
        <v>38473</v>
      </c>
      <c r="B556" s="60">
        <f t="shared" si="8"/>
        <v>2005</v>
      </c>
      <c r="C556" s="59">
        <v>4.07</v>
      </c>
    </row>
    <row r="557" spans="1:3" x14ac:dyDescent="0.25">
      <c r="A557" s="58">
        <v>38504</v>
      </c>
      <c r="B557" s="60">
        <f t="shared" si="8"/>
        <v>2005</v>
      </c>
      <c r="C557" s="59">
        <v>3.83</v>
      </c>
    </row>
    <row r="558" spans="1:3" x14ac:dyDescent="0.25">
      <c r="A558" s="58">
        <v>38534</v>
      </c>
      <c r="B558" s="60">
        <f t="shared" si="8"/>
        <v>2005</v>
      </c>
      <c r="C558" s="59">
        <v>3.9</v>
      </c>
    </row>
    <row r="559" spans="1:3" x14ac:dyDescent="0.25">
      <c r="A559" s="58">
        <v>38565</v>
      </c>
      <c r="B559" s="60">
        <f t="shared" si="8"/>
        <v>2005</v>
      </c>
      <c r="C559" s="59">
        <v>3.92</v>
      </c>
    </row>
    <row r="560" spans="1:3" x14ac:dyDescent="0.25">
      <c r="A560" s="58">
        <v>38596</v>
      </c>
      <c r="B560" s="60">
        <f t="shared" si="8"/>
        <v>2005</v>
      </c>
      <c r="C560" s="59">
        <v>3.87</v>
      </c>
    </row>
    <row r="561" spans="1:3" x14ac:dyDescent="0.25">
      <c r="A561" s="58">
        <v>38626</v>
      </c>
      <c r="B561" s="60">
        <f t="shared" si="8"/>
        <v>2005</v>
      </c>
      <c r="C561" s="59">
        <v>4.05</v>
      </c>
    </row>
    <row r="562" spans="1:3" x14ac:dyDescent="0.25">
      <c r="A562" s="58">
        <v>38657</v>
      </c>
      <c r="B562" s="60">
        <f t="shared" si="8"/>
        <v>2005</v>
      </c>
      <c r="C562" s="59">
        <v>4.1100000000000003</v>
      </c>
    </row>
    <row r="563" spans="1:3" x14ac:dyDescent="0.25">
      <c r="A563" s="58">
        <v>38687</v>
      </c>
      <c r="B563" s="60">
        <f t="shared" si="8"/>
        <v>2005</v>
      </c>
      <c r="C563" s="59">
        <v>4.04</v>
      </c>
    </row>
    <row r="564" spans="1:3" x14ac:dyDescent="0.25">
      <c r="A564" s="58">
        <v>38718</v>
      </c>
      <c r="B564" s="60">
        <f t="shared" si="8"/>
        <v>2006</v>
      </c>
      <c r="C564" s="59">
        <v>4.03</v>
      </c>
    </row>
    <row r="565" spans="1:3" x14ac:dyDescent="0.25">
      <c r="A565" s="58">
        <v>38749</v>
      </c>
      <c r="B565" s="60">
        <f t="shared" si="8"/>
        <v>2006</v>
      </c>
      <c r="C565" s="59">
        <v>4.17</v>
      </c>
    </row>
    <row r="566" spans="1:3" x14ac:dyDescent="0.25">
      <c r="A566" s="58">
        <v>38777</v>
      </c>
      <c r="B566" s="60">
        <f t="shared" si="8"/>
        <v>2006</v>
      </c>
      <c r="C566" s="59">
        <v>4.2</v>
      </c>
    </row>
    <row r="567" spans="1:3" x14ac:dyDescent="0.25">
      <c r="A567" s="58">
        <v>38808</v>
      </c>
      <c r="B567" s="60">
        <f t="shared" si="8"/>
        <v>2006</v>
      </c>
      <c r="C567" s="59">
        <v>4.42</v>
      </c>
    </row>
    <row r="568" spans="1:3" x14ac:dyDescent="0.25">
      <c r="A568" s="58">
        <v>38838</v>
      </c>
      <c r="B568" s="60">
        <f t="shared" si="8"/>
        <v>2006</v>
      </c>
      <c r="C568" s="59">
        <v>4.4000000000000004</v>
      </c>
    </row>
    <row r="569" spans="1:3" x14ac:dyDescent="0.25">
      <c r="A569" s="58">
        <v>38869</v>
      </c>
      <c r="B569" s="60">
        <f t="shared" si="8"/>
        <v>2006</v>
      </c>
      <c r="C569" s="59">
        <v>4.4400000000000004</v>
      </c>
    </row>
    <row r="570" spans="1:3" x14ac:dyDescent="0.25">
      <c r="A570" s="58">
        <v>38899</v>
      </c>
      <c r="B570" s="60">
        <f t="shared" si="8"/>
        <v>2006</v>
      </c>
      <c r="C570" s="59">
        <v>4.4400000000000004</v>
      </c>
    </row>
    <row r="571" spans="1:3" x14ac:dyDescent="0.25">
      <c r="A571" s="58">
        <v>38930</v>
      </c>
      <c r="B571" s="60">
        <f t="shared" si="8"/>
        <v>2006</v>
      </c>
      <c r="C571" s="59">
        <v>4.25</v>
      </c>
    </row>
    <row r="572" spans="1:3" x14ac:dyDescent="0.25">
      <c r="A572" s="58">
        <v>38961</v>
      </c>
      <c r="B572" s="60">
        <f t="shared" si="8"/>
        <v>2006</v>
      </c>
      <c r="C572" s="59">
        <v>4.07</v>
      </c>
    </row>
    <row r="573" spans="1:3" x14ac:dyDescent="0.25">
      <c r="A573" s="58">
        <v>38991</v>
      </c>
      <c r="B573" s="60">
        <f t="shared" si="8"/>
        <v>2006</v>
      </c>
      <c r="C573" s="59">
        <v>4.1100000000000003</v>
      </c>
    </row>
    <row r="574" spans="1:3" x14ac:dyDescent="0.25">
      <c r="A574" s="58">
        <v>39022</v>
      </c>
      <c r="B574" s="60">
        <f t="shared" si="8"/>
        <v>2006</v>
      </c>
      <c r="C574" s="59">
        <v>4</v>
      </c>
    </row>
    <row r="575" spans="1:3" x14ac:dyDescent="0.25">
      <c r="A575" s="58">
        <v>39052</v>
      </c>
      <c r="B575" s="60">
        <f t="shared" si="8"/>
        <v>2006</v>
      </c>
      <c r="C575" s="59">
        <v>3.98</v>
      </c>
    </row>
    <row r="576" spans="1:3" x14ac:dyDescent="0.25">
      <c r="A576" s="58">
        <v>39083</v>
      </c>
      <c r="B576" s="60">
        <f t="shared" si="8"/>
        <v>2007</v>
      </c>
      <c r="C576" s="59">
        <v>4.12</v>
      </c>
    </row>
    <row r="577" spans="1:3" x14ac:dyDescent="0.25">
      <c r="A577" s="58">
        <v>39114</v>
      </c>
      <c r="B577" s="60">
        <f t="shared" si="8"/>
        <v>2007</v>
      </c>
      <c r="C577" s="59">
        <v>4.12</v>
      </c>
    </row>
    <row r="578" spans="1:3" x14ac:dyDescent="0.25">
      <c r="A578" s="58">
        <v>39142</v>
      </c>
      <c r="B578" s="60">
        <f t="shared" si="8"/>
        <v>2007</v>
      </c>
      <c r="C578" s="59">
        <v>4.05</v>
      </c>
    </row>
    <row r="579" spans="1:3" x14ac:dyDescent="0.25">
      <c r="A579" s="58">
        <v>39173</v>
      </c>
      <c r="B579" s="60">
        <f t="shared" si="8"/>
        <v>2007</v>
      </c>
      <c r="C579" s="59">
        <v>4.17</v>
      </c>
    </row>
    <row r="580" spans="1:3" x14ac:dyDescent="0.25">
      <c r="A580" s="58">
        <v>39203</v>
      </c>
      <c r="B580" s="60">
        <f t="shared" si="8"/>
        <v>2007</v>
      </c>
      <c r="C580" s="59">
        <v>4.29</v>
      </c>
    </row>
    <row r="581" spans="1:3" x14ac:dyDescent="0.25">
      <c r="A581" s="58">
        <v>39234</v>
      </c>
      <c r="B581" s="60">
        <f t="shared" si="8"/>
        <v>2007</v>
      </c>
      <c r="C581" s="59">
        <v>4.6100000000000003</v>
      </c>
    </row>
    <row r="582" spans="1:3" x14ac:dyDescent="0.25">
      <c r="A582" s="58">
        <v>39264</v>
      </c>
      <c r="B582" s="60">
        <f t="shared" si="8"/>
        <v>2007</v>
      </c>
      <c r="C582" s="59">
        <v>4.59</v>
      </c>
    </row>
    <row r="583" spans="1:3" x14ac:dyDescent="0.25">
      <c r="A583" s="58">
        <v>39295</v>
      </c>
      <c r="B583" s="60">
        <f t="shared" si="8"/>
        <v>2007</v>
      </c>
      <c r="C583" s="59">
        <v>4.43</v>
      </c>
    </row>
    <row r="584" spans="1:3" x14ac:dyDescent="0.25">
      <c r="A584" s="58">
        <v>39326</v>
      </c>
      <c r="B584" s="60">
        <f t="shared" si="8"/>
        <v>2007</v>
      </c>
      <c r="C584" s="59">
        <v>4.3600000000000003</v>
      </c>
    </row>
    <row r="585" spans="1:3" x14ac:dyDescent="0.25">
      <c r="A585" s="58">
        <v>39356</v>
      </c>
      <c r="B585" s="60">
        <f t="shared" si="8"/>
        <v>2007</v>
      </c>
      <c r="C585" s="59">
        <v>4.3600000000000003</v>
      </c>
    </row>
    <row r="586" spans="1:3" x14ac:dyDescent="0.25">
      <c r="A586" s="58">
        <v>39387</v>
      </c>
      <c r="B586" s="60">
        <f t="shared" si="8"/>
        <v>2007</v>
      </c>
      <c r="C586" s="59">
        <v>4.12</v>
      </c>
    </row>
    <row r="587" spans="1:3" x14ac:dyDescent="0.25">
      <c r="A587" s="58">
        <v>39417</v>
      </c>
      <c r="B587" s="60">
        <f t="shared" si="8"/>
        <v>2007</v>
      </c>
      <c r="C587" s="59">
        <v>4.0199999999999996</v>
      </c>
    </row>
    <row r="588" spans="1:3" x14ac:dyDescent="0.25">
      <c r="A588" s="58">
        <v>39448</v>
      </c>
      <c r="B588" s="60">
        <f t="shared" si="8"/>
        <v>2008</v>
      </c>
      <c r="C588" s="59">
        <v>3.85</v>
      </c>
    </row>
    <row r="589" spans="1:3" x14ac:dyDescent="0.25">
      <c r="A589" s="58">
        <v>39479</v>
      </c>
      <c r="B589" s="60">
        <f t="shared" ref="B589:B652" si="9">YEAR(A589)</f>
        <v>2008</v>
      </c>
      <c r="C589" s="59">
        <v>3.83</v>
      </c>
    </row>
    <row r="590" spans="1:3" x14ac:dyDescent="0.25">
      <c r="A590" s="58">
        <v>39508</v>
      </c>
      <c r="B590" s="60">
        <f t="shared" si="9"/>
        <v>2008</v>
      </c>
      <c r="C590" s="59">
        <v>3.51</v>
      </c>
    </row>
    <row r="591" spans="1:3" x14ac:dyDescent="0.25">
      <c r="A591" s="58">
        <v>39539</v>
      </c>
      <c r="B591" s="60">
        <f t="shared" si="9"/>
        <v>2008</v>
      </c>
      <c r="C591" s="59">
        <v>3.63</v>
      </c>
    </row>
    <row r="592" spans="1:3" x14ac:dyDescent="0.25">
      <c r="A592" s="58">
        <v>39569</v>
      </c>
      <c r="B592" s="60">
        <f t="shared" si="9"/>
        <v>2008</v>
      </c>
      <c r="C592" s="59">
        <v>3.62</v>
      </c>
    </row>
    <row r="593" spans="1:3" x14ac:dyDescent="0.25">
      <c r="A593" s="58">
        <v>39600</v>
      </c>
      <c r="B593" s="60">
        <f t="shared" si="9"/>
        <v>2008</v>
      </c>
      <c r="C593" s="59">
        <v>3.76</v>
      </c>
    </row>
    <row r="594" spans="1:3" x14ac:dyDescent="0.25">
      <c r="A594" s="58">
        <v>39630</v>
      </c>
      <c r="B594" s="60">
        <f t="shared" si="9"/>
        <v>2008</v>
      </c>
      <c r="C594" s="59">
        <v>3.75</v>
      </c>
    </row>
    <row r="595" spans="1:3" x14ac:dyDescent="0.25">
      <c r="A595" s="58">
        <v>39661</v>
      </c>
      <c r="B595" s="60">
        <f t="shared" si="9"/>
        <v>2008</v>
      </c>
      <c r="C595" s="59">
        <v>3.59</v>
      </c>
    </row>
    <row r="596" spans="1:3" x14ac:dyDescent="0.25">
      <c r="A596" s="58">
        <v>39692</v>
      </c>
      <c r="B596" s="60">
        <f t="shared" si="9"/>
        <v>2008</v>
      </c>
      <c r="C596" s="59">
        <v>3.54</v>
      </c>
    </row>
    <row r="597" spans="1:3" x14ac:dyDescent="0.25">
      <c r="A597" s="58">
        <v>39722</v>
      </c>
      <c r="B597" s="60">
        <f t="shared" si="9"/>
        <v>2008</v>
      </c>
      <c r="C597" s="59">
        <v>3.67</v>
      </c>
    </row>
    <row r="598" spans="1:3" x14ac:dyDescent="0.25">
      <c r="A598" s="58">
        <v>39753</v>
      </c>
      <c r="B598" s="60">
        <f t="shared" si="9"/>
        <v>2008</v>
      </c>
      <c r="C598" s="59">
        <v>3.57</v>
      </c>
    </row>
    <row r="599" spans="1:3" x14ac:dyDescent="0.25">
      <c r="A599" s="58">
        <v>39783</v>
      </c>
      <c r="B599" s="60">
        <f t="shared" si="9"/>
        <v>2008</v>
      </c>
      <c r="C599" s="59">
        <v>2.95</v>
      </c>
    </row>
    <row r="600" spans="1:3" x14ac:dyDescent="0.25">
      <c r="A600" s="58">
        <v>39814</v>
      </c>
      <c r="B600" s="60">
        <f t="shared" si="9"/>
        <v>2009</v>
      </c>
      <c r="C600" s="59">
        <v>2.81</v>
      </c>
    </row>
    <row r="601" spans="1:3" x14ac:dyDescent="0.25">
      <c r="A601" s="58">
        <v>39845</v>
      </c>
      <c r="B601" s="60">
        <f t="shared" si="9"/>
        <v>2009</v>
      </c>
      <c r="C601" s="59">
        <v>2.96</v>
      </c>
    </row>
    <row r="602" spans="1:3" x14ac:dyDescent="0.25">
      <c r="A602" s="58">
        <v>39873</v>
      </c>
      <c r="B602" s="60">
        <f t="shared" si="9"/>
        <v>2009</v>
      </c>
      <c r="C602" s="59">
        <v>2.89</v>
      </c>
    </row>
    <row r="603" spans="1:3" x14ac:dyDescent="0.25">
      <c r="A603" s="58">
        <v>39904</v>
      </c>
      <c r="B603" s="60">
        <f t="shared" si="9"/>
        <v>2009</v>
      </c>
      <c r="C603" s="59">
        <v>2.95</v>
      </c>
    </row>
    <row r="604" spans="1:3" x14ac:dyDescent="0.25">
      <c r="A604" s="58">
        <v>39934</v>
      </c>
      <c r="B604" s="60">
        <f t="shared" si="9"/>
        <v>2009</v>
      </c>
      <c r="C604" s="59">
        <v>3.2</v>
      </c>
    </row>
    <row r="605" spans="1:3" x14ac:dyDescent="0.25">
      <c r="A605" s="58">
        <v>39965</v>
      </c>
      <c r="B605" s="60">
        <f t="shared" si="9"/>
        <v>2009</v>
      </c>
      <c r="C605" s="59">
        <v>3.46</v>
      </c>
    </row>
    <row r="606" spans="1:3" x14ac:dyDescent="0.25">
      <c r="A606" s="58">
        <v>39995</v>
      </c>
      <c r="B606" s="60">
        <f t="shared" si="9"/>
        <v>2009</v>
      </c>
      <c r="C606" s="59">
        <v>3.43</v>
      </c>
    </row>
    <row r="607" spans="1:3" x14ac:dyDescent="0.25">
      <c r="A607" s="58">
        <v>40026</v>
      </c>
      <c r="B607" s="60">
        <f t="shared" si="9"/>
        <v>2009</v>
      </c>
      <c r="C607" s="59">
        <v>3.46</v>
      </c>
    </row>
    <row r="608" spans="1:3" x14ac:dyDescent="0.25">
      <c r="A608" s="58">
        <v>40057</v>
      </c>
      <c r="B608" s="60">
        <f t="shared" si="9"/>
        <v>2009</v>
      </c>
      <c r="C608" s="59">
        <v>3.37</v>
      </c>
    </row>
    <row r="609" spans="1:3" x14ac:dyDescent="0.25">
      <c r="A609" s="58">
        <v>40087</v>
      </c>
      <c r="B609" s="60">
        <f t="shared" si="9"/>
        <v>2009</v>
      </c>
      <c r="C609" s="59">
        <v>3.43</v>
      </c>
    </row>
    <row r="610" spans="1:3" x14ac:dyDescent="0.25">
      <c r="A610" s="58">
        <v>40118</v>
      </c>
      <c r="B610" s="60">
        <f t="shared" si="9"/>
        <v>2009</v>
      </c>
      <c r="C610" s="59">
        <v>3.39</v>
      </c>
    </row>
    <row r="611" spans="1:3" x14ac:dyDescent="0.25">
      <c r="A611" s="58">
        <v>40148</v>
      </c>
      <c r="B611" s="60">
        <f t="shared" si="9"/>
        <v>2009</v>
      </c>
      <c r="C611" s="59">
        <v>3.42</v>
      </c>
    </row>
    <row r="612" spans="1:3" x14ac:dyDescent="0.25">
      <c r="A612" s="58">
        <v>40179</v>
      </c>
      <c r="B612" s="60">
        <f t="shared" si="9"/>
        <v>2010</v>
      </c>
      <c r="C612" s="59">
        <v>3.49</v>
      </c>
    </row>
    <row r="613" spans="1:3" x14ac:dyDescent="0.25">
      <c r="A613" s="58">
        <v>40210</v>
      </c>
      <c r="B613" s="60">
        <f t="shared" si="9"/>
        <v>2010</v>
      </c>
      <c r="C613" s="59">
        <v>3.42</v>
      </c>
    </row>
    <row r="614" spans="1:3" x14ac:dyDescent="0.25">
      <c r="A614" s="58">
        <v>40238</v>
      </c>
      <c r="B614" s="60">
        <f t="shared" si="9"/>
        <v>2010</v>
      </c>
      <c r="C614" s="59">
        <v>3.49</v>
      </c>
    </row>
    <row r="615" spans="1:3" x14ac:dyDescent="0.25">
      <c r="A615" s="58">
        <v>40269</v>
      </c>
      <c r="B615" s="60">
        <f t="shared" si="9"/>
        <v>2010</v>
      </c>
      <c r="C615" s="59">
        <v>3.67</v>
      </c>
    </row>
    <row r="616" spans="1:3" x14ac:dyDescent="0.25">
      <c r="A616" s="58">
        <v>40299</v>
      </c>
      <c r="B616" s="60">
        <f t="shared" si="9"/>
        <v>2010</v>
      </c>
      <c r="C616" s="59">
        <v>3.45</v>
      </c>
    </row>
    <row r="617" spans="1:3" x14ac:dyDescent="0.25">
      <c r="A617" s="58">
        <v>40330</v>
      </c>
      <c r="B617" s="60">
        <f t="shared" si="9"/>
        <v>2010</v>
      </c>
      <c r="C617" s="59">
        <v>3.3</v>
      </c>
    </row>
    <row r="618" spans="1:3" x14ac:dyDescent="0.25">
      <c r="A618" s="58">
        <v>40360</v>
      </c>
      <c r="B618" s="60">
        <f t="shared" si="9"/>
        <v>2010</v>
      </c>
      <c r="C618" s="59">
        <v>3.19</v>
      </c>
    </row>
    <row r="619" spans="1:3" x14ac:dyDescent="0.25">
      <c r="A619" s="58">
        <v>40391</v>
      </c>
      <c r="B619" s="60">
        <f t="shared" si="9"/>
        <v>2010</v>
      </c>
      <c r="C619" s="59">
        <v>2.95</v>
      </c>
    </row>
    <row r="620" spans="1:3" x14ac:dyDescent="0.25">
      <c r="A620" s="58">
        <v>40422</v>
      </c>
      <c r="B620" s="60">
        <f t="shared" si="9"/>
        <v>2010</v>
      </c>
      <c r="C620" s="59">
        <v>2.88</v>
      </c>
    </row>
    <row r="621" spans="1:3" x14ac:dyDescent="0.25">
      <c r="A621" s="58">
        <v>40452</v>
      </c>
      <c r="B621" s="60">
        <f t="shared" si="9"/>
        <v>2010</v>
      </c>
      <c r="C621" s="59">
        <v>2.77</v>
      </c>
    </row>
    <row r="622" spans="1:3" x14ac:dyDescent="0.25">
      <c r="A622" s="58">
        <v>40483</v>
      </c>
      <c r="B622" s="60">
        <f t="shared" si="9"/>
        <v>2010</v>
      </c>
      <c r="C622" s="59">
        <v>3.02</v>
      </c>
    </row>
    <row r="623" spans="1:3" x14ac:dyDescent="0.25">
      <c r="A623" s="58">
        <v>40513</v>
      </c>
      <c r="B623" s="60">
        <f t="shared" si="9"/>
        <v>2010</v>
      </c>
      <c r="C623" s="59">
        <v>3.2</v>
      </c>
    </row>
    <row r="624" spans="1:3" x14ac:dyDescent="0.25">
      <c r="A624" s="58">
        <v>40544</v>
      </c>
      <c r="B624" s="60">
        <f t="shared" si="9"/>
        <v>2011</v>
      </c>
      <c r="C624" s="59">
        <v>3.25</v>
      </c>
    </row>
    <row r="625" spans="1:3" x14ac:dyDescent="0.25">
      <c r="A625" s="58">
        <v>40575</v>
      </c>
      <c r="B625" s="60">
        <f t="shared" si="9"/>
        <v>2011</v>
      </c>
      <c r="C625" s="59">
        <v>3.42</v>
      </c>
    </row>
    <row r="626" spans="1:3" x14ac:dyDescent="0.25">
      <c r="A626" s="58">
        <v>40603</v>
      </c>
      <c r="B626" s="60">
        <f t="shared" si="9"/>
        <v>2011</v>
      </c>
      <c r="C626" s="59">
        <v>3.27</v>
      </c>
    </row>
    <row r="627" spans="1:3" x14ac:dyDescent="0.25">
      <c r="A627" s="58">
        <v>40634</v>
      </c>
      <c r="B627" s="60">
        <f t="shared" si="9"/>
        <v>2011</v>
      </c>
      <c r="C627" s="59">
        <v>3.33</v>
      </c>
    </row>
    <row r="628" spans="1:3" x14ac:dyDescent="0.25">
      <c r="A628" s="58">
        <v>40664</v>
      </c>
      <c r="B628" s="60">
        <f t="shared" si="9"/>
        <v>2011</v>
      </c>
      <c r="C628" s="59">
        <v>3.15</v>
      </c>
    </row>
    <row r="629" spans="1:3" x14ac:dyDescent="0.25">
      <c r="A629" s="58">
        <v>40695</v>
      </c>
      <c r="B629" s="60">
        <f t="shared" si="9"/>
        <v>2011</v>
      </c>
      <c r="C629" s="59">
        <v>2.99</v>
      </c>
    </row>
    <row r="630" spans="1:3" x14ac:dyDescent="0.25">
      <c r="A630" s="58">
        <v>40725</v>
      </c>
      <c r="B630" s="60">
        <f t="shared" si="9"/>
        <v>2011</v>
      </c>
      <c r="C630" s="59">
        <v>2.94</v>
      </c>
    </row>
    <row r="631" spans="1:3" x14ac:dyDescent="0.25">
      <c r="A631" s="58">
        <v>40756</v>
      </c>
      <c r="B631" s="60">
        <f t="shared" si="9"/>
        <v>2011</v>
      </c>
      <c r="C631" s="59">
        <v>2.4500000000000002</v>
      </c>
    </row>
    <row r="632" spans="1:3" x14ac:dyDescent="0.25">
      <c r="A632" s="58">
        <v>40787</v>
      </c>
      <c r="B632" s="60">
        <f t="shared" si="9"/>
        <v>2011</v>
      </c>
      <c r="C632" s="59">
        <v>2.2000000000000002</v>
      </c>
    </row>
    <row r="633" spans="1:3" x14ac:dyDescent="0.25">
      <c r="A633" s="58">
        <v>40817</v>
      </c>
      <c r="B633" s="60">
        <f t="shared" si="9"/>
        <v>2011</v>
      </c>
      <c r="C633" s="59">
        <v>2.2999999999999998</v>
      </c>
    </row>
    <row r="634" spans="1:3" x14ac:dyDescent="0.25">
      <c r="A634" s="58">
        <v>40848</v>
      </c>
      <c r="B634" s="60">
        <f t="shared" si="9"/>
        <v>2011</v>
      </c>
      <c r="C634" s="59">
        <v>2.12</v>
      </c>
    </row>
    <row r="635" spans="1:3" x14ac:dyDescent="0.25">
      <c r="A635" s="58">
        <v>40878</v>
      </c>
      <c r="B635" s="60">
        <f t="shared" si="9"/>
        <v>2011</v>
      </c>
      <c r="C635" s="59">
        <v>1.99</v>
      </c>
    </row>
    <row r="636" spans="1:3" x14ac:dyDescent="0.25">
      <c r="A636" s="58">
        <v>40909</v>
      </c>
      <c r="B636" s="60">
        <f t="shared" si="9"/>
        <v>2012</v>
      </c>
      <c r="C636" s="59">
        <v>1.98</v>
      </c>
    </row>
    <row r="637" spans="1:3" x14ac:dyDescent="0.25">
      <c r="A637" s="58">
        <v>40940</v>
      </c>
      <c r="B637" s="60">
        <f t="shared" si="9"/>
        <v>2012</v>
      </c>
      <c r="C637" s="59">
        <v>2.02</v>
      </c>
    </row>
    <row r="638" spans="1:3" x14ac:dyDescent="0.25">
      <c r="A638" s="58">
        <v>40969</v>
      </c>
      <c r="B638" s="60">
        <f t="shared" si="9"/>
        <v>2012</v>
      </c>
      <c r="C638" s="59">
        <v>2.11</v>
      </c>
    </row>
    <row r="639" spans="1:3" x14ac:dyDescent="0.25">
      <c r="A639" s="58">
        <v>41000</v>
      </c>
      <c r="B639" s="60">
        <f t="shared" si="9"/>
        <v>2012</v>
      </c>
      <c r="C639" s="59">
        <v>2.06</v>
      </c>
    </row>
    <row r="640" spans="1:3" x14ac:dyDescent="0.25">
      <c r="A640" s="58">
        <v>41030</v>
      </c>
      <c r="B640" s="60">
        <f t="shared" si="9"/>
        <v>2012</v>
      </c>
      <c r="C640" s="59">
        <v>1.92</v>
      </c>
    </row>
    <row r="641" spans="1:3" x14ac:dyDescent="0.25">
      <c r="A641" s="58">
        <v>41061</v>
      </c>
      <c r="B641" s="60">
        <f t="shared" si="9"/>
        <v>2012</v>
      </c>
      <c r="C641" s="59">
        <v>1.75</v>
      </c>
    </row>
    <row r="642" spans="1:3" x14ac:dyDescent="0.25">
      <c r="A642" s="58">
        <v>41091</v>
      </c>
      <c r="B642" s="60">
        <f t="shared" si="9"/>
        <v>2012</v>
      </c>
      <c r="C642" s="59">
        <v>1.66</v>
      </c>
    </row>
    <row r="643" spans="1:3" x14ac:dyDescent="0.25">
      <c r="A643" s="58">
        <v>41122</v>
      </c>
      <c r="B643" s="60">
        <f t="shared" si="9"/>
        <v>2012</v>
      </c>
      <c r="C643" s="59">
        <v>1.83</v>
      </c>
    </row>
    <row r="644" spans="1:3" x14ac:dyDescent="0.25">
      <c r="A644" s="58">
        <v>41153</v>
      </c>
      <c r="B644" s="60">
        <f t="shared" si="9"/>
        <v>2012</v>
      </c>
      <c r="C644" s="59">
        <v>1.84</v>
      </c>
    </row>
    <row r="645" spans="1:3" x14ac:dyDescent="0.25">
      <c r="A645" s="58">
        <v>41183</v>
      </c>
      <c r="B645" s="60">
        <f t="shared" si="9"/>
        <v>2012</v>
      </c>
      <c r="C645" s="59">
        <v>1.81</v>
      </c>
    </row>
    <row r="646" spans="1:3" x14ac:dyDescent="0.25">
      <c r="A646" s="58">
        <v>41214</v>
      </c>
      <c r="B646" s="60">
        <f t="shared" si="9"/>
        <v>2012</v>
      </c>
      <c r="C646" s="59">
        <v>1.74</v>
      </c>
    </row>
    <row r="647" spans="1:3" x14ac:dyDescent="0.25">
      <c r="A647" s="58">
        <v>41244</v>
      </c>
      <c r="B647" s="60">
        <f t="shared" si="9"/>
        <v>2012</v>
      </c>
      <c r="C647" s="59">
        <v>1.77</v>
      </c>
    </row>
    <row r="648" spans="1:3" x14ac:dyDescent="0.25">
      <c r="A648" s="58">
        <v>41275</v>
      </c>
      <c r="B648" s="60">
        <f t="shared" si="9"/>
        <v>2013</v>
      </c>
      <c r="C648" s="59">
        <v>1.93</v>
      </c>
    </row>
    <row r="649" spans="1:3" x14ac:dyDescent="0.25">
      <c r="A649" s="58">
        <v>41306</v>
      </c>
      <c r="B649" s="60">
        <f t="shared" si="9"/>
        <v>2013</v>
      </c>
      <c r="C649" s="59">
        <v>1.97</v>
      </c>
    </row>
    <row r="650" spans="1:3" x14ac:dyDescent="0.25">
      <c r="A650" s="58">
        <v>41334</v>
      </c>
      <c r="B650" s="60">
        <f t="shared" si="9"/>
        <v>2013</v>
      </c>
      <c r="C650" s="59">
        <v>1.85</v>
      </c>
    </row>
    <row r="651" spans="1:3" x14ac:dyDescent="0.25">
      <c r="A651" s="58">
        <v>41365</v>
      </c>
      <c r="B651" s="60">
        <f t="shared" si="9"/>
        <v>2013</v>
      </c>
      <c r="C651" s="59">
        <v>1.75</v>
      </c>
    </row>
    <row r="652" spans="1:3" x14ac:dyDescent="0.25">
      <c r="A652" s="58">
        <v>41395</v>
      </c>
      <c r="B652" s="60">
        <f t="shared" si="9"/>
        <v>2013</v>
      </c>
      <c r="C652" s="59">
        <v>1.9</v>
      </c>
    </row>
    <row r="653" spans="1:3" x14ac:dyDescent="0.25">
      <c r="A653" s="58">
        <v>41426</v>
      </c>
      <c r="B653" s="60">
        <f t="shared" ref="B653:B701" si="10">YEAR(A653)</f>
        <v>2013</v>
      </c>
      <c r="C653" s="59">
        <v>2.2400000000000002</v>
      </c>
    </row>
    <row r="654" spans="1:3" x14ac:dyDescent="0.25">
      <c r="A654" s="58">
        <v>41456</v>
      </c>
      <c r="B654" s="60">
        <f t="shared" si="10"/>
        <v>2013</v>
      </c>
      <c r="C654" s="59">
        <v>2.44</v>
      </c>
    </row>
    <row r="655" spans="1:3" x14ac:dyDescent="0.25">
      <c r="A655" s="58">
        <v>41487</v>
      </c>
      <c r="B655" s="60">
        <f t="shared" si="10"/>
        <v>2013</v>
      </c>
      <c r="C655" s="59">
        <v>2.61</v>
      </c>
    </row>
    <row r="656" spans="1:3" x14ac:dyDescent="0.25">
      <c r="A656" s="58">
        <v>41518</v>
      </c>
      <c r="B656" s="60">
        <f t="shared" si="10"/>
        <v>2013</v>
      </c>
      <c r="C656" s="59">
        <v>2.7</v>
      </c>
    </row>
    <row r="657" spans="1:3" x14ac:dyDescent="0.25">
      <c r="A657" s="58">
        <v>41548</v>
      </c>
      <c r="B657" s="60">
        <f t="shared" si="10"/>
        <v>2013</v>
      </c>
      <c r="C657" s="59">
        <v>2.52</v>
      </c>
    </row>
    <row r="658" spans="1:3" x14ac:dyDescent="0.25">
      <c r="A658" s="58">
        <v>41579</v>
      </c>
      <c r="B658" s="60">
        <f t="shared" si="10"/>
        <v>2013</v>
      </c>
      <c r="C658" s="59">
        <v>2.56</v>
      </c>
    </row>
    <row r="659" spans="1:3" x14ac:dyDescent="0.25">
      <c r="A659" s="58">
        <v>41609</v>
      </c>
      <c r="B659" s="60">
        <f t="shared" si="10"/>
        <v>2013</v>
      </c>
      <c r="C659" s="59">
        <v>2.67</v>
      </c>
    </row>
    <row r="660" spans="1:3" x14ac:dyDescent="0.25">
      <c r="A660" s="58">
        <v>41640</v>
      </c>
      <c r="B660" s="60">
        <f t="shared" si="10"/>
        <v>2014</v>
      </c>
      <c r="C660" s="59">
        <v>2.5299999999999998</v>
      </c>
    </row>
    <row r="661" spans="1:3" x14ac:dyDescent="0.25">
      <c r="A661" s="58">
        <v>41671</v>
      </c>
      <c r="B661" s="60">
        <f t="shared" si="10"/>
        <v>2014</v>
      </c>
      <c r="C661" s="59">
        <v>2.42</v>
      </c>
    </row>
    <row r="662" spans="1:3" x14ac:dyDescent="0.25">
      <c r="A662" s="58">
        <v>41699</v>
      </c>
      <c r="B662" s="60">
        <f t="shared" si="10"/>
        <v>2014</v>
      </c>
      <c r="C662" s="59">
        <v>2.4500000000000002</v>
      </c>
    </row>
    <row r="663" spans="1:3" x14ac:dyDescent="0.25">
      <c r="A663" s="58">
        <v>41730</v>
      </c>
      <c r="B663" s="60">
        <f t="shared" si="10"/>
        <v>2014</v>
      </c>
      <c r="C663" s="59">
        <v>2.44</v>
      </c>
    </row>
    <row r="664" spans="1:3" x14ac:dyDescent="0.25">
      <c r="A664" s="58">
        <v>41760</v>
      </c>
      <c r="B664" s="60">
        <f t="shared" si="10"/>
        <v>2014</v>
      </c>
      <c r="C664" s="59">
        <v>2.3199999999999998</v>
      </c>
    </row>
    <row r="665" spans="1:3" x14ac:dyDescent="0.25">
      <c r="A665" s="58">
        <v>41791</v>
      </c>
      <c r="B665" s="60">
        <f t="shared" si="10"/>
        <v>2014</v>
      </c>
      <c r="C665" s="59">
        <v>2.2999999999999998</v>
      </c>
    </row>
    <row r="666" spans="1:3" x14ac:dyDescent="0.25">
      <c r="A666" s="58">
        <v>41821</v>
      </c>
      <c r="B666" s="60">
        <f t="shared" si="10"/>
        <v>2014</v>
      </c>
      <c r="C666" s="59">
        <v>2.19</v>
      </c>
    </row>
    <row r="667" spans="1:3" x14ac:dyDescent="0.25">
      <c r="A667" s="58">
        <v>41852</v>
      </c>
      <c r="B667" s="60">
        <f t="shared" si="10"/>
        <v>2014</v>
      </c>
      <c r="C667" s="59">
        <v>2.06</v>
      </c>
    </row>
    <row r="668" spans="1:3" x14ac:dyDescent="0.25">
      <c r="A668" s="58">
        <v>41883</v>
      </c>
      <c r="B668" s="60">
        <f t="shared" si="10"/>
        <v>2014</v>
      </c>
      <c r="C668" s="59">
        <v>2.1800000000000002</v>
      </c>
    </row>
    <row r="669" spans="1:3" x14ac:dyDescent="0.25">
      <c r="A669" s="58">
        <v>41913</v>
      </c>
      <c r="B669" s="60">
        <f t="shared" si="10"/>
        <v>2014</v>
      </c>
      <c r="C669" s="59">
        <v>2.0099999999999998</v>
      </c>
    </row>
    <row r="670" spans="1:3" x14ac:dyDescent="0.25">
      <c r="A670" s="58">
        <v>41944</v>
      </c>
      <c r="B670" s="60">
        <f t="shared" si="10"/>
        <v>2014</v>
      </c>
      <c r="C670" s="59">
        <v>2</v>
      </c>
    </row>
    <row r="671" spans="1:3" x14ac:dyDescent="0.25">
      <c r="A671" s="58">
        <v>41974</v>
      </c>
      <c r="B671" s="60">
        <f t="shared" si="10"/>
        <v>2014</v>
      </c>
      <c r="C671" s="59">
        <v>1.85</v>
      </c>
    </row>
    <row r="672" spans="1:3" x14ac:dyDescent="0.25">
      <c r="A672" s="58">
        <v>42005</v>
      </c>
      <c r="B672" s="60">
        <f t="shared" si="10"/>
        <v>2015</v>
      </c>
      <c r="C672" s="59">
        <v>1.53</v>
      </c>
    </row>
    <row r="673" spans="1:3" x14ac:dyDescent="0.25">
      <c r="A673" s="58">
        <v>42036</v>
      </c>
      <c r="B673" s="60">
        <f t="shared" si="10"/>
        <v>2015</v>
      </c>
      <c r="C673" s="59">
        <v>1.38</v>
      </c>
    </row>
    <row r="674" spans="1:3" x14ac:dyDescent="0.25">
      <c r="A674" s="58">
        <v>42064</v>
      </c>
      <c r="B674" s="60">
        <f t="shared" si="10"/>
        <v>2015</v>
      </c>
      <c r="C674" s="59">
        <v>1.42</v>
      </c>
    </row>
    <row r="675" spans="1:3" x14ac:dyDescent="0.25">
      <c r="A675" s="58">
        <v>42095</v>
      </c>
      <c r="B675" s="60">
        <f t="shared" si="10"/>
        <v>2015</v>
      </c>
      <c r="C675" s="59">
        <v>1.41</v>
      </c>
    </row>
    <row r="676" spans="1:3" x14ac:dyDescent="0.25">
      <c r="A676" s="58">
        <v>42125</v>
      </c>
      <c r="B676" s="60">
        <f t="shared" si="10"/>
        <v>2015</v>
      </c>
      <c r="C676" s="59">
        <v>1.74</v>
      </c>
    </row>
    <row r="677" spans="1:3" x14ac:dyDescent="0.25">
      <c r="A677" s="58">
        <v>42156</v>
      </c>
      <c r="B677" s="60">
        <f t="shared" si="10"/>
        <v>2015</v>
      </c>
      <c r="C677" s="59">
        <v>1.78</v>
      </c>
    </row>
    <row r="678" spans="1:3" x14ac:dyDescent="0.25">
      <c r="A678" s="58">
        <v>42186</v>
      </c>
      <c r="B678" s="60">
        <f t="shared" si="10"/>
        <v>2015</v>
      </c>
      <c r="C678" s="59">
        <v>1.57</v>
      </c>
    </row>
    <row r="679" spans="1:3" x14ac:dyDescent="0.25">
      <c r="A679" s="58">
        <v>42217</v>
      </c>
      <c r="B679" s="60">
        <f t="shared" si="10"/>
        <v>2015</v>
      </c>
      <c r="C679" s="59">
        <v>1.39</v>
      </c>
    </row>
    <row r="680" spans="1:3" x14ac:dyDescent="0.25">
      <c r="A680" s="58">
        <v>42248</v>
      </c>
      <c r="B680" s="60">
        <f t="shared" si="10"/>
        <v>2015</v>
      </c>
      <c r="C680" s="59">
        <v>1.48</v>
      </c>
    </row>
    <row r="681" spans="1:3" x14ac:dyDescent="0.25">
      <c r="A681" s="58">
        <v>42278</v>
      </c>
      <c r="B681" s="60">
        <f t="shared" si="10"/>
        <v>2015</v>
      </c>
      <c r="C681" s="59">
        <v>1.46</v>
      </c>
    </row>
    <row r="682" spans="1:3" x14ac:dyDescent="0.25">
      <c r="A682" s="58">
        <v>42309</v>
      </c>
      <c r="B682" s="60">
        <f t="shared" si="10"/>
        <v>2015</v>
      </c>
      <c r="C682" s="59">
        <v>1.63</v>
      </c>
    </row>
    <row r="683" spans="1:3" x14ac:dyDescent="0.25">
      <c r="A683" s="58">
        <v>42339</v>
      </c>
      <c r="B683" s="60">
        <f t="shared" si="10"/>
        <v>2015</v>
      </c>
      <c r="C683" s="59">
        <v>1.46</v>
      </c>
    </row>
    <row r="684" spans="1:3" x14ac:dyDescent="0.25">
      <c r="A684" s="58">
        <v>42370</v>
      </c>
      <c r="B684" s="60">
        <f t="shared" si="10"/>
        <v>2016</v>
      </c>
      <c r="C684" s="59">
        <v>1.26</v>
      </c>
    </row>
    <row r="685" spans="1:3" x14ac:dyDescent="0.25">
      <c r="A685" s="58">
        <v>42401</v>
      </c>
      <c r="B685" s="60">
        <f t="shared" si="10"/>
        <v>2016</v>
      </c>
      <c r="C685" s="59">
        <v>1.1200000000000001</v>
      </c>
    </row>
    <row r="686" spans="1:3" x14ac:dyDescent="0.25">
      <c r="A686" s="58">
        <v>42430</v>
      </c>
      <c r="B686" s="60">
        <f t="shared" si="10"/>
        <v>2016</v>
      </c>
      <c r="C686" s="59">
        <v>1.27</v>
      </c>
    </row>
    <row r="687" spans="1:3" x14ac:dyDescent="0.25">
      <c r="A687" s="58">
        <v>42461</v>
      </c>
      <c r="B687" s="60">
        <f t="shared" si="10"/>
        <v>2016</v>
      </c>
      <c r="C687" s="59">
        <v>1.34</v>
      </c>
    </row>
    <row r="688" spans="1:3" x14ac:dyDescent="0.25">
      <c r="A688" s="58">
        <v>42491</v>
      </c>
      <c r="B688" s="60">
        <f t="shared" si="10"/>
        <v>2016</v>
      </c>
      <c r="C688" s="59">
        <v>1.35</v>
      </c>
    </row>
    <row r="689" spans="1:3" x14ac:dyDescent="0.25">
      <c r="A689" s="58">
        <v>42522</v>
      </c>
      <c r="B689" s="60">
        <f t="shared" si="10"/>
        <v>2016</v>
      </c>
      <c r="C689" s="59">
        <v>1.17</v>
      </c>
    </row>
    <row r="690" spans="1:3" x14ac:dyDescent="0.25">
      <c r="A690" s="58">
        <v>42552</v>
      </c>
      <c r="B690" s="60">
        <f t="shared" si="10"/>
        <v>2016</v>
      </c>
      <c r="C690" s="59">
        <v>1.05</v>
      </c>
    </row>
    <row r="691" spans="1:3" x14ac:dyDescent="0.25">
      <c r="A691" s="58">
        <v>42583</v>
      </c>
      <c r="B691" s="60">
        <f t="shared" si="10"/>
        <v>2016</v>
      </c>
      <c r="C691" s="59">
        <v>1.04</v>
      </c>
    </row>
    <row r="692" spans="1:3" x14ac:dyDescent="0.25">
      <c r="A692" s="58">
        <v>42614</v>
      </c>
      <c r="B692" s="60">
        <f t="shared" si="10"/>
        <v>2016</v>
      </c>
      <c r="C692" s="59">
        <v>1.0900000000000001</v>
      </c>
    </row>
    <row r="693" spans="1:3" x14ac:dyDescent="0.25">
      <c r="A693" s="58">
        <v>42644</v>
      </c>
      <c r="B693" s="60">
        <f t="shared" si="10"/>
        <v>2016</v>
      </c>
      <c r="C693" s="59">
        <v>1.17</v>
      </c>
    </row>
    <row r="694" spans="1:3" x14ac:dyDescent="0.25">
      <c r="A694" s="58">
        <v>42675</v>
      </c>
      <c r="B694" s="60">
        <f t="shared" si="10"/>
        <v>2016</v>
      </c>
      <c r="C694" s="59">
        <v>1.43</v>
      </c>
    </row>
    <row r="695" spans="1:3" x14ac:dyDescent="0.25">
      <c r="A695" s="58">
        <v>42705</v>
      </c>
      <c r="B695" s="60">
        <f t="shared" si="10"/>
        <v>2016</v>
      </c>
      <c r="C695" s="59">
        <v>1.73</v>
      </c>
    </row>
    <row r="696" spans="1:3" x14ac:dyDescent="0.25">
      <c r="A696" s="58">
        <v>42736</v>
      </c>
      <c r="B696" s="60">
        <f t="shared" si="10"/>
        <v>2017</v>
      </c>
      <c r="C696" s="59">
        <v>1.72</v>
      </c>
    </row>
    <row r="697" spans="1:3" x14ac:dyDescent="0.25">
      <c r="A697" s="58">
        <v>42767</v>
      </c>
      <c r="B697" s="60">
        <f t="shared" si="10"/>
        <v>2017</v>
      </c>
      <c r="C697" s="59">
        <v>1.7</v>
      </c>
    </row>
    <row r="698" spans="1:3" x14ac:dyDescent="0.25">
      <c r="A698" s="58">
        <v>42795</v>
      </c>
      <c r="B698" s="60">
        <f t="shared" si="10"/>
        <v>2017</v>
      </c>
      <c r="C698" s="59">
        <v>1.71</v>
      </c>
    </row>
    <row r="699" spans="1:3" x14ac:dyDescent="0.25">
      <c r="A699" s="58">
        <v>42826</v>
      </c>
      <c r="B699" s="60">
        <f t="shared" si="10"/>
        <v>2017</v>
      </c>
      <c r="C699" s="59">
        <v>1.52</v>
      </c>
    </row>
    <row r="700" spans="1:3" x14ac:dyDescent="0.25">
      <c r="A700" s="58">
        <v>42856</v>
      </c>
      <c r="B700" s="60">
        <f t="shared" si="10"/>
        <v>2017</v>
      </c>
      <c r="C700" s="59">
        <v>1.51</v>
      </c>
    </row>
    <row r="701" spans="1:3" x14ac:dyDescent="0.25">
      <c r="A701" s="58">
        <v>42887</v>
      </c>
      <c r="B701" s="60">
        <f t="shared" si="10"/>
        <v>2017</v>
      </c>
      <c r="C701" s="59">
        <v>1.48</v>
      </c>
    </row>
  </sheetData>
  <mergeCells count="1">
    <mergeCell ref="C8:H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B2:J30"/>
  <sheetViews>
    <sheetView showGridLines="0" zoomScale="75" zoomScaleNormal="75" workbookViewId="0">
      <selection activeCell="G33" sqref="G33"/>
    </sheetView>
  </sheetViews>
  <sheetFormatPr defaultRowHeight="15" x14ac:dyDescent="0.25"/>
  <cols>
    <col min="2" max="2" width="5.140625" customWidth="1"/>
    <col min="3" max="3" width="25.28515625" customWidth="1"/>
    <col min="4" max="5" width="19.28515625" customWidth="1"/>
    <col min="6" max="6" width="14.85546875" customWidth="1"/>
    <col min="7" max="7" width="35.85546875" customWidth="1"/>
    <col min="8" max="9" width="13.5703125" customWidth="1"/>
    <col min="10" max="10" width="40.5703125" customWidth="1"/>
  </cols>
  <sheetData>
    <row r="2" spans="2:10" ht="18.75" x14ac:dyDescent="0.3">
      <c r="B2" s="28" t="str">
        <f ca="1">MID(CELL("filename",B1),FIND("]",CELL("filename",B1))+1,256)</f>
        <v>All Variables</v>
      </c>
    </row>
    <row r="3" spans="2:10" x14ac:dyDescent="0.25">
      <c r="B3" s="1"/>
    </row>
    <row r="4" spans="2:10" x14ac:dyDescent="0.25">
      <c r="B4" s="65" t="s">
        <v>40</v>
      </c>
      <c r="C4" s="65"/>
    </row>
    <row r="5" spans="2:10" x14ac:dyDescent="0.25">
      <c r="B5" s="30" t="s">
        <v>159</v>
      </c>
      <c r="C5" s="30"/>
    </row>
    <row r="6" spans="2:10" x14ac:dyDescent="0.25">
      <c r="B6" s="1"/>
      <c r="C6" s="1"/>
    </row>
    <row r="7" spans="2:10" ht="15.75" x14ac:dyDescent="0.25">
      <c r="B7" s="31" t="s">
        <v>158</v>
      </c>
      <c r="C7" s="31"/>
    </row>
    <row r="8" spans="2:10" x14ac:dyDescent="0.25">
      <c r="B8" s="33"/>
      <c r="C8" s="33"/>
    </row>
    <row r="9" spans="2:10" x14ac:dyDescent="0.25">
      <c r="B9" s="35" t="s">
        <v>42</v>
      </c>
      <c r="C9" s="35"/>
      <c r="D9" s="73" t="s">
        <v>462</v>
      </c>
      <c r="E9" s="35"/>
      <c r="F9" s="35"/>
      <c r="G9" s="35"/>
    </row>
    <row r="11" spans="2:10" ht="30" x14ac:dyDescent="0.25">
      <c r="B11" s="24"/>
      <c r="C11" s="24" t="s">
        <v>0</v>
      </c>
      <c r="D11" s="24" t="s">
        <v>136</v>
      </c>
      <c r="E11" s="24" t="s">
        <v>137</v>
      </c>
      <c r="F11" s="24" t="s">
        <v>138</v>
      </c>
      <c r="G11" s="24" t="s">
        <v>139</v>
      </c>
      <c r="H11" s="24" t="s">
        <v>140</v>
      </c>
      <c r="I11" s="24" t="s">
        <v>142</v>
      </c>
      <c r="J11" s="24" t="s">
        <v>141</v>
      </c>
    </row>
    <row r="12" spans="2:10" ht="42" customHeight="1" x14ac:dyDescent="0.25">
      <c r="B12" s="24"/>
      <c r="C12" s="24"/>
      <c r="D12" s="24"/>
      <c r="E12" s="24"/>
      <c r="F12" s="24"/>
      <c r="G12" s="24"/>
      <c r="H12" s="24"/>
      <c r="I12" s="24"/>
      <c r="J12" s="24"/>
    </row>
    <row r="13" spans="2:10" x14ac:dyDescent="0.25">
      <c r="B13" s="74">
        <v>1</v>
      </c>
      <c r="C13" s="26">
        <v>1999</v>
      </c>
      <c r="D13" s="361">
        <v>0</v>
      </c>
      <c r="E13" s="66">
        <v>0.38</v>
      </c>
      <c r="F13" s="360">
        <v>33</v>
      </c>
      <c r="G13" s="53">
        <v>0.1</v>
      </c>
      <c r="H13" s="37">
        <v>23</v>
      </c>
      <c r="I13" s="53">
        <f t="array" ref="I13">INDEX('Expected Inflation (i)'!$H$14:$H$32,MATCH('All Variables'!C13,'Expected Inflation (i)'!$C$14:$C$32,0))</f>
        <v>3.9007503281570672</v>
      </c>
      <c r="J13" s="362">
        <f t="shared" ref="J13:J30" si="0">(2/(G13*H13))*(1-((1+G13)/(G13*(H13+1)))*(1-(1/(1+G13))^(H13+1)))</f>
        <v>0.51147759340371279</v>
      </c>
    </row>
    <row r="14" spans="2:10" x14ac:dyDescent="0.25">
      <c r="B14" s="74">
        <f t="shared" ref="B14:B30" si="1">B13+1</f>
        <v>2</v>
      </c>
      <c r="C14" s="26">
        <v>2000</v>
      </c>
      <c r="D14" s="361">
        <v>0</v>
      </c>
      <c r="E14" s="66">
        <v>0.38</v>
      </c>
      <c r="F14" s="360">
        <v>33</v>
      </c>
      <c r="G14" s="53">
        <v>0.1</v>
      </c>
      <c r="H14" s="37">
        <v>23</v>
      </c>
      <c r="I14" s="53">
        <f t="array" ref="I14">INDEX('Expected Inflation (i)'!$H$14:$H$32,MATCH('All Variables'!C14,'Expected Inflation (i)'!$C$14:$C$32,0))</f>
        <v>4.2857503281570688</v>
      </c>
      <c r="J14" s="362">
        <f t="shared" si="0"/>
        <v>0.51147759340371279</v>
      </c>
    </row>
    <row r="15" spans="2:10" x14ac:dyDescent="0.25">
      <c r="B15" s="74">
        <f t="shared" si="1"/>
        <v>3</v>
      </c>
      <c r="C15" s="26">
        <v>2001</v>
      </c>
      <c r="D15" s="361">
        <v>0</v>
      </c>
      <c r="E15" s="66">
        <v>0.38</v>
      </c>
      <c r="F15" s="360">
        <v>33</v>
      </c>
      <c r="G15" s="53">
        <v>0.1</v>
      </c>
      <c r="H15" s="37">
        <v>23</v>
      </c>
      <c r="I15" s="53">
        <f t="array" ref="I15">INDEX('Expected Inflation (i)'!$H$14:$H$32,MATCH('All Variables'!C15,'Expected Inflation (i)'!$C$14:$C$32,0))</f>
        <v>3.8399169948237342</v>
      </c>
      <c r="J15" s="362">
        <f t="shared" si="0"/>
        <v>0.51147759340371279</v>
      </c>
    </row>
    <row r="16" spans="2:10" x14ac:dyDescent="0.25">
      <c r="B16" s="74">
        <f t="shared" si="1"/>
        <v>4</v>
      </c>
      <c r="C16" s="26">
        <v>2002</v>
      </c>
      <c r="D16" s="361">
        <v>0</v>
      </c>
      <c r="E16" s="66">
        <v>0.38</v>
      </c>
      <c r="F16" s="360">
        <v>33</v>
      </c>
      <c r="G16" s="53">
        <v>0.1</v>
      </c>
      <c r="H16" s="37">
        <v>23</v>
      </c>
      <c r="I16" s="53">
        <f t="array" ref="I16">INDEX('Expected Inflation (i)'!$H$14:$H$32,MATCH('All Variables'!C16,'Expected Inflation (i)'!$C$14:$C$32,0))</f>
        <v>3.6515836614904016</v>
      </c>
      <c r="J16" s="362">
        <f t="shared" si="0"/>
        <v>0.51147759340371279</v>
      </c>
    </row>
    <row r="17" spans="2:10" x14ac:dyDescent="0.25">
      <c r="B17" s="74">
        <f t="shared" si="1"/>
        <v>5</v>
      </c>
      <c r="C17" s="26">
        <v>2003</v>
      </c>
      <c r="D17" s="361">
        <v>0</v>
      </c>
      <c r="E17" s="66">
        <v>0.38</v>
      </c>
      <c r="F17" s="360">
        <v>33</v>
      </c>
      <c r="G17" s="53">
        <v>0.1</v>
      </c>
      <c r="H17" s="37">
        <v>23</v>
      </c>
      <c r="I17" s="53">
        <f t="array" ref="I17">INDEX('Expected Inflation (i)'!$H$14:$H$32,MATCH('All Variables'!C17,'Expected Inflation (i)'!$C$14:$C$32,0))</f>
        <v>3.1707503281570668</v>
      </c>
      <c r="J17" s="362">
        <f t="shared" si="0"/>
        <v>0.51147759340371279</v>
      </c>
    </row>
    <row r="18" spans="2:10" x14ac:dyDescent="0.25">
      <c r="B18" s="74">
        <f t="shared" si="1"/>
        <v>6</v>
      </c>
      <c r="C18" s="26">
        <v>2004</v>
      </c>
      <c r="D18" s="361">
        <v>0</v>
      </c>
      <c r="E18" s="66">
        <v>0.38</v>
      </c>
      <c r="F18" s="360">
        <v>33</v>
      </c>
      <c r="G18" s="53">
        <v>0.1</v>
      </c>
      <c r="H18" s="37">
        <v>23</v>
      </c>
      <c r="I18" s="53">
        <f t="array" ref="I18">INDEX('Expected Inflation (i)'!$H$14:$H$32,MATCH('All Variables'!C18,'Expected Inflation (i)'!$C$14:$C$32,0))</f>
        <v>2.9382503281570687</v>
      </c>
      <c r="J18" s="362">
        <f t="shared" si="0"/>
        <v>0.51147759340371279</v>
      </c>
    </row>
    <row r="19" spans="2:10" x14ac:dyDescent="0.25">
      <c r="B19" s="74">
        <f t="shared" si="1"/>
        <v>7</v>
      </c>
      <c r="C19" s="26">
        <v>2005</v>
      </c>
      <c r="D19" s="361">
        <v>0</v>
      </c>
      <c r="E19" s="66">
        <v>0.38</v>
      </c>
      <c r="F19" s="360">
        <v>33</v>
      </c>
      <c r="G19" s="53">
        <v>0.1</v>
      </c>
      <c r="H19" s="37">
        <v>23</v>
      </c>
      <c r="I19" s="53">
        <f t="array" ref="I19">INDEX('Expected Inflation (i)'!$H$14:$H$32,MATCH('All Variables'!C19,'Expected Inflation (i)'!$C$14:$C$32,0))</f>
        <v>2.4274169948237345</v>
      </c>
      <c r="J19" s="362">
        <f t="shared" si="0"/>
        <v>0.51147759340371279</v>
      </c>
    </row>
    <row r="20" spans="2:10" x14ac:dyDescent="0.25">
      <c r="B20" s="74">
        <f t="shared" si="1"/>
        <v>8</v>
      </c>
      <c r="C20" s="26">
        <v>2006</v>
      </c>
      <c r="D20" s="361">
        <v>0</v>
      </c>
      <c r="E20" s="66">
        <v>0.38</v>
      </c>
      <c r="F20" s="360">
        <v>33</v>
      </c>
      <c r="G20" s="53">
        <v>0.1</v>
      </c>
      <c r="H20" s="37">
        <v>23</v>
      </c>
      <c r="I20" s="53">
        <f t="array" ref="I20">INDEX('Expected Inflation (i)'!$H$14:$H$32,MATCH('All Variables'!C20,'Expected Inflation (i)'!$C$14:$C$32,0))</f>
        <v>2.5690836614904011</v>
      </c>
      <c r="J20" s="362">
        <f t="shared" si="0"/>
        <v>0.51147759340371279</v>
      </c>
    </row>
    <row r="21" spans="2:10" x14ac:dyDescent="0.25">
      <c r="B21" s="74">
        <f t="shared" si="1"/>
        <v>9</v>
      </c>
      <c r="C21" s="26">
        <v>2007</v>
      </c>
      <c r="D21" s="361">
        <v>0</v>
      </c>
      <c r="E21" s="66">
        <v>0.38</v>
      </c>
      <c r="F21" s="360">
        <v>33</v>
      </c>
      <c r="G21" s="53">
        <v>0.1</v>
      </c>
      <c r="H21" s="37">
        <v>23</v>
      </c>
      <c r="I21" s="53">
        <f t="array" ref="I21">INDEX('Expected Inflation (i)'!$H$14:$H$32,MATCH('All Variables'!C21,'Expected Inflation (i)'!$C$14:$C$32,0))</f>
        <v>2.6299169948237342</v>
      </c>
      <c r="J21" s="362">
        <f t="shared" si="0"/>
        <v>0.51147759340371279</v>
      </c>
    </row>
    <row r="22" spans="2:10" x14ac:dyDescent="0.25">
      <c r="B22" s="74">
        <f t="shared" si="1"/>
        <v>10</v>
      </c>
      <c r="C22" s="26">
        <v>2008</v>
      </c>
      <c r="D22" s="361">
        <v>0</v>
      </c>
      <c r="E22" s="66">
        <v>0.38</v>
      </c>
      <c r="F22" s="360">
        <v>33</v>
      </c>
      <c r="G22" s="53">
        <v>0.1</v>
      </c>
      <c r="H22" s="37">
        <v>23</v>
      </c>
      <c r="I22" s="53">
        <f t="array" ref="I22">INDEX('Expected Inflation (i)'!$H$14:$H$32,MATCH('All Variables'!C22,'Expected Inflation (i)'!$C$14:$C$32,0))</f>
        <v>1.9657503281570692</v>
      </c>
      <c r="J22" s="362">
        <f t="shared" si="0"/>
        <v>0.51147759340371279</v>
      </c>
    </row>
    <row r="23" spans="2:10" x14ac:dyDescent="0.25">
      <c r="B23" s="74">
        <f t="shared" si="1"/>
        <v>11</v>
      </c>
      <c r="C23" s="26">
        <v>2009</v>
      </c>
      <c r="D23" s="361">
        <v>0</v>
      </c>
      <c r="E23" s="66">
        <v>0.38</v>
      </c>
      <c r="F23" s="360">
        <v>33</v>
      </c>
      <c r="G23" s="53">
        <v>0.1</v>
      </c>
      <c r="H23" s="37">
        <v>23</v>
      </c>
      <c r="I23" s="53">
        <f t="array" ref="I23">INDEX('Expected Inflation (i)'!$H$14:$H$32,MATCH('All Variables'!C23,'Expected Inflation (i)'!$C$14:$C$32,0))</f>
        <v>1.5907503281570683</v>
      </c>
      <c r="J23" s="362">
        <f t="shared" si="0"/>
        <v>0.51147759340371279</v>
      </c>
    </row>
    <row r="24" spans="2:10" x14ac:dyDescent="0.25">
      <c r="B24" s="74">
        <f t="shared" si="1"/>
        <v>12</v>
      </c>
      <c r="C24" s="26">
        <v>2010</v>
      </c>
      <c r="D24" s="361">
        <v>0</v>
      </c>
      <c r="E24" s="66">
        <v>0.38</v>
      </c>
      <c r="F24" s="360">
        <v>33</v>
      </c>
      <c r="G24" s="53">
        <v>0.1</v>
      </c>
      <c r="H24" s="37">
        <v>23</v>
      </c>
      <c r="I24" s="53">
        <f t="array" ref="I24">INDEX('Expected Inflation (i)'!$H$14:$H$32,MATCH('All Variables'!C24,'Expected Inflation (i)'!$C$14:$C$32,0))</f>
        <v>1.5957503281570686</v>
      </c>
      <c r="J24" s="362">
        <f t="shared" si="0"/>
        <v>0.51147759340371279</v>
      </c>
    </row>
    <row r="25" spans="2:10" x14ac:dyDescent="0.25">
      <c r="B25" s="74">
        <f t="shared" si="1"/>
        <v>13</v>
      </c>
      <c r="C25" s="26">
        <v>2011</v>
      </c>
      <c r="D25" s="361">
        <v>0</v>
      </c>
      <c r="E25" s="66">
        <v>0.38</v>
      </c>
      <c r="F25" s="360">
        <v>33</v>
      </c>
      <c r="G25" s="53">
        <v>0.1</v>
      </c>
      <c r="H25" s="37">
        <v>23</v>
      </c>
      <c r="I25" s="53">
        <f t="array" ref="I25">INDEX('Expected Inflation (i)'!$H$14:$H$32,MATCH('All Variables'!C25,'Expected Inflation (i)'!$C$14:$C$32,0))</f>
        <v>1.1440836614904011</v>
      </c>
      <c r="J25" s="362">
        <f t="shared" si="0"/>
        <v>0.51147759340371279</v>
      </c>
    </row>
    <row r="26" spans="2:10" x14ac:dyDescent="0.25">
      <c r="B26" s="74">
        <f t="shared" si="1"/>
        <v>14</v>
      </c>
      <c r="C26" s="26">
        <v>2012</v>
      </c>
      <c r="D26" s="361">
        <v>0</v>
      </c>
      <c r="E26" s="66">
        <v>0.38</v>
      </c>
      <c r="F26" s="360">
        <v>33</v>
      </c>
      <c r="G26" s="53">
        <v>0.1</v>
      </c>
      <c r="H26" s="37">
        <v>23</v>
      </c>
      <c r="I26" s="53">
        <f t="array" ref="I26">INDEX('Expected Inflation (i)'!$H$14:$H$32,MATCH('All Variables'!C26,'Expected Inflation (i)'!$C$14:$C$32,0))</f>
        <v>0.23408366149040138</v>
      </c>
      <c r="J26" s="362">
        <f t="shared" si="0"/>
        <v>0.51147759340371279</v>
      </c>
    </row>
    <row r="27" spans="2:10" x14ac:dyDescent="0.25">
      <c r="B27" s="74">
        <f t="shared" si="1"/>
        <v>15</v>
      </c>
      <c r="C27" s="26">
        <v>2013</v>
      </c>
      <c r="D27" s="361">
        <v>0</v>
      </c>
      <c r="E27" s="66">
        <v>0.38</v>
      </c>
      <c r="F27" s="360">
        <v>33</v>
      </c>
      <c r="G27" s="53">
        <v>0.1</v>
      </c>
      <c r="H27" s="37">
        <v>23</v>
      </c>
      <c r="I27" s="53">
        <f t="array" ref="I27">INDEX('Expected Inflation (i)'!$H$14:$H$32,MATCH('All Variables'!C27,'Expected Inflation (i)'!$C$14:$C$32,0))</f>
        <v>0.62158366149040156</v>
      </c>
      <c r="J27" s="362">
        <f t="shared" si="0"/>
        <v>0.51147759340371279</v>
      </c>
    </row>
    <row r="28" spans="2:10" x14ac:dyDescent="0.25">
      <c r="B28" s="74">
        <f t="shared" si="1"/>
        <v>16</v>
      </c>
      <c r="C28" s="26">
        <v>2014</v>
      </c>
      <c r="D28" s="361">
        <v>0</v>
      </c>
      <c r="E28" s="66">
        <v>0.38</v>
      </c>
      <c r="F28" s="360">
        <v>33</v>
      </c>
      <c r="G28" s="53">
        <v>0.1</v>
      </c>
      <c r="H28" s="37">
        <v>23</v>
      </c>
      <c r="I28" s="53">
        <f t="array" ref="I28">INDEX('Expected Inflation (i)'!$H$14:$H$32,MATCH('All Variables'!C28,'Expected Inflation (i)'!$C$14:$C$32,0))</f>
        <v>0.58908366149040137</v>
      </c>
      <c r="J28" s="362">
        <f t="shared" si="0"/>
        <v>0.51147759340371279</v>
      </c>
    </row>
    <row r="29" spans="2:10" x14ac:dyDescent="0.25">
      <c r="B29" s="74">
        <f t="shared" si="1"/>
        <v>17</v>
      </c>
      <c r="C29" s="26">
        <v>2015</v>
      </c>
      <c r="D29" s="361">
        <v>0</v>
      </c>
      <c r="E29" s="66">
        <v>0.38</v>
      </c>
      <c r="F29" s="360">
        <v>33</v>
      </c>
      <c r="G29" s="53">
        <v>0.1</v>
      </c>
      <c r="H29" s="37">
        <v>23</v>
      </c>
      <c r="I29" s="53">
        <f t="array" ref="I29">INDEX('Expected Inflation (i)'!$H$14:$H$32,MATCH('All Variables'!C29,'Expected Inflation (i)'!$C$14:$C$32,0))</f>
        <v>-0.11924967184293189</v>
      </c>
      <c r="J29" s="362">
        <f t="shared" si="0"/>
        <v>0.51147759340371279</v>
      </c>
    </row>
    <row r="30" spans="2:10" x14ac:dyDescent="0.25">
      <c r="B30" s="74">
        <f t="shared" si="1"/>
        <v>18</v>
      </c>
      <c r="C30" s="26">
        <v>2016</v>
      </c>
      <c r="D30" s="361">
        <v>0</v>
      </c>
      <c r="E30" s="66">
        <v>0.38</v>
      </c>
      <c r="F30" s="360">
        <v>33</v>
      </c>
      <c r="G30" s="53">
        <v>0.1</v>
      </c>
      <c r="H30" s="37">
        <v>23</v>
      </c>
      <c r="I30" s="53">
        <f t="array" ref="I30">INDEX('Expected Inflation (i)'!$H$14:$H$32,MATCH('All Variables'!C30,'Expected Inflation (i)'!$C$14:$C$32,0))</f>
        <v>-0.38841633850959845</v>
      </c>
      <c r="J30" s="362">
        <f t="shared" si="0"/>
        <v>0.51147759340371279</v>
      </c>
    </row>
  </sheetData>
  <pageMargins left="0.7" right="0.7" top="0.75" bottom="0.75" header="0.3" footer="0.3"/>
  <pageSetup scale="60" orientation="landscape" r:id="rId1"/>
  <drawing r:id="rId2"/>
  <legacyDrawing r:id="rId3"/>
  <oleObjects>
    <mc:AlternateContent xmlns:mc="http://schemas.openxmlformats.org/markup-compatibility/2006">
      <mc:Choice Requires="x14">
        <oleObject progId="Equation.3" shapeId="23558" r:id="rId4">
          <objectPr defaultSize="0" autoPict="0" r:id="rId5">
            <anchor moveWithCells="1" sizeWithCells="1">
              <from>
                <xdr:col>9</xdr:col>
                <xdr:colOff>76200</xdr:colOff>
                <xdr:row>11</xdr:row>
                <xdr:rowOff>19050</xdr:rowOff>
              </from>
              <to>
                <xdr:col>9</xdr:col>
                <xdr:colOff>2619375</xdr:colOff>
                <xdr:row>12</xdr:row>
                <xdr:rowOff>9525</xdr:rowOff>
              </to>
            </anchor>
          </objectPr>
        </oleObject>
      </mc:Choice>
      <mc:Fallback>
        <oleObject progId="Equation.3" shapeId="23558" r:id="rId4"/>
      </mc:Fallback>
    </mc:AlternateContent>
  </oleObjects>
  <extLst>
    <ext xmlns:x14="http://schemas.microsoft.com/office/spreadsheetml/2009/9/main" uri="{78C0D931-6437-407d-A8EE-F0AAD7539E65}">
      <x14:conditionalFormattings>
        <x14:conditionalFormatting xmlns:xm="http://schemas.microsoft.com/office/excel/2006/main">
          <x14:cfRule type="containsText" priority="2" operator="containsText" text="See Memo on TFP Update for Enbridge" id="{035B3480-967B-4090-9396-CD6A0E97244B}">
            <xm:f>NOT(ISERROR(SEARCH("See Memo on TFP Update for Enbridge",'Capital Stock Calculation'!B2)))</xm:f>
            <x14:dxf>
              <fill>
                <patternFill>
                  <bgColor rgb="FFFFFF00"/>
                </patternFill>
              </fill>
            </x14:dxf>
          </x14:cfRule>
          <xm:sqref>B11:J12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2:J34"/>
  <sheetViews>
    <sheetView showGridLines="0" topLeftCell="A7" zoomScale="75" zoomScaleNormal="75" workbookViewId="0">
      <selection activeCell="G34" sqref="G34"/>
    </sheetView>
  </sheetViews>
  <sheetFormatPr defaultRowHeight="15" x14ac:dyDescent="0.25"/>
  <cols>
    <col min="2" max="2" width="4.7109375" customWidth="1"/>
    <col min="3" max="3" width="12.7109375" customWidth="1"/>
    <col min="4" max="5" width="15" customWidth="1"/>
    <col min="6" max="6" width="14.7109375" customWidth="1"/>
    <col min="7" max="7" width="15.28515625" customWidth="1"/>
    <col min="8" max="8" width="14.28515625" customWidth="1"/>
    <col min="9" max="9" width="20.7109375" customWidth="1"/>
  </cols>
  <sheetData>
    <row r="2" spans="2:10" ht="18.75" x14ac:dyDescent="0.3">
      <c r="B2" s="28" t="str">
        <f ca="1">MID(CELL("filename",A1),FIND("]",CELL("filename",A1))+1,256)</f>
        <v>Expected Inflation (i)</v>
      </c>
      <c r="C2" s="1"/>
      <c r="D2" s="1"/>
      <c r="E2" s="1"/>
      <c r="F2" s="1"/>
      <c r="G2" s="1"/>
      <c r="H2" s="1"/>
      <c r="I2" s="1"/>
      <c r="J2" s="1"/>
    </row>
    <row r="3" spans="2:10" x14ac:dyDescent="0.25">
      <c r="B3" s="1"/>
      <c r="C3" s="1"/>
      <c r="D3" s="1"/>
      <c r="E3" s="1"/>
      <c r="F3" s="1"/>
      <c r="G3" s="1"/>
      <c r="H3" s="1"/>
      <c r="I3" s="1"/>
      <c r="J3" s="1"/>
    </row>
    <row r="4" spans="2:10" x14ac:dyDescent="0.25">
      <c r="B4" s="29" t="s">
        <v>40</v>
      </c>
      <c r="C4" s="29"/>
      <c r="D4" s="1"/>
      <c r="E4" s="1"/>
      <c r="F4" s="1"/>
      <c r="G4" s="1"/>
      <c r="H4" s="1"/>
      <c r="I4" s="1"/>
      <c r="J4" s="1"/>
    </row>
    <row r="5" spans="2:10" x14ac:dyDescent="0.25">
      <c r="B5" s="30" t="s">
        <v>134</v>
      </c>
      <c r="C5" s="30"/>
      <c r="D5" s="1"/>
      <c r="E5" s="1"/>
      <c r="F5" s="1"/>
      <c r="G5" s="1"/>
      <c r="H5" s="1"/>
      <c r="I5" s="1"/>
      <c r="J5" s="1"/>
    </row>
    <row r="6" spans="2:10" x14ac:dyDescent="0.25">
      <c r="B6" s="1"/>
      <c r="C6" s="1"/>
      <c r="D6" s="1"/>
      <c r="E6" s="1"/>
      <c r="F6" s="1"/>
      <c r="G6" s="1"/>
      <c r="H6" s="1"/>
      <c r="I6" s="1"/>
      <c r="J6" s="1"/>
    </row>
    <row r="7" spans="2:10" ht="15.75" x14ac:dyDescent="0.25">
      <c r="B7" s="31" t="s">
        <v>132</v>
      </c>
      <c r="C7" s="32"/>
      <c r="D7" s="32"/>
      <c r="E7" s="32"/>
      <c r="F7" s="1"/>
      <c r="G7" s="1"/>
      <c r="H7" s="1"/>
      <c r="I7" s="1"/>
      <c r="J7" s="1"/>
    </row>
    <row r="8" spans="2:10" x14ac:dyDescent="0.25">
      <c r="B8" s="33"/>
      <c r="C8" s="34"/>
      <c r="D8" s="1"/>
      <c r="E8" s="1"/>
      <c r="F8" s="1"/>
      <c r="G8" s="1"/>
      <c r="H8" s="1"/>
      <c r="I8" s="1"/>
      <c r="J8" s="1"/>
    </row>
    <row r="9" spans="2:10" x14ac:dyDescent="0.25">
      <c r="B9" s="35" t="s">
        <v>42</v>
      </c>
      <c r="C9" s="36"/>
      <c r="D9" s="36" t="s">
        <v>133</v>
      </c>
      <c r="E9" s="36"/>
      <c r="F9" s="1"/>
      <c r="G9" s="1"/>
      <c r="H9" s="1"/>
      <c r="I9" s="1"/>
      <c r="J9" s="1"/>
    </row>
    <row r="11" spans="2:10" ht="90" x14ac:dyDescent="0.25">
      <c r="B11" s="24"/>
      <c r="C11" s="24" t="s">
        <v>0</v>
      </c>
      <c r="D11" s="24" t="s">
        <v>122</v>
      </c>
      <c r="E11" s="24" t="s">
        <v>123</v>
      </c>
      <c r="F11" s="24" t="s">
        <v>124</v>
      </c>
      <c r="G11" s="24" t="s">
        <v>125</v>
      </c>
      <c r="H11" s="24" t="s">
        <v>126</v>
      </c>
      <c r="I11" s="24" t="s">
        <v>127</v>
      </c>
    </row>
    <row r="12" spans="2:10" x14ac:dyDescent="0.25">
      <c r="B12" s="24"/>
      <c r="C12" s="24"/>
      <c r="D12" s="24" t="s">
        <v>19</v>
      </c>
      <c r="E12" s="24" t="s">
        <v>20</v>
      </c>
      <c r="F12" s="24" t="s">
        <v>30</v>
      </c>
      <c r="G12" s="24" t="s">
        <v>22</v>
      </c>
      <c r="H12" s="24" t="s">
        <v>23</v>
      </c>
      <c r="I12" s="24" t="s">
        <v>24</v>
      </c>
    </row>
    <row r="13" spans="2:10" ht="30" customHeight="1" x14ac:dyDescent="0.25">
      <c r="B13" s="24"/>
      <c r="C13" s="24"/>
      <c r="D13" s="24" t="s">
        <v>19</v>
      </c>
      <c r="E13" s="24" t="s">
        <v>20</v>
      </c>
      <c r="F13" s="79" t="s">
        <v>128</v>
      </c>
      <c r="G13" s="24" t="s">
        <v>129</v>
      </c>
      <c r="H13" s="24" t="s">
        <v>130</v>
      </c>
      <c r="I13" s="24" t="s">
        <v>24</v>
      </c>
    </row>
    <row r="14" spans="2:10" x14ac:dyDescent="0.25">
      <c r="B14" s="74">
        <v>1</v>
      </c>
      <c r="C14" s="26">
        <v>1999</v>
      </c>
      <c r="D14" s="53">
        <f>AVERAGEIFS('Canadian 10 Year Bond Yield'!$C$12:$C$701,'Canadian 10 Year Bond Yield'!$B$12:$B$701,'Expected Inflation (i)'!C14)</f>
        <v>5.5408333333333326</v>
      </c>
      <c r="E14" s="53">
        <f>AVERAGEIFS('Canadian CPI'!$C$7:$C$1248,'Canadian CPI'!$B$7:$B$1248,'Expected Inflation (i)'!C14)</f>
        <v>92.850000000000009</v>
      </c>
      <c r="F14" s="55" t="str">
        <f>IFERROR(((E14-#REF!)/#REF!)*100,"-")</f>
        <v>-</v>
      </c>
      <c r="G14" s="55" t="str">
        <f t="shared" ref="G14:G32" si="0">IFERROR(D14-F14,"-")</f>
        <v>-</v>
      </c>
      <c r="H14" s="55">
        <f t="shared" ref="H14:H32" si="1">D14-$G$34</f>
        <v>3.9007503281570672</v>
      </c>
      <c r="I14" s="38">
        <f t="shared" ref="I14:I32" si="2">ROUND(H14,0)</f>
        <v>4</v>
      </c>
    </row>
    <row r="15" spans="2:10" x14ac:dyDescent="0.25">
      <c r="B15" s="74">
        <f>B14+1</f>
        <v>2</v>
      </c>
      <c r="C15" s="26">
        <v>2000</v>
      </c>
      <c r="D15" s="53">
        <f>AVERAGEIFS('Canadian 10 Year Bond Yield'!$C$12:$C$701,'Canadian 10 Year Bond Yield'!$B$12:$B$701,'Expected Inflation (i)'!C15)</f>
        <v>5.9258333333333342</v>
      </c>
      <c r="E15" s="53">
        <f>AVERAGEIFS('Canadian CPI'!$C$7:$C$1248,'Canadian CPI'!$B$7:$B$1248,'Expected Inflation (i)'!C15)</f>
        <v>95.375</v>
      </c>
      <c r="F15" s="55">
        <f>IFERROR(((E15-E14)/E14)*100,"-")</f>
        <v>2.7194399569197536</v>
      </c>
      <c r="G15" s="55">
        <f t="shared" si="0"/>
        <v>3.2063933764135806</v>
      </c>
      <c r="H15" s="55">
        <f t="shared" si="1"/>
        <v>4.2857503281570688</v>
      </c>
      <c r="I15" s="38">
        <f t="shared" si="2"/>
        <v>4</v>
      </c>
    </row>
    <row r="16" spans="2:10" x14ac:dyDescent="0.25">
      <c r="B16" s="74">
        <f t="shared" ref="B16:B32" si="3">B15+1</f>
        <v>3</v>
      </c>
      <c r="C16" s="26">
        <v>2001</v>
      </c>
      <c r="D16" s="53">
        <f>AVERAGEIFS('Canadian 10 Year Bond Yield'!$C$12:$C$701,'Canadian 10 Year Bond Yield'!$B$12:$B$701,'Expected Inflation (i)'!C16)</f>
        <v>5.4799999999999995</v>
      </c>
      <c r="E16" s="53">
        <f>AVERAGEIFS('Canadian CPI'!$C$7:$C$1248,'Canadian CPI'!$B$7:$B$1248,'Expected Inflation (i)'!C16)</f>
        <v>97.783333333333346</v>
      </c>
      <c r="F16" s="55">
        <f t="shared" ref="F16:F32" si="4">IFERROR(((E16-E15)/E15)*100,"-")</f>
        <v>2.5251201397990517</v>
      </c>
      <c r="G16" s="55">
        <f t="shared" si="0"/>
        <v>2.9548798602009478</v>
      </c>
      <c r="H16" s="55">
        <f t="shared" si="1"/>
        <v>3.8399169948237342</v>
      </c>
      <c r="I16" s="38">
        <f t="shared" si="2"/>
        <v>4</v>
      </c>
    </row>
    <row r="17" spans="2:9" x14ac:dyDescent="0.25">
      <c r="B17" s="74">
        <f t="shared" si="3"/>
        <v>4</v>
      </c>
      <c r="C17" s="26">
        <v>2002</v>
      </c>
      <c r="D17" s="53">
        <f>AVERAGEIFS('Canadian 10 Year Bond Yield'!$C$12:$C$701,'Canadian 10 Year Bond Yield'!$B$12:$B$701,'Expected Inflation (i)'!C17)</f>
        <v>5.291666666666667</v>
      </c>
      <c r="E17" s="53">
        <f>AVERAGEIFS('Canadian CPI'!$C$7:$C$1248,'Canadian CPI'!$B$7:$B$1248,'Expected Inflation (i)'!C17)</f>
        <v>99.991666666666674</v>
      </c>
      <c r="F17" s="55">
        <f t="shared" si="4"/>
        <v>2.2583944094085511</v>
      </c>
      <c r="G17" s="55">
        <f t="shared" si="0"/>
        <v>3.0332722572581159</v>
      </c>
      <c r="H17" s="55">
        <f t="shared" si="1"/>
        <v>3.6515836614904016</v>
      </c>
      <c r="I17" s="38">
        <f t="shared" si="2"/>
        <v>4</v>
      </c>
    </row>
    <row r="18" spans="2:9" x14ac:dyDescent="0.25">
      <c r="B18" s="74">
        <f t="shared" si="3"/>
        <v>5</v>
      </c>
      <c r="C18" s="26">
        <v>2003</v>
      </c>
      <c r="D18" s="53">
        <f>AVERAGEIFS('Canadian 10 Year Bond Yield'!$C$12:$C$701,'Canadian 10 Year Bond Yield'!$B$12:$B$701,'Expected Inflation (i)'!C18)</f>
        <v>4.8108333333333322</v>
      </c>
      <c r="E18" s="53">
        <f>AVERAGEIFS('Canadian CPI'!$C$7:$C$1248,'Canadian CPI'!$B$7:$B$1248,'Expected Inflation (i)'!C18)</f>
        <v>102.75</v>
      </c>
      <c r="F18" s="55">
        <f t="shared" si="4"/>
        <v>2.7585632136011258</v>
      </c>
      <c r="G18" s="55">
        <f t="shared" si="0"/>
        <v>2.0522701197322064</v>
      </c>
      <c r="H18" s="55">
        <f t="shared" si="1"/>
        <v>3.1707503281570668</v>
      </c>
      <c r="I18" s="38">
        <f t="shared" si="2"/>
        <v>3</v>
      </c>
    </row>
    <row r="19" spans="2:9" x14ac:dyDescent="0.25">
      <c r="B19" s="74">
        <f t="shared" si="3"/>
        <v>6</v>
      </c>
      <c r="C19" s="26">
        <v>2004</v>
      </c>
      <c r="D19" s="53">
        <f>AVERAGEIFS('Canadian 10 Year Bond Yield'!$C$12:$C$701,'Canadian 10 Year Bond Yield'!$B$12:$B$701,'Expected Inflation (i)'!C19)</f>
        <v>4.578333333333334</v>
      </c>
      <c r="E19" s="53">
        <f>AVERAGEIFS('Canadian CPI'!$C$7:$C$1248,'Canadian CPI'!$B$7:$B$1248,'Expected Inflation (i)'!C19)</f>
        <v>104.65833333333335</v>
      </c>
      <c r="F19" s="55">
        <f t="shared" si="4"/>
        <v>1.8572587185725991</v>
      </c>
      <c r="G19" s="55">
        <f t="shared" si="0"/>
        <v>2.721074614760735</v>
      </c>
      <c r="H19" s="55">
        <f t="shared" si="1"/>
        <v>2.9382503281570687</v>
      </c>
      <c r="I19" s="38">
        <f t="shared" si="2"/>
        <v>3</v>
      </c>
    </row>
    <row r="20" spans="2:9" x14ac:dyDescent="0.25">
      <c r="B20" s="74">
        <f t="shared" si="3"/>
        <v>7</v>
      </c>
      <c r="C20" s="26">
        <v>2005</v>
      </c>
      <c r="D20" s="53">
        <f>AVERAGEIFS('Canadian 10 Year Bond Yield'!$C$12:$C$701,'Canadian 10 Year Bond Yield'!$B$12:$B$701,'Expected Inflation (i)'!C20)</f>
        <v>4.0674999999999999</v>
      </c>
      <c r="E20" s="53">
        <f>AVERAGEIFS('Canadian CPI'!$C$7:$C$1248,'Canadian CPI'!$B$7:$B$1248,'Expected Inflation (i)'!C20)</f>
        <v>106.97500000000001</v>
      </c>
      <c r="F20" s="55">
        <f t="shared" si="4"/>
        <v>2.2135520343976389</v>
      </c>
      <c r="G20" s="55">
        <f t="shared" si="0"/>
        <v>1.853947965602361</v>
      </c>
      <c r="H20" s="55">
        <f t="shared" si="1"/>
        <v>2.4274169948237345</v>
      </c>
      <c r="I20" s="38">
        <f t="shared" si="2"/>
        <v>2</v>
      </c>
    </row>
    <row r="21" spans="2:9" x14ac:dyDescent="0.25">
      <c r="B21" s="74">
        <f t="shared" si="3"/>
        <v>8</v>
      </c>
      <c r="C21" s="26">
        <v>2006</v>
      </c>
      <c r="D21" s="53">
        <f>AVERAGEIFS('Canadian 10 Year Bond Yield'!$C$12:$C$701,'Canadian 10 Year Bond Yield'!$B$12:$B$701,'Expected Inflation (i)'!C21)</f>
        <v>4.2091666666666665</v>
      </c>
      <c r="E21" s="53">
        <f>AVERAGEIFS('Canadian CPI'!$C$7:$C$1248,'Canadian CPI'!$B$7:$B$1248,'Expected Inflation (i)'!C21)</f>
        <v>109.11666666666667</v>
      </c>
      <c r="F21" s="55">
        <f t="shared" si="4"/>
        <v>2.0020253953415899</v>
      </c>
      <c r="G21" s="55">
        <f t="shared" si="0"/>
        <v>2.2071412713250766</v>
      </c>
      <c r="H21" s="55">
        <f t="shared" si="1"/>
        <v>2.5690836614904011</v>
      </c>
      <c r="I21" s="38">
        <f t="shared" si="2"/>
        <v>3</v>
      </c>
    </row>
    <row r="22" spans="2:9" x14ac:dyDescent="0.25">
      <c r="B22" s="74">
        <f t="shared" si="3"/>
        <v>9</v>
      </c>
      <c r="C22" s="26">
        <v>2007</v>
      </c>
      <c r="D22" s="53">
        <f>AVERAGEIFS('Canadian 10 Year Bond Yield'!$C$12:$C$701,'Canadian 10 Year Bond Yield'!$B$12:$B$701,'Expected Inflation (i)'!C22)</f>
        <v>4.2699999999999996</v>
      </c>
      <c r="E22" s="53">
        <f>AVERAGEIFS('Canadian CPI'!$C$7:$C$1248,'Canadian CPI'!$B$7:$B$1248,'Expected Inflation (i)'!C22)</f>
        <v>111.45</v>
      </c>
      <c r="F22" s="55">
        <f t="shared" si="4"/>
        <v>2.1383839926683934</v>
      </c>
      <c r="G22" s="55">
        <f t="shared" si="0"/>
        <v>2.1316160073316062</v>
      </c>
      <c r="H22" s="55">
        <f t="shared" si="1"/>
        <v>2.6299169948237342</v>
      </c>
      <c r="I22" s="38">
        <f t="shared" si="2"/>
        <v>3</v>
      </c>
    </row>
    <row r="23" spans="2:9" x14ac:dyDescent="0.25">
      <c r="B23" s="74">
        <f t="shared" si="3"/>
        <v>10</v>
      </c>
      <c r="C23" s="26">
        <v>2008</v>
      </c>
      <c r="D23" s="53">
        <f>AVERAGEIFS('Canadian 10 Year Bond Yield'!$C$12:$C$701,'Canadian 10 Year Bond Yield'!$B$12:$B$701,'Expected Inflation (i)'!C23)</f>
        <v>3.6058333333333343</v>
      </c>
      <c r="E23" s="53">
        <f>AVERAGEIFS('Canadian CPI'!$C$7:$C$1248,'Canadian CPI'!$B$7:$B$1248,'Expected Inflation (i)'!C23)</f>
        <v>114.09166666666665</v>
      </c>
      <c r="F23" s="55">
        <f t="shared" si="4"/>
        <v>2.3702706744429354</v>
      </c>
      <c r="G23" s="55">
        <f t="shared" si="0"/>
        <v>1.235562658890399</v>
      </c>
      <c r="H23" s="55">
        <f t="shared" si="1"/>
        <v>1.9657503281570692</v>
      </c>
      <c r="I23" s="38">
        <f t="shared" si="2"/>
        <v>2</v>
      </c>
    </row>
    <row r="24" spans="2:9" x14ac:dyDescent="0.25">
      <c r="B24" s="74">
        <f t="shared" si="3"/>
        <v>11</v>
      </c>
      <c r="C24" s="26">
        <v>2009</v>
      </c>
      <c r="D24" s="53">
        <f>AVERAGEIFS('Canadian 10 Year Bond Yield'!$C$12:$C$701,'Canadian 10 Year Bond Yield'!$B$12:$B$701,'Expected Inflation (i)'!C24)</f>
        <v>3.2308333333333334</v>
      </c>
      <c r="E24" s="53">
        <f>AVERAGEIFS('Canadian CPI'!$C$7:$C$1248,'Canadian CPI'!$B$7:$B$1248,'Expected Inflation (i)'!C24)</f>
        <v>114.43333333333334</v>
      </c>
      <c r="F24" s="55">
        <f t="shared" si="4"/>
        <v>0.29946680300929035</v>
      </c>
      <c r="G24" s="55">
        <f t="shared" si="0"/>
        <v>2.931366530324043</v>
      </c>
      <c r="H24" s="55">
        <f t="shared" si="1"/>
        <v>1.5907503281570683</v>
      </c>
      <c r="I24" s="38">
        <f t="shared" si="2"/>
        <v>2</v>
      </c>
    </row>
    <row r="25" spans="2:9" x14ac:dyDescent="0.25">
      <c r="B25" s="74">
        <f t="shared" si="3"/>
        <v>12</v>
      </c>
      <c r="C25" s="26">
        <v>2010</v>
      </c>
      <c r="D25" s="53">
        <f>AVERAGEIFS('Canadian 10 Year Bond Yield'!$C$12:$C$701,'Canadian 10 Year Bond Yield'!$B$12:$B$701,'Expected Inflation (i)'!C25)</f>
        <v>3.2358333333333338</v>
      </c>
      <c r="E25" s="53">
        <f>AVERAGEIFS('Canadian CPI'!$C$7:$C$1248,'Canadian CPI'!$B$7:$B$1248,'Expected Inflation (i)'!C25)</f>
        <v>116.46666666666668</v>
      </c>
      <c r="F25" s="55">
        <f t="shared" si="4"/>
        <v>1.7768715409263143</v>
      </c>
      <c r="G25" s="55">
        <f t="shared" si="0"/>
        <v>1.4589617924070195</v>
      </c>
      <c r="H25" s="55">
        <f t="shared" si="1"/>
        <v>1.5957503281570686</v>
      </c>
      <c r="I25" s="38">
        <f t="shared" si="2"/>
        <v>2</v>
      </c>
    </row>
    <row r="26" spans="2:9" x14ac:dyDescent="0.25">
      <c r="B26" s="74">
        <f t="shared" si="3"/>
        <v>13</v>
      </c>
      <c r="C26" s="26">
        <v>2011</v>
      </c>
      <c r="D26" s="53">
        <f>AVERAGEIFS('Canadian 10 Year Bond Yield'!$C$12:$C$701,'Canadian 10 Year Bond Yield'!$B$12:$B$701,'Expected Inflation (i)'!C26)</f>
        <v>2.7841666666666662</v>
      </c>
      <c r="E26" s="53">
        <f>AVERAGEIFS('Canadian CPI'!$C$7:$C$1248,'Canadian CPI'!$B$7:$B$1248,'Expected Inflation (i)'!C26)</f>
        <v>119.85833333333333</v>
      </c>
      <c r="F26" s="55">
        <f t="shared" si="4"/>
        <v>2.9121350887235127</v>
      </c>
      <c r="G26" s="55">
        <f t="shared" si="0"/>
        <v>-0.12796842205684644</v>
      </c>
      <c r="H26" s="55">
        <f t="shared" si="1"/>
        <v>1.1440836614904011</v>
      </c>
      <c r="I26" s="38">
        <f t="shared" si="2"/>
        <v>1</v>
      </c>
    </row>
    <row r="27" spans="2:9" x14ac:dyDescent="0.25">
      <c r="B27" s="74">
        <f t="shared" si="3"/>
        <v>14</v>
      </c>
      <c r="C27" s="26">
        <v>2012</v>
      </c>
      <c r="D27" s="53">
        <f>AVERAGEIFS('Canadian 10 Year Bond Yield'!$C$12:$C$701,'Canadian 10 Year Bond Yield'!$B$12:$B$701,'Expected Inflation (i)'!C27)</f>
        <v>1.8741666666666665</v>
      </c>
      <c r="E27" s="53">
        <f>AVERAGEIFS('Canadian CPI'!$C$7:$C$1248,'Canadian CPI'!$B$7:$B$1248,'Expected Inflation (i)'!C27)</f>
        <v>121.67500000000001</v>
      </c>
      <c r="F27" s="55">
        <f t="shared" si="4"/>
        <v>1.5156782312452286</v>
      </c>
      <c r="G27" s="55">
        <f t="shared" si="0"/>
        <v>0.35848843542143793</v>
      </c>
      <c r="H27" s="55">
        <f t="shared" si="1"/>
        <v>0.23408366149040138</v>
      </c>
      <c r="I27" s="38">
        <f t="shared" si="2"/>
        <v>0</v>
      </c>
    </row>
    <row r="28" spans="2:9" x14ac:dyDescent="0.25">
      <c r="B28" s="74">
        <f t="shared" si="3"/>
        <v>15</v>
      </c>
      <c r="C28" s="26">
        <v>2013</v>
      </c>
      <c r="D28" s="53">
        <f>AVERAGEIFS('Canadian 10 Year Bond Yield'!$C$12:$C$701,'Canadian 10 Year Bond Yield'!$B$12:$B$701,'Expected Inflation (i)'!C28)</f>
        <v>2.2616666666666667</v>
      </c>
      <c r="E28" s="53">
        <f>AVERAGEIFS('Canadian CPI'!$C$7:$C$1248,'Canadian CPI'!$B$7:$B$1248,'Expected Inflation (i)'!C28)</f>
        <v>122.81666666666666</v>
      </c>
      <c r="F28" s="55">
        <f t="shared" si="4"/>
        <v>0.93829189781520561</v>
      </c>
      <c r="G28" s="55">
        <f t="shared" si="0"/>
        <v>1.323374768851461</v>
      </c>
      <c r="H28" s="55">
        <f t="shared" si="1"/>
        <v>0.62158366149040156</v>
      </c>
      <c r="I28" s="38">
        <f t="shared" si="2"/>
        <v>1</v>
      </c>
    </row>
    <row r="29" spans="2:9" x14ac:dyDescent="0.25">
      <c r="B29" s="74">
        <f t="shared" si="3"/>
        <v>16</v>
      </c>
      <c r="C29" s="26">
        <v>2014</v>
      </c>
      <c r="D29" s="53">
        <f>AVERAGEIFS('Canadian 10 Year Bond Yield'!$C$12:$C$701,'Canadian 10 Year Bond Yield'!$B$12:$B$701,'Expected Inflation (i)'!C29)</f>
        <v>2.2291666666666665</v>
      </c>
      <c r="E29" s="53">
        <f>AVERAGEIFS('Canadian CPI'!$C$7:$C$1248,'Canadian CPI'!$B$7:$B$1248,'Expected Inflation (i)'!C29)</f>
        <v>125.15833333333336</v>
      </c>
      <c r="F29" s="55">
        <f t="shared" si="4"/>
        <v>1.9066359071787462</v>
      </c>
      <c r="G29" s="55">
        <f t="shared" si="0"/>
        <v>0.32253075948792032</v>
      </c>
      <c r="H29" s="55">
        <f t="shared" si="1"/>
        <v>0.58908366149040137</v>
      </c>
      <c r="I29" s="38">
        <f t="shared" si="2"/>
        <v>1</v>
      </c>
    </row>
    <row r="30" spans="2:9" x14ac:dyDescent="0.25">
      <c r="B30" s="74">
        <f t="shared" si="3"/>
        <v>17</v>
      </c>
      <c r="C30" s="26">
        <v>2015</v>
      </c>
      <c r="D30" s="53">
        <f>AVERAGEIFS('Canadian 10 Year Bond Yield'!$C$12:$C$701,'Canadian 10 Year Bond Yield'!$B$12:$B$701,'Expected Inflation (i)'!C30)</f>
        <v>1.5208333333333333</v>
      </c>
      <c r="E30" s="53">
        <f>AVERAGEIFS('Canadian CPI'!$C$7:$C$1248,'Canadian CPI'!$B$7:$B$1248,'Expected Inflation (i)'!C30)</f>
        <v>126.56666666666666</v>
      </c>
      <c r="F30" s="55">
        <f t="shared" si="4"/>
        <v>1.1252413609427814</v>
      </c>
      <c r="G30" s="55">
        <f t="shared" si="0"/>
        <v>0.39559197239055188</v>
      </c>
      <c r="H30" s="55">
        <f t="shared" si="1"/>
        <v>-0.11924967184293189</v>
      </c>
      <c r="I30" s="38">
        <f t="shared" si="2"/>
        <v>0</v>
      </c>
    </row>
    <row r="31" spans="2:9" x14ac:dyDescent="0.25">
      <c r="B31" s="74">
        <f t="shared" si="3"/>
        <v>18</v>
      </c>
      <c r="C31" s="26">
        <v>2016</v>
      </c>
      <c r="D31" s="53">
        <f>AVERAGEIFS('Canadian 10 Year Bond Yield'!$C$12:$C$701,'Canadian 10 Year Bond Yield'!$B$12:$B$701,'Expected Inflation (i)'!C31)</f>
        <v>1.2516666666666667</v>
      </c>
      <c r="E31" s="53">
        <f>AVERAGEIFS('Canadian CPI'!$C$7:$C$1248,'Canadian CPI'!$B$7:$B$1248,'Expected Inflation (i)'!C31)</f>
        <v>128.37499999999997</v>
      </c>
      <c r="F31" s="55">
        <f t="shared" si="4"/>
        <v>1.4287595470107786</v>
      </c>
      <c r="G31" s="55">
        <f t="shared" si="0"/>
        <v>-0.17709288034411186</v>
      </c>
      <c r="H31" s="55">
        <f t="shared" si="1"/>
        <v>-0.38841633850959845</v>
      </c>
      <c r="I31" s="38">
        <f t="shared" si="2"/>
        <v>0</v>
      </c>
    </row>
    <row r="32" spans="2:9" x14ac:dyDescent="0.25">
      <c r="B32" s="74">
        <f t="shared" si="3"/>
        <v>19</v>
      </c>
      <c r="C32" s="26">
        <v>2017</v>
      </c>
      <c r="D32" s="53">
        <f>AVERAGEIFS('Canadian 10 Year Bond Yield'!$C$12:$C$701,'Canadian 10 Year Bond Yield'!$B$12:$B$701,'Expected Inflation (i)'!C32)</f>
        <v>1.6066666666666667</v>
      </c>
      <c r="E32" s="53">
        <f>AVERAGEIFS('Canadian CPI'!$C$7:$C$1248,'Canadian CPI'!$B$7:$B$1248,'Expected Inflation (i)'!C32)</f>
        <v>130.06666666666666</v>
      </c>
      <c r="F32" s="55">
        <f t="shared" si="4"/>
        <v>1.3177539759818435</v>
      </c>
      <c r="G32" s="55">
        <f t="shared" si="0"/>
        <v>0.28891269068482317</v>
      </c>
      <c r="H32" s="55">
        <f t="shared" si="1"/>
        <v>-3.3416338509598464E-2</v>
      </c>
      <c r="I32" s="38">
        <f t="shared" si="2"/>
        <v>0</v>
      </c>
    </row>
    <row r="34" spans="6:7" x14ac:dyDescent="0.25">
      <c r="F34" s="62" t="s">
        <v>131</v>
      </c>
      <c r="G34" s="63">
        <f>AVERAGE(G15:G31)</f>
        <v>1.6400830051762652</v>
      </c>
    </row>
  </sheetData>
  <sortState ref="F34:G34">
    <sortCondition ref="G34"/>
  </sortState>
  <pageMargins left="0.7" right="0.7" top="0.75" bottom="0.75" header="0.3" footer="0.3"/>
  <pageSetup scale="85" orientation="landscape" r:id="rId1"/>
  <extLst>
    <ext xmlns:x14="http://schemas.microsoft.com/office/spreadsheetml/2009/9/main" uri="{78C0D931-6437-407d-A8EE-F0AAD7539E65}">
      <x14:conditionalFormattings>
        <x14:conditionalFormatting xmlns:xm="http://schemas.microsoft.com/office/excel/2006/main">
          <x14:cfRule type="containsText" priority="3" operator="containsText" text="See Memo on TFP Update for Enbridge" id="{9FCF616C-12BE-4423-A561-A6993E5BA3DA}">
            <xm:f>NOT(ISERROR(SEARCH("See Memo on TFP Update for Enbridge",'Capital Stock Calculation'!B2)))</xm:f>
            <x14:dxf>
              <fill>
                <patternFill>
                  <bgColor rgb="FFFFFF00"/>
                </patternFill>
              </fill>
            </x14:dxf>
          </x14:cfRule>
          <xm:sqref>B11:I13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2:LP344"/>
  <sheetViews>
    <sheetView showGridLines="0" view="pageBreakPreview" topLeftCell="GK1" zoomScale="60" zoomScaleNormal="75" workbookViewId="0">
      <selection activeCell="HH11" sqref="HH11:HI16"/>
    </sheetView>
  </sheetViews>
  <sheetFormatPr defaultColWidth="9.140625" defaultRowHeight="12.75" x14ac:dyDescent="0.2"/>
  <cols>
    <col min="1" max="1" width="9.140625" style="1"/>
    <col min="2" max="2" width="3.28515625" style="1" customWidth="1"/>
    <col min="3" max="3" width="28.5703125" style="1" customWidth="1"/>
    <col min="4" max="4" width="15" style="1" customWidth="1"/>
    <col min="5" max="26" width="9.140625" style="1"/>
    <col min="27" max="27" width="3.5703125" style="1" customWidth="1"/>
    <col min="28" max="28" width="28.85546875" style="1" customWidth="1"/>
    <col min="29" max="29" width="9.7109375" style="1" customWidth="1"/>
    <col min="30" max="53" width="9.140625" style="1"/>
    <col min="54" max="54" width="3.5703125" style="1" customWidth="1"/>
    <col min="55" max="55" width="28.85546875" style="1" customWidth="1"/>
    <col min="56" max="80" width="9.140625" style="1"/>
    <col min="81" max="81" width="3.5703125" style="1" customWidth="1"/>
    <col min="82" max="82" width="28.85546875" style="1" customWidth="1"/>
    <col min="83" max="107" width="9.140625" style="1"/>
    <col min="108" max="108" width="3.5703125" style="1" customWidth="1"/>
    <col min="109" max="109" width="28.85546875" style="1" customWidth="1"/>
    <col min="110" max="134" width="9.140625" style="1"/>
    <col min="135" max="135" width="3.5703125" style="1" customWidth="1"/>
    <col min="136" max="136" width="28.85546875" style="1" customWidth="1"/>
    <col min="137" max="161" width="9.140625" style="1"/>
    <col min="162" max="162" width="3.5703125" style="1" customWidth="1"/>
    <col min="163" max="163" width="28.85546875" style="1" customWidth="1"/>
    <col min="164" max="188" width="9.140625" style="1"/>
    <col min="189" max="189" width="3.5703125" style="1" customWidth="1"/>
    <col min="190" max="190" width="28.85546875" style="1" customWidth="1"/>
    <col min="191" max="215" width="9.140625" style="1"/>
    <col min="216" max="216" width="3.5703125" style="1" customWidth="1"/>
    <col min="217" max="217" width="28.85546875" style="1" customWidth="1"/>
    <col min="218" max="16384" width="9.140625" style="1"/>
  </cols>
  <sheetData>
    <row r="2" spans="2:233" ht="18.75" x14ac:dyDescent="0.3">
      <c r="B2" s="28" t="str">
        <f ca="1">MID(CELL("filename",A1),FIND("]",CELL("filename",A1))+1,256)</f>
        <v>Union Ratings and Yields</v>
      </c>
    </row>
    <row r="4" spans="2:233" ht="15" x14ac:dyDescent="0.25">
      <c r="B4" s="29" t="s">
        <v>40</v>
      </c>
      <c r="C4" s="29"/>
    </row>
    <row r="5" spans="2:233" ht="15" x14ac:dyDescent="0.25">
      <c r="B5" s="30" t="s">
        <v>164</v>
      </c>
      <c r="C5" s="30"/>
    </row>
    <row r="7" spans="2:233" ht="15.75" x14ac:dyDescent="0.25">
      <c r="B7" s="31" t="str">
        <f ca="1">B2</f>
        <v>Union Ratings and Yields</v>
      </c>
      <c r="C7" s="32"/>
      <c r="D7" s="32"/>
      <c r="E7" s="32"/>
    </row>
    <row r="8" spans="2:233" ht="15" x14ac:dyDescent="0.25">
      <c r="B8" s="33"/>
      <c r="C8" s="34"/>
    </row>
    <row r="9" spans="2:233" ht="15" x14ac:dyDescent="0.25">
      <c r="B9" s="35" t="s">
        <v>42</v>
      </c>
      <c r="C9" s="36"/>
      <c r="D9" s="36" t="s">
        <v>463</v>
      </c>
      <c r="E9" s="36"/>
    </row>
    <row r="11" spans="2:233" ht="15" x14ac:dyDescent="0.2">
      <c r="B11" s="24"/>
      <c r="C11" s="24"/>
      <c r="D11" s="24">
        <v>2000</v>
      </c>
      <c r="E11" s="24">
        <v>2000</v>
      </c>
      <c r="F11" s="24">
        <v>2000</v>
      </c>
      <c r="G11" s="24">
        <v>2000</v>
      </c>
      <c r="H11" s="24">
        <v>2000</v>
      </c>
      <c r="I11" s="24">
        <v>2000</v>
      </c>
      <c r="J11" s="24">
        <v>2000</v>
      </c>
      <c r="K11" s="24">
        <v>2000</v>
      </c>
      <c r="L11" s="24">
        <v>2000</v>
      </c>
      <c r="M11" s="24">
        <v>2000</v>
      </c>
      <c r="N11" s="24">
        <v>2000</v>
      </c>
      <c r="O11" s="24">
        <v>2000</v>
      </c>
      <c r="P11" s="24">
        <v>2001</v>
      </c>
      <c r="Q11" s="24">
        <v>2001</v>
      </c>
      <c r="R11" s="24">
        <v>2001</v>
      </c>
      <c r="S11" s="24">
        <v>2001</v>
      </c>
      <c r="T11" s="24">
        <v>2001</v>
      </c>
      <c r="U11" s="24">
        <v>2001</v>
      </c>
      <c r="V11" s="24">
        <v>2001</v>
      </c>
      <c r="W11" s="24">
        <v>2001</v>
      </c>
      <c r="X11" s="24">
        <v>2001</v>
      </c>
      <c r="Y11" s="24">
        <v>2001</v>
      </c>
      <c r="Z11" s="24">
        <v>2001</v>
      </c>
      <c r="AA11" s="24"/>
      <c r="AB11" s="24"/>
      <c r="AC11" s="24">
        <v>2001</v>
      </c>
      <c r="AD11" s="24">
        <v>2002</v>
      </c>
      <c r="AE11" s="24">
        <v>2002</v>
      </c>
      <c r="AF11" s="24">
        <v>2002</v>
      </c>
      <c r="AG11" s="24">
        <v>2002</v>
      </c>
      <c r="AH11" s="24">
        <v>2002</v>
      </c>
      <c r="AI11" s="24">
        <v>2002</v>
      </c>
      <c r="AJ11" s="24">
        <v>2002</v>
      </c>
      <c r="AK11" s="24">
        <v>2002</v>
      </c>
      <c r="AL11" s="24">
        <v>2002</v>
      </c>
      <c r="AM11" s="24">
        <v>2002</v>
      </c>
      <c r="AN11" s="24">
        <v>2002</v>
      </c>
      <c r="AO11" s="24">
        <v>2002</v>
      </c>
      <c r="AP11" s="24">
        <v>2003</v>
      </c>
      <c r="AQ11" s="24">
        <v>2003</v>
      </c>
      <c r="AR11" s="24">
        <v>2003</v>
      </c>
      <c r="AS11" s="24">
        <v>2003</v>
      </c>
      <c r="AT11" s="24">
        <v>2003</v>
      </c>
      <c r="AU11" s="24">
        <v>2003</v>
      </c>
      <c r="AV11" s="24">
        <v>2003</v>
      </c>
      <c r="AW11" s="24">
        <v>2003</v>
      </c>
      <c r="AX11" s="24">
        <v>2003</v>
      </c>
      <c r="AY11" s="24">
        <v>2003</v>
      </c>
      <c r="AZ11" s="24">
        <v>2003</v>
      </c>
      <c r="BA11" s="24">
        <v>2003</v>
      </c>
      <c r="BB11" s="24"/>
      <c r="BC11" s="24"/>
      <c r="BD11" s="24">
        <v>2004</v>
      </c>
      <c r="BE11" s="24">
        <v>2004</v>
      </c>
      <c r="BF11" s="24">
        <v>2004</v>
      </c>
      <c r="BG11" s="24">
        <v>2004</v>
      </c>
      <c r="BH11" s="24">
        <v>2004</v>
      </c>
      <c r="BI11" s="24">
        <v>2004</v>
      </c>
      <c r="BJ11" s="24">
        <v>2004</v>
      </c>
      <c r="BK11" s="24">
        <v>2004</v>
      </c>
      <c r="BL11" s="24">
        <v>2004</v>
      </c>
      <c r="BM11" s="24">
        <v>2004</v>
      </c>
      <c r="BN11" s="24">
        <v>2004</v>
      </c>
      <c r="BO11" s="24">
        <v>2004</v>
      </c>
      <c r="BP11" s="24">
        <v>2005</v>
      </c>
      <c r="BQ11" s="24">
        <v>2005</v>
      </c>
      <c r="BR11" s="24">
        <v>2005</v>
      </c>
      <c r="BS11" s="24">
        <v>2005</v>
      </c>
      <c r="BT11" s="24">
        <v>2005</v>
      </c>
      <c r="BU11" s="24">
        <v>2005</v>
      </c>
      <c r="BV11" s="24">
        <v>2005</v>
      </c>
      <c r="BW11" s="24">
        <v>2005</v>
      </c>
      <c r="BX11" s="24">
        <v>2005</v>
      </c>
      <c r="BY11" s="24">
        <v>2005</v>
      </c>
      <c r="BZ11" s="24">
        <v>2005</v>
      </c>
      <c r="CA11" s="24">
        <v>2005</v>
      </c>
      <c r="CB11" s="24">
        <v>2006</v>
      </c>
      <c r="CC11" s="24"/>
      <c r="CD11" s="24"/>
      <c r="CE11" s="24">
        <v>2006</v>
      </c>
      <c r="CF11" s="24">
        <v>2006</v>
      </c>
      <c r="CG11" s="24">
        <v>2006</v>
      </c>
      <c r="CH11" s="24">
        <v>2006</v>
      </c>
      <c r="CI11" s="24">
        <v>2006</v>
      </c>
      <c r="CJ11" s="24">
        <v>2006</v>
      </c>
      <c r="CK11" s="24">
        <v>2006</v>
      </c>
      <c r="CL11" s="24">
        <v>2006</v>
      </c>
      <c r="CM11" s="24">
        <v>2006</v>
      </c>
      <c r="CN11" s="24">
        <v>2006</v>
      </c>
      <c r="CO11" s="24">
        <v>2006</v>
      </c>
      <c r="CP11" s="24">
        <v>2007</v>
      </c>
      <c r="CQ11" s="24">
        <v>2007</v>
      </c>
      <c r="CR11" s="24">
        <v>2007</v>
      </c>
      <c r="CS11" s="24">
        <v>2007</v>
      </c>
      <c r="CT11" s="24">
        <v>2007</v>
      </c>
      <c r="CU11" s="24">
        <v>2007</v>
      </c>
      <c r="CV11" s="24">
        <v>2007</v>
      </c>
      <c r="CW11" s="24">
        <v>2007</v>
      </c>
      <c r="CX11" s="24">
        <v>2007</v>
      </c>
      <c r="CY11" s="24">
        <v>2007</v>
      </c>
      <c r="CZ11" s="24">
        <v>2007</v>
      </c>
      <c r="DA11" s="24">
        <v>2007</v>
      </c>
      <c r="DB11" s="24">
        <v>2008</v>
      </c>
      <c r="DC11" s="24">
        <v>2008</v>
      </c>
      <c r="DD11" s="24"/>
      <c r="DE11" s="24"/>
      <c r="DF11" s="24">
        <v>2008</v>
      </c>
      <c r="DG11" s="24">
        <v>2008</v>
      </c>
      <c r="DH11" s="24">
        <v>2008</v>
      </c>
      <c r="DI11" s="24">
        <v>2008</v>
      </c>
      <c r="DJ11" s="24">
        <v>2008</v>
      </c>
      <c r="DK11" s="24">
        <v>2008</v>
      </c>
      <c r="DL11" s="24">
        <v>2008</v>
      </c>
      <c r="DM11" s="24">
        <v>2008</v>
      </c>
      <c r="DN11" s="24">
        <v>2008</v>
      </c>
      <c r="DO11" s="24">
        <v>2008</v>
      </c>
      <c r="DP11" s="24">
        <v>2009</v>
      </c>
      <c r="DQ11" s="24">
        <v>2009</v>
      </c>
      <c r="DR11" s="24">
        <v>2009</v>
      </c>
      <c r="DS11" s="24">
        <v>2009</v>
      </c>
      <c r="DT11" s="24">
        <v>2009</v>
      </c>
      <c r="DU11" s="24">
        <v>2009</v>
      </c>
      <c r="DV11" s="24">
        <v>2009</v>
      </c>
      <c r="DW11" s="24">
        <v>2009</v>
      </c>
      <c r="DX11" s="24">
        <v>2009</v>
      </c>
      <c r="DY11" s="24">
        <v>2009</v>
      </c>
      <c r="DZ11" s="24">
        <v>2009</v>
      </c>
      <c r="EA11" s="24">
        <v>2009</v>
      </c>
      <c r="EB11" s="24">
        <v>2010</v>
      </c>
      <c r="EC11" s="24">
        <v>2010</v>
      </c>
      <c r="ED11" s="24">
        <v>2010</v>
      </c>
      <c r="EE11" s="24"/>
      <c r="EF11" s="24"/>
      <c r="EG11" s="24">
        <v>2010</v>
      </c>
      <c r="EH11" s="24">
        <v>2010</v>
      </c>
      <c r="EI11" s="24">
        <v>2010</v>
      </c>
      <c r="EJ11" s="24">
        <v>2010</v>
      </c>
      <c r="EK11" s="24">
        <v>2010</v>
      </c>
      <c r="EL11" s="24">
        <v>2010</v>
      </c>
      <c r="EM11" s="24">
        <v>2010</v>
      </c>
      <c r="EN11" s="24">
        <v>2010</v>
      </c>
      <c r="EO11" s="24">
        <v>2010</v>
      </c>
      <c r="EP11" s="24">
        <v>2011</v>
      </c>
      <c r="EQ11" s="24">
        <v>2011</v>
      </c>
      <c r="ER11" s="24">
        <v>2011</v>
      </c>
      <c r="ES11" s="24">
        <v>2011</v>
      </c>
      <c r="ET11" s="24">
        <v>2011</v>
      </c>
      <c r="EU11" s="24">
        <v>2011</v>
      </c>
      <c r="EV11" s="24">
        <v>2011</v>
      </c>
      <c r="EW11" s="24">
        <v>2011</v>
      </c>
      <c r="EX11" s="24">
        <v>2011</v>
      </c>
      <c r="EY11" s="24">
        <v>2011</v>
      </c>
      <c r="EZ11" s="24">
        <v>2011</v>
      </c>
      <c r="FA11" s="24">
        <v>2011</v>
      </c>
      <c r="FB11" s="24">
        <v>2012</v>
      </c>
      <c r="FC11" s="24">
        <v>2012</v>
      </c>
      <c r="FD11" s="24">
        <v>2012</v>
      </c>
      <c r="FE11" s="24">
        <v>2012</v>
      </c>
      <c r="FF11" s="24"/>
      <c r="FG11" s="24"/>
      <c r="FH11" s="24">
        <v>2012</v>
      </c>
      <c r="FI11" s="24">
        <v>2012</v>
      </c>
      <c r="FJ11" s="24">
        <v>2012</v>
      </c>
      <c r="FK11" s="24">
        <v>2012</v>
      </c>
      <c r="FL11" s="24">
        <v>2012</v>
      </c>
      <c r="FM11" s="24">
        <v>2012</v>
      </c>
      <c r="FN11" s="24">
        <v>2012</v>
      </c>
      <c r="FO11" s="24">
        <v>2012</v>
      </c>
      <c r="FP11" s="24">
        <v>2013</v>
      </c>
      <c r="FQ11" s="24">
        <v>2013</v>
      </c>
      <c r="FR11" s="24">
        <v>2013</v>
      </c>
      <c r="FS11" s="24">
        <v>2013</v>
      </c>
      <c r="FT11" s="24">
        <v>2013</v>
      </c>
      <c r="FU11" s="24">
        <v>2013</v>
      </c>
      <c r="FV11" s="24">
        <v>2013</v>
      </c>
      <c r="FW11" s="24">
        <v>2013</v>
      </c>
      <c r="FX11" s="24">
        <v>2013</v>
      </c>
      <c r="FY11" s="24">
        <v>2013</v>
      </c>
      <c r="FZ11" s="24">
        <v>2013</v>
      </c>
      <c r="GA11" s="24">
        <v>2013</v>
      </c>
      <c r="GB11" s="24">
        <v>2014</v>
      </c>
      <c r="GC11" s="24">
        <v>2014</v>
      </c>
      <c r="GD11" s="24">
        <v>2014</v>
      </c>
      <c r="GE11" s="24">
        <v>2014</v>
      </c>
      <c r="GF11" s="24">
        <v>2014</v>
      </c>
      <c r="GG11" s="24"/>
      <c r="GH11" s="24"/>
      <c r="GI11" s="24">
        <v>2014</v>
      </c>
      <c r="GJ11" s="24">
        <v>2014</v>
      </c>
      <c r="GK11" s="24">
        <v>2014</v>
      </c>
      <c r="GL11" s="24">
        <v>2014</v>
      </c>
      <c r="GM11" s="24">
        <v>2014</v>
      </c>
      <c r="GN11" s="24">
        <v>2014</v>
      </c>
      <c r="GO11" s="24">
        <v>2014</v>
      </c>
      <c r="GP11" s="24">
        <v>2015</v>
      </c>
      <c r="GQ11" s="24">
        <v>2015</v>
      </c>
      <c r="GR11" s="24">
        <v>2015</v>
      </c>
      <c r="GS11" s="24">
        <v>2015</v>
      </c>
      <c r="GT11" s="24">
        <v>2015</v>
      </c>
      <c r="GU11" s="24">
        <v>2015</v>
      </c>
      <c r="GV11" s="24">
        <v>2015</v>
      </c>
      <c r="GW11" s="24">
        <v>2015</v>
      </c>
      <c r="GX11" s="24">
        <v>2015</v>
      </c>
      <c r="GY11" s="24">
        <v>2015</v>
      </c>
      <c r="GZ11" s="24">
        <v>2015</v>
      </c>
      <c r="HA11" s="24">
        <v>2015</v>
      </c>
      <c r="HB11" s="24">
        <v>2016</v>
      </c>
      <c r="HC11" s="24">
        <v>2016</v>
      </c>
      <c r="HD11" s="24">
        <v>2016</v>
      </c>
      <c r="HE11" s="24">
        <v>2016</v>
      </c>
      <c r="HF11" s="24">
        <v>2016</v>
      </c>
      <c r="HG11" s="24">
        <v>2016</v>
      </c>
      <c r="HH11" s="24"/>
      <c r="HI11" s="24"/>
      <c r="HJ11" s="24">
        <v>2016</v>
      </c>
      <c r="HK11" s="24">
        <v>2016</v>
      </c>
      <c r="HL11" s="24">
        <v>2016</v>
      </c>
      <c r="HM11" s="24">
        <v>2016</v>
      </c>
      <c r="HN11" s="24">
        <v>2016</v>
      </c>
      <c r="HO11" s="24">
        <v>2016</v>
      </c>
      <c r="HP11" s="24">
        <v>2017</v>
      </c>
      <c r="HQ11" s="24">
        <v>2017</v>
      </c>
      <c r="HR11" s="24">
        <v>2017</v>
      </c>
      <c r="HS11" s="24">
        <v>2017</v>
      </c>
      <c r="HT11" s="24">
        <v>2017</v>
      </c>
      <c r="HU11" s="24">
        <v>2017</v>
      </c>
      <c r="HX11" s="46" t="s">
        <v>81</v>
      </c>
      <c r="HY11" s="47"/>
    </row>
    <row r="12" spans="2:233" ht="15" x14ac:dyDescent="0.2">
      <c r="B12" s="24"/>
      <c r="C12" s="24"/>
      <c r="D12" s="24">
        <v>1</v>
      </c>
      <c r="E12" s="24">
        <v>2</v>
      </c>
      <c r="F12" s="24">
        <v>3</v>
      </c>
      <c r="G12" s="24">
        <v>4</v>
      </c>
      <c r="H12" s="24">
        <v>5</v>
      </c>
      <c r="I12" s="24">
        <v>6</v>
      </c>
      <c r="J12" s="24">
        <v>7</v>
      </c>
      <c r="K12" s="24">
        <v>8</v>
      </c>
      <c r="L12" s="24">
        <v>9</v>
      </c>
      <c r="M12" s="24">
        <v>10</v>
      </c>
      <c r="N12" s="24">
        <v>11</v>
      </c>
      <c r="O12" s="24">
        <v>12</v>
      </c>
      <c r="P12" s="24">
        <v>1</v>
      </c>
      <c r="Q12" s="24">
        <v>2</v>
      </c>
      <c r="R12" s="24">
        <v>3</v>
      </c>
      <c r="S12" s="24">
        <v>4</v>
      </c>
      <c r="T12" s="24">
        <v>5</v>
      </c>
      <c r="U12" s="24">
        <v>6</v>
      </c>
      <c r="V12" s="24">
        <v>7</v>
      </c>
      <c r="W12" s="24">
        <v>8</v>
      </c>
      <c r="X12" s="24">
        <v>9</v>
      </c>
      <c r="Y12" s="24">
        <v>10</v>
      </c>
      <c r="Z12" s="24">
        <v>11</v>
      </c>
      <c r="AA12" s="24"/>
      <c r="AB12" s="24"/>
      <c r="AC12" s="24">
        <v>12</v>
      </c>
      <c r="AD12" s="24">
        <v>1</v>
      </c>
      <c r="AE12" s="24">
        <v>2</v>
      </c>
      <c r="AF12" s="24">
        <v>3</v>
      </c>
      <c r="AG12" s="24">
        <v>4</v>
      </c>
      <c r="AH12" s="24">
        <v>5</v>
      </c>
      <c r="AI12" s="24">
        <v>6</v>
      </c>
      <c r="AJ12" s="24">
        <v>7</v>
      </c>
      <c r="AK12" s="24">
        <v>8</v>
      </c>
      <c r="AL12" s="24">
        <v>9</v>
      </c>
      <c r="AM12" s="24">
        <v>10</v>
      </c>
      <c r="AN12" s="24">
        <v>11</v>
      </c>
      <c r="AO12" s="24">
        <v>12</v>
      </c>
      <c r="AP12" s="24">
        <v>1</v>
      </c>
      <c r="AQ12" s="24">
        <v>2</v>
      </c>
      <c r="AR12" s="24">
        <v>3</v>
      </c>
      <c r="AS12" s="24">
        <v>4</v>
      </c>
      <c r="AT12" s="24">
        <v>5</v>
      </c>
      <c r="AU12" s="24">
        <v>6</v>
      </c>
      <c r="AV12" s="24">
        <v>7</v>
      </c>
      <c r="AW12" s="24">
        <v>8</v>
      </c>
      <c r="AX12" s="24">
        <v>9</v>
      </c>
      <c r="AY12" s="24">
        <v>10</v>
      </c>
      <c r="AZ12" s="24">
        <v>11</v>
      </c>
      <c r="BA12" s="24">
        <v>12</v>
      </c>
      <c r="BB12" s="24"/>
      <c r="BC12" s="24"/>
      <c r="BD12" s="24">
        <v>1</v>
      </c>
      <c r="BE12" s="24">
        <v>2</v>
      </c>
      <c r="BF12" s="24">
        <v>3</v>
      </c>
      <c r="BG12" s="24">
        <v>4</v>
      </c>
      <c r="BH12" s="24">
        <v>5</v>
      </c>
      <c r="BI12" s="24">
        <v>6</v>
      </c>
      <c r="BJ12" s="24">
        <v>7</v>
      </c>
      <c r="BK12" s="24">
        <v>8</v>
      </c>
      <c r="BL12" s="24">
        <v>9</v>
      </c>
      <c r="BM12" s="24">
        <v>10</v>
      </c>
      <c r="BN12" s="24">
        <v>11</v>
      </c>
      <c r="BO12" s="24">
        <v>12</v>
      </c>
      <c r="BP12" s="24">
        <v>1</v>
      </c>
      <c r="BQ12" s="24">
        <v>2</v>
      </c>
      <c r="BR12" s="24">
        <v>3</v>
      </c>
      <c r="BS12" s="24">
        <v>4</v>
      </c>
      <c r="BT12" s="24">
        <v>5</v>
      </c>
      <c r="BU12" s="24">
        <v>6</v>
      </c>
      <c r="BV12" s="24">
        <v>7</v>
      </c>
      <c r="BW12" s="24">
        <v>8</v>
      </c>
      <c r="BX12" s="24">
        <v>9</v>
      </c>
      <c r="BY12" s="24">
        <v>10</v>
      </c>
      <c r="BZ12" s="24">
        <v>11</v>
      </c>
      <c r="CA12" s="24">
        <v>12</v>
      </c>
      <c r="CB12" s="24">
        <v>1</v>
      </c>
      <c r="CC12" s="24"/>
      <c r="CD12" s="24"/>
      <c r="CE12" s="24">
        <v>2</v>
      </c>
      <c r="CF12" s="24">
        <v>3</v>
      </c>
      <c r="CG12" s="24">
        <v>4</v>
      </c>
      <c r="CH12" s="24">
        <v>5</v>
      </c>
      <c r="CI12" s="24">
        <v>6</v>
      </c>
      <c r="CJ12" s="24">
        <v>7</v>
      </c>
      <c r="CK12" s="24">
        <v>8</v>
      </c>
      <c r="CL12" s="24">
        <v>9</v>
      </c>
      <c r="CM12" s="24">
        <v>10</v>
      </c>
      <c r="CN12" s="24">
        <v>11</v>
      </c>
      <c r="CO12" s="24">
        <v>12</v>
      </c>
      <c r="CP12" s="24">
        <v>1</v>
      </c>
      <c r="CQ12" s="24">
        <v>2</v>
      </c>
      <c r="CR12" s="24">
        <v>3</v>
      </c>
      <c r="CS12" s="24">
        <v>4</v>
      </c>
      <c r="CT12" s="24">
        <v>5</v>
      </c>
      <c r="CU12" s="24">
        <v>6</v>
      </c>
      <c r="CV12" s="24">
        <v>7</v>
      </c>
      <c r="CW12" s="24">
        <v>8</v>
      </c>
      <c r="CX12" s="24">
        <v>9</v>
      </c>
      <c r="CY12" s="24">
        <v>10</v>
      </c>
      <c r="CZ12" s="24">
        <v>11</v>
      </c>
      <c r="DA12" s="24">
        <v>12</v>
      </c>
      <c r="DB12" s="24">
        <v>1</v>
      </c>
      <c r="DC12" s="24">
        <v>2</v>
      </c>
      <c r="DD12" s="24"/>
      <c r="DE12" s="24"/>
      <c r="DF12" s="24">
        <v>3</v>
      </c>
      <c r="DG12" s="24">
        <v>4</v>
      </c>
      <c r="DH12" s="24">
        <v>5</v>
      </c>
      <c r="DI12" s="24">
        <v>6</v>
      </c>
      <c r="DJ12" s="24">
        <v>7</v>
      </c>
      <c r="DK12" s="24">
        <v>8</v>
      </c>
      <c r="DL12" s="24">
        <v>9</v>
      </c>
      <c r="DM12" s="24">
        <v>10</v>
      </c>
      <c r="DN12" s="24">
        <v>11</v>
      </c>
      <c r="DO12" s="24">
        <v>12</v>
      </c>
      <c r="DP12" s="24">
        <v>1</v>
      </c>
      <c r="DQ12" s="24">
        <v>2</v>
      </c>
      <c r="DR12" s="24">
        <v>3</v>
      </c>
      <c r="DS12" s="24">
        <v>4</v>
      </c>
      <c r="DT12" s="24">
        <v>5</v>
      </c>
      <c r="DU12" s="24">
        <v>6</v>
      </c>
      <c r="DV12" s="24">
        <v>7</v>
      </c>
      <c r="DW12" s="24">
        <v>8</v>
      </c>
      <c r="DX12" s="24">
        <v>9</v>
      </c>
      <c r="DY12" s="24">
        <v>10</v>
      </c>
      <c r="DZ12" s="24">
        <v>11</v>
      </c>
      <c r="EA12" s="24">
        <v>12</v>
      </c>
      <c r="EB12" s="24">
        <v>1</v>
      </c>
      <c r="EC12" s="24">
        <v>2</v>
      </c>
      <c r="ED12" s="24">
        <v>3</v>
      </c>
      <c r="EE12" s="24"/>
      <c r="EF12" s="24"/>
      <c r="EG12" s="24">
        <v>4</v>
      </c>
      <c r="EH12" s="24">
        <v>5</v>
      </c>
      <c r="EI12" s="24">
        <v>6</v>
      </c>
      <c r="EJ12" s="24">
        <v>7</v>
      </c>
      <c r="EK12" s="24">
        <v>8</v>
      </c>
      <c r="EL12" s="24">
        <v>9</v>
      </c>
      <c r="EM12" s="24">
        <v>10</v>
      </c>
      <c r="EN12" s="24">
        <v>11</v>
      </c>
      <c r="EO12" s="24">
        <v>12</v>
      </c>
      <c r="EP12" s="24">
        <v>1</v>
      </c>
      <c r="EQ12" s="24">
        <v>2</v>
      </c>
      <c r="ER12" s="24">
        <v>3</v>
      </c>
      <c r="ES12" s="24">
        <v>4</v>
      </c>
      <c r="ET12" s="24">
        <v>5</v>
      </c>
      <c r="EU12" s="24">
        <v>6</v>
      </c>
      <c r="EV12" s="24">
        <v>7</v>
      </c>
      <c r="EW12" s="24">
        <v>8</v>
      </c>
      <c r="EX12" s="24">
        <v>9</v>
      </c>
      <c r="EY12" s="24">
        <v>10</v>
      </c>
      <c r="EZ12" s="24">
        <v>11</v>
      </c>
      <c r="FA12" s="24">
        <v>12</v>
      </c>
      <c r="FB12" s="24">
        <v>1</v>
      </c>
      <c r="FC12" s="24">
        <v>2</v>
      </c>
      <c r="FD12" s="24">
        <v>3</v>
      </c>
      <c r="FE12" s="24">
        <v>4</v>
      </c>
      <c r="FF12" s="24"/>
      <c r="FG12" s="24"/>
      <c r="FH12" s="24">
        <v>5</v>
      </c>
      <c r="FI12" s="24">
        <v>6</v>
      </c>
      <c r="FJ12" s="24">
        <v>7</v>
      </c>
      <c r="FK12" s="24">
        <v>8</v>
      </c>
      <c r="FL12" s="24">
        <v>9</v>
      </c>
      <c r="FM12" s="24">
        <v>10</v>
      </c>
      <c r="FN12" s="24">
        <v>11</v>
      </c>
      <c r="FO12" s="24">
        <v>12</v>
      </c>
      <c r="FP12" s="24">
        <v>1</v>
      </c>
      <c r="FQ12" s="24">
        <v>2</v>
      </c>
      <c r="FR12" s="24">
        <v>3</v>
      </c>
      <c r="FS12" s="24">
        <v>4</v>
      </c>
      <c r="FT12" s="24">
        <v>5</v>
      </c>
      <c r="FU12" s="24">
        <v>6</v>
      </c>
      <c r="FV12" s="24">
        <v>7</v>
      </c>
      <c r="FW12" s="24">
        <v>8</v>
      </c>
      <c r="FX12" s="24">
        <v>9</v>
      </c>
      <c r="FY12" s="24">
        <v>10</v>
      </c>
      <c r="FZ12" s="24">
        <v>11</v>
      </c>
      <c r="GA12" s="24">
        <v>12</v>
      </c>
      <c r="GB12" s="24">
        <v>1</v>
      </c>
      <c r="GC12" s="24">
        <v>2</v>
      </c>
      <c r="GD12" s="24">
        <v>3</v>
      </c>
      <c r="GE12" s="24">
        <v>4</v>
      </c>
      <c r="GF12" s="24">
        <v>5</v>
      </c>
      <c r="GG12" s="24"/>
      <c r="GH12" s="24"/>
      <c r="GI12" s="24">
        <v>6</v>
      </c>
      <c r="GJ12" s="24">
        <v>7</v>
      </c>
      <c r="GK12" s="24">
        <v>8</v>
      </c>
      <c r="GL12" s="24">
        <v>9</v>
      </c>
      <c r="GM12" s="24">
        <v>10</v>
      </c>
      <c r="GN12" s="24">
        <v>11</v>
      </c>
      <c r="GO12" s="24">
        <v>12</v>
      </c>
      <c r="GP12" s="24">
        <v>1</v>
      </c>
      <c r="GQ12" s="24">
        <v>2</v>
      </c>
      <c r="GR12" s="24">
        <v>3</v>
      </c>
      <c r="GS12" s="24">
        <v>4</v>
      </c>
      <c r="GT12" s="24">
        <v>5</v>
      </c>
      <c r="GU12" s="24">
        <v>6</v>
      </c>
      <c r="GV12" s="24">
        <v>7</v>
      </c>
      <c r="GW12" s="24">
        <v>8</v>
      </c>
      <c r="GX12" s="24">
        <v>9</v>
      </c>
      <c r="GY12" s="24">
        <v>10</v>
      </c>
      <c r="GZ12" s="24">
        <v>11</v>
      </c>
      <c r="HA12" s="24">
        <v>12</v>
      </c>
      <c r="HB12" s="24">
        <v>1</v>
      </c>
      <c r="HC12" s="24">
        <v>2</v>
      </c>
      <c r="HD12" s="24">
        <v>3</v>
      </c>
      <c r="HE12" s="24">
        <v>4</v>
      </c>
      <c r="HF12" s="24">
        <v>5</v>
      </c>
      <c r="HG12" s="24">
        <v>6</v>
      </c>
      <c r="HH12" s="24"/>
      <c r="HI12" s="24"/>
      <c r="HJ12" s="24">
        <v>7</v>
      </c>
      <c r="HK12" s="24">
        <v>8</v>
      </c>
      <c r="HL12" s="24">
        <v>9</v>
      </c>
      <c r="HM12" s="24">
        <v>10</v>
      </c>
      <c r="HN12" s="24">
        <v>11</v>
      </c>
      <c r="HO12" s="24">
        <v>12</v>
      </c>
      <c r="HP12" s="24">
        <v>1</v>
      </c>
      <c r="HQ12" s="24">
        <v>2</v>
      </c>
      <c r="HR12" s="24">
        <v>3</v>
      </c>
      <c r="HS12" s="24">
        <v>4</v>
      </c>
      <c r="HT12" s="24">
        <v>5</v>
      </c>
      <c r="HU12" s="24">
        <v>6</v>
      </c>
      <c r="HX12" s="48"/>
      <c r="HY12" s="48"/>
    </row>
    <row r="13" spans="2:233" ht="15" x14ac:dyDescent="0.2">
      <c r="B13" s="24"/>
      <c r="C13" s="24" t="s">
        <v>96</v>
      </c>
      <c r="D13" s="24" t="str">
        <f t="shared" ref="D13:X13" si="0">CONCATENATE(D11, "M",D12)</f>
        <v>2000M1</v>
      </c>
      <c r="E13" s="24" t="str">
        <f t="shared" si="0"/>
        <v>2000M2</v>
      </c>
      <c r="F13" s="24" t="str">
        <f t="shared" si="0"/>
        <v>2000M3</v>
      </c>
      <c r="G13" s="24" t="str">
        <f t="shared" si="0"/>
        <v>2000M4</v>
      </c>
      <c r="H13" s="24" t="str">
        <f t="shared" si="0"/>
        <v>2000M5</v>
      </c>
      <c r="I13" s="24" t="str">
        <f t="shared" si="0"/>
        <v>2000M6</v>
      </c>
      <c r="J13" s="24" t="str">
        <f t="shared" si="0"/>
        <v>2000M7</v>
      </c>
      <c r="K13" s="24" t="str">
        <f t="shared" si="0"/>
        <v>2000M8</v>
      </c>
      <c r="L13" s="24" t="str">
        <f t="shared" si="0"/>
        <v>2000M9</v>
      </c>
      <c r="M13" s="24" t="str">
        <f t="shared" si="0"/>
        <v>2000M10</v>
      </c>
      <c r="N13" s="24" t="str">
        <f t="shared" si="0"/>
        <v>2000M11</v>
      </c>
      <c r="O13" s="24" t="str">
        <f t="shared" si="0"/>
        <v>2000M12</v>
      </c>
      <c r="P13" s="24" t="str">
        <f t="shared" si="0"/>
        <v>2001M1</v>
      </c>
      <c r="Q13" s="24" t="str">
        <f t="shared" si="0"/>
        <v>2001M2</v>
      </c>
      <c r="R13" s="24" t="str">
        <f t="shared" si="0"/>
        <v>2001M3</v>
      </c>
      <c r="S13" s="24" t="str">
        <f t="shared" si="0"/>
        <v>2001M4</v>
      </c>
      <c r="T13" s="24" t="str">
        <f t="shared" si="0"/>
        <v>2001M5</v>
      </c>
      <c r="U13" s="24" t="str">
        <f t="shared" si="0"/>
        <v>2001M6</v>
      </c>
      <c r="V13" s="24" t="str">
        <f t="shared" si="0"/>
        <v>2001M7</v>
      </c>
      <c r="W13" s="24" t="str">
        <f t="shared" si="0"/>
        <v>2001M8</v>
      </c>
      <c r="X13" s="24" t="str">
        <f t="shared" si="0"/>
        <v>2001M9</v>
      </c>
      <c r="Y13" s="24" t="str">
        <f t="shared" ref="Y13:CP13" si="1">CONCATENATE(Y11, "M",Y12)</f>
        <v>2001M10</v>
      </c>
      <c r="Z13" s="24" t="str">
        <f t="shared" si="1"/>
        <v>2001M11</v>
      </c>
      <c r="AA13" s="24"/>
      <c r="AB13" s="24" t="s">
        <v>96</v>
      </c>
      <c r="AC13" s="24" t="str">
        <f t="shared" si="1"/>
        <v>2001M12</v>
      </c>
      <c r="AD13" s="24" t="str">
        <f t="shared" si="1"/>
        <v>2002M1</v>
      </c>
      <c r="AE13" s="24" t="str">
        <f t="shared" si="1"/>
        <v>2002M2</v>
      </c>
      <c r="AF13" s="24" t="str">
        <f t="shared" si="1"/>
        <v>2002M3</v>
      </c>
      <c r="AG13" s="24" t="str">
        <f t="shared" si="1"/>
        <v>2002M4</v>
      </c>
      <c r="AH13" s="24" t="str">
        <f t="shared" si="1"/>
        <v>2002M5</v>
      </c>
      <c r="AI13" s="24" t="str">
        <f t="shared" si="1"/>
        <v>2002M6</v>
      </c>
      <c r="AJ13" s="24" t="str">
        <f t="shared" si="1"/>
        <v>2002M7</v>
      </c>
      <c r="AK13" s="24" t="str">
        <f t="shared" si="1"/>
        <v>2002M8</v>
      </c>
      <c r="AL13" s="24" t="str">
        <f t="shared" si="1"/>
        <v>2002M9</v>
      </c>
      <c r="AM13" s="24" t="str">
        <f t="shared" si="1"/>
        <v>2002M10</v>
      </c>
      <c r="AN13" s="24" t="str">
        <f t="shared" si="1"/>
        <v>2002M11</v>
      </c>
      <c r="AO13" s="24" t="str">
        <f t="shared" si="1"/>
        <v>2002M12</v>
      </c>
      <c r="AP13" s="24" t="str">
        <f t="shared" si="1"/>
        <v>2003M1</v>
      </c>
      <c r="AQ13" s="24" t="str">
        <f t="shared" si="1"/>
        <v>2003M2</v>
      </c>
      <c r="AR13" s="24" t="str">
        <f t="shared" si="1"/>
        <v>2003M3</v>
      </c>
      <c r="AS13" s="24" t="str">
        <f t="shared" si="1"/>
        <v>2003M4</v>
      </c>
      <c r="AT13" s="24" t="str">
        <f t="shared" si="1"/>
        <v>2003M5</v>
      </c>
      <c r="AU13" s="24" t="str">
        <f t="shared" si="1"/>
        <v>2003M6</v>
      </c>
      <c r="AV13" s="24" t="str">
        <f t="shared" si="1"/>
        <v>2003M7</v>
      </c>
      <c r="AW13" s="24" t="str">
        <f t="shared" si="1"/>
        <v>2003M8</v>
      </c>
      <c r="AX13" s="24" t="str">
        <f t="shared" si="1"/>
        <v>2003M9</v>
      </c>
      <c r="AY13" s="24" t="str">
        <f t="shared" si="1"/>
        <v>2003M10</v>
      </c>
      <c r="AZ13" s="24" t="str">
        <f t="shared" si="1"/>
        <v>2003M11</v>
      </c>
      <c r="BA13" s="24" t="str">
        <f t="shared" si="1"/>
        <v>2003M12</v>
      </c>
      <c r="BB13" s="24"/>
      <c r="BC13" s="24" t="s">
        <v>96</v>
      </c>
      <c r="BD13" s="24" t="str">
        <f t="shared" si="1"/>
        <v>2004M1</v>
      </c>
      <c r="BE13" s="24" t="str">
        <f t="shared" si="1"/>
        <v>2004M2</v>
      </c>
      <c r="BF13" s="24" t="str">
        <f t="shared" si="1"/>
        <v>2004M3</v>
      </c>
      <c r="BG13" s="24" t="str">
        <f t="shared" si="1"/>
        <v>2004M4</v>
      </c>
      <c r="BH13" s="24" t="str">
        <f t="shared" si="1"/>
        <v>2004M5</v>
      </c>
      <c r="BI13" s="24" t="str">
        <f t="shared" si="1"/>
        <v>2004M6</v>
      </c>
      <c r="BJ13" s="24" t="str">
        <f t="shared" si="1"/>
        <v>2004M7</v>
      </c>
      <c r="BK13" s="24" t="str">
        <f t="shared" si="1"/>
        <v>2004M8</v>
      </c>
      <c r="BL13" s="24" t="str">
        <f t="shared" si="1"/>
        <v>2004M9</v>
      </c>
      <c r="BM13" s="24" t="str">
        <f t="shared" si="1"/>
        <v>2004M10</v>
      </c>
      <c r="BN13" s="24" t="str">
        <f t="shared" si="1"/>
        <v>2004M11</v>
      </c>
      <c r="BO13" s="24" t="str">
        <f t="shared" si="1"/>
        <v>2004M12</v>
      </c>
      <c r="BP13" s="24" t="str">
        <f t="shared" si="1"/>
        <v>2005M1</v>
      </c>
      <c r="BQ13" s="24" t="str">
        <f t="shared" si="1"/>
        <v>2005M2</v>
      </c>
      <c r="BR13" s="24" t="str">
        <f t="shared" si="1"/>
        <v>2005M3</v>
      </c>
      <c r="BS13" s="24" t="str">
        <f t="shared" si="1"/>
        <v>2005M4</v>
      </c>
      <c r="BT13" s="24" t="str">
        <f t="shared" si="1"/>
        <v>2005M5</v>
      </c>
      <c r="BU13" s="24" t="str">
        <f t="shared" si="1"/>
        <v>2005M6</v>
      </c>
      <c r="BV13" s="24" t="str">
        <f t="shared" si="1"/>
        <v>2005M7</v>
      </c>
      <c r="BW13" s="24" t="str">
        <f t="shared" si="1"/>
        <v>2005M8</v>
      </c>
      <c r="BX13" s="24" t="str">
        <f t="shared" si="1"/>
        <v>2005M9</v>
      </c>
      <c r="BY13" s="24" t="str">
        <f t="shared" si="1"/>
        <v>2005M10</v>
      </c>
      <c r="BZ13" s="24" t="str">
        <f t="shared" si="1"/>
        <v>2005M11</v>
      </c>
      <c r="CA13" s="24" t="str">
        <f t="shared" si="1"/>
        <v>2005M12</v>
      </c>
      <c r="CB13" s="24" t="str">
        <f t="shared" si="1"/>
        <v>2006M1</v>
      </c>
      <c r="CC13" s="24"/>
      <c r="CD13" s="24" t="s">
        <v>96</v>
      </c>
      <c r="CE13" s="24" t="str">
        <f t="shared" si="1"/>
        <v>2006M2</v>
      </c>
      <c r="CF13" s="24" t="str">
        <f t="shared" si="1"/>
        <v>2006M3</v>
      </c>
      <c r="CG13" s="24" t="str">
        <f t="shared" si="1"/>
        <v>2006M4</v>
      </c>
      <c r="CH13" s="24" t="str">
        <f t="shared" si="1"/>
        <v>2006M5</v>
      </c>
      <c r="CI13" s="24" t="str">
        <f t="shared" si="1"/>
        <v>2006M6</v>
      </c>
      <c r="CJ13" s="24" t="str">
        <f t="shared" si="1"/>
        <v>2006M7</v>
      </c>
      <c r="CK13" s="24" t="str">
        <f t="shared" si="1"/>
        <v>2006M8</v>
      </c>
      <c r="CL13" s="24" t="str">
        <f t="shared" si="1"/>
        <v>2006M9</v>
      </c>
      <c r="CM13" s="24" t="str">
        <f t="shared" si="1"/>
        <v>2006M10</v>
      </c>
      <c r="CN13" s="24" t="str">
        <f t="shared" si="1"/>
        <v>2006M11</v>
      </c>
      <c r="CO13" s="24" t="str">
        <f t="shared" si="1"/>
        <v>2006M12</v>
      </c>
      <c r="CP13" s="24" t="str">
        <f t="shared" si="1"/>
        <v>2007M1</v>
      </c>
      <c r="CQ13" s="24" t="str">
        <f t="shared" ref="CQ13:FH13" si="2">CONCATENATE(CQ11, "M",CQ12)</f>
        <v>2007M2</v>
      </c>
      <c r="CR13" s="24" t="str">
        <f t="shared" si="2"/>
        <v>2007M3</v>
      </c>
      <c r="CS13" s="24" t="str">
        <f t="shared" si="2"/>
        <v>2007M4</v>
      </c>
      <c r="CT13" s="24" t="str">
        <f t="shared" si="2"/>
        <v>2007M5</v>
      </c>
      <c r="CU13" s="24" t="str">
        <f t="shared" si="2"/>
        <v>2007M6</v>
      </c>
      <c r="CV13" s="24" t="str">
        <f t="shared" si="2"/>
        <v>2007M7</v>
      </c>
      <c r="CW13" s="24" t="str">
        <f t="shared" si="2"/>
        <v>2007M8</v>
      </c>
      <c r="CX13" s="24" t="str">
        <f t="shared" si="2"/>
        <v>2007M9</v>
      </c>
      <c r="CY13" s="24" t="str">
        <f t="shared" si="2"/>
        <v>2007M10</v>
      </c>
      <c r="CZ13" s="24" t="str">
        <f t="shared" si="2"/>
        <v>2007M11</v>
      </c>
      <c r="DA13" s="24" t="str">
        <f t="shared" si="2"/>
        <v>2007M12</v>
      </c>
      <c r="DB13" s="24" t="str">
        <f t="shared" si="2"/>
        <v>2008M1</v>
      </c>
      <c r="DC13" s="24" t="str">
        <f t="shared" si="2"/>
        <v>2008M2</v>
      </c>
      <c r="DD13" s="24"/>
      <c r="DE13" s="24" t="s">
        <v>96</v>
      </c>
      <c r="DF13" s="24" t="str">
        <f t="shared" si="2"/>
        <v>2008M3</v>
      </c>
      <c r="DG13" s="24" t="str">
        <f t="shared" si="2"/>
        <v>2008M4</v>
      </c>
      <c r="DH13" s="24" t="str">
        <f t="shared" si="2"/>
        <v>2008M5</v>
      </c>
      <c r="DI13" s="24" t="str">
        <f t="shared" si="2"/>
        <v>2008M6</v>
      </c>
      <c r="DJ13" s="24" t="str">
        <f t="shared" si="2"/>
        <v>2008M7</v>
      </c>
      <c r="DK13" s="24" t="str">
        <f t="shared" si="2"/>
        <v>2008M8</v>
      </c>
      <c r="DL13" s="24" t="str">
        <f t="shared" si="2"/>
        <v>2008M9</v>
      </c>
      <c r="DM13" s="24" t="str">
        <f t="shared" si="2"/>
        <v>2008M10</v>
      </c>
      <c r="DN13" s="24" t="str">
        <f t="shared" si="2"/>
        <v>2008M11</v>
      </c>
      <c r="DO13" s="24" t="str">
        <f t="shared" si="2"/>
        <v>2008M12</v>
      </c>
      <c r="DP13" s="24" t="str">
        <f t="shared" si="2"/>
        <v>2009M1</v>
      </c>
      <c r="DQ13" s="24" t="str">
        <f t="shared" si="2"/>
        <v>2009M2</v>
      </c>
      <c r="DR13" s="24" t="str">
        <f t="shared" si="2"/>
        <v>2009M3</v>
      </c>
      <c r="DS13" s="24" t="str">
        <f t="shared" si="2"/>
        <v>2009M4</v>
      </c>
      <c r="DT13" s="24" t="str">
        <f t="shared" si="2"/>
        <v>2009M5</v>
      </c>
      <c r="DU13" s="24" t="str">
        <f t="shared" si="2"/>
        <v>2009M6</v>
      </c>
      <c r="DV13" s="24" t="str">
        <f t="shared" si="2"/>
        <v>2009M7</v>
      </c>
      <c r="DW13" s="24" t="str">
        <f t="shared" si="2"/>
        <v>2009M8</v>
      </c>
      <c r="DX13" s="24" t="str">
        <f t="shared" si="2"/>
        <v>2009M9</v>
      </c>
      <c r="DY13" s="24" t="str">
        <f t="shared" si="2"/>
        <v>2009M10</v>
      </c>
      <c r="DZ13" s="24" t="str">
        <f t="shared" si="2"/>
        <v>2009M11</v>
      </c>
      <c r="EA13" s="24" t="str">
        <f t="shared" si="2"/>
        <v>2009M12</v>
      </c>
      <c r="EB13" s="24" t="str">
        <f t="shared" si="2"/>
        <v>2010M1</v>
      </c>
      <c r="EC13" s="24" t="str">
        <f t="shared" si="2"/>
        <v>2010M2</v>
      </c>
      <c r="ED13" s="24" t="str">
        <f t="shared" si="2"/>
        <v>2010M3</v>
      </c>
      <c r="EE13" s="24"/>
      <c r="EF13" s="24" t="s">
        <v>96</v>
      </c>
      <c r="EG13" s="24" t="str">
        <f t="shared" si="2"/>
        <v>2010M4</v>
      </c>
      <c r="EH13" s="24" t="str">
        <f t="shared" si="2"/>
        <v>2010M5</v>
      </c>
      <c r="EI13" s="24" t="str">
        <f t="shared" si="2"/>
        <v>2010M6</v>
      </c>
      <c r="EJ13" s="24" t="str">
        <f t="shared" si="2"/>
        <v>2010M7</v>
      </c>
      <c r="EK13" s="24" t="str">
        <f t="shared" si="2"/>
        <v>2010M8</v>
      </c>
      <c r="EL13" s="24" t="str">
        <f t="shared" si="2"/>
        <v>2010M9</v>
      </c>
      <c r="EM13" s="24" t="str">
        <f t="shared" si="2"/>
        <v>2010M10</v>
      </c>
      <c r="EN13" s="24" t="str">
        <f t="shared" si="2"/>
        <v>2010M11</v>
      </c>
      <c r="EO13" s="24" t="str">
        <f t="shared" si="2"/>
        <v>2010M12</v>
      </c>
      <c r="EP13" s="24" t="str">
        <f t="shared" si="2"/>
        <v>2011M1</v>
      </c>
      <c r="EQ13" s="24" t="str">
        <f t="shared" si="2"/>
        <v>2011M2</v>
      </c>
      <c r="ER13" s="24" t="str">
        <f t="shared" si="2"/>
        <v>2011M3</v>
      </c>
      <c r="ES13" s="24" t="str">
        <f t="shared" si="2"/>
        <v>2011M4</v>
      </c>
      <c r="ET13" s="24" t="str">
        <f t="shared" si="2"/>
        <v>2011M5</v>
      </c>
      <c r="EU13" s="24" t="str">
        <f t="shared" si="2"/>
        <v>2011M6</v>
      </c>
      <c r="EV13" s="24" t="str">
        <f t="shared" si="2"/>
        <v>2011M7</v>
      </c>
      <c r="EW13" s="24" t="str">
        <f t="shared" si="2"/>
        <v>2011M8</v>
      </c>
      <c r="EX13" s="24" t="str">
        <f t="shared" si="2"/>
        <v>2011M9</v>
      </c>
      <c r="EY13" s="24" t="str">
        <f t="shared" si="2"/>
        <v>2011M10</v>
      </c>
      <c r="EZ13" s="24" t="str">
        <f t="shared" si="2"/>
        <v>2011M11</v>
      </c>
      <c r="FA13" s="24" t="str">
        <f t="shared" si="2"/>
        <v>2011M12</v>
      </c>
      <c r="FB13" s="24" t="str">
        <f t="shared" si="2"/>
        <v>2012M1</v>
      </c>
      <c r="FC13" s="24" t="str">
        <f t="shared" si="2"/>
        <v>2012M2</v>
      </c>
      <c r="FD13" s="24" t="str">
        <f t="shared" si="2"/>
        <v>2012M3</v>
      </c>
      <c r="FE13" s="24" t="str">
        <f t="shared" si="2"/>
        <v>2012M4</v>
      </c>
      <c r="FF13" s="24"/>
      <c r="FG13" s="24" t="s">
        <v>96</v>
      </c>
      <c r="FH13" s="24" t="str">
        <f t="shared" si="2"/>
        <v>2012M5</v>
      </c>
      <c r="FI13" s="24" t="str">
        <f t="shared" ref="FI13:HU13" si="3">CONCATENATE(FI11, "M",FI12)</f>
        <v>2012M6</v>
      </c>
      <c r="FJ13" s="24" t="str">
        <f t="shared" si="3"/>
        <v>2012M7</v>
      </c>
      <c r="FK13" s="24" t="str">
        <f t="shared" si="3"/>
        <v>2012M8</v>
      </c>
      <c r="FL13" s="24" t="str">
        <f t="shared" si="3"/>
        <v>2012M9</v>
      </c>
      <c r="FM13" s="24" t="str">
        <f t="shared" si="3"/>
        <v>2012M10</v>
      </c>
      <c r="FN13" s="24" t="str">
        <f t="shared" si="3"/>
        <v>2012M11</v>
      </c>
      <c r="FO13" s="24" t="str">
        <f t="shared" si="3"/>
        <v>2012M12</v>
      </c>
      <c r="FP13" s="24" t="str">
        <f t="shared" si="3"/>
        <v>2013M1</v>
      </c>
      <c r="FQ13" s="24" t="str">
        <f t="shared" si="3"/>
        <v>2013M2</v>
      </c>
      <c r="FR13" s="24" t="str">
        <f t="shared" si="3"/>
        <v>2013M3</v>
      </c>
      <c r="FS13" s="24" t="str">
        <f t="shared" si="3"/>
        <v>2013M4</v>
      </c>
      <c r="FT13" s="24" t="str">
        <f t="shared" si="3"/>
        <v>2013M5</v>
      </c>
      <c r="FU13" s="24" t="str">
        <f t="shared" si="3"/>
        <v>2013M6</v>
      </c>
      <c r="FV13" s="24" t="str">
        <f t="shared" si="3"/>
        <v>2013M7</v>
      </c>
      <c r="FW13" s="24" t="str">
        <f t="shared" si="3"/>
        <v>2013M8</v>
      </c>
      <c r="FX13" s="24" t="str">
        <f t="shared" si="3"/>
        <v>2013M9</v>
      </c>
      <c r="FY13" s="24" t="str">
        <f t="shared" si="3"/>
        <v>2013M10</v>
      </c>
      <c r="FZ13" s="24" t="str">
        <f t="shared" si="3"/>
        <v>2013M11</v>
      </c>
      <c r="GA13" s="24" t="str">
        <f t="shared" si="3"/>
        <v>2013M12</v>
      </c>
      <c r="GB13" s="24" t="str">
        <f t="shared" si="3"/>
        <v>2014M1</v>
      </c>
      <c r="GC13" s="24" t="str">
        <f t="shared" si="3"/>
        <v>2014M2</v>
      </c>
      <c r="GD13" s="24" t="str">
        <f t="shared" si="3"/>
        <v>2014M3</v>
      </c>
      <c r="GE13" s="24" t="str">
        <f t="shared" si="3"/>
        <v>2014M4</v>
      </c>
      <c r="GF13" s="24" t="str">
        <f t="shared" si="3"/>
        <v>2014M5</v>
      </c>
      <c r="GG13" s="24"/>
      <c r="GH13" s="24" t="s">
        <v>96</v>
      </c>
      <c r="GI13" s="24" t="str">
        <f t="shared" si="3"/>
        <v>2014M6</v>
      </c>
      <c r="GJ13" s="24" t="str">
        <f t="shared" si="3"/>
        <v>2014M7</v>
      </c>
      <c r="GK13" s="24" t="str">
        <f t="shared" si="3"/>
        <v>2014M8</v>
      </c>
      <c r="GL13" s="24" t="str">
        <f t="shared" si="3"/>
        <v>2014M9</v>
      </c>
      <c r="GM13" s="24" t="str">
        <f t="shared" si="3"/>
        <v>2014M10</v>
      </c>
      <c r="GN13" s="24" t="str">
        <f t="shared" si="3"/>
        <v>2014M11</v>
      </c>
      <c r="GO13" s="24" t="str">
        <f t="shared" si="3"/>
        <v>2014M12</v>
      </c>
      <c r="GP13" s="24" t="str">
        <f t="shared" si="3"/>
        <v>2015M1</v>
      </c>
      <c r="GQ13" s="24" t="str">
        <f t="shared" si="3"/>
        <v>2015M2</v>
      </c>
      <c r="GR13" s="24" t="str">
        <f t="shared" si="3"/>
        <v>2015M3</v>
      </c>
      <c r="GS13" s="24" t="str">
        <f t="shared" si="3"/>
        <v>2015M4</v>
      </c>
      <c r="GT13" s="24" t="str">
        <f t="shared" si="3"/>
        <v>2015M5</v>
      </c>
      <c r="GU13" s="24" t="str">
        <f t="shared" si="3"/>
        <v>2015M6</v>
      </c>
      <c r="GV13" s="24" t="str">
        <f t="shared" si="3"/>
        <v>2015M7</v>
      </c>
      <c r="GW13" s="24" t="str">
        <f t="shared" si="3"/>
        <v>2015M8</v>
      </c>
      <c r="GX13" s="24" t="str">
        <f t="shared" si="3"/>
        <v>2015M9</v>
      </c>
      <c r="GY13" s="24" t="str">
        <f t="shared" si="3"/>
        <v>2015M10</v>
      </c>
      <c r="GZ13" s="24" t="str">
        <f t="shared" si="3"/>
        <v>2015M11</v>
      </c>
      <c r="HA13" s="24" t="str">
        <f t="shared" si="3"/>
        <v>2015M12</v>
      </c>
      <c r="HB13" s="24" t="str">
        <f t="shared" si="3"/>
        <v>2016M1</v>
      </c>
      <c r="HC13" s="24" t="str">
        <f t="shared" si="3"/>
        <v>2016M2</v>
      </c>
      <c r="HD13" s="24" t="str">
        <f t="shared" si="3"/>
        <v>2016M3</v>
      </c>
      <c r="HE13" s="24" t="str">
        <f t="shared" si="3"/>
        <v>2016M4</v>
      </c>
      <c r="HF13" s="24" t="str">
        <f t="shared" si="3"/>
        <v>2016M5</v>
      </c>
      <c r="HG13" s="24" t="str">
        <f t="shared" si="3"/>
        <v>2016M6</v>
      </c>
      <c r="HH13" s="24"/>
      <c r="HI13" s="24" t="s">
        <v>96</v>
      </c>
      <c r="HJ13" s="24" t="str">
        <f t="shared" si="3"/>
        <v>2016M7</v>
      </c>
      <c r="HK13" s="24" t="str">
        <f t="shared" si="3"/>
        <v>2016M8</v>
      </c>
      <c r="HL13" s="24" t="str">
        <f t="shared" si="3"/>
        <v>2016M9</v>
      </c>
      <c r="HM13" s="24" t="str">
        <f t="shared" si="3"/>
        <v>2016M10</v>
      </c>
      <c r="HN13" s="24" t="str">
        <f t="shared" si="3"/>
        <v>2016M11</v>
      </c>
      <c r="HO13" s="24" t="str">
        <f t="shared" si="3"/>
        <v>2016M12</v>
      </c>
      <c r="HP13" s="24" t="str">
        <f t="shared" si="3"/>
        <v>2017M1</v>
      </c>
      <c r="HQ13" s="24" t="str">
        <f t="shared" si="3"/>
        <v>2017M2</v>
      </c>
      <c r="HR13" s="24" t="str">
        <f t="shared" si="3"/>
        <v>2017M3</v>
      </c>
      <c r="HS13" s="24" t="str">
        <f t="shared" si="3"/>
        <v>2017M4</v>
      </c>
      <c r="HT13" s="24" t="str">
        <f t="shared" si="3"/>
        <v>2017M5</v>
      </c>
      <c r="HU13" s="24" t="str">
        <f t="shared" si="3"/>
        <v>2017M6</v>
      </c>
      <c r="HX13" s="48"/>
      <c r="HY13" s="48"/>
    </row>
    <row r="14" spans="2:233" ht="15" x14ac:dyDescent="0.2">
      <c r="B14" s="26" t="s">
        <v>90</v>
      </c>
      <c r="C14" s="26" t="s">
        <v>91</v>
      </c>
      <c r="D14" s="27" t="s">
        <v>79</v>
      </c>
      <c r="E14" s="27" t="s">
        <v>79</v>
      </c>
      <c r="F14" s="27" t="s">
        <v>79</v>
      </c>
      <c r="G14" s="27" t="s">
        <v>79</v>
      </c>
      <c r="H14" s="27" t="s">
        <v>79</v>
      </c>
      <c r="I14" s="27" t="s">
        <v>79</v>
      </c>
      <c r="J14" s="27" t="s">
        <v>79</v>
      </c>
      <c r="K14" s="27" t="s">
        <v>79</v>
      </c>
      <c r="L14" s="27" t="s">
        <v>79</v>
      </c>
      <c r="M14" s="27" t="s">
        <v>79</v>
      </c>
      <c r="N14" s="27" t="s">
        <v>79</v>
      </c>
      <c r="O14" s="27" t="s">
        <v>79</v>
      </c>
      <c r="P14" s="27" t="s">
        <v>79</v>
      </c>
      <c r="Q14" s="27" t="s">
        <v>79</v>
      </c>
      <c r="R14" s="27" t="s">
        <v>79</v>
      </c>
      <c r="S14" s="27" t="s">
        <v>79</v>
      </c>
      <c r="T14" s="27" t="s">
        <v>79</v>
      </c>
      <c r="U14" s="27" t="s">
        <v>79</v>
      </c>
      <c r="V14" s="27" t="s">
        <v>79</v>
      </c>
      <c r="W14" s="27" t="s">
        <v>79</v>
      </c>
      <c r="X14" s="27" t="s">
        <v>79</v>
      </c>
      <c r="Y14" s="27" t="s">
        <v>79</v>
      </c>
      <c r="Z14" s="27" t="s">
        <v>79</v>
      </c>
      <c r="AA14" s="26" t="s">
        <v>90</v>
      </c>
      <c r="AB14" s="26" t="s">
        <v>91</v>
      </c>
      <c r="AC14" s="27" t="s">
        <v>79</v>
      </c>
      <c r="AD14" s="27" t="s">
        <v>79</v>
      </c>
      <c r="AE14" s="27" t="s">
        <v>79</v>
      </c>
      <c r="AF14" s="27" t="s">
        <v>83</v>
      </c>
      <c r="AG14" s="27" t="s">
        <v>83</v>
      </c>
      <c r="AH14" s="27" t="s">
        <v>83</v>
      </c>
      <c r="AI14" s="27" t="s">
        <v>83</v>
      </c>
      <c r="AJ14" s="27" t="s">
        <v>83</v>
      </c>
      <c r="AK14" s="27" t="s">
        <v>70</v>
      </c>
      <c r="AL14" s="27" t="s">
        <v>70</v>
      </c>
      <c r="AM14" s="27" t="s">
        <v>70</v>
      </c>
      <c r="AN14" s="27" t="s">
        <v>70</v>
      </c>
      <c r="AO14" s="27" t="s">
        <v>70</v>
      </c>
      <c r="AP14" s="27" t="s">
        <v>79</v>
      </c>
      <c r="AQ14" s="27" t="s">
        <v>79</v>
      </c>
      <c r="AR14" s="27" t="s">
        <v>79</v>
      </c>
      <c r="AS14" s="27" t="s">
        <v>79</v>
      </c>
      <c r="AT14" s="27" t="s">
        <v>79</v>
      </c>
      <c r="AU14" s="27" t="s">
        <v>78</v>
      </c>
      <c r="AV14" s="27" t="s">
        <v>78</v>
      </c>
      <c r="AW14" s="27" t="s">
        <v>78</v>
      </c>
      <c r="AX14" s="27" t="s">
        <v>78</v>
      </c>
      <c r="AY14" s="27" t="s">
        <v>78</v>
      </c>
      <c r="AZ14" s="27" t="s">
        <v>78</v>
      </c>
      <c r="BA14" s="27" t="s">
        <v>78</v>
      </c>
      <c r="BB14" s="26" t="s">
        <v>90</v>
      </c>
      <c r="BC14" s="26" t="s">
        <v>91</v>
      </c>
      <c r="BD14" s="27" t="s">
        <v>71</v>
      </c>
      <c r="BE14" s="27" t="s">
        <v>71</v>
      </c>
      <c r="BF14" s="27" t="s">
        <v>71</v>
      </c>
      <c r="BG14" s="27" t="s">
        <v>71</v>
      </c>
      <c r="BH14" s="27" t="s">
        <v>71</v>
      </c>
      <c r="BI14" s="27" t="s">
        <v>71</v>
      </c>
      <c r="BJ14" s="27" t="s">
        <v>71</v>
      </c>
      <c r="BK14" s="27" t="s">
        <v>71</v>
      </c>
      <c r="BL14" s="27" t="s">
        <v>71</v>
      </c>
      <c r="BM14" s="27" t="s">
        <v>71</v>
      </c>
      <c r="BN14" s="27" t="s">
        <v>71</v>
      </c>
      <c r="BO14" s="27" t="s">
        <v>71</v>
      </c>
      <c r="BP14" s="27" t="s">
        <v>71</v>
      </c>
      <c r="BQ14" s="27" t="s">
        <v>71</v>
      </c>
      <c r="BR14" s="27" t="s">
        <v>71</v>
      </c>
      <c r="BS14" s="27" t="s">
        <v>71</v>
      </c>
      <c r="BT14" s="27" t="s">
        <v>71</v>
      </c>
      <c r="BU14" s="27" t="s">
        <v>71</v>
      </c>
      <c r="BV14" s="27" t="s">
        <v>71</v>
      </c>
      <c r="BW14" s="27" t="s">
        <v>71</v>
      </c>
      <c r="BX14" s="27" t="s">
        <v>71</v>
      </c>
      <c r="BY14" s="27" t="s">
        <v>71</v>
      </c>
      <c r="BZ14" s="27" t="s">
        <v>71</v>
      </c>
      <c r="CA14" s="27" t="s">
        <v>71</v>
      </c>
      <c r="CB14" s="27" t="s">
        <v>71</v>
      </c>
      <c r="CC14" s="26" t="s">
        <v>90</v>
      </c>
      <c r="CD14" s="26" t="s">
        <v>91</v>
      </c>
      <c r="CE14" s="27" t="s">
        <v>71</v>
      </c>
      <c r="CF14" s="27" t="s">
        <v>71</v>
      </c>
      <c r="CG14" s="27" t="s">
        <v>71</v>
      </c>
      <c r="CH14" s="27" t="s">
        <v>71</v>
      </c>
      <c r="CI14" s="27" t="s">
        <v>71</v>
      </c>
      <c r="CJ14" s="27" t="s">
        <v>71</v>
      </c>
      <c r="CK14" s="27" t="s">
        <v>71</v>
      </c>
      <c r="CL14" s="27" t="s">
        <v>71</v>
      </c>
      <c r="CM14" s="27" t="s">
        <v>71</v>
      </c>
      <c r="CN14" s="27" t="s">
        <v>71</v>
      </c>
      <c r="CO14" s="27" t="s">
        <v>71</v>
      </c>
      <c r="CP14" s="27" t="s">
        <v>78</v>
      </c>
      <c r="CQ14" s="27" t="s">
        <v>78</v>
      </c>
      <c r="CR14" s="27" t="s">
        <v>78</v>
      </c>
      <c r="CS14" s="27" t="s">
        <v>78</v>
      </c>
      <c r="CT14" s="27" t="s">
        <v>78</v>
      </c>
      <c r="CU14" s="27" t="s">
        <v>78</v>
      </c>
      <c r="CV14" s="27" t="s">
        <v>78</v>
      </c>
      <c r="CW14" s="27" t="s">
        <v>78</v>
      </c>
      <c r="CX14" s="27" t="s">
        <v>78</v>
      </c>
      <c r="CY14" s="27" t="s">
        <v>78</v>
      </c>
      <c r="CZ14" s="27" t="s">
        <v>78</v>
      </c>
      <c r="DA14" s="27" t="s">
        <v>78</v>
      </c>
      <c r="DB14" s="27" t="s">
        <v>78</v>
      </c>
      <c r="DC14" s="27" t="s">
        <v>78</v>
      </c>
      <c r="DD14" s="26" t="s">
        <v>90</v>
      </c>
      <c r="DE14" s="26" t="s">
        <v>91</v>
      </c>
      <c r="DF14" s="27" t="s">
        <v>78</v>
      </c>
      <c r="DG14" s="27" t="s">
        <v>78</v>
      </c>
      <c r="DH14" s="27" t="s">
        <v>78</v>
      </c>
      <c r="DI14" s="27" t="s">
        <v>78</v>
      </c>
      <c r="DJ14" s="27" t="s">
        <v>78</v>
      </c>
      <c r="DK14" s="27" t="s">
        <v>78</v>
      </c>
      <c r="DL14" s="27" t="s">
        <v>78</v>
      </c>
      <c r="DM14" s="27" t="s">
        <v>78</v>
      </c>
      <c r="DN14" s="27" t="s">
        <v>78</v>
      </c>
      <c r="DO14" s="27" t="s">
        <v>78</v>
      </c>
      <c r="DP14" s="27" t="s">
        <v>78</v>
      </c>
      <c r="DQ14" s="27" t="s">
        <v>78</v>
      </c>
      <c r="DR14" s="27" t="s">
        <v>78</v>
      </c>
      <c r="DS14" s="27" t="s">
        <v>78</v>
      </c>
      <c r="DT14" s="27" t="s">
        <v>78</v>
      </c>
      <c r="DU14" s="27" t="s">
        <v>78</v>
      </c>
      <c r="DV14" s="27" t="s">
        <v>78</v>
      </c>
      <c r="DW14" s="27" t="s">
        <v>78</v>
      </c>
      <c r="DX14" s="27" t="s">
        <v>78</v>
      </c>
      <c r="DY14" s="27" t="s">
        <v>78</v>
      </c>
      <c r="DZ14" s="27" t="s">
        <v>78</v>
      </c>
      <c r="EA14" s="27" t="s">
        <v>78</v>
      </c>
      <c r="EB14" s="27" t="s">
        <v>78</v>
      </c>
      <c r="EC14" s="27" t="s">
        <v>78</v>
      </c>
      <c r="ED14" s="27" t="s">
        <v>78</v>
      </c>
      <c r="EE14" s="26" t="s">
        <v>90</v>
      </c>
      <c r="EF14" s="26" t="s">
        <v>91</v>
      </c>
      <c r="EG14" s="27" t="s">
        <v>78</v>
      </c>
      <c r="EH14" s="27" t="s">
        <v>78</v>
      </c>
      <c r="EI14" s="27" t="s">
        <v>78</v>
      </c>
      <c r="EJ14" s="27" t="s">
        <v>78</v>
      </c>
      <c r="EK14" s="27" t="s">
        <v>78</v>
      </c>
      <c r="EL14" s="27" t="s">
        <v>78</v>
      </c>
      <c r="EM14" s="27" t="s">
        <v>78</v>
      </c>
      <c r="EN14" s="27" t="s">
        <v>78</v>
      </c>
      <c r="EO14" s="27" t="s">
        <v>78</v>
      </c>
      <c r="EP14" s="27" t="s">
        <v>78</v>
      </c>
      <c r="EQ14" s="27" t="s">
        <v>78</v>
      </c>
      <c r="ER14" s="27" t="s">
        <v>78</v>
      </c>
      <c r="ES14" s="27" t="s">
        <v>78</v>
      </c>
      <c r="ET14" s="27" t="s">
        <v>78</v>
      </c>
      <c r="EU14" s="27" t="s">
        <v>78</v>
      </c>
      <c r="EV14" s="27" t="s">
        <v>78</v>
      </c>
      <c r="EW14" s="27" t="s">
        <v>78</v>
      </c>
      <c r="EX14" s="27" t="s">
        <v>78</v>
      </c>
      <c r="EY14" s="27" t="s">
        <v>78</v>
      </c>
      <c r="EZ14" s="27" t="s">
        <v>78</v>
      </c>
      <c r="FA14" s="27" t="s">
        <v>78</v>
      </c>
      <c r="FB14" s="27" t="s">
        <v>78</v>
      </c>
      <c r="FC14" s="27" t="s">
        <v>78</v>
      </c>
      <c r="FD14" s="27" t="s">
        <v>78</v>
      </c>
      <c r="FE14" s="27" t="s">
        <v>78</v>
      </c>
      <c r="FF14" s="26" t="s">
        <v>90</v>
      </c>
      <c r="FG14" s="26" t="s">
        <v>91</v>
      </c>
      <c r="FH14" s="27" t="s">
        <v>78</v>
      </c>
      <c r="FI14" s="27" t="s">
        <v>78</v>
      </c>
      <c r="FJ14" s="27" t="s">
        <v>78</v>
      </c>
      <c r="FK14" s="27" t="s">
        <v>78</v>
      </c>
      <c r="FL14" s="27" t="s">
        <v>78</v>
      </c>
      <c r="FM14" s="27" t="s">
        <v>78</v>
      </c>
      <c r="FN14" s="27" t="s">
        <v>78</v>
      </c>
      <c r="FO14" s="27" t="s">
        <v>78</v>
      </c>
      <c r="FP14" s="27" t="s">
        <v>78</v>
      </c>
      <c r="FQ14" s="27" t="s">
        <v>78</v>
      </c>
      <c r="FR14" s="27" t="s">
        <v>78</v>
      </c>
      <c r="FS14" s="27" t="s">
        <v>78</v>
      </c>
      <c r="FT14" s="27" t="s">
        <v>78</v>
      </c>
      <c r="FU14" s="27" t="s">
        <v>78</v>
      </c>
      <c r="FV14" s="27" t="s">
        <v>78</v>
      </c>
      <c r="FW14" s="27" t="s">
        <v>78</v>
      </c>
      <c r="FX14" s="27" t="s">
        <v>78</v>
      </c>
      <c r="FY14" s="27" t="s">
        <v>78</v>
      </c>
      <c r="FZ14" s="27" t="s">
        <v>78</v>
      </c>
      <c r="GA14" s="27" t="s">
        <v>78</v>
      </c>
      <c r="GB14" s="27" t="s">
        <v>78</v>
      </c>
      <c r="GC14" s="27" t="s">
        <v>78</v>
      </c>
      <c r="GD14" s="27" t="s">
        <v>78</v>
      </c>
      <c r="GE14" s="27" t="s">
        <v>78</v>
      </c>
      <c r="GF14" s="27" t="s">
        <v>78</v>
      </c>
      <c r="GG14" s="26" t="s">
        <v>90</v>
      </c>
      <c r="GH14" s="26" t="s">
        <v>91</v>
      </c>
      <c r="GI14" s="27" t="s">
        <v>78</v>
      </c>
      <c r="GJ14" s="27" t="s">
        <v>78</v>
      </c>
      <c r="GK14" s="27" t="s">
        <v>78</v>
      </c>
      <c r="GL14" s="27" t="s">
        <v>78</v>
      </c>
      <c r="GM14" s="27" t="s">
        <v>78</v>
      </c>
      <c r="GN14" s="27" t="s">
        <v>78</v>
      </c>
      <c r="GO14" s="27" t="s">
        <v>78</v>
      </c>
      <c r="GP14" s="27" t="s">
        <v>78</v>
      </c>
      <c r="GQ14" s="27" t="s">
        <v>78</v>
      </c>
      <c r="GR14" s="27" t="s">
        <v>78</v>
      </c>
      <c r="GS14" s="27" t="s">
        <v>78</v>
      </c>
      <c r="GT14" s="27" t="s">
        <v>78</v>
      </c>
      <c r="GU14" s="27" t="s">
        <v>78</v>
      </c>
      <c r="GV14" s="27" t="s">
        <v>78</v>
      </c>
      <c r="GW14" s="27" t="s">
        <v>78</v>
      </c>
      <c r="GX14" s="27" t="s">
        <v>78</v>
      </c>
      <c r="GY14" s="27" t="s">
        <v>78</v>
      </c>
      <c r="GZ14" s="27" t="s">
        <v>78</v>
      </c>
      <c r="HA14" s="27" t="s">
        <v>78</v>
      </c>
      <c r="HB14" s="27" t="s">
        <v>78</v>
      </c>
      <c r="HC14" s="27" t="s">
        <v>78</v>
      </c>
      <c r="HD14" s="27" t="s">
        <v>78</v>
      </c>
      <c r="HE14" s="27" t="s">
        <v>78</v>
      </c>
      <c r="HF14" s="27" t="s">
        <v>78</v>
      </c>
      <c r="HG14" s="27" t="s">
        <v>78</v>
      </c>
      <c r="HH14" s="26" t="s">
        <v>90</v>
      </c>
      <c r="HI14" s="26" t="s">
        <v>91</v>
      </c>
      <c r="HJ14" s="27" t="s">
        <v>78</v>
      </c>
      <c r="HK14" s="27" t="s">
        <v>78</v>
      </c>
      <c r="HL14" s="27" t="s">
        <v>78</v>
      </c>
      <c r="HM14" s="27" t="s">
        <v>78</v>
      </c>
      <c r="HN14" s="27" t="s">
        <v>78</v>
      </c>
      <c r="HO14" s="27" t="s">
        <v>78</v>
      </c>
      <c r="HP14" s="27" t="s">
        <v>78</v>
      </c>
      <c r="HQ14" s="27" t="s">
        <v>79</v>
      </c>
      <c r="HR14" s="27" t="s">
        <v>79</v>
      </c>
      <c r="HS14" s="27" t="s">
        <v>79</v>
      </c>
      <c r="HT14" s="27" t="s">
        <v>79</v>
      </c>
      <c r="HU14" s="27" t="s">
        <v>79</v>
      </c>
      <c r="HX14" s="49" t="s">
        <v>68</v>
      </c>
      <c r="HY14" s="49" t="s">
        <v>68</v>
      </c>
    </row>
    <row r="15" spans="2:233" ht="15" x14ac:dyDescent="0.2">
      <c r="B15" s="26" t="s">
        <v>92</v>
      </c>
      <c r="C15" s="26" t="s">
        <v>94</v>
      </c>
      <c r="D15" s="27" t="str">
        <f t="shared" ref="D15:Z15" si="4">VLOOKUP(D14,$HX$14:$HY$31,2,FALSE)</f>
        <v>A</v>
      </c>
      <c r="E15" s="27" t="str">
        <f t="shared" si="4"/>
        <v>A</v>
      </c>
      <c r="F15" s="27" t="str">
        <f t="shared" si="4"/>
        <v>A</v>
      </c>
      <c r="G15" s="27" t="str">
        <f t="shared" si="4"/>
        <v>A</v>
      </c>
      <c r="H15" s="27" t="str">
        <f t="shared" si="4"/>
        <v>A</v>
      </c>
      <c r="I15" s="27" t="str">
        <f t="shared" si="4"/>
        <v>A</v>
      </c>
      <c r="J15" s="27" t="str">
        <f t="shared" si="4"/>
        <v>A</v>
      </c>
      <c r="K15" s="27" t="str">
        <f t="shared" si="4"/>
        <v>A</v>
      </c>
      <c r="L15" s="27" t="str">
        <f t="shared" si="4"/>
        <v>A</v>
      </c>
      <c r="M15" s="27" t="str">
        <f t="shared" si="4"/>
        <v>A</v>
      </c>
      <c r="N15" s="27" t="str">
        <f t="shared" si="4"/>
        <v>A</v>
      </c>
      <c r="O15" s="27" t="str">
        <f t="shared" si="4"/>
        <v>A</v>
      </c>
      <c r="P15" s="27" t="str">
        <f t="shared" si="4"/>
        <v>A</v>
      </c>
      <c r="Q15" s="27" t="str">
        <f t="shared" si="4"/>
        <v>A</v>
      </c>
      <c r="R15" s="27" t="str">
        <f t="shared" si="4"/>
        <v>A</v>
      </c>
      <c r="S15" s="27" t="str">
        <f t="shared" si="4"/>
        <v>A</v>
      </c>
      <c r="T15" s="27" t="str">
        <f t="shared" si="4"/>
        <v>A</v>
      </c>
      <c r="U15" s="27" t="str">
        <f t="shared" si="4"/>
        <v>A</v>
      </c>
      <c r="V15" s="27" t="str">
        <f t="shared" si="4"/>
        <v>A</v>
      </c>
      <c r="W15" s="27" t="str">
        <f t="shared" si="4"/>
        <v>A</v>
      </c>
      <c r="X15" s="27" t="str">
        <f t="shared" si="4"/>
        <v>A</v>
      </c>
      <c r="Y15" s="27" t="str">
        <f t="shared" si="4"/>
        <v>A</v>
      </c>
      <c r="Z15" s="27" t="str">
        <f t="shared" si="4"/>
        <v>A</v>
      </c>
      <c r="AA15" s="26" t="s">
        <v>92</v>
      </c>
      <c r="AB15" s="26" t="s">
        <v>94</v>
      </c>
      <c r="AC15" s="27" t="str">
        <f t="shared" ref="AC15:BA15" si="5">VLOOKUP(AC14,$HX$14:$HY$31,2,FALSE)</f>
        <v>A</v>
      </c>
      <c r="AD15" s="27" t="str">
        <f t="shared" si="5"/>
        <v>A</v>
      </c>
      <c r="AE15" s="27" t="str">
        <f t="shared" si="5"/>
        <v>A</v>
      </c>
      <c r="AF15" s="27" t="str">
        <f t="shared" si="5"/>
        <v>A</v>
      </c>
      <c r="AG15" s="27" t="str">
        <f t="shared" si="5"/>
        <v>A</v>
      </c>
      <c r="AH15" s="27" t="str">
        <f t="shared" si="5"/>
        <v>A</v>
      </c>
      <c r="AI15" s="27" t="str">
        <f t="shared" si="5"/>
        <v>A</v>
      </c>
      <c r="AJ15" s="27" t="str">
        <f t="shared" si="5"/>
        <v>A</v>
      </c>
      <c r="AK15" s="27" t="str">
        <f t="shared" si="5"/>
        <v>A</v>
      </c>
      <c r="AL15" s="27" t="str">
        <f t="shared" si="5"/>
        <v>A</v>
      </c>
      <c r="AM15" s="27" t="str">
        <f t="shared" si="5"/>
        <v>A</v>
      </c>
      <c r="AN15" s="27" t="str">
        <f t="shared" si="5"/>
        <v>A</v>
      </c>
      <c r="AO15" s="27" t="str">
        <f t="shared" si="5"/>
        <v>A</v>
      </c>
      <c r="AP15" s="27" t="str">
        <f t="shared" si="5"/>
        <v>A</v>
      </c>
      <c r="AQ15" s="27" t="str">
        <f t="shared" si="5"/>
        <v>A</v>
      </c>
      <c r="AR15" s="27" t="str">
        <f t="shared" si="5"/>
        <v>A</v>
      </c>
      <c r="AS15" s="27" t="str">
        <f t="shared" si="5"/>
        <v>A</v>
      </c>
      <c r="AT15" s="27" t="str">
        <f t="shared" si="5"/>
        <v>A</v>
      </c>
      <c r="AU15" s="27" t="str">
        <f t="shared" si="5"/>
        <v>BBB</v>
      </c>
      <c r="AV15" s="27" t="str">
        <f t="shared" si="5"/>
        <v>BBB</v>
      </c>
      <c r="AW15" s="27" t="str">
        <f t="shared" si="5"/>
        <v>BBB</v>
      </c>
      <c r="AX15" s="27" t="str">
        <f t="shared" si="5"/>
        <v>BBB</v>
      </c>
      <c r="AY15" s="27" t="str">
        <f t="shared" si="5"/>
        <v>BBB</v>
      </c>
      <c r="AZ15" s="27" t="str">
        <f t="shared" si="5"/>
        <v>BBB</v>
      </c>
      <c r="BA15" s="27" t="str">
        <f t="shared" si="5"/>
        <v>BBB</v>
      </c>
      <c r="BB15" s="26" t="s">
        <v>92</v>
      </c>
      <c r="BC15" s="26" t="s">
        <v>94</v>
      </c>
      <c r="BD15" s="27" t="str">
        <f t="shared" ref="BD15:BT15" si="6">VLOOKUP(BD14,$HX$14:$HY$31,2,FALSE)</f>
        <v>BBB</v>
      </c>
      <c r="BE15" s="27" t="str">
        <f t="shared" si="6"/>
        <v>BBB</v>
      </c>
      <c r="BF15" s="27" t="str">
        <f t="shared" si="6"/>
        <v>BBB</v>
      </c>
      <c r="BG15" s="27" t="str">
        <f t="shared" si="6"/>
        <v>BBB</v>
      </c>
      <c r="BH15" s="27" t="str">
        <f t="shared" si="6"/>
        <v>BBB</v>
      </c>
      <c r="BI15" s="27" t="str">
        <f t="shared" si="6"/>
        <v>BBB</v>
      </c>
      <c r="BJ15" s="27" t="str">
        <f t="shared" si="6"/>
        <v>BBB</v>
      </c>
      <c r="BK15" s="27" t="str">
        <f t="shared" si="6"/>
        <v>BBB</v>
      </c>
      <c r="BL15" s="27" t="str">
        <f t="shared" si="6"/>
        <v>BBB</v>
      </c>
      <c r="BM15" s="27" t="str">
        <f t="shared" si="6"/>
        <v>BBB</v>
      </c>
      <c r="BN15" s="27" t="str">
        <f t="shared" si="6"/>
        <v>BBB</v>
      </c>
      <c r="BO15" s="27" t="str">
        <f t="shared" si="6"/>
        <v>BBB</v>
      </c>
      <c r="BP15" s="27" t="str">
        <f t="shared" si="6"/>
        <v>BBB</v>
      </c>
      <c r="BQ15" s="27" t="str">
        <f t="shared" si="6"/>
        <v>BBB</v>
      </c>
      <c r="BR15" s="27" t="str">
        <f t="shared" si="6"/>
        <v>BBB</v>
      </c>
      <c r="BS15" s="27" t="str">
        <f t="shared" si="6"/>
        <v>BBB</v>
      </c>
      <c r="BT15" s="27" t="str">
        <f t="shared" si="6"/>
        <v>BBB</v>
      </c>
      <c r="BU15" s="27" t="str">
        <f t="shared" ref="BU15:EL15" si="7">VLOOKUP(BU14,$HX$14:$HY$31,2,FALSE)</f>
        <v>BBB</v>
      </c>
      <c r="BV15" s="27" t="str">
        <f t="shared" si="7"/>
        <v>BBB</v>
      </c>
      <c r="BW15" s="27" t="str">
        <f t="shared" si="7"/>
        <v>BBB</v>
      </c>
      <c r="BX15" s="27" t="str">
        <f t="shared" si="7"/>
        <v>BBB</v>
      </c>
      <c r="BY15" s="27" t="str">
        <f t="shared" si="7"/>
        <v>BBB</v>
      </c>
      <c r="BZ15" s="27" t="str">
        <f t="shared" si="7"/>
        <v>BBB</v>
      </c>
      <c r="CA15" s="27" t="str">
        <f t="shared" si="7"/>
        <v>BBB</v>
      </c>
      <c r="CB15" s="27" t="str">
        <f t="shared" si="7"/>
        <v>BBB</v>
      </c>
      <c r="CC15" s="26" t="s">
        <v>92</v>
      </c>
      <c r="CD15" s="26" t="s">
        <v>94</v>
      </c>
      <c r="CE15" s="27" t="str">
        <f t="shared" si="7"/>
        <v>BBB</v>
      </c>
      <c r="CF15" s="27" t="str">
        <f t="shared" si="7"/>
        <v>BBB</v>
      </c>
      <c r="CG15" s="27" t="str">
        <f t="shared" si="7"/>
        <v>BBB</v>
      </c>
      <c r="CH15" s="27" t="str">
        <f t="shared" si="7"/>
        <v>BBB</v>
      </c>
      <c r="CI15" s="27" t="str">
        <f t="shared" si="7"/>
        <v>BBB</v>
      </c>
      <c r="CJ15" s="27" t="str">
        <f t="shared" si="7"/>
        <v>BBB</v>
      </c>
      <c r="CK15" s="27" t="str">
        <f t="shared" si="7"/>
        <v>BBB</v>
      </c>
      <c r="CL15" s="27" t="str">
        <f t="shared" si="7"/>
        <v>BBB</v>
      </c>
      <c r="CM15" s="27" t="str">
        <f t="shared" si="7"/>
        <v>BBB</v>
      </c>
      <c r="CN15" s="27" t="str">
        <f t="shared" si="7"/>
        <v>BBB</v>
      </c>
      <c r="CO15" s="27" t="str">
        <f t="shared" si="7"/>
        <v>BBB</v>
      </c>
      <c r="CP15" s="27" t="str">
        <f t="shared" si="7"/>
        <v>BBB</v>
      </c>
      <c r="CQ15" s="27" t="str">
        <f t="shared" si="7"/>
        <v>BBB</v>
      </c>
      <c r="CR15" s="27" t="str">
        <f t="shared" si="7"/>
        <v>BBB</v>
      </c>
      <c r="CS15" s="27" t="str">
        <f t="shared" si="7"/>
        <v>BBB</v>
      </c>
      <c r="CT15" s="27" t="str">
        <f t="shared" si="7"/>
        <v>BBB</v>
      </c>
      <c r="CU15" s="27" t="str">
        <f t="shared" si="7"/>
        <v>BBB</v>
      </c>
      <c r="CV15" s="27" t="str">
        <f t="shared" si="7"/>
        <v>BBB</v>
      </c>
      <c r="CW15" s="27" t="str">
        <f t="shared" si="7"/>
        <v>BBB</v>
      </c>
      <c r="CX15" s="27" t="str">
        <f t="shared" si="7"/>
        <v>BBB</v>
      </c>
      <c r="CY15" s="27" t="str">
        <f t="shared" si="7"/>
        <v>BBB</v>
      </c>
      <c r="CZ15" s="27" t="str">
        <f t="shared" si="7"/>
        <v>BBB</v>
      </c>
      <c r="DA15" s="27" t="str">
        <f t="shared" si="7"/>
        <v>BBB</v>
      </c>
      <c r="DB15" s="27" t="str">
        <f t="shared" si="7"/>
        <v>BBB</v>
      </c>
      <c r="DC15" s="27" t="str">
        <f t="shared" si="7"/>
        <v>BBB</v>
      </c>
      <c r="DD15" s="26" t="s">
        <v>92</v>
      </c>
      <c r="DE15" s="26" t="s">
        <v>94</v>
      </c>
      <c r="DF15" s="27" t="str">
        <f t="shared" si="7"/>
        <v>BBB</v>
      </c>
      <c r="DG15" s="27" t="str">
        <f t="shared" si="7"/>
        <v>BBB</v>
      </c>
      <c r="DH15" s="27" t="str">
        <f t="shared" si="7"/>
        <v>BBB</v>
      </c>
      <c r="DI15" s="27" t="str">
        <f t="shared" si="7"/>
        <v>BBB</v>
      </c>
      <c r="DJ15" s="27" t="str">
        <f t="shared" si="7"/>
        <v>BBB</v>
      </c>
      <c r="DK15" s="27" t="str">
        <f t="shared" si="7"/>
        <v>BBB</v>
      </c>
      <c r="DL15" s="27" t="str">
        <f t="shared" si="7"/>
        <v>BBB</v>
      </c>
      <c r="DM15" s="27" t="str">
        <f t="shared" si="7"/>
        <v>BBB</v>
      </c>
      <c r="DN15" s="27" t="str">
        <f t="shared" si="7"/>
        <v>BBB</v>
      </c>
      <c r="DO15" s="27" t="str">
        <f t="shared" si="7"/>
        <v>BBB</v>
      </c>
      <c r="DP15" s="27" t="str">
        <f t="shared" si="7"/>
        <v>BBB</v>
      </c>
      <c r="DQ15" s="27" t="str">
        <f t="shared" si="7"/>
        <v>BBB</v>
      </c>
      <c r="DR15" s="27" t="str">
        <f t="shared" si="7"/>
        <v>BBB</v>
      </c>
      <c r="DS15" s="27" t="str">
        <f t="shared" si="7"/>
        <v>BBB</v>
      </c>
      <c r="DT15" s="27" t="str">
        <f t="shared" si="7"/>
        <v>BBB</v>
      </c>
      <c r="DU15" s="27" t="str">
        <f t="shared" si="7"/>
        <v>BBB</v>
      </c>
      <c r="DV15" s="27" t="str">
        <f t="shared" si="7"/>
        <v>BBB</v>
      </c>
      <c r="DW15" s="27" t="str">
        <f t="shared" si="7"/>
        <v>BBB</v>
      </c>
      <c r="DX15" s="27" t="str">
        <f t="shared" si="7"/>
        <v>BBB</v>
      </c>
      <c r="DY15" s="27" t="str">
        <f t="shared" si="7"/>
        <v>BBB</v>
      </c>
      <c r="DZ15" s="27" t="str">
        <f t="shared" si="7"/>
        <v>BBB</v>
      </c>
      <c r="EA15" s="27" t="str">
        <f t="shared" si="7"/>
        <v>BBB</v>
      </c>
      <c r="EB15" s="27" t="str">
        <f t="shared" si="7"/>
        <v>BBB</v>
      </c>
      <c r="EC15" s="27" t="str">
        <f t="shared" si="7"/>
        <v>BBB</v>
      </c>
      <c r="ED15" s="27" t="str">
        <f t="shared" si="7"/>
        <v>BBB</v>
      </c>
      <c r="EE15" s="26" t="s">
        <v>92</v>
      </c>
      <c r="EF15" s="26" t="s">
        <v>94</v>
      </c>
      <c r="EG15" s="27" t="str">
        <f t="shared" si="7"/>
        <v>BBB</v>
      </c>
      <c r="EH15" s="27" t="str">
        <f t="shared" si="7"/>
        <v>BBB</v>
      </c>
      <c r="EI15" s="27" t="str">
        <f t="shared" si="7"/>
        <v>BBB</v>
      </c>
      <c r="EJ15" s="27" t="str">
        <f t="shared" si="7"/>
        <v>BBB</v>
      </c>
      <c r="EK15" s="27" t="str">
        <f t="shared" si="7"/>
        <v>BBB</v>
      </c>
      <c r="EL15" s="27" t="str">
        <f t="shared" si="7"/>
        <v>BBB</v>
      </c>
      <c r="EM15" s="27" t="str">
        <f t="shared" ref="EM15:HB15" si="8">VLOOKUP(EM14,$HX$14:$HY$31,2,FALSE)</f>
        <v>BBB</v>
      </c>
      <c r="EN15" s="27" t="str">
        <f t="shared" si="8"/>
        <v>BBB</v>
      </c>
      <c r="EO15" s="27" t="str">
        <f t="shared" si="8"/>
        <v>BBB</v>
      </c>
      <c r="EP15" s="27" t="str">
        <f t="shared" si="8"/>
        <v>BBB</v>
      </c>
      <c r="EQ15" s="27" t="str">
        <f t="shared" si="8"/>
        <v>BBB</v>
      </c>
      <c r="ER15" s="27" t="str">
        <f t="shared" si="8"/>
        <v>BBB</v>
      </c>
      <c r="ES15" s="27" t="str">
        <f t="shared" si="8"/>
        <v>BBB</v>
      </c>
      <c r="ET15" s="27" t="str">
        <f t="shared" si="8"/>
        <v>BBB</v>
      </c>
      <c r="EU15" s="27" t="str">
        <f t="shared" si="8"/>
        <v>BBB</v>
      </c>
      <c r="EV15" s="27" t="str">
        <f t="shared" si="8"/>
        <v>BBB</v>
      </c>
      <c r="EW15" s="27" t="str">
        <f t="shared" si="8"/>
        <v>BBB</v>
      </c>
      <c r="EX15" s="27" t="str">
        <f t="shared" si="8"/>
        <v>BBB</v>
      </c>
      <c r="EY15" s="27" t="str">
        <f t="shared" si="8"/>
        <v>BBB</v>
      </c>
      <c r="EZ15" s="27" t="str">
        <f t="shared" si="8"/>
        <v>BBB</v>
      </c>
      <c r="FA15" s="27" t="str">
        <f t="shared" si="8"/>
        <v>BBB</v>
      </c>
      <c r="FB15" s="27" t="str">
        <f t="shared" si="8"/>
        <v>BBB</v>
      </c>
      <c r="FC15" s="27" t="str">
        <f t="shared" si="8"/>
        <v>BBB</v>
      </c>
      <c r="FD15" s="27" t="str">
        <f t="shared" si="8"/>
        <v>BBB</v>
      </c>
      <c r="FE15" s="27" t="str">
        <f t="shared" si="8"/>
        <v>BBB</v>
      </c>
      <c r="FF15" s="26" t="s">
        <v>92</v>
      </c>
      <c r="FG15" s="26" t="s">
        <v>94</v>
      </c>
      <c r="FH15" s="27" t="str">
        <f t="shared" si="8"/>
        <v>BBB</v>
      </c>
      <c r="FI15" s="27" t="str">
        <f t="shared" si="8"/>
        <v>BBB</v>
      </c>
      <c r="FJ15" s="27" t="str">
        <f t="shared" si="8"/>
        <v>BBB</v>
      </c>
      <c r="FK15" s="27" t="str">
        <f t="shared" si="8"/>
        <v>BBB</v>
      </c>
      <c r="FL15" s="27" t="str">
        <f t="shared" si="8"/>
        <v>BBB</v>
      </c>
      <c r="FM15" s="27" t="str">
        <f t="shared" si="8"/>
        <v>BBB</v>
      </c>
      <c r="FN15" s="27" t="str">
        <f t="shared" si="8"/>
        <v>BBB</v>
      </c>
      <c r="FO15" s="27" t="str">
        <f t="shared" si="8"/>
        <v>BBB</v>
      </c>
      <c r="FP15" s="27" t="str">
        <f t="shared" si="8"/>
        <v>BBB</v>
      </c>
      <c r="FQ15" s="27" t="str">
        <f t="shared" si="8"/>
        <v>BBB</v>
      </c>
      <c r="FR15" s="27" t="str">
        <f t="shared" si="8"/>
        <v>BBB</v>
      </c>
      <c r="FS15" s="27" t="str">
        <f t="shared" si="8"/>
        <v>BBB</v>
      </c>
      <c r="FT15" s="27" t="str">
        <f t="shared" si="8"/>
        <v>BBB</v>
      </c>
      <c r="FU15" s="27" t="str">
        <f t="shared" si="8"/>
        <v>BBB</v>
      </c>
      <c r="FV15" s="27" t="str">
        <f t="shared" si="8"/>
        <v>BBB</v>
      </c>
      <c r="FW15" s="27" t="str">
        <f t="shared" si="8"/>
        <v>BBB</v>
      </c>
      <c r="FX15" s="27" t="str">
        <f t="shared" si="8"/>
        <v>BBB</v>
      </c>
      <c r="FY15" s="27" t="str">
        <f t="shared" si="8"/>
        <v>BBB</v>
      </c>
      <c r="FZ15" s="27" t="str">
        <f t="shared" si="8"/>
        <v>BBB</v>
      </c>
      <c r="GA15" s="27" t="str">
        <f t="shared" si="8"/>
        <v>BBB</v>
      </c>
      <c r="GB15" s="27" t="str">
        <f t="shared" si="8"/>
        <v>BBB</v>
      </c>
      <c r="GC15" s="27" t="str">
        <f t="shared" si="8"/>
        <v>BBB</v>
      </c>
      <c r="GD15" s="27" t="str">
        <f t="shared" si="8"/>
        <v>BBB</v>
      </c>
      <c r="GE15" s="27" t="str">
        <f t="shared" si="8"/>
        <v>BBB</v>
      </c>
      <c r="GF15" s="27" t="str">
        <f t="shared" si="8"/>
        <v>BBB</v>
      </c>
      <c r="GG15" s="26" t="s">
        <v>92</v>
      </c>
      <c r="GH15" s="26" t="s">
        <v>94</v>
      </c>
      <c r="GI15" s="27" t="str">
        <f t="shared" si="8"/>
        <v>BBB</v>
      </c>
      <c r="GJ15" s="27" t="str">
        <f t="shared" si="8"/>
        <v>BBB</v>
      </c>
      <c r="GK15" s="27" t="str">
        <f t="shared" si="8"/>
        <v>BBB</v>
      </c>
      <c r="GL15" s="27" t="str">
        <f t="shared" si="8"/>
        <v>BBB</v>
      </c>
      <c r="GM15" s="27" t="str">
        <f t="shared" si="8"/>
        <v>BBB</v>
      </c>
      <c r="GN15" s="27" t="str">
        <f t="shared" si="8"/>
        <v>BBB</v>
      </c>
      <c r="GO15" s="27" t="str">
        <f t="shared" si="8"/>
        <v>BBB</v>
      </c>
      <c r="GP15" s="27" t="str">
        <f t="shared" si="8"/>
        <v>BBB</v>
      </c>
      <c r="GQ15" s="27" t="str">
        <f t="shared" si="8"/>
        <v>BBB</v>
      </c>
      <c r="GR15" s="27" t="str">
        <f t="shared" si="8"/>
        <v>BBB</v>
      </c>
      <c r="GS15" s="27" t="str">
        <f t="shared" si="8"/>
        <v>BBB</v>
      </c>
      <c r="GT15" s="27" t="str">
        <f t="shared" si="8"/>
        <v>BBB</v>
      </c>
      <c r="GU15" s="27" t="str">
        <f t="shared" si="8"/>
        <v>BBB</v>
      </c>
      <c r="GV15" s="27" t="str">
        <f t="shared" si="8"/>
        <v>BBB</v>
      </c>
      <c r="GW15" s="27" t="str">
        <f t="shared" si="8"/>
        <v>BBB</v>
      </c>
      <c r="GX15" s="27" t="str">
        <f t="shared" si="8"/>
        <v>BBB</v>
      </c>
      <c r="GY15" s="27" t="str">
        <f t="shared" si="8"/>
        <v>BBB</v>
      </c>
      <c r="GZ15" s="27" t="str">
        <f t="shared" si="8"/>
        <v>BBB</v>
      </c>
      <c r="HA15" s="27" t="str">
        <f t="shared" si="8"/>
        <v>BBB</v>
      </c>
      <c r="HB15" s="27" t="str">
        <f t="shared" si="8"/>
        <v>BBB</v>
      </c>
      <c r="HC15" s="27" t="str">
        <f t="shared" ref="HC15:HU15" si="9">VLOOKUP(HC14,$HX$14:$HY$31,2,FALSE)</f>
        <v>BBB</v>
      </c>
      <c r="HD15" s="27" t="str">
        <f t="shared" si="9"/>
        <v>BBB</v>
      </c>
      <c r="HE15" s="27" t="str">
        <f t="shared" si="9"/>
        <v>BBB</v>
      </c>
      <c r="HF15" s="27" t="str">
        <f t="shared" si="9"/>
        <v>BBB</v>
      </c>
      <c r="HG15" s="27" t="str">
        <f t="shared" si="9"/>
        <v>BBB</v>
      </c>
      <c r="HH15" s="26" t="s">
        <v>92</v>
      </c>
      <c r="HI15" s="26" t="s">
        <v>94</v>
      </c>
      <c r="HJ15" s="27" t="str">
        <f t="shared" si="9"/>
        <v>BBB</v>
      </c>
      <c r="HK15" s="27" t="str">
        <f t="shared" si="9"/>
        <v>BBB</v>
      </c>
      <c r="HL15" s="27" t="str">
        <f t="shared" si="9"/>
        <v>BBB</v>
      </c>
      <c r="HM15" s="27" t="str">
        <f t="shared" si="9"/>
        <v>BBB</v>
      </c>
      <c r="HN15" s="27" t="str">
        <f t="shared" si="9"/>
        <v>BBB</v>
      </c>
      <c r="HO15" s="27" t="str">
        <f t="shared" si="9"/>
        <v>BBB</v>
      </c>
      <c r="HP15" s="27" t="str">
        <f t="shared" si="9"/>
        <v>BBB</v>
      </c>
      <c r="HQ15" s="27" t="str">
        <f t="shared" si="9"/>
        <v>A</v>
      </c>
      <c r="HR15" s="27" t="str">
        <f t="shared" si="9"/>
        <v>A</v>
      </c>
      <c r="HS15" s="27" t="str">
        <f t="shared" si="9"/>
        <v>A</v>
      </c>
      <c r="HT15" s="27" t="str">
        <f t="shared" si="9"/>
        <v>A</v>
      </c>
      <c r="HU15" s="27" t="str">
        <f t="shared" si="9"/>
        <v>A</v>
      </c>
      <c r="HX15" s="49" t="s">
        <v>82</v>
      </c>
      <c r="HY15" s="49" t="s">
        <v>69</v>
      </c>
    </row>
    <row r="16" spans="2:233" ht="15" x14ac:dyDescent="0.2">
      <c r="B16" s="26" t="s">
        <v>93</v>
      </c>
      <c r="C16" s="26" t="s">
        <v>95</v>
      </c>
      <c r="D16" s="363">
        <f t="array" ref="D16">INDEX('Monthly Average Bond Yields'!$D$6:$J$311,MATCH('Union Ratings and Yields'!D13,'Monthly Average Bond Yields'!$C$6:$C$311,0),MATCH('Union Ratings and Yields'!D15,'Monthly Average Bond Yields'!$D$5:$J$5,0))</f>
        <v>8.3520000000000003</v>
      </c>
      <c r="E16" s="363">
        <f t="array" ref="E16">INDEX('Monthly Average Bond Yields'!$D$6:$J$311,MATCH('Union Ratings and Yields'!E13,'Monthly Average Bond Yields'!$C$6:$C$311,0),MATCH('Union Ratings and Yields'!E15,'Monthly Average Bond Yields'!$D$5:$J$5,0))</f>
        <v>8.245000000000001</v>
      </c>
      <c r="F16" s="363">
        <f t="array" ref="F16">INDEX('Monthly Average Bond Yields'!$D$6:$J$311,MATCH('Union Ratings and Yields'!F13,'Monthly Average Bond Yields'!$C$6:$C$311,0),MATCH('Union Ratings and Yields'!F15,'Monthly Average Bond Yields'!$D$5:$J$5,0))</f>
        <v>8.2843478260869574</v>
      </c>
      <c r="G16" s="363">
        <f t="array" ref="G16">INDEX('Monthly Average Bond Yields'!$D$6:$J$311,MATCH('Union Ratings and Yields'!G13,'Monthly Average Bond Yields'!$C$6:$C$311,0),MATCH('Union Ratings and Yields'!G15,'Monthly Average Bond Yields'!$D$5:$J$5,0))</f>
        <v>8.2884210526315805</v>
      </c>
      <c r="H16" s="363">
        <f t="array" ref="H16">INDEX('Monthly Average Bond Yields'!$D$6:$J$311,MATCH('Union Ratings and Yields'!H13,'Monthly Average Bond Yields'!$C$6:$C$311,0),MATCH('Union Ratings and Yields'!H15,'Monthly Average Bond Yields'!$D$5:$J$5,0))</f>
        <v>8.6986363636363624</v>
      </c>
      <c r="I16" s="363">
        <f t="array" ref="I16">INDEX('Monthly Average Bond Yields'!$D$6:$J$311,MATCH('Union Ratings and Yields'!I13,'Monthly Average Bond Yields'!$C$6:$C$311,0),MATCH('Union Ratings and Yields'!I15,'Monthly Average Bond Yields'!$D$5:$J$5,0))</f>
        <v>8.3622727272727282</v>
      </c>
      <c r="J16" s="363">
        <f t="array" ref="J16">INDEX('Monthly Average Bond Yields'!$D$6:$J$311,MATCH('Union Ratings and Yields'!J13,'Monthly Average Bond Yields'!$C$6:$C$311,0),MATCH('Union Ratings and Yields'!J15,'Monthly Average Bond Yields'!$D$5:$J$5,0))</f>
        <v>8.2529999999999983</v>
      </c>
      <c r="K16" s="363">
        <f t="array" ref="K16">INDEX('Monthly Average Bond Yields'!$D$6:$J$311,MATCH('Union Ratings and Yields'!K13,'Monthly Average Bond Yields'!$C$6:$C$311,0),MATCH('Union Ratings and Yields'!K15,'Monthly Average Bond Yields'!$D$5:$J$5,0))</f>
        <v>8.12695652173913</v>
      </c>
      <c r="L16" s="363">
        <f t="array" ref="L16">INDEX('Monthly Average Bond Yields'!$D$6:$J$311,MATCH('Union Ratings and Yields'!L13,'Monthly Average Bond Yields'!$C$6:$C$311,0),MATCH('Union Ratings and Yields'!L15,'Monthly Average Bond Yields'!$D$5:$J$5,0))</f>
        <v>8.2335000000000012</v>
      </c>
      <c r="M16" s="363">
        <f t="array" ref="M16">INDEX('Monthly Average Bond Yields'!$D$6:$J$311,MATCH('Union Ratings and Yields'!M13,'Monthly Average Bond Yields'!$C$6:$C$311,0),MATCH('Union Ratings and Yields'!M15,'Monthly Average Bond Yields'!$D$5:$J$5,0))</f>
        <v>8.1385714285714279</v>
      </c>
      <c r="N16" s="363">
        <f t="array" ref="N16">INDEX('Monthly Average Bond Yields'!$D$6:$J$311,MATCH('Union Ratings and Yields'!N13,'Monthly Average Bond Yields'!$C$6:$C$311,0),MATCH('Union Ratings and Yields'!N15,'Monthly Average Bond Yields'!$D$5:$J$5,0))</f>
        <v>8.1142105263157891</v>
      </c>
      <c r="O16" s="363">
        <f t="array" ref="O16">INDEX('Monthly Average Bond Yields'!$D$6:$J$311,MATCH('Union Ratings and Yields'!O13,'Monthly Average Bond Yields'!$C$6:$C$311,0),MATCH('Union Ratings and Yields'!O15,'Monthly Average Bond Yields'!$D$5:$J$5,0))</f>
        <v>7.8452631578947374</v>
      </c>
      <c r="P16" s="363">
        <f t="array" ref="P16">INDEX('Monthly Average Bond Yields'!$D$6:$J$311,MATCH('Union Ratings and Yields'!P13,'Monthly Average Bond Yields'!$C$6:$C$311,0),MATCH('Union Ratings and Yields'!P15,'Monthly Average Bond Yields'!$D$5:$J$5,0))</f>
        <v>7.7990000000000013</v>
      </c>
      <c r="Q16" s="363">
        <f t="array" ref="Q16">INDEX('Monthly Average Bond Yields'!$D$6:$J$311,MATCH('Union Ratings and Yields'!Q13,'Monthly Average Bond Yields'!$C$6:$C$311,0),MATCH('Union Ratings and Yields'!Q15,'Monthly Average Bond Yields'!$D$5:$J$5,0))</f>
        <v>7.7327777777777778</v>
      </c>
      <c r="R16" s="363">
        <f t="array" ref="R16">INDEX('Monthly Average Bond Yields'!$D$6:$J$311,MATCH('Union Ratings and Yields'!R13,'Monthly Average Bond Yields'!$C$6:$C$311,0),MATCH('Union Ratings and Yields'!R15,'Monthly Average Bond Yields'!$D$5:$J$5,0))</f>
        <v>7.6772727272727259</v>
      </c>
      <c r="S16" s="363">
        <f t="array" ref="S16">INDEX('Monthly Average Bond Yields'!$D$6:$J$311,MATCH('Union Ratings and Yields'!S13,'Monthly Average Bond Yields'!$C$6:$C$311,0),MATCH('Union Ratings and Yields'!S15,'Monthly Average Bond Yields'!$D$5:$J$5,0))</f>
        <v>7.9349999999999978</v>
      </c>
      <c r="T16" s="363">
        <f t="array" ref="T16">INDEX('Monthly Average Bond Yields'!$D$6:$J$311,MATCH('Union Ratings and Yields'!T13,'Monthly Average Bond Yields'!$C$6:$C$311,0),MATCH('Union Ratings and Yields'!T15,'Monthly Average Bond Yields'!$D$5:$J$5,0))</f>
        <v>7.9940909090909082</v>
      </c>
      <c r="U16" s="363">
        <f t="array" ref="U16">INDEX('Monthly Average Bond Yields'!$D$6:$J$311,MATCH('Union Ratings and Yields'!U13,'Monthly Average Bond Yields'!$C$6:$C$311,0),MATCH('Union Ratings and Yields'!U15,'Monthly Average Bond Yields'!$D$5:$J$5,0))</f>
        <v>7.8519047619047608</v>
      </c>
      <c r="V16" s="363">
        <f t="array" ref="V16">INDEX('Monthly Average Bond Yields'!$D$6:$J$311,MATCH('Union Ratings and Yields'!V13,'Monthly Average Bond Yields'!$C$6:$C$311,0),MATCH('Union Ratings and Yields'!V15,'Monthly Average Bond Yields'!$D$5:$J$5,0))</f>
        <v>7.7809523809523808</v>
      </c>
      <c r="W16" s="363">
        <f t="array" ref="W16">INDEX('Monthly Average Bond Yields'!$D$6:$J$311,MATCH('Union Ratings and Yields'!W13,'Monthly Average Bond Yields'!$C$6:$C$311,0),MATCH('Union Ratings and Yields'!W15,'Monthly Average Bond Yields'!$D$5:$J$5,0))</f>
        <v>7.586086956521739</v>
      </c>
      <c r="X16" s="363">
        <f t="array" ref="X16">INDEX('Monthly Average Bond Yields'!$D$6:$J$311,MATCH('Union Ratings and Yields'!X13,'Monthly Average Bond Yields'!$C$6:$C$311,0),MATCH('Union Ratings and Yields'!X15,'Monthly Average Bond Yields'!$D$5:$J$5,0))</f>
        <v>7.7452941176470596</v>
      </c>
      <c r="Y16" s="363">
        <f t="array" ref="Y16">INDEX('Monthly Average Bond Yields'!$D$6:$J$311,MATCH('Union Ratings and Yields'!Y13,'Monthly Average Bond Yields'!$C$6:$C$311,0),MATCH('Union Ratings and Yields'!Y15,'Monthly Average Bond Yields'!$D$5:$J$5,0))</f>
        <v>7.6223809523809525</v>
      </c>
      <c r="Z16" s="363">
        <f t="array" ref="Z16">INDEX('Monthly Average Bond Yields'!$D$6:$J$311,MATCH('Union Ratings and Yields'!Z13,'Monthly Average Bond Yields'!$C$6:$C$311,0),MATCH('Union Ratings and Yields'!Z15,'Monthly Average Bond Yields'!$D$5:$J$5,0))</f>
        <v>7.5631578947368432</v>
      </c>
      <c r="AA16" s="26" t="s">
        <v>93</v>
      </c>
      <c r="AB16" s="26" t="s">
        <v>95</v>
      </c>
      <c r="AC16" s="363">
        <f t="array" ref="AC16">INDEX('Monthly Average Bond Yields'!$D$6:$J$311,MATCH('Union Ratings and Yields'!AC13,'Monthly Average Bond Yields'!$C$6:$C$311,0),MATCH('Union Ratings and Yields'!AC15,'Monthly Average Bond Yields'!$D$5:$J$5,0))</f>
        <v>7.8352631578947367</v>
      </c>
      <c r="AD16" s="363">
        <f t="array" ref="AD16">INDEX('Monthly Average Bond Yields'!$D$6:$J$311,MATCH('Union Ratings and Yields'!AD13,'Monthly Average Bond Yields'!$C$6:$C$311,0),MATCH('Union Ratings and Yields'!AD15,'Monthly Average Bond Yields'!$D$5:$J$5,0))</f>
        <v>7.6571428571428575</v>
      </c>
      <c r="AE16" s="363">
        <f t="array" ref="AE16">INDEX('Monthly Average Bond Yields'!$D$6:$J$311,MATCH('Union Ratings and Yields'!AE13,'Monthly Average Bond Yields'!$C$6:$C$311,0),MATCH('Union Ratings and Yields'!AE15,'Monthly Average Bond Yields'!$D$5:$J$5,0))</f>
        <v>7.535263157894736</v>
      </c>
      <c r="AF16" s="53">
        <f t="array" ref="AF16">INDEX('Monthly Average Bond Yields'!$D$6:$J$311,MATCH('Union Ratings and Yields'!AF13,'Monthly Average Bond Yields'!$C$6:$C$311,0),MATCH('Union Ratings and Yields'!AF15,'Monthly Average Bond Yields'!$D$5:$J$5,0))</f>
        <v>7.7575000000000021</v>
      </c>
      <c r="AG16" s="53">
        <f t="array" ref="AG16">INDEX('Monthly Average Bond Yields'!$D$6:$J$311,MATCH('Union Ratings and Yields'!AG13,'Monthly Average Bond Yields'!$C$6:$C$311,0),MATCH('Union Ratings and Yields'!AG15,'Monthly Average Bond Yields'!$D$5:$J$5,0))</f>
        <v>7.5677272727272742</v>
      </c>
      <c r="AH16" s="53">
        <f t="array" ref="AH16">INDEX('Monthly Average Bond Yields'!$D$6:$J$311,MATCH('Union Ratings and Yields'!AH13,'Monthly Average Bond Yields'!$C$6:$C$311,0),MATCH('Union Ratings and Yields'!AH15,'Monthly Average Bond Yields'!$D$5:$J$5,0))</f>
        <v>7.5245454545454544</v>
      </c>
      <c r="AI16" s="53">
        <f t="array" ref="AI16">INDEX('Monthly Average Bond Yields'!$D$6:$J$311,MATCH('Union Ratings and Yields'!AI13,'Monthly Average Bond Yields'!$C$6:$C$311,0),MATCH('Union Ratings and Yields'!AI15,'Monthly Average Bond Yields'!$D$5:$J$5,0))</f>
        <v>7.4129999999999985</v>
      </c>
      <c r="AJ16" s="53">
        <f t="array" ref="AJ16">INDEX('Monthly Average Bond Yields'!$D$6:$J$311,MATCH('Union Ratings and Yields'!AJ13,'Monthly Average Bond Yields'!$C$6:$C$311,0),MATCH('Union Ratings and Yields'!AJ15,'Monthly Average Bond Yields'!$D$5:$J$5,0))</f>
        <v>7.3136363636363626</v>
      </c>
      <c r="AK16" s="53">
        <f t="array" ref="AK16">INDEX('Monthly Average Bond Yields'!$D$6:$J$311,MATCH('Union Ratings and Yields'!AK13,'Monthly Average Bond Yields'!$C$6:$C$311,0),MATCH('Union Ratings and Yields'!AK15,'Monthly Average Bond Yields'!$D$5:$J$5,0))</f>
        <v>7.173181818181817</v>
      </c>
      <c r="AL16" s="53">
        <f t="array" ref="AL16">INDEX('Monthly Average Bond Yields'!$D$6:$J$311,MATCH('Union Ratings and Yields'!AL13,'Monthly Average Bond Yields'!$C$6:$C$311,0),MATCH('Union Ratings and Yields'!AL15,'Monthly Average Bond Yields'!$D$5:$J$5,0))</f>
        <v>7.0770000000000008</v>
      </c>
      <c r="AM16" s="53">
        <f t="array" ref="AM16">INDEX('Monthly Average Bond Yields'!$D$6:$J$311,MATCH('Union Ratings and Yields'!AM13,'Monthly Average Bond Yields'!$C$6:$C$311,0),MATCH('Union Ratings and Yields'!AM15,'Monthly Average Bond Yields'!$D$5:$J$5,0))</f>
        <v>7.2259090909090897</v>
      </c>
      <c r="AN16" s="53">
        <f t="array" ref="AN16">INDEX('Monthly Average Bond Yields'!$D$6:$J$311,MATCH('Union Ratings and Yields'!AN13,'Monthly Average Bond Yields'!$C$6:$C$311,0),MATCH('Union Ratings and Yields'!AN15,'Monthly Average Bond Yields'!$D$5:$J$5,0))</f>
        <v>7.143684210526315</v>
      </c>
      <c r="AO16" s="53">
        <f t="array" ref="AO16">INDEX('Monthly Average Bond Yields'!$D$6:$J$311,MATCH('Union Ratings and Yields'!AO13,'Monthly Average Bond Yields'!$C$6:$C$311,0),MATCH('Union Ratings and Yields'!AO15,'Monthly Average Bond Yields'!$D$5:$J$5,0))</f>
        <v>7.0671428571428585</v>
      </c>
      <c r="AP16" s="53">
        <f t="array" ref="AP16">INDEX('Monthly Average Bond Yields'!$D$6:$J$311,MATCH('Union Ratings and Yields'!AP13,'Monthly Average Bond Yields'!$C$6:$C$311,0),MATCH('Union Ratings and Yields'!AP15,'Monthly Average Bond Yields'!$D$5:$J$5,0))</f>
        <v>7.0647619047619044</v>
      </c>
      <c r="AQ16" s="53">
        <f t="array" ref="AQ16">INDEX('Monthly Average Bond Yields'!$D$6:$J$311,MATCH('Union Ratings and Yields'!AQ13,'Monthly Average Bond Yields'!$C$6:$C$311,0),MATCH('Union Ratings and Yields'!AQ15,'Monthly Average Bond Yields'!$D$5:$J$5,0))</f>
        <v>6.9284210526315801</v>
      </c>
      <c r="AR16" s="53">
        <f t="array" ref="AR16">INDEX('Monthly Average Bond Yields'!$D$6:$J$311,MATCH('Union Ratings and Yields'!AR13,'Monthly Average Bond Yields'!$C$6:$C$311,0),MATCH('Union Ratings and Yields'!AR15,'Monthly Average Bond Yields'!$D$5:$J$5,0))</f>
        <v>6.78857142857143</v>
      </c>
      <c r="AS16" s="53">
        <f t="array" ref="AS16">INDEX('Monthly Average Bond Yields'!$D$6:$J$311,MATCH('Union Ratings and Yields'!AS13,'Monthly Average Bond Yields'!$C$6:$C$311,0),MATCH('Union Ratings and Yields'!AS15,'Monthly Average Bond Yields'!$D$5:$J$5,0))</f>
        <v>6.6223809523809507</v>
      </c>
      <c r="AT16" s="53">
        <f t="array" ref="AT16">INDEX('Monthly Average Bond Yields'!$D$6:$J$311,MATCH('Union Ratings and Yields'!AT13,'Monthly Average Bond Yields'!$C$6:$C$311,0),MATCH('Union Ratings and Yields'!AT15,'Monthly Average Bond Yields'!$D$5:$J$5,0))</f>
        <v>6.3457142857142852</v>
      </c>
      <c r="AU16" s="53">
        <f t="array" ref="AU16">INDEX('Monthly Average Bond Yields'!$D$6:$J$311,MATCH('Union Ratings and Yields'!AU13,'Monthly Average Bond Yields'!$C$6:$C$311,0),MATCH('Union Ratings and Yields'!AU15,'Monthly Average Bond Yields'!$D$5:$J$5,0))</f>
        <v>6.3019047619047619</v>
      </c>
      <c r="AV16" s="53">
        <f t="array" ref="AV16">INDEX('Monthly Average Bond Yields'!$D$6:$J$311,MATCH('Union Ratings and Yields'!AV13,'Monthly Average Bond Yields'!$C$6:$C$311,0),MATCH('Union Ratings and Yields'!AV15,'Monthly Average Bond Yields'!$D$5:$J$5,0))</f>
        <v>6.6713636363636368</v>
      </c>
      <c r="AW16" s="53">
        <f t="array" ref="AW16">INDEX('Monthly Average Bond Yields'!$D$6:$J$311,MATCH('Union Ratings and Yields'!AW13,'Monthly Average Bond Yields'!$C$6:$C$311,0),MATCH('Union Ratings and Yields'!AW15,'Monthly Average Bond Yields'!$D$5:$J$5,0))</f>
        <v>7.0857142857142845</v>
      </c>
      <c r="AX16" s="53">
        <f t="array" ref="AX16">INDEX('Monthly Average Bond Yields'!$D$6:$J$311,MATCH('Union Ratings and Yields'!AX13,'Monthly Average Bond Yields'!$C$6:$C$311,0),MATCH('Union Ratings and Yields'!AX15,'Monthly Average Bond Yields'!$D$5:$J$5,0))</f>
        <v>6.8709523809523816</v>
      </c>
      <c r="AY16" s="53">
        <f t="array" ref="AY16">INDEX('Monthly Average Bond Yields'!$D$6:$J$311,MATCH('Union Ratings and Yields'!AY13,'Monthly Average Bond Yields'!$C$6:$C$311,0),MATCH('Union Ratings and Yields'!AY15,'Monthly Average Bond Yields'!$D$5:$J$5,0))</f>
        <v>6.7913636363636378</v>
      </c>
      <c r="AZ16" s="53">
        <f t="array" ref="AZ16">INDEX('Monthly Average Bond Yields'!$D$6:$J$311,MATCH('Union Ratings and Yields'!AZ13,'Monthly Average Bond Yields'!$C$6:$C$311,0),MATCH('Union Ratings and Yields'!AZ15,'Monthly Average Bond Yields'!$D$5:$J$5,0))</f>
        <v>6.6876470588235293</v>
      </c>
      <c r="BA16" s="53">
        <f t="array" ref="BA16">INDEX('Monthly Average Bond Yields'!$D$6:$J$311,MATCH('Union Ratings and Yields'!BA13,'Monthly Average Bond Yields'!$C$6:$C$311,0),MATCH('Union Ratings and Yields'!BA15,'Monthly Average Bond Yields'!$D$5:$J$5,0))</f>
        <v>6.6104545454545445</v>
      </c>
      <c r="BB16" s="26" t="s">
        <v>93</v>
      </c>
      <c r="BC16" s="26" t="s">
        <v>95</v>
      </c>
      <c r="BD16" s="53">
        <f t="array" ref="BD16">INDEX('Monthly Average Bond Yields'!$D$6:$J$311,MATCH('Union Ratings and Yields'!BD13,'Monthly Average Bond Yields'!$C$6:$C$311,0),MATCH('Union Ratings and Yields'!BD15,'Monthly Average Bond Yields'!$D$5:$J$5,0))</f>
        <v>6.471000000000001</v>
      </c>
      <c r="BE16" s="53">
        <f t="array" ref="BE16">INDEX('Monthly Average Bond Yields'!$D$6:$J$311,MATCH('Union Ratings and Yields'!BE13,'Monthly Average Bond Yields'!$C$6:$C$311,0),MATCH('Union Ratings and Yields'!BE15,'Monthly Average Bond Yields'!$D$5:$J$5,0))</f>
        <v>6.2831578947368421</v>
      </c>
      <c r="BF16" s="53">
        <f t="array" ref="BF16">INDEX('Monthly Average Bond Yields'!$D$6:$J$311,MATCH('Union Ratings and Yields'!BF13,'Monthly Average Bond Yields'!$C$6:$C$311,0),MATCH('Union Ratings and Yields'!BF15,'Monthly Average Bond Yields'!$D$5:$J$5,0))</f>
        <v>6.1234782608695655</v>
      </c>
      <c r="BG16" s="53">
        <f t="array" ref="BG16">INDEX('Monthly Average Bond Yields'!$D$6:$J$311,MATCH('Union Ratings and Yields'!BG13,'Monthly Average Bond Yields'!$C$6:$C$311,0),MATCH('Union Ratings and Yields'!BG15,'Monthly Average Bond Yields'!$D$5:$J$5,0))</f>
        <v>6.4585714285714309</v>
      </c>
      <c r="BH16" s="53">
        <f t="array" ref="BH16">INDEX('Monthly Average Bond Yields'!$D$6:$J$311,MATCH('Union Ratings and Yields'!BH13,'Monthly Average Bond Yields'!$C$6:$C$311,0),MATCH('Union Ratings and Yields'!BH15,'Monthly Average Bond Yields'!$D$5:$J$5,0))</f>
        <v>6.7545000000000002</v>
      </c>
      <c r="BI16" s="53">
        <f t="array" ref="BI16">INDEX('Monthly Average Bond Yields'!$D$6:$J$311,MATCH('Union Ratings and Yields'!BI13,'Monthly Average Bond Yields'!$C$6:$C$311,0),MATCH('Union Ratings and Yields'!BI15,'Monthly Average Bond Yields'!$D$5:$J$5,0))</f>
        <v>6.8376190476190493</v>
      </c>
      <c r="BJ16" s="53">
        <f t="array" ref="BJ16">INDEX('Monthly Average Bond Yields'!$D$6:$J$311,MATCH('Union Ratings and Yields'!BJ13,'Monthly Average Bond Yields'!$C$6:$C$311,0),MATCH('Union Ratings and Yields'!BJ15,'Monthly Average Bond Yields'!$D$5:$J$5,0))</f>
        <v>6.6661904761904767</v>
      </c>
      <c r="BK16" s="53">
        <f t="array" ref="BK16">INDEX('Monthly Average Bond Yields'!$D$6:$J$311,MATCH('Union Ratings and Yields'!BK13,'Monthly Average Bond Yields'!$C$6:$C$311,0),MATCH('Union Ratings and Yields'!BK15,'Monthly Average Bond Yields'!$D$5:$J$5,0))</f>
        <v>6.4545454545454541</v>
      </c>
      <c r="BL16" s="53">
        <f t="array" ref="BL16">INDEX('Monthly Average Bond Yields'!$D$6:$J$311,MATCH('Union Ratings and Yields'!BL13,'Monthly Average Bond Yields'!$C$6:$C$311,0),MATCH('Union Ratings and Yields'!BL15,'Monthly Average Bond Yields'!$D$5:$J$5,0))</f>
        <v>6.2652380952380948</v>
      </c>
      <c r="BM16" s="53">
        <f t="array" ref="BM16">INDEX('Monthly Average Bond Yields'!$D$6:$J$311,MATCH('Union Ratings and Yields'!BM13,'Monthly Average Bond Yields'!$C$6:$C$311,0),MATCH('Union Ratings and Yields'!BM15,'Monthly Average Bond Yields'!$D$5:$J$5,0))</f>
        <v>6.173</v>
      </c>
      <c r="BN16" s="53">
        <f t="array" ref="BN16">INDEX('Monthly Average Bond Yields'!$D$6:$J$311,MATCH('Union Ratings and Yields'!BN13,'Monthly Average Bond Yields'!$C$6:$C$311,0),MATCH('Union Ratings and Yields'!BN15,'Monthly Average Bond Yields'!$D$5:$J$5,0))</f>
        <v>6.1579999999999995</v>
      </c>
      <c r="BO16" s="53">
        <f t="array" ref="BO16">INDEX('Monthly Average Bond Yields'!$D$6:$J$311,MATCH('Union Ratings and Yields'!BO13,'Monthly Average Bond Yields'!$C$6:$C$311,0),MATCH('Union Ratings and Yields'!BO15,'Monthly Average Bond Yields'!$D$5:$J$5,0))</f>
        <v>6.1027272727272752</v>
      </c>
      <c r="BP16" s="53">
        <f t="array" ref="BP16">INDEX('Monthly Average Bond Yields'!$D$6:$J$311,MATCH('Union Ratings and Yields'!BP13,'Monthly Average Bond Yields'!$C$6:$C$311,0),MATCH('Union Ratings and Yields'!BP15,'Monthly Average Bond Yields'!$D$5:$J$5,0))</f>
        <v>5.948500000000001</v>
      </c>
      <c r="BQ16" s="53">
        <f t="array" ref="BQ16">INDEX('Monthly Average Bond Yields'!$D$6:$J$311,MATCH('Union Ratings and Yields'!BQ13,'Monthly Average Bond Yields'!$C$6:$C$311,0),MATCH('Union Ratings and Yields'!BQ15,'Monthly Average Bond Yields'!$D$5:$J$5,0))</f>
        <v>5.7594736842105263</v>
      </c>
      <c r="BR16" s="53">
        <f t="array" ref="BR16">INDEX('Monthly Average Bond Yields'!$D$6:$J$311,MATCH('Union Ratings and Yields'!BR13,'Monthly Average Bond Yields'!$C$6:$C$311,0),MATCH('Union Ratings and Yields'!BR15,'Monthly Average Bond Yields'!$D$5:$J$5,0))</f>
        <v>6.0050000000000008</v>
      </c>
      <c r="BS16" s="53">
        <f t="array" ref="BS16">INDEX('Monthly Average Bond Yields'!$D$6:$J$311,MATCH('Union Ratings and Yields'!BS13,'Monthly Average Bond Yields'!$C$6:$C$311,0),MATCH('Union Ratings and Yields'!BS15,'Monthly Average Bond Yields'!$D$5:$J$5,0))</f>
        <v>5.9471428571428566</v>
      </c>
      <c r="BT16" s="53">
        <f t="array" ref="BT16">INDEX('Monthly Average Bond Yields'!$D$6:$J$311,MATCH('Union Ratings and Yields'!BT13,'Monthly Average Bond Yields'!$C$6:$C$311,0),MATCH('Union Ratings and Yields'!BT15,'Monthly Average Bond Yields'!$D$5:$J$5,0))</f>
        <v>5.8766666666666669</v>
      </c>
      <c r="BU16" s="53">
        <f t="array" ref="BU16">INDEX('Monthly Average Bond Yields'!$D$6:$J$311,MATCH('Union Ratings and Yields'!BU13,'Monthly Average Bond Yields'!$C$6:$C$311,0),MATCH('Union Ratings and Yields'!BU15,'Monthly Average Bond Yields'!$D$5:$J$5,0))</f>
        <v>5.7013636363636389</v>
      </c>
      <c r="BV16" s="53">
        <f t="array" ref="BV16">INDEX('Monthly Average Bond Yields'!$D$6:$J$311,MATCH('Union Ratings and Yields'!BV13,'Monthly Average Bond Yields'!$C$6:$C$311,0),MATCH('Union Ratings and Yields'!BV15,'Monthly Average Bond Yields'!$D$5:$J$5,0))</f>
        <v>5.8049999999999997</v>
      </c>
      <c r="BW16" s="53">
        <f t="array" ref="BW16">INDEX('Monthly Average Bond Yields'!$D$6:$J$311,MATCH('Union Ratings and Yields'!BW13,'Monthly Average Bond Yields'!$C$6:$C$311,0),MATCH('Union Ratings and Yields'!BW15,'Monthly Average Bond Yields'!$D$5:$J$5,0))</f>
        <v>5.8034782608695652</v>
      </c>
      <c r="BX16" s="53">
        <f t="array" ref="BX16">INDEX('Monthly Average Bond Yields'!$D$6:$J$311,MATCH('Union Ratings and Yields'!BX13,'Monthly Average Bond Yields'!$C$6:$C$311,0),MATCH('Union Ratings and Yields'!BX15,'Monthly Average Bond Yields'!$D$5:$J$5,0))</f>
        <v>5.8323809523809516</v>
      </c>
      <c r="BY16" s="53">
        <f t="array" ref="BY16">INDEX('Monthly Average Bond Yields'!$D$6:$J$311,MATCH('Union Ratings and Yields'!BY13,'Monthly Average Bond Yields'!$C$6:$C$311,0),MATCH('Union Ratings and Yields'!BY15,'Monthly Average Bond Yields'!$D$5:$J$5,0))</f>
        <v>6.0842857142857145</v>
      </c>
      <c r="BZ16" s="53">
        <f t="array" ref="BZ16">INDEX('Monthly Average Bond Yields'!$D$6:$J$311,MATCH('Union Ratings and Yields'!BZ13,'Monthly Average Bond Yields'!$C$6:$C$311,0),MATCH('Union Ratings and Yields'!BZ15,'Monthly Average Bond Yields'!$D$5:$J$5,0))</f>
        <v>6.1866666666666656</v>
      </c>
      <c r="CA16" s="53">
        <f t="array" ref="CA16">INDEX('Monthly Average Bond Yields'!$D$6:$J$311,MATCH('Union Ratings and Yields'!CA13,'Monthly Average Bond Yields'!$C$6:$C$311,0),MATCH('Union Ratings and Yields'!CA15,'Monthly Average Bond Yields'!$D$5:$J$5,0))</f>
        <v>6.1361904761904755</v>
      </c>
      <c r="CB16" s="53">
        <f t="array" ref="CB16">INDEX('Monthly Average Bond Yields'!$D$6:$J$311,MATCH('Union Ratings and Yields'!CB13,'Monthly Average Bond Yields'!$C$6:$C$311,0),MATCH('Union Ratings and Yields'!CB15,'Monthly Average Bond Yields'!$D$5:$J$5,0))</f>
        <v>6.0635000000000003</v>
      </c>
      <c r="CC16" s="26" t="s">
        <v>93</v>
      </c>
      <c r="CD16" s="26" t="s">
        <v>95</v>
      </c>
      <c r="CE16" s="53">
        <f t="array" ref="CE16">INDEX('Monthly Average Bond Yields'!$D$6:$J$311,MATCH('Union Ratings and Yields'!CE13,'Monthly Average Bond Yields'!$C$6:$C$311,0),MATCH('Union Ratings and Yields'!CE15,'Monthly Average Bond Yields'!$D$5:$J$5,0))</f>
        <v>6.1057894736842107</v>
      </c>
      <c r="CF16" s="53">
        <f t="array" ref="CF16">INDEX('Monthly Average Bond Yields'!$D$6:$J$311,MATCH('Union Ratings and Yields'!CF13,'Monthly Average Bond Yields'!$C$6:$C$311,0),MATCH('Union Ratings and Yields'!CF15,'Monthly Average Bond Yields'!$D$5:$J$5,0))</f>
        <v>6.2647826086956533</v>
      </c>
      <c r="CG16" s="53">
        <f t="array" ref="CG16">INDEX('Monthly Average Bond Yields'!$D$6:$J$311,MATCH('Union Ratings and Yields'!CG13,'Monthly Average Bond Yields'!$C$6:$C$311,0),MATCH('Union Ratings and Yields'!CG15,'Monthly Average Bond Yields'!$D$5:$J$5,0))</f>
        <v>6.5373684210526308</v>
      </c>
      <c r="CH16" s="53">
        <f t="array" ref="CH16">INDEX('Monthly Average Bond Yields'!$D$6:$J$311,MATCH('Union Ratings and Yields'!CH13,'Monthly Average Bond Yields'!$C$6:$C$311,0),MATCH('Union Ratings and Yields'!CH15,'Monthly Average Bond Yields'!$D$5:$J$5,0))</f>
        <v>6.5890909090909098</v>
      </c>
      <c r="CI16" s="53">
        <f t="array" ref="CI16">INDEX('Monthly Average Bond Yields'!$D$6:$J$311,MATCH('Union Ratings and Yields'!CI13,'Monthly Average Bond Yields'!$C$6:$C$311,0),MATCH('Union Ratings and Yields'!CI15,'Monthly Average Bond Yields'!$D$5:$J$5,0))</f>
        <v>6.6118181818181805</v>
      </c>
      <c r="CJ16" s="53">
        <f t="array" ref="CJ16">INDEX('Monthly Average Bond Yields'!$D$6:$J$311,MATCH('Union Ratings and Yields'!CJ13,'Monthly Average Bond Yields'!$C$6:$C$311,0),MATCH('Union Ratings and Yields'!CJ15,'Monthly Average Bond Yields'!$D$5:$J$5,0))</f>
        <v>6.605500000000001</v>
      </c>
      <c r="CK16" s="53">
        <f t="array" ref="CK16">INDEX('Monthly Average Bond Yields'!$D$6:$J$311,MATCH('Union Ratings and Yields'!CK13,'Monthly Average Bond Yields'!$C$6:$C$311,0),MATCH('Union Ratings and Yields'!CK15,'Monthly Average Bond Yields'!$D$5:$J$5,0))</f>
        <v>6.4278260869565234</v>
      </c>
      <c r="CL16" s="53">
        <f t="array" ref="CL16">INDEX('Monthly Average Bond Yields'!$D$6:$J$311,MATCH('Union Ratings and Yields'!CL13,'Monthly Average Bond Yields'!$C$6:$C$311,0),MATCH('Union Ratings and Yields'!CL15,'Monthly Average Bond Yields'!$D$5:$J$5,0))</f>
        <v>6.2634999999999996</v>
      </c>
      <c r="CM16" s="53">
        <f t="array" ref="CM16">INDEX('Monthly Average Bond Yields'!$D$6:$J$311,MATCH('Union Ratings and Yields'!CM13,'Monthly Average Bond Yields'!$C$6:$C$311,0),MATCH('Union Ratings and Yields'!CM15,'Monthly Average Bond Yields'!$D$5:$J$5,0))</f>
        <v>6.2438095238095244</v>
      </c>
      <c r="CN16" s="53">
        <f t="array" ref="CN16">INDEX('Monthly Average Bond Yields'!$D$6:$J$311,MATCH('Union Ratings and Yields'!CN13,'Monthly Average Bond Yields'!$C$6:$C$311,0),MATCH('Union Ratings and Yields'!CN15,'Monthly Average Bond Yields'!$D$5:$J$5,0))</f>
        <v>6.0438095238095233</v>
      </c>
      <c r="CO16" s="53">
        <f t="array" ref="CO16">INDEX('Monthly Average Bond Yields'!$D$6:$J$311,MATCH('Union Ratings and Yields'!CO13,'Monthly Average Bond Yields'!$C$6:$C$311,0),MATCH('Union Ratings and Yields'!CO15,'Monthly Average Bond Yields'!$D$5:$J$5,0))</f>
        <v>6.0525000000000002</v>
      </c>
      <c r="CP16" s="53">
        <f t="array" ref="CP16">INDEX('Monthly Average Bond Yields'!$D$6:$J$311,MATCH('Union Ratings and Yields'!CP13,'Monthly Average Bond Yields'!$C$6:$C$311,0),MATCH('Union Ratings and Yields'!CP15,'Monthly Average Bond Yields'!$D$5:$J$5,0))</f>
        <v>6.160000000000001</v>
      </c>
      <c r="CQ16" s="53">
        <f t="array" ref="CQ16">INDEX('Monthly Average Bond Yields'!$D$6:$J$311,MATCH('Union Ratings and Yields'!CQ13,'Monthly Average Bond Yields'!$C$6:$C$311,0),MATCH('Union Ratings and Yields'!CQ15,'Monthly Average Bond Yields'!$D$5:$J$5,0))</f>
        <v>6.1031578947368432</v>
      </c>
      <c r="CR16" s="53">
        <f t="array" ref="CR16">INDEX('Monthly Average Bond Yields'!$D$6:$J$311,MATCH('Union Ratings and Yields'!CR13,'Monthly Average Bond Yields'!$C$6:$C$311,0),MATCH('Union Ratings and Yields'!CR15,'Monthly Average Bond Yields'!$D$5:$J$5,0))</f>
        <v>6.1031818181818176</v>
      </c>
      <c r="CS16" s="53">
        <f t="array" ref="CS16">INDEX('Monthly Average Bond Yields'!$D$6:$J$311,MATCH('Union Ratings and Yields'!CS13,'Monthly Average Bond Yields'!$C$6:$C$311,0),MATCH('Union Ratings and Yields'!CS15,'Monthly Average Bond Yields'!$D$5:$J$5,0))</f>
        <v>6.2385714285714284</v>
      </c>
      <c r="CT16" s="53">
        <f t="array" ref="CT16">INDEX('Monthly Average Bond Yields'!$D$6:$J$311,MATCH('Union Ratings and Yields'!CT13,'Monthly Average Bond Yields'!$C$6:$C$311,0),MATCH('Union Ratings and Yields'!CT15,'Monthly Average Bond Yields'!$D$5:$J$5,0))</f>
        <v>6.2304545454545455</v>
      </c>
      <c r="CU16" s="53">
        <f t="array" ref="CU16">INDEX('Monthly Average Bond Yields'!$D$6:$J$311,MATCH('Union Ratings and Yields'!CU13,'Monthly Average Bond Yields'!$C$6:$C$311,0),MATCH('Union Ratings and Yields'!CU15,'Monthly Average Bond Yields'!$D$5:$J$5,0))</f>
        <v>6.5447619047619048</v>
      </c>
      <c r="CV16" s="53">
        <f t="array" ref="CV16">INDEX('Monthly Average Bond Yields'!$D$6:$J$311,MATCH('Union Ratings and Yields'!CV13,'Monthly Average Bond Yields'!$C$6:$C$311,0),MATCH('Union Ratings and Yields'!CV15,'Monthly Average Bond Yields'!$D$5:$J$5,0))</f>
        <v>6.4895238095238108</v>
      </c>
      <c r="CW16" s="53">
        <f t="array" ref="CW16">INDEX('Monthly Average Bond Yields'!$D$6:$J$311,MATCH('Union Ratings and Yields'!CW13,'Monthly Average Bond Yields'!$C$6:$C$311,0),MATCH('Union Ratings and Yields'!CW15,'Monthly Average Bond Yields'!$D$5:$J$5,0))</f>
        <v>6.5082608695652171</v>
      </c>
      <c r="CX16" s="53">
        <f t="array" ref="CX16">INDEX('Monthly Average Bond Yields'!$D$6:$J$311,MATCH('Union Ratings and Yields'!CX13,'Monthly Average Bond Yields'!$C$6:$C$311,0),MATCH('Union Ratings and Yields'!CX15,'Monthly Average Bond Yields'!$D$5:$J$5,0))</f>
        <v>6.452105263157895</v>
      </c>
      <c r="CY16" s="53">
        <f t="array" ref="CY16">INDEX('Monthly Average Bond Yields'!$D$6:$J$311,MATCH('Union Ratings and Yields'!CY13,'Monthly Average Bond Yields'!$C$6:$C$311,0),MATCH('Union Ratings and Yields'!CY15,'Monthly Average Bond Yields'!$D$5:$J$5,0))</f>
        <v>6.3595454545454544</v>
      </c>
      <c r="CZ16" s="53">
        <f t="array" ref="CZ16">INDEX('Monthly Average Bond Yields'!$D$6:$J$311,MATCH('Union Ratings and Yields'!CZ13,'Monthly Average Bond Yields'!$C$6:$C$311,0),MATCH('Union Ratings and Yields'!CZ15,'Monthly Average Bond Yields'!$D$5:$J$5,0))</f>
        <v>6.2739999999999991</v>
      </c>
      <c r="DA16" s="53">
        <f t="array" ref="DA16">INDEX('Monthly Average Bond Yields'!$D$6:$J$311,MATCH('Union Ratings and Yields'!DA13,'Monthly Average Bond Yields'!$C$6:$C$311,0),MATCH('Union Ratings and Yields'!DA15,'Monthly Average Bond Yields'!$D$5:$J$5,0))</f>
        <v>6.5109999999999983</v>
      </c>
      <c r="DB16" s="53">
        <f t="array" ref="DB16">INDEX('Monthly Average Bond Yields'!$D$6:$J$311,MATCH('Union Ratings and Yields'!DB13,'Monthly Average Bond Yields'!$C$6:$C$311,0),MATCH('Union Ratings and Yields'!DB15,'Monthly Average Bond Yields'!$D$5:$J$5,0))</f>
        <v>6.3452380952380949</v>
      </c>
      <c r="DC16" s="53">
        <f t="array" ref="DC16">INDEX('Monthly Average Bond Yields'!$D$6:$J$311,MATCH('Union Ratings and Yields'!DC13,'Monthly Average Bond Yields'!$C$6:$C$311,0),MATCH('Union Ratings and Yields'!DC15,'Monthly Average Bond Yields'!$D$5:$J$5,0))</f>
        <v>6.5969999999999995</v>
      </c>
      <c r="DD16" s="26" t="s">
        <v>93</v>
      </c>
      <c r="DE16" s="26" t="s">
        <v>95</v>
      </c>
      <c r="DF16" s="53">
        <f t="array" ref="DF16">INDEX('Monthly Average Bond Yields'!$D$6:$J$311,MATCH('Union Ratings and Yields'!DF13,'Monthly Average Bond Yields'!$C$6:$C$311,0),MATCH('Union Ratings and Yields'!DF15,'Monthly Average Bond Yields'!$D$5:$J$5,0))</f>
        <v>6.6820000000000004</v>
      </c>
      <c r="DG16" s="53">
        <f t="array" ref="DG16">INDEX('Monthly Average Bond Yields'!$D$6:$J$311,MATCH('Union Ratings and Yields'!DG13,'Monthly Average Bond Yields'!$C$6:$C$311,0),MATCH('Union Ratings and Yields'!DG15,'Monthly Average Bond Yields'!$D$5:$J$5,0))</f>
        <v>6.8122727272727275</v>
      </c>
      <c r="DH16" s="53">
        <f t="array" ref="DH16">INDEX('Monthly Average Bond Yields'!$D$6:$J$311,MATCH('Union Ratings and Yields'!DH13,'Monthly Average Bond Yields'!$C$6:$C$311,0),MATCH('Union Ratings and Yields'!DH15,'Monthly Average Bond Yields'!$D$5:$J$5,0))</f>
        <v>6.7938095238095242</v>
      </c>
      <c r="DI16" s="53">
        <f t="array" ref="DI16">INDEX('Monthly Average Bond Yields'!$D$6:$J$311,MATCH('Union Ratings and Yields'!DI13,'Monthly Average Bond Yields'!$C$6:$C$311,0),MATCH('Union Ratings and Yields'!DI15,'Monthly Average Bond Yields'!$D$5:$J$5,0))</f>
        <v>6.9257142857142853</v>
      </c>
      <c r="DJ16" s="53">
        <f t="array" ref="DJ16">INDEX('Monthly Average Bond Yields'!$D$6:$J$311,MATCH('Union Ratings and Yields'!DJ13,'Monthly Average Bond Yields'!$C$6:$C$311,0),MATCH('Union Ratings and Yields'!DJ15,'Monthly Average Bond Yields'!$D$5:$J$5,0))</f>
        <v>6.9650000000000007</v>
      </c>
      <c r="DK16" s="53">
        <f t="array" ref="DK16">INDEX('Monthly Average Bond Yields'!$D$6:$J$311,MATCH('Union Ratings and Yields'!DK13,'Monthly Average Bond Yields'!$C$6:$C$311,0),MATCH('Union Ratings and Yields'!DK15,'Monthly Average Bond Yields'!$D$5:$J$5,0))</f>
        <v>6.9790476190476189</v>
      </c>
      <c r="DL16" s="53">
        <f t="array" ref="DL16">INDEX('Monthly Average Bond Yields'!$D$6:$J$311,MATCH('Union Ratings and Yields'!DL13,'Monthly Average Bond Yields'!$C$6:$C$311,0),MATCH('Union Ratings and Yields'!DL15,'Monthly Average Bond Yields'!$D$5:$J$5,0))</f>
        <v>7.1504761904761907</v>
      </c>
      <c r="DM16" s="53">
        <f t="array" ref="DM16">INDEX('Monthly Average Bond Yields'!$D$6:$J$311,MATCH('Union Ratings and Yields'!DM13,'Monthly Average Bond Yields'!$C$6:$C$311,0),MATCH('Union Ratings and Yields'!DM15,'Monthly Average Bond Yields'!$D$5:$J$5,0))</f>
        <v>8.5804545454545469</v>
      </c>
      <c r="DN16" s="53">
        <f t="array" ref="DN16">INDEX('Monthly Average Bond Yields'!$D$6:$J$311,MATCH('Union Ratings and Yields'!DN13,'Monthly Average Bond Yields'!$C$6:$C$311,0),MATCH('Union Ratings and Yields'!DN15,'Monthly Average Bond Yields'!$D$5:$J$5,0))</f>
        <v>8.9799999999999986</v>
      </c>
      <c r="DO16" s="53">
        <f t="array" ref="DO16">INDEX('Monthly Average Bond Yields'!$D$6:$J$311,MATCH('Union Ratings and Yields'!DO13,'Monthly Average Bond Yields'!$C$6:$C$311,0),MATCH('Union Ratings and Yields'!DO15,'Monthly Average Bond Yields'!$D$5:$J$5,0))</f>
        <v>8.1131818181818183</v>
      </c>
      <c r="DP16" s="53">
        <f t="array" ref="DP16">INDEX('Monthly Average Bond Yields'!$D$6:$J$311,MATCH('Union Ratings and Yields'!DP13,'Monthly Average Bond Yields'!$C$6:$C$311,0),MATCH('Union Ratings and Yields'!DP15,'Monthly Average Bond Yields'!$D$5:$J$5,0))</f>
        <v>7.8964999999999987</v>
      </c>
      <c r="DQ16" s="53">
        <f t="array" ref="DQ16">INDEX('Monthly Average Bond Yields'!$D$6:$J$311,MATCH('Union Ratings and Yields'!DQ13,'Monthly Average Bond Yields'!$C$6:$C$311,0),MATCH('Union Ratings and Yields'!DQ15,'Monthly Average Bond Yields'!$D$5:$J$5,0))</f>
        <v>7.744210526315789</v>
      </c>
      <c r="DR16" s="53">
        <f t="array" ref="DR16">INDEX('Monthly Average Bond Yields'!$D$6:$J$311,MATCH('Union Ratings and Yields'!DR13,'Monthly Average Bond Yields'!$C$6:$C$311,0),MATCH('Union Ratings and Yields'!DR15,'Monthly Average Bond Yields'!$D$5:$J$5,0))</f>
        <v>7.9959090909090893</v>
      </c>
      <c r="DS16" s="53">
        <f t="array" ref="DS16">INDEX('Monthly Average Bond Yields'!$D$6:$J$311,MATCH('Union Ratings and Yields'!DS13,'Monthly Average Bond Yields'!$C$6:$C$311,0),MATCH('Union Ratings and Yields'!DS15,'Monthly Average Bond Yields'!$D$5:$J$5,0))</f>
        <v>8.0285714285714302</v>
      </c>
      <c r="DT16" s="53">
        <f t="array" ref="DT16">INDEX('Monthly Average Bond Yields'!$D$6:$J$311,MATCH('Union Ratings and Yields'!DT13,'Monthly Average Bond Yields'!$C$6:$C$311,0),MATCH('Union Ratings and Yields'!DT15,'Monthly Average Bond Yields'!$D$5:$J$5,0))</f>
        <v>7.759500000000001</v>
      </c>
      <c r="DU16" s="53">
        <f t="array" ref="DU16">INDEX('Monthly Average Bond Yields'!$D$6:$J$311,MATCH('Union Ratings and Yields'!DU13,'Monthly Average Bond Yields'!$C$6:$C$311,0),MATCH('Union Ratings and Yields'!DU15,'Monthly Average Bond Yields'!$D$5:$J$5,0))</f>
        <v>7.2963636363636342</v>
      </c>
      <c r="DV16" s="53">
        <f t="array" ref="DV16">INDEX('Monthly Average Bond Yields'!$D$6:$J$311,MATCH('Union Ratings and Yields'!DV13,'Monthly Average Bond Yields'!$C$6:$C$311,0),MATCH('Union Ratings and Yields'!DV15,'Monthly Average Bond Yields'!$D$5:$J$5,0))</f>
        <v>6.8677272727272731</v>
      </c>
      <c r="DW16" s="53">
        <f t="array" ref="DW16">INDEX('Monthly Average Bond Yields'!$D$6:$J$311,MATCH('Union Ratings and Yields'!DW13,'Monthly Average Bond Yields'!$C$6:$C$311,0),MATCH('Union Ratings and Yields'!DW15,'Monthly Average Bond Yields'!$D$5:$J$5,0))</f>
        <v>6.3580952380952374</v>
      </c>
      <c r="DX16" s="53">
        <f t="array" ref="DX16">INDEX('Monthly Average Bond Yields'!$D$6:$J$311,MATCH('Union Ratings and Yields'!DX13,'Monthly Average Bond Yields'!$C$6:$C$311,0),MATCH('Union Ratings and Yields'!DX15,'Monthly Average Bond Yields'!$D$5:$J$5,0))</f>
        <v>6.1185714285714292</v>
      </c>
      <c r="DY16" s="53">
        <f t="array" ref="DY16">INDEX('Monthly Average Bond Yields'!$D$6:$J$311,MATCH('Union Ratings and Yields'!DY13,'Monthly Average Bond Yields'!$C$6:$C$311,0),MATCH('Union Ratings and Yields'!DY15,'Monthly Average Bond Yields'!$D$5:$J$5,0))</f>
        <v>6.1409523809523812</v>
      </c>
      <c r="DZ16" s="53">
        <f t="array" ref="DZ16">INDEX('Monthly Average Bond Yields'!$D$6:$J$311,MATCH('Union Ratings and Yields'!DZ13,'Monthly Average Bond Yields'!$C$6:$C$311,0),MATCH('Union Ratings and Yields'!DZ15,'Monthly Average Bond Yields'!$D$5:$J$5,0))</f>
        <v>6.174736842105264</v>
      </c>
      <c r="EA16" s="53">
        <f t="array" ref="EA16">INDEX('Monthly Average Bond Yields'!$D$6:$J$311,MATCH('Union Ratings and Yields'!EA13,'Monthly Average Bond Yields'!$C$6:$C$311,0),MATCH('Union Ratings and Yields'!EA15,'Monthly Average Bond Yields'!$D$5:$J$5,0))</f>
        <v>6.2622727272727277</v>
      </c>
      <c r="EB16" s="53">
        <f t="array" ref="EB16">INDEX('Monthly Average Bond Yields'!$D$6:$J$311,MATCH('Union Ratings and Yields'!EB13,'Monthly Average Bond Yields'!$C$6:$C$311,0),MATCH('Union Ratings and Yields'!EB15,'Monthly Average Bond Yields'!$D$5:$J$5,0))</f>
        <v>6.1557894736842114</v>
      </c>
      <c r="EC16" s="53">
        <f t="array" ref="EC16">INDEX('Monthly Average Bond Yields'!$D$6:$J$311,MATCH('Union Ratings and Yields'!EC13,'Monthly Average Bond Yields'!$C$6:$C$311,0),MATCH('Union Ratings and Yields'!EC15,'Monthly Average Bond Yields'!$D$5:$J$5,0))</f>
        <v>6.2463157894736838</v>
      </c>
      <c r="ED16" s="53">
        <f t="array" ref="ED16">INDEX('Monthly Average Bond Yields'!$D$6:$J$311,MATCH('Union Ratings and Yields'!ED13,'Monthly Average Bond Yields'!$C$6:$C$311,0),MATCH('Union Ratings and Yields'!ED15,'Monthly Average Bond Yields'!$D$5:$J$5,0))</f>
        <v>6.2234782608695642</v>
      </c>
      <c r="EE16" s="26" t="s">
        <v>93</v>
      </c>
      <c r="EF16" s="26" t="s">
        <v>95</v>
      </c>
      <c r="EG16" s="53">
        <f t="array" ref="EG16">INDEX('Monthly Average Bond Yields'!$D$6:$J$311,MATCH('Union Ratings and Yields'!EG13,'Monthly Average Bond Yields'!$C$6:$C$311,0),MATCH('Union Ratings and Yields'!EG15,'Monthly Average Bond Yields'!$D$5:$J$5,0))</f>
        <v>6.1868181818181816</v>
      </c>
      <c r="EH16" s="53">
        <f t="array" ref="EH16">INDEX('Monthly Average Bond Yields'!$D$6:$J$311,MATCH('Union Ratings and Yields'!EH13,'Monthly Average Bond Yields'!$C$6:$C$311,0),MATCH('Union Ratings and Yields'!EH15,'Monthly Average Bond Yields'!$D$5:$J$5,0))</f>
        <v>5.9700000000000015</v>
      </c>
      <c r="EI16" s="53">
        <f t="array" ref="EI16">INDEX('Monthly Average Bond Yields'!$D$6:$J$311,MATCH('Union Ratings and Yields'!EI13,'Monthly Average Bond Yields'!$C$6:$C$311,0),MATCH('Union Ratings and Yields'!EI15,'Monthly Average Bond Yields'!$D$5:$J$5,0))</f>
        <v>6.1804545454545439</v>
      </c>
      <c r="EJ16" s="53">
        <f t="array" ref="EJ16">INDEX('Monthly Average Bond Yields'!$D$6:$J$311,MATCH('Union Ratings and Yields'!EJ13,'Monthly Average Bond Yields'!$C$6:$C$311,0),MATCH('Union Ratings and Yields'!EJ15,'Monthly Average Bond Yields'!$D$5:$J$5,0))</f>
        <v>5.9790476190476198</v>
      </c>
      <c r="EK16" s="53">
        <f t="array" ref="EK16">INDEX('Monthly Average Bond Yields'!$D$6:$J$311,MATCH('Union Ratings and Yields'!EK13,'Monthly Average Bond Yields'!$C$6:$C$311,0),MATCH('Union Ratings and Yields'!EK15,'Monthly Average Bond Yields'!$D$5:$J$5,0))</f>
        <v>5.5472727272727269</v>
      </c>
      <c r="EL16" s="53">
        <f t="array" ref="EL16">INDEX('Monthly Average Bond Yields'!$D$6:$J$311,MATCH('Union Ratings and Yields'!EL13,'Monthly Average Bond Yields'!$C$6:$C$311,0),MATCH('Union Ratings and Yields'!EL15,'Monthly Average Bond Yields'!$D$5:$J$5,0))</f>
        <v>5.5319047619047623</v>
      </c>
      <c r="EM16" s="53">
        <f t="array" ref="EM16">INDEX('Monthly Average Bond Yields'!$D$6:$J$311,MATCH('Union Ratings and Yields'!EM13,'Monthly Average Bond Yields'!$C$6:$C$311,0),MATCH('Union Ratings and Yields'!EM15,'Monthly Average Bond Yields'!$D$5:$J$5,0))</f>
        <v>5.62</v>
      </c>
      <c r="EN16" s="53">
        <f t="array" ref="EN16">INDEX('Monthly Average Bond Yields'!$D$6:$J$311,MATCH('Union Ratings and Yields'!EN13,'Monthly Average Bond Yields'!$C$6:$C$311,0),MATCH('Union Ratings and Yields'!EN15,'Monthly Average Bond Yields'!$D$5:$J$5,0))</f>
        <v>5.854285714285715</v>
      </c>
      <c r="EO16" s="53">
        <f t="array" ref="EO16">INDEX('Monthly Average Bond Yields'!$D$6:$J$311,MATCH('Union Ratings and Yields'!EO13,'Monthly Average Bond Yields'!$C$6:$C$311,0),MATCH('Union Ratings and Yields'!EO15,'Monthly Average Bond Yields'!$D$5:$J$5,0))</f>
        <v>6.036363636363637</v>
      </c>
      <c r="EP16" s="53">
        <f t="array" ref="EP16">INDEX('Monthly Average Bond Yields'!$D$6:$J$311,MATCH('Union Ratings and Yields'!EP13,'Monthly Average Bond Yields'!$C$6:$C$311,0),MATCH('Union Ratings and Yields'!EP15,'Monthly Average Bond Yields'!$D$5:$J$5,0))</f>
        <v>6.0580000000000016</v>
      </c>
      <c r="EQ16" s="53">
        <f t="array" ref="EQ16">INDEX('Monthly Average Bond Yields'!$D$6:$J$311,MATCH('Union Ratings and Yields'!EQ13,'Monthly Average Bond Yields'!$C$6:$C$311,0),MATCH('Union Ratings and Yields'!EQ15,'Monthly Average Bond Yields'!$D$5:$J$5,0))</f>
        <v>6.1042105263157893</v>
      </c>
      <c r="ER16" s="53">
        <f t="array" ref="ER16">INDEX('Monthly Average Bond Yields'!$D$6:$J$311,MATCH('Union Ratings and Yields'!ER13,'Monthly Average Bond Yields'!$C$6:$C$311,0),MATCH('Union Ratings and Yields'!ER15,'Monthly Average Bond Yields'!$D$5:$J$5,0))</f>
        <v>5.9704347826086952</v>
      </c>
      <c r="ES16" s="53">
        <f t="array" ref="ES16">INDEX('Monthly Average Bond Yields'!$D$6:$J$311,MATCH('Union Ratings and Yields'!ES13,'Monthly Average Bond Yields'!$C$6:$C$311,0),MATCH('Union Ratings and Yields'!ES15,'Monthly Average Bond Yields'!$D$5:$J$5,0))</f>
        <v>5.9809999999999999</v>
      </c>
      <c r="ET16" s="53">
        <f t="array" ref="ET16">INDEX('Monthly Average Bond Yields'!$D$6:$J$311,MATCH('Union Ratings and Yields'!ET13,'Monthly Average Bond Yields'!$C$6:$C$311,0),MATCH('Union Ratings and Yields'!ET15,'Monthly Average Bond Yields'!$D$5:$J$5,0))</f>
        <v>5.7419047619047614</v>
      </c>
      <c r="EU16" s="53">
        <f t="array" ref="EU16">INDEX('Monthly Average Bond Yields'!$D$6:$J$311,MATCH('Union Ratings and Yields'!EU13,'Monthly Average Bond Yields'!$C$6:$C$311,0),MATCH('Union Ratings and Yields'!EU15,'Monthly Average Bond Yields'!$D$5:$J$5,0))</f>
        <v>5.6731818181818179</v>
      </c>
      <c r="EV16" s="53">
        <f t="array" ref="EV16">INDEX('Monthly Average Bond Yields'!$D$6:$J$311,MATCH('Union Ratings and Yields'!EV13,'Monthly Average Bond Yields'!$C$6:$C$311,0),MATCH('Union Ratings and Yields'!EV15,'Monthly Average Bond Yields'!$D$5:$J$5,0))</f>
        <v>5.6995000000000013</v>
      </c>
      <c r="EW16" s="53">
        <f t="array" ref="EW16">INDEX('Monthly Average Bond Yields'!$D$6:$J$311,MATCH('Union Ratings and Yields'!EW13,'Monthly Average Bond Yields'!$C$6:$C$311,0),MATCH('Union Ratings and Yields'!EW15,'Monthly Average Bond Yields'!$D$5:$J$5,0))</f>
        <v>5.223478260869566</v>
      </c>
      <c r="EX16" s="53">
        <f t="array" ref="EX16">INDEX('Monthly Average Bond Yields'!$D$6:$J$311,MATCH('Union Ratings and Yields'!EX13,'Monthly Average Bond Yields'!$C$6:$C$311,0),MATCH('Union Ratings and Yields'!EX15,'Monthly Average Bond Yields'!$D$5:$J$5,0))</f>
        <v>5.1114285714285712</v>
      </c>
      <c r="EY16" s="53">
        <f t="array" ref="EY16">INDEX('Monthly Average Bond Yields'!$D$6:$J$311,MATCH('Union Ratings and Yields'!EY13,'Monthly Average Bond Yields'!$C$6:$C$311,0),MATCH('Union Ratings and Yields'!EY15,'Monthly Average Bond Yields'!$D$5:$J$5,0))</f>
        <v>5.2409999999999997</v>
      </c>
      <c r="EZ16" s="53">
        <f t="array" ref="EZ16">INDEX('Monthly Average Bond Yields'!$D$6:$J$311,MATCH('Union Ratings and Yields'!EZ13,'Monthly Average Bond Yields'!$C$6:$C$311,0),MATCH('Union Ratings and Yields'!EZ15,'Monthly Average Bond Yields'!$D$5:$J$5,0))</f>
        <v>4.9320000000000004</v>
      </c>
      <c r="FA16" s="53">
        <f t="array" ref="FA16">INDEX('Monthly Average Bond Yields'!$D$6:$J$311,MATCH('Union Ratings and Yields'!FA13,'Monthly Average Bond Yields'!$C$6:$C$311,0),MATCH('Union Ratings and Yields'!FA15,'Monthly Average Bond Yields'!$D$5:$J$5,0))</f>
        <v>5.07</v>
      </c>
      <c r="FB16" s="53">
        <f t="array" ref="FB16">INDEX('Monthly Average Bond Yields'!$D$6:$J$311,MATCH('Union Ratings and Yields'!FB13,'Monthly Average Bond Yields'!$C$6:$C$311,0),MATCH('Union Ratings and Yields'!FB15,'Monthly Average Bond Yields'!$D$5:$J$5,0))</f>
        <v>5.0610000000000008</v>
      </c>
      <c r="FC16" s="53">
        <f t="array" ref="FC16">INDEX('Monthly Average Bond Yields'!$D$6:$J$311,MATCH('Union Ratings and Yields'!FC13,'Monthly Average Bond Yields'!$C$6:$C$311,0),MATCH('Union Ratings and Yields'!FC15,'Monthly Average Bond Yields'!$D$5:$J$5,0))</f>
        <v>5.0214999999999987</v>
      </c>
      <c r="FD16" s="53">
        <f t="array" ref="FD16">INDEX('Monthly Average Bond Yields'!$D$6:$J$311,MATCH('Union Ratings and Yields'!FD13,'Monthly Average Bond Yields'!$C$6:$C$311,0),MATCH('Union Ratings and Yields'!FD15,'Monthly Average Bond Yields'!$D$5:$J$5,0))</f>
        <v>5.129999999999999</v>
      </c>
      <c r="FE16" s="53">
        <f t="array" ref="FE16">INDEX('Monthly Average Bond Yields'!$D$6:$J$311,MATCH('Union Ratings and Yields'!FE13,'Monthly Average Bond Yields'!$C$6:$C$311,0),MATCH('Union Ratings and Yields'!FE15,'Monthly Average Bond Yields'!$D$5:$J$5,0))</f>
        <v>5.1109523809523809</v>
      </c>
      <c r="FF16" s="26" t="s">
        <v>93</v>
      </c>
      <c r="FG16" s="26" t="s">
        <v>95</v>
      </c>
      <c r="FH16" s="53">
        <f t="array" ref="FH16">INDEX('Monthly Average Bond Yields'!$D$6:$J$311,MATCH('Union Ratings and Yields'!FH13,'Monthly Average Bond Yields'!$C$6:$C$311,0),MATCH('Union Ratings and Yields'!FH15,'Monthly Average Bond Yields'!$D$5:$J$5,0))</f>
        <v>4.9654545454545449</v>
      </c>
      <c r="FI16" s="53">
        <f t="array" ref="FI16">INDEX('Monthly Average Bond Yields'!$D$6:$J$311,MATCH('Union Ratings and Yields'!FI13,'Monthly Average Bond Yields'!$C$6:$C$311,0),MATCH('Union Ratings and Yields'!FI15,'Monthly Average Bond Yields'!$D$5:$J$5,0))</f>
        <v>4.9090476190476178</v>
      </c>
      <c r="FJ16" s="53">
        <f t="array" ref="FJ16">INDEX('Monthly Average Bond Yields'!$D$6:$J$311,MATCH('Union Ratings and Yields'!FJ13,'Monthly Average Bond Yields'!$C$6:$C$311,0),MATCH('Union Ratings and Yields'!FJ15,'Monthly Average Bond Yields'!$D$5:$J$5,0))</f>
        <v>4.8499999999999996</v>
      </c>
      <c r="FK16" s="53">
        <f t="array" ref="FK16">INDEX('Monthly Average Bond Yields'!$D$6:$J$311,MATCH('Union Ratings and Yields'!FK13,'Monthly Average Bond Yields'!$C$6:$C$311,0),MATCH('Union Ratings and Yields'!FK15,'Monthly Average Bond Yields'!$D$5:$J$5,0))</f>
        <v>4.8782608695652181</v>
      </c>
      <c r="FL16" s="53">
        <f t="array" ref="FL16">INDEX('Monthly Average Bond Yields'!$D$6:$J$311,MATCH('Union Ratings and Yields'!FL13,'Monthly Average Bond Yields'!$C$6:$C$311,0),MATCH('Union Ratings and Yields'!FL15,'Monthly Average Bond Yields'!$D$5:$J$5,0))</f>
        <v>4.8073684210526322</v>
      </c>
      <c r="FM16" s="53">
        <f t="array" ref="FM16">INDEX('Monthly Average Bond Yields'!$D$6:$J$311,MATCH('Union Ratings and Yields'!FM13,'Monthly Average Bond Yields'!$C$6:$C$311,0),MATCH('Union Ratings and Yields'!FM15,'Monthly Average Bond Yields'!$D$5:$J$5,0))</f>
        <v>4.5433333333333321</v>
      </c>
      <c r="FN16" s="53">
        <f t="array" ref="FN16">INDEX('Monthly Average Bond Yields'!$D$6:$J$311,MATCH('Union Ratings and Yields'!FN13,'Monthly Average Bond Yields'!$C$6:$C$311,0),MATCH('Union Ratings and Yields'!FN15,'Monthly Average Bond Yields'!$D$5:$J$5,0))</f>
        <v>4.4155000000000006</v>
      </c>
      <c r="FO16" s="53">
        <f t="array" ref="FO16">INDEX('Monthly Average Bond Yields'!$D$6:$J$311,MATCH('Union Ratings and Yields'!FO13,'Monthly Average Bond Yields'!$C$6:$C$311,0),MATCH('Union Ratings and Yields'!FO15,'Monthly Average Bond Yields'!$D$5:$J$5,0))</f>
        <v>4.5549999999999997</v>
      </c>
      <c r="FP16" s="53">
        <f t="array" ref="FP16">INDEX('Monthly Average Bond Yields'!$D$6:$J$311,MATCH('Union Ratings and Yields'!FP13,'Monthly Average Bond Yields'!$C$6:$C$311,0),MATCH('Union Ratings and Yields'!FP15,'Monthly Average Bond Yields'!$D$5:$J$5,0))</f>
        <v>4.6585714285714275</v>
      </c>
      <c r="FQ16" s="53">
        <f t="array" ref="FQ16">INDEX('Monthly Average Bond Yields'!$D$6:$J$311,MATCH('Union Ratings and Yields'!FQ13,'Monthly Average Bond Yields'!$C$6:$C$311,0),MATCH('Union Ratings and Yields'!FQ15,'Monthly Average Bond Yields'!$D$5:$J$5,0))</f>
        <v>4.7447368421052625</v>
      </c>
      <c r="FR16" s="53">
        <f t="array" ref="FR16">INDEX('Monthly Average Bond Yields'!$D$6:$J$311,MATCH('Union Ratings and Yields'!FR13,'Monthly Average Bond Yields'!$C$6:$C$311,0),MATCH('Union Ratings and Yields'!FR15,'Monthly Average Bond Yields'!$D$5:$J$5,0))</f>
        <v>4.7189999999999994</v>
      </c>
      <c r="FS16" s="53">
        <f t="array" ref="FS16">INDEX('Monthly Average Bond Yields'!$D$6:$J$311,MATCH('Union Ratings and Yields'!FS13,'Monthly Average Bond Yields'!$C$6:$C$311,0),MATCH('Union Ratings and Yields'!FS15,'Monthly Average Bond Yields'!$D$5:$J$5,0))</f>
        <v>4.4863636363636372</v>
      </c>
      <c r="FT16" s="53">
        <f t="array" ref="FT16">INDEX('Monthly Average Bond Yields'!$D$6:$J$311,MATCH('Union Ratings and Yields'!FT13,'Monthly Average Bond Yields'!$C$6:$C$311,0),MATCH('Union Ratings and Yields'!FT15,'Monthly Average Bond Yields'!$D$5:$J$5,0))</f>
        <v>4.6477272727272725</v>
      </c>
      <c r="FU16" s="53">
        <f t="array" ref="FU16">INDEX('Monthly Average Bond Yields'!$D$6:$J$311,MATCH('Union Ratings and Yields'!FU13,'Monthly Average Bond Yields'!$C$6:$C$311,0),MATCH('Union Ratings and Yields'!FU15,'Monthly Average Bond Yields'!$D$5:$J$5,0))</f>
        <v>5.0845000000000002</v>
      </c>
      <c r="FV16" s="53">
        <f t="array" ref="FV16">INDEX('Monthly Average Bond Yields'!$D$6:$J$311,MATCH('Union Ratings and Yields'!FV13,'Monthly Average Bond Yields'!$C$6:$C$311,0),MATCH('Union Ratings and Yields'!FV15,'Monthly Average Bond Yields'!$D$5:$J$5,0))</f>
        <v>5.209090909090909</v>
      </c>
      <c r="FW16" s="53">
        <f t="array" ref="FW16">INDEX('Monthly Average Bond Yields'!$D$6:$J$311,MATCH('Union Ratings and Yields'!FW13,'Monthly Average Bond Yields'!$C$6:$C$311,0),MATCH('Union Ratings and Yields'!FW15,'Monthly Average Bond Yields'!$D$5:$J$5,0))</f>
        <v>5.2759090909090904</v>
      </c>
      <c r="FX16" s="53">
        <f t="array" ref="FX16">INDEX('Monthly Average Bond Yields'!$D$6:$J$311,MATCH('Union Ratings and Yields'!FX13,'Monthly Average Bond Yields'!$C$6:$C$311,0),MATCH('Union Ratings and Yields'!FX15,'Monthly Average Bond Yields'!$D$5:$J$5,0))</f>
        <v>5.3079999999999998</v>
      </c>
      <c r="FY16" s="53">
        <f t="array" ref="FY16">INDEX('Monthly Average Bond Yields'!$D$6:$J$311,MATCH('Union Ratings and Yields'!FY13,'Monthly Average Bond Yields'!$C$6:$C$311,0),MATCH('Union Ratings and Yields'!FY15,'Monthly Average Bond Yields'!$D$5:$J$5,0))</f>
        <v>5.1700000000000008</v>
      </c>
      <c r="FZ16" s="53">
        <f t="array" ref="FZ16">INDEX('Monthly Average Bond Yields'!$D$6:$J$311,MATCH('Union Ratings and Yields'!FZ13,'Monthly Average Bond Yields'!$C$6:$C$311,0),MATCH('Union Ratings and Yields'!FZ15,'Monthly Average Bond Yields'!$D$5:$J$5,0))</f>
        <v>5.2436842105263155</v>
      </c>
      <c r="GA16" s="53">
        <f t="array" ref="GA16">INDEX('Monthly Average Bond Yields'!$D$6:$J$311,MATCH('Union Ratings and Yields'!GA13,'Monthly Average Bond Yields'!$C$6:$C$311,0),MATCH('Union Ratings and Yields'!GA15,'Monthly Average Bond Yields'!$D$5:$J$5,0))</f>
        <v>5.2523809523809524</v>
      </c>
      <c r="GB16" s="53">
        <f t="array" ref="GB16">INDEX('Monthly Average Bond Yields'!$D$6:$J$311,MATCH('Union Ratings and Yields'!GB13,'Monthly Average Bond Yields'!$C$6:$C$311,0),MATCH('Union Ratings and Yields'!GB15,'Monthly Average Bond Yields'!$D$5:$J$5,0))</f>
        <v>5.093809523809524</v>
      </c>
      <c r="GC16" s="53">
        <f t="array" ref="GC16">INDEX('Monthly Average Bond Yields'!$D$6:$J$311,MATCH('Union Ratings and Yields'!GC13,'Monthly Average Bond Yields'!$C$6:$C$311,0),MATCH('Union Ratings and Yields'!GC15,'Monthly Average Bond Yields'!$D$5:$J$5,0))</f>
        <v>5.0089473684210519</v>
      </c>
      <c r="GD16" s="53">
        <f t="array" ref="GD16">INDEX('Monthly Average Bond Yields'!$D$6:$J$311,MATCH('Union Ratings and Yields'!GD13,'Monthly Average Bond Yields'!$C$6:$C$311,0),MATCH('Union Ratings and Yields'!GD15,'Monthly Average Bond Yields'!$D$5:$J$5,0))</f>
        <v>4.9952380952380953</v>
      </c>
      <c r="GE16" s="53">
        <f t="array" ref="GE16">INDEX('Monthly Average Bond Yields'!$D$6:$J$311,MATCH('Union Ratings and Yields'!GE13,'Monthly Average Bond Yields'!$C$6:$C$311,0),MATCH('Union Ratings and Yields'!GE15,'Monthly Average Bond Yields'!$D$5:$J$5,0))</f>
        <v>4.8480952380952385</v>
      </c>
      <c r="GF16" s="53">
        <f t="array" ref="GF16">INDEX('Monthly Average Bond Yields'!$D$6:$J$311,MATCH('Union Ratings and Yields'!GF13,'Monthly Average Bond Yields'!$C$6:$C$311,0),MATCH('Union Ratings and Yields'!GF15,'Monthly Average Bond Yields'!$D$5:$J$5,0))</f>
        <v>4.6880952380952392</v>
      </c>
      <c r="GG16" s="26" t="s">
        <v>93</v>
      </c>
      <c r="GH16" s="26" t="s">
        <v>95</v>
      </c>
      <c r="GI16" s="53">
        <f t="array" ref="GI16">INDEX('Monthly Average Bond Yields'!$D$6:$J$311,MATCH('Union Ratings and Yields'!GI13,'Monthly Average Bond Yields'!$C$6:$C$311,0),MATCH('Union Ratings and Yields'!GI15,'Monthly Average Bond Yields'!$D$5:$J$5,0))</f>
        <v>4.7261904761904754</v>
      </c>
      <c r="GJ16" s="53">
        <f t="array" ref="GJ16">INDEX('Monthly Average Bond Yields'!$D$6:$J$311,MATCH('Union Ratings and Yields'!GJ13,'Monthly Average Bond Yields'!$C$6:$C$311,0),MATCH('Union Ratings and Yields'!GJ15,'Monthly Average Bond Yields'!$D$5:$J$5,0))</f>
        <v>4.6627272727272722</v>
      </c>
      <c r="GK16" s="53">
        <f t="array" ref="GK16">INDEX('Monthly Average Bond Yields'!$D$6:$J$311,MATCH('Union Ratings and Yields'!GK13,'Monthly Average Bond Yields'!$C$6:$C$311,0),MATCH('Union Ratings and Yields'!GK15,'Monthly Average Bond Yields'!$D$5:$J$5,0))</f>
        <v>4.6542857142857148</v>
      </c>
      <c r="GL16" s="53">
        <f t="array" ref="GL16">INDEX('Monthly Average Bond Yields'!$D$6:$J$311,MATCH('Union Ratings and Yields'!GL13,'Monthly Average Bond Yields'!$C$6:$C$311,0),MATCH('Union Ratings and Yields'!GL15,'Monthly Average Bond Yields'!$D$5:$J$5,0))</f>
        <v>4.7857142857142865</v>
      </c>
      <c r="GM16" s="53">
        <f t="array" ref="GM16">INDEX('Monthly Average Bond Yields'!$D$6:$J$311,MATCH('Union Ratings and Yields'!GM13,'Monthly Average Bond Yields'!$C$6:$C$311,0),MATCH('Union Ratings and Yields'!GM15,'Monthly Average Bond Yields'!$D$5:$J$5,0))</f>
        <v>4.6695454545454531</v>
      </c>
      <c r="GN16" s="53">
        <f t="array" ref="GN16">INDEX('Monthly Average Bond Yields'!$D$6:$J$311,MATCH('Union Ratings and Yields'!GN13,'Monthly Average Bond Yields'!$C$6:$C$311,0),MATCH('Union Ratings and Yields'!GN15,'Monthly Average Bond Yields'!$D$5:$J$5,0))</f>
        <v>4.7473684210526308</v>
      </c>
      <c r="GO16" s="53">
        <f t="array" ref="GO16">INDEX('Monthly Average Bond Yields'!$D$6:$J$311,MATCH('Union Ratings and Yields'!GO13,'Monthly Average Bond Yields'!$C$6:$C$311,0),MATCH('Union Ratings and Yields'!GO15,'Monthly Average Bond Yields'!$D$5:$J$5,0))</f>
        <v>4.6968181818181822</v>
      </c>
      <c r="GP16" s="53">
        <f t="array" ref="GP16">INDEX('Monthly Average Bond Yields'!$D$6:$J$311,MATCH('Union Ratings and Yields'!GP13,'Monthly Average Bond Yields'!$C$6:$C$311,0),MATCH('Union Ratings and Yields'!GP15,'Monthly Average Bond Yields'!$D$5:$J$5,0))</f>
        <v>4.3935000000000004</v>
      </c>
      <c r="GQ16" s="53">
        <f t="array" ref="GQ16">INDEX('Monthly Average Bond Yields'!$D$6:$J$311,MATCH('Union Ratings and Yields'!GQ13,'Monthly Average Bond Yields'!$C$6:$C$311,0),MATCH('Union Ratings and Yields'!GQ15,'Monthly Average Bond Yields'!$D$5:$J$5,0))</f>
        <v>4.438421052631579</v>
      </c>
      <c r="GR16" s="53">
        <f t="array" ref="GR16">INDEX('Monthly Average Bond Yields'!$D$6:$J$311,MATCH('Union Ratings and Yields'!GR13,'Monthly Average Bond Yields'!$C$6:$C$311,0),MATCH('Union Ratings and Yields'!GR15,'Monthly Average Bond Yields'!$D$5:$J$5,0))</f>
        <v>4.5109090909090916</v>
      </c>
      <c r="GS16" s="53">
        <f t="array" ref="GS16">INDEX('Monthly Average Bond Yields'!$D$6:$J$311,MATCH('Union Ratings and Yields'!GS13,'Monthly Average Bond Yields'!$C$6:$C$311,0),MATCH('Union Ratings and Yields'!GS15,'Monthly Average Bond Yields'!$D$5:$J$5,0))</f>
        <v>4.5104545454545457</v>
      </c>
      <c r="GT16" s="53">
        <f t="array" ref="GT16">INDEX('Monthly Average Bond Yields'!$D$6:$J$311,MATCH('Union Ratings and Yields'!GT13,'Monthly Average Bond Yields'!$C$6:$C$311,0),MATCH('Union Ratings and Yields'!GT15,'Monthly Average Bond Yields'!$D$5:$J$5,0))</f>
        <v>4.9069999999999991</v>
      </c>
      <c r="GU16" s="53">
        <f t="array" ref="GU16">INDEX('Monthly Average Bond Yields'!$D$6:$J$311,MATCH('Union Ratings and Yields'!GU13,'Monthly Average Bond Yields'!$C$6:$C$311,0),MATCH('Union Ratings and Yields'!GU15,'Monthly Average Bond Yields'!$D$5:$J$5,0))</f>
        <v>5.125454545454545</v>
      </c>
      <c r="GV16" s="53">
        <f t="array" ref="GV16">INDEX('Monthly Average Bond Yields'!$D$6:$J$311,MATCH('Union Ratings and Yields'!GV13,'Monthly Average Bond Yields'!$C$6:$C$311,0),MATCH('Union Ratings and Yields'!GV15,'Monthly Average Bond Yields'!$D$5:$J$5,0))</f>
        <v>5.2218181818181826</v>
      </c>
      <c r="GW16" s="53">
        <f t="array" ref="GW16">INDEX('Monthly Average Bond Yields'!$D$6:$J$311,MATCH('Union Ratings and Yields'!GW13,'Monthly Average Bond Yields'!$C$6:$C$311,0),MATCH('Union Ratings and Yields'!GW15,'Monthly Average Bond Yields'!$D$5:$J$5,0))</f>
        <v>5.225714285714286</v>
      </c>
      <c r="GX16" s="53">
        <f t="array" ref="GX16">INDEX('Monthly Average Bond Yields'!$D$6:$J$311,MATCH('Union Ratings and Yields'!GX13,'Monthly Average Bond Yields'!$C$6:$C$311,0),MATCH('Union Ratings and Yields'!GX15,'Monthly Average Bond Yields'!$D$5:$J$5,0))</f>
        <v>5.4214285714285708</v>
      </c>
      <c r="GY16" s="53">
        <f t="array" ref="GY16">INDEX('Monthly Average Bond Yields'!$D$6:$J$311,MATCH('Union Ratings and Yields'!GY13,'Monthly Average Bond Yields'!$C$6:$C$311,0),MATCH('Union Ratings and Yields'!GY15,'Monthly Average Bond Yields'!$D$5:$J$5,0))</f>
        <v>5.4661904761904756</v>
      </c>
      <c r="GZ16" s="53">
        <f t="array" ref="GZ16">INDEX('Monthly Average Bond Yields'!$D$6:$J$311,MATCH('Union Ratings and Yields'!GZ13,'Monthly Average Bond Yields'!$C$6:$C$311,0),MATCH('Union Ratings and Yields'!GZ15,'Monthly Average Bond Yields'!$D$5:$J$5,0))</f>
        <v>5.569473684210525</v>
      </c>
      <c r="HA16" s="53">
        <f t="array" ref="HA16">INDEX('Monthly Average Bond Yields'!$D$6:$J$311,MATCH('Union Ratings and Yields'!HA13,'Monthly Average Bond Yields'!$C$6:$C$311,0),MATCH('Union Ratings and Yields'!HA15,'Monthly Average Bond Yields'!$D$5:$J$5,0))</f>
        <v>5.5500000000000007</v>
      </c>
      <c r="HB16" s="53">
        <f t="array" ref="HB16">INDEX('Monthly Average Bond Yields'!$D$6:$J$311,MATCH('Union Ratings and Yields'!HB13,'Monthly Average Bond Yields'!$C$6:$C$311,0),MATCH('Union Ratings and Yields'!HB15,'Monthly Average Bond Yields'!$D$5:$J$5,0))</f>
        <v>5.4889473684210541</v>
      </c>
      <c r="HC16" s="53">
        <f t="array" ref="HC16">INDEX('Monthly Average Bond Yields'!$D$6:$J$311,MATCH('Union Ratings and Yields'!HC13,'Monthly Average Bond Yields'!$C$6:$C$311,0),MATCH('Union Ratings and Yields'!HC15,'Monthly Average Bond Yields'!$D$5:$J$5,0))</f>
        <v>5.2785000000000002</v>
      </c>
      <c r="HD16" s="53">
        <f t="array" ref="HD16">INDEX('Monthly Average Bond Yields'!$D$6:$J$311,MATCH('Union Ratings and Yields'!HD13,'Monthly Average Bond Yields'!$C$6:$C$311,0),MATCH('Union Ratings and Yields'!HD15,'Monthly Average Bond Yields'!$D$5:$J$5,0))</f>
        <v>5.1231818181818181</v>
      </c>
      <c r="HE16" s="53">
        <f t="array" ref="HE16">INDEX('Monthly Average Bond Yields'!$D$6:$J$311,MATCH('Union Ratings and Yields'!HE13,'Monthly Average Bond Yields'!$C$6:$C$311,0),MATCH('Union Ratings and Yields'!HE15,'Monthly Average Bond Yields'!$D$5:$J$5,0))</f>
        <v>4.7452380952380953</v>
      </c>
      <c r="HF16" s="53">
        <f t="array" ref="HF16">INDEX('Monthly Average Bond Yields'!$D$6:$J$311,MATCH('Union Ratings and Yields'!HF13,'Monthly Average Bond Yields'!$C$6:$C$311,0),MATCH('Union Ratings and Yields'!HF15,'Monthly Average Bond Yields'!$D$5:$J$5,0))</f>
        <v>4.5966666666666658</v>
      </c>
      <c r="HG16" s="53">
        <f t="array" ref="HG16">INDEX('Monthly Average Bond Yields'!$D$6:$J$311,MATCH('Union Ratings and Yields'!HG13,'Monthly Average Bond Yields'!$C$6:$C$311,0),MATCH('Union Ratings and Yields'!HG15,'Monthly Average Bond Yields'!$D$5:$J$5,0))</f>
        <v>4.4654545454545458</v>
      </c>
      <c r="HH16" s="26" t="s">
        <v>93</v>
      </c>
      <c r="HI16" s="26" t="s">
        <v>95</v>
      </c>
      <c r="HJ16" s="53">
        <f t="array" ref="HJ16">INDEX('Monthly Average Bond Yields'!$D$6:$J$311,MATCH('Union Ratings and Yields'!HJ13,'Monthly Average Bond Yields'!$C$6:$C$311,0),MATCH('Union Ratings and Yields'!HJ15,'Monthly Average Bond Yields'!$D$5:$J$5,0))</f>
        <v>4.1589999999999998</v>
      </c>
      <c r="HK16" s="53">
        <f t="array" ref="HK16">INDEX('Monthly Average Bond Yields'!$D$6:$J$311,MATCH('Union Ratings and Yields'!HK13,'Monthly Average Bond Yields'!$C$6:$C$311,0),MATCH('Union Ratings and Yields'!HK15,'Monthly Average Bond Yields'!$D$5:$J$5,0))</f>
        <v>4.2030434782608692</v>
      </c>
      <c r="HL16" s="53">
        <f t="array" ref="HL16">INDEX('Monthly Average Bond Yields'!$D$6:$J$311,MATCH('Union Ratings and Yields'!HL13,'Monthly Average Bond Yields'!$C$6:$C$311,0),MATCH('Union Ratings and Yields'!HL15,'Monthly Average Bond Yields'!$D$5:$J$5,0))</f>
        <v>4.2695238095238102</v>
      </c>
      <c r="HM16" s="53">
        <f t="array" ref="HM16">INDEX('Monthly Average Bond Yields'!$D$6:$J$311,MATCH('Union Ratings and Yields'!HM13,'Monthly Average Bond Yields'!$C$6:$C$311,0),MATCH('Union Ratings and Yields'!HM15,'Monthly Average Bond Yields'!$D$5:$J$5,0))</f>
        <v>4.3435000000000006</v>
      </c>
      <c r="HN16" s="53">
        <f t="array" ref="HN16">INDEX('Monthly Average Bond Yields'!$D$6:$J$311,MATCH('Union Ratings and Yields'!HN13,'Monthly Average Bond Yields'!$C$6:$C$311,0),MATCH('Union Ratings and Yields'!HN15,'Monthly Average Bond Yields'!$D$5:$J$5,0))</f>
        <v>4.6368421052631579</v>
      </c>
      <c r="HO16" s="53">
        <f t="array" ref="HO16">INDEX('Monthly Average Bond Yields'!$D$6:$J$311,MATCH('Union Ratings and Yields'!HO13,'Monthly Average Bond Yields'!$C$6:$C$311,0),MATCH('Union Ratings and Yields'!HO15,'Monthly Average Bond Yields'!$D$5:$J$5,0))</f>
        <v>4.7938095238095242</v>
      </c>
      <c r="HP16" s="53">
        <f t="array" ref="HP16">INDEX('Monthly Average Bond Yields'!$D$6:$J$311,MATCH('Union Ratings and Yields'!HP13,'Monthly Average Bond Yields'!$C$6:$C$311,0),MATCH('Union Ratings and Yields'!HP15,'Monthly Average Bond Yields'!$D$5:$J$5,0))</f>
        <v>4.6190000000000007</v>
      </c>
      <c r="HQ16" s="53">
        <f t="array" ref="HQ16">INDEX('Monthly Average Bond Yields'!$D$6:$J$311,MATCH('Union Ratings and Yields'!HQ13,'Monthly Average Bond Yields'!$C$6:$C$311,0),MATCH('Union Ratings and Yields'!HQ15,'Monthly Average Bond Yields'!$D$5:$J$5,0))</f>
        <v>4.1778947368421049</v>
      </c>
      <c r="HR16" s="53">
        <f t="array" ref="HR16">INDEX('Monthly Average Bond Yields'!$D$6:$J$311,MATCH('Union Ratings and Yields'!HR13,'Monthly Average Bond Yields'!$C$6:$C$311,0),MATCH('Union Ratings and Yields'!HR15,'Monthly Average Bond Yields'!$D$5:$J$5,0))</f>
        <v>4.2282608695652177</v>
      </c>
      <c r="HS16" s="53">
        <f t="array" ref="HS16">INDEX('Monthly Average Bond Yields'!$D$6:$J$311,MATCH('Union Ratings and Yields'!HS13,'Monthly Average Bond Yields'!$C$6:$C$311,0),MATCH('Union Ratings and Yields'!HS15,'Monthly Average Bond Yields'!$D$5:$J$5,0))</f>
        <v>4.1184210526315796</v>
      </c>
      <c r="HT16" s="53">
        <f t="array" ref="HT16">INDEX('Monthly Average Bond Yields'!$D$6:$J$311,MATCH('Union Ratings and Yields'!HT13,'Monthly Average Bond Yields'!$C$6:$C$311,0),MATCH('Union Ratings and Yields'!HT15,'Monthly Average Bond Yields'!$D$5:$J$5,0))</f>
        <v>4.125238095238096</v>
      </c>
      <c r="HU16" s="53">
        <f t="array" ref="HU16">INDEX('Monthly Average Bond Yields'!$D$6:$J$311,MATCH('Union Ratings and Yields'!HU13,'Monthly Average Bond Yields'!$C$6:$C$311,0),MATCH('Union Ratings and Yields'!HU15,'Monthly Average Bond Yields'!$D$5:$J$5,0))</f>
        <v>4.0199999999999996</v>
      </c>
      <c r="HX16" s="49" t="s">
        <v>69</v>
      </c>
      <c r="HY16" s="49" t="s">
        <v>69</v>
      </c>
    </row>
    <row r="17" spans="2:328" x14ac:dyDescent="0.2">
      <c r="HX17" s="49" t="s">
        <v>461</v>
      </c>
      <c r="HY17" s="49" t="s">
        <v>69</v>
      </c>
    </row>
    <row r="18" spans="2:328" ht="15.75" x14ac:dyDescent="0.25">
      <c r="B18" s="31" t="s">
        <v>97</v>
      </c>
      <c r="C18" s="32"/>
      <c r="D18" s="32"/>
      <c r="E18" s="32"/>
      <c r="HX18" s="49" t="s">
        <v>83</v>
      </c>
      <c r="HY18" s="49" t="s">
        <v>70</v>
      </c>
    </row>
    <row r="19" spans="2:328" ht="15" x14ac:dyDescent="0.25">
      <c r="B19" s="33"/>
      <c r="C19" s="34"/>
      <c r="HX19" s="49" t="s">
        <v>70</v>
      </c>
      <c r="HY19" s="49" t="s">
        <v>70</v>
      </c>
    </row>
    <row r="20" spans="2:328" ht="15" x14ac:dyDescent="0.25">
      <c r="B20" s="35" t="s">
        <v>42</v>
      </c>
      <c r="C20" s="36"/>
      <c r="D20" s="36" t="s">
        <v>460</v>
      </c>
      <c r="E20" s="36"/>
      <c r="HX20" s="49" t="s">
        <v>79</v>
      </c>
      <c r="HY20" s="49" t="s">
        <v>70</v>
      </c>
    </row>
    <row r="21" spans="2:328" x14ac:dyDescent="0.2">
      <c r="HX21" s="49" t="s">
        <v>78</v>
      </c>
      <c r="HY21" s="83" t="s">
        <v>71</v>
      </c>
    </row>
    <row r="22" spans="2:328" ht="15" x14ac:dyDescent="0.2">
      <c r="B22" s="24"/>
      <c r="C22" s="24"/>
      <c r="D22" s="24"/>
      <c r="E22" s="24"/>
      <c r="F22" s="24"/>
      <c r="G22" s="24"/>
      <c r="H22" s="24"/>
      <c r="I22" s="24"/>
      <c r="J22" s="24"/>
      <c r="K22" s="24"/>
      <c r="L22" s="24"/>
      <c r="M22" s="24"/>
      <c r="N22" s="24"/>
      <c r="O22" s="24"/>
      <c r="P22" s="24"/>
      <c r="Q22" s="24"/>
      <c r="R22" s="24"/>
      <c r="S22" s="24"/>
      <c r="T22" s="24"/>
      <c r="HX22" s="49" t="s">
        <v>71</v>
      </c>
      <c r="HY22" s="83" t="s">
        <v>71</v>
      </c>
    </row>
    <row r="23" spans="2:328" ht="15" x14ac:dyDescent="0.25">
      <c r="B23" s="24"/>
      <c r="C23" s="24" t="s">
        <v>1</v>
      </c>
      <c r="D23" s="24">
        <v>2000</v>
      </c>
      <c r="E23" s="24">
        <v>2001</v>
      </c>
      <c r="F23" s="24">
        <v>2002</v>
      </c>
      <c r="G23" s="24">
        <v>2003</v>
      </c>
      <c r="H23" s="24">
        <v>2004</v>
      </c>
      <c r="I23" s="24">
        <v>2005</v>
      </c>
      <c r="J23" s="24">
        <v>2006</v>
      </c>
      <c r="K23" s="24">
        <v>2007</v>
      </c>
      <c r="L23" s="24">
        <v>2008</v>
      </c>
      <c r="M23" s="24">
        <v>2009</v>
      </c>
      <c r="N23" s="24">
        <v>2010</v>
      </c>
      <c r="O23" s="24">
        <v>2011</v>
      </c>
      <c r="P23" s="24">
        <v>2012</v>
      </c>
      <c r="Q23" s="24">
        <v>2013</v>
      </c>
      <c r="R23" s="24">
        <v>2014</v>
      </c>
      <c r="S23" s="24">
        <v>2015</v>
      </c>
      <c r="T23" s="24">
        <v>2016</v>
      </c>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s="49" t="s">
        <v>84</v>
      </c>
      <c r="HY23" s="83" t="s">
        <v>71</v>
      </c>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P23"/>
    </row>
    <row r="24" spans="2:328" ht="15" x14ac:dyDescent="0.2">
      <c r="B24" s="26" t="s">
        <v>90</v>
      </c>
      <c r="C24" s="26" t="s">
        <v>165</v>
      </c>
      <c r="D24" s="55">
        <f t="shared" ref="D24:T24" si="10">AVERAGEIFS($D$16:$HU$16,$D$11:$HU$11,D23)</f>
        <v>8.24518163367906</v>
      </c>
      <c r="E24" s="55">
        <f t="shared" si="10"/>
        <v>7.7602651363483233</v>
      </c>
      <c r="F24" s="55">
        <f t="shared" si="10"/>
        <v>7.3713110902255634</v>
      </c>
      <c r="G24" s="55">
        <f t="shared" si="10"/>
        <v>6.730770827469744</v>
      </c>
      <c r="H24" s="55">
        <f t="shared" si="10"/>
        <v>6.395668994208183</v>
      </c>
      <c r="I24" s="55">
        <f t="shared" si="10"/>
        <v>5.9238457428980889</v>
      </c>
      <c r="J24" s="55">
        <f t="shared" si="10"/>
        <v>6.3174412274097627</v>
      </c>
      <c r="K24" s="55">
        <f t="shared" si="10"/>
        <v>6.3312135823749101</v>
      </c>
      <c r="L24" s="55">
        <f t="shared" si="10"/>
        <v>7.2436829004329013</v>
      </c>
      <c r="M24" s="55">
        <f t="shared" si="10"/>
        <v>7.053617547657022</v>
      </c>
      <c r="N24" s="55">
        <f t="shared" si="10"/>
        <v>5.9609775591812202</v>
      </c>
      <c r="O24" s="55">
        <f t="shared" si="10"/>
        <v>5.5671782267757672</v>
      </c>
      <c r="P24" s="55">
        <f t="shared" si="10"/>
        <v>4.8539514307838099</v>
      </c>
      <c r="Q24" s="55">
        <f t="shared" si="10"/>
        <v>4.9833303618895721</v>
      </c>
      <c r="R24" s="55">
        <f t="shared" si="10"/>
        <v>4.7980696058327634</v>
      </c>
      <c r="S24" s="55">
        <f t="shared" si="10"/>
        <v>5.02836370281765</v>
      </c>
      <c r="T24" s="55">
        <f t="shared" si="10"/>
        <v>4.6753089509016279</v>
      </c>
      <c r="HX24" s="49" t="s">
        <v>72</v>
      </c>
      <c r="HY24" s="49" t="s">
        <v>72</v>
      </c>
    </row>
    <row r="25" spans="2:328" x14ac:dyDescent="0.2">
      <c r="HX25" s="49" t="s">
        <v>85</v>
      </c>
      <c r="HY25" s="49" t="s">
        <v>72</v>
      </c>
    </row>
    <row r="26" spans="2:328" x14ac:dyDescent="0.2">
      <c r="HX26" s="49" t="s">
        <v>86</v>
      </c>
      <c r="HY26" s="49" t="s">
        <v>73</v>
      </c>
    </row>
    <row r="27" spans="2:328" ht="15" x14ac:dyDescent="0.2">
      <c r="D27" s="54"/>
      <c r="HX27" s="49" t="s">
        <v>73</v>
      </c>
      <c r="HY27" s="49" t="s">
        <v>73</v>
      </c>
    </row>
    <row r="28" spans="2:328" ht="15" x14ac:dyDescent="0.2">
      <c r="D28" s="54"/>
      <c r="HX28" s="49" t="s">
        <v>87</v>
      </c>
      <c r="HY28" s="49" t="s">
        <v>73</v>
      </c>
    </row>
    <row r="29" spans="2:328" ht="15" x14ac:dyDescent="0.2">
      <c r="D29" s="54"/>
      <c r="HX29" s="49" t="s">
        <v>74</v>
      </c>
      <c r="HY29" s="49" t="s">
        <v>74</v>
      </c>
    </row>
    <row r="30" spans="2:328" ht="15" x14ac:dyDescent="0.2">
      <c r="D30" s="54"/>
      <c r="HX30" s="50" t="s">
        <v>88</v>
      </c>
      <c r="HY30" s="50" t="s">
        <v>88</v>
      </c>
    </row>
    <row r="31" spans="2:328" ht="15.75" x14ac:dyDescent="0.25">
      <c r="D31" s="54"/>
      <c r="HX31" s="50">
        <v>0</v>
      </c>
      <c r="HY31" s="51" t="s">
        <v>89</v>
      </c>
    </row>
    <row r="32" spans="2:328" ht="15" x14ac:dyDescent="0.2">
      <c r="D32" s="54"/>
    </row>
    <row r="33" spans="4:4" ht="15" x14ac:dyDescent="0.2">
      <c r="D33" s="54"/>
    </row>
    <row r="34" spans="4:4" ht="15" x14ac:dyDescent="0.2">
      <c r="D34" s="54"/>
    </row>
    <row r="35" spans="4:4" ht="15" x14ac:dyDescent="0.2">
      <c r="D35" s="54"/>
    </row>
    <row r="36" spans="4:4" ht="15" x14ac:dyDescent="0.2">
      <c r="D36" s="54"/>
    </row>
    <row r="37" spans="4:4" ht="15" x14ac:dyDescent="0.2">
      <c r="D37" s="54"/>
    </row>
    <row r="38" spans="4:4" ht="15" x14ac:dyDescent="0.2">
      <c r="D38" s="54"/>
    </row>
    <row r="39" spans="4:4" ht="15" x14ac:dyDescent="0.2">
      <c r="D39" s="54"/>
    </row>
    <row r="40" spans="4:4" ht="15" x14ac:dyDescent="0.2">
      <c r="D40" s="54"/>
    </row>
    <row r="41" spans="4:4" ht="15" x14ac:dyDescent="0.2">
      <c r="D41" s="54"/>
    </row>
    <row r="42" spans="4:4" ht="15" x14ac:dyDescent="0.2">
      <c r="D42" s="54"/>
    </row>
    <row r="43" spans="4:4" ht="15" x14ac:dyDescent="0.2">
      <c r="D43" s="54"/>
    </row>
    <row r="44" spans="4:4" ht="15" x14ac:dyDescent="0.2">
      <c r="D44" s="54"/>
    </row>
    <row r="45" spans="4:4" ht="15" x14ac:dyDescent="0.2">
      <c r="D45" s="54"/>
    </row>
    <row r="46" spans="4:4" ht="15" x14ac:dyDescent="0.2">
      <c r="D46" s="54"/>
    </row>
    <row r="47" spans="4:4" ht="15" x14ac:dyDescent="0.2">
      <c r="D47" s="54"/>
    </row>
    <row r="48" spans="4:4" ht="15" x14ac:dyDescent="0.2">
      <c r="D48" s="54"/>
    </row>
    <row r="49" spans="4:4" ht="15" x14ac:dyDescent="0.2">
      <c r="D49" s="54"/>
    </row>
    <row r="50" spans="4:4" ht="15" x14ac:dyDescent="0.2">
      <c r="D50" s="54"/>
    </row>
    <row r="51" spans="4:4" ht="15" x14ac:dyDescent="0.2">
      <c r="D51" s="54"/>
    </row>
    <row r="52" spans="4:4" ht="15" x14ac:dyDescent="0.2">
      <c r="D52" s="54"/>
    </row>
    <row r="53" spans="4:4" ht="15" x14ac:dyDescent="0.2">
      <c r="D53" s="54"/>
    </row>
    <row r="54" spans="4:4" ht="15" x14ac:dyDescent="0.25">
      <c r="D54"/>
    </row>
    <row r="55" spans="4:4" ht="15" x14ac:dyDescent="0.25">
      <c r="D55"/>
    </row>
    <row r="56" spans="4:4" ht="15" x14ac:dyDescent="0.25">
      <c r="D56"/>
    </row>
    <row r="57" spans="4:4" ht="15" x14ac:dyDescent="0.25">
      <c r="D57"/>
    </row>
    <row r="58" spans="4:4" ht="15" x14ac:dyDescent="0.25">
      <c r="D58"/>
    </row>
    <row r="59" spans="4:4" ht="15" x14ac:dyDescent="0.25">
      <c r="D59"/>
    </row>
    <row r="60" spans="4:4" ht="15" x14ac:dyDescent="0.25">
      <c r="D60"/>
    </row>
    <row r="61" spans="4:4" ht="15" x14ac:dyDescent="0.25">
      <c r="D61"/>
    </row>
    <row r="62" spans="4:4" ht="15" x14ac:dyDescent="0.25">
      <c r="D62"/>
    </row>
    <row r="63" spans="4:4" ht="15" x14ac:dyDescent="0.25">
      <c r="D63"/>
    </row>
    <row r="64" spans="4:4" ht="15" x14ac:dyDescent="0.25">
      <c r="D64"/>
    </row>
    <row r="65" spans="4:4" ht="15" x14ac:dyDescent="0.25">
      <c r="D65"/>
    </row>
    <row r="66" spans="4:4" ht="15" x14ac:dyDescent="0.25">
      <c r="D66"/>
    </row>
    <row r="67" spans="4:4" ht="15" x14ac:dyDescent="0.25">
      <c r="D67"/>
    </row>
    <row r="68" spans="4:4" ht="15" x14ac:dyDescent="0.25">
      <c r="D68"/>
    </row>
    <row r="69" spans="4:4" ht="15" x14ac:dyDescent="0.25">
      <c r="D69"/>
    </row>
    <row r="70" spans="4:4" ht="15" x14ac:dyDescent="0.25">
      <c r="D70"/>
    </row>
    <row r="71" spans="4:4" ht="15" x14ac:dyDescent="0.25">
      <c r="D71"/>
    </row>
    <row r="72" spans="4:4" ht="15" x14ac:dyDescent="0.25">
      <c r="D72"/>
    </row>
    <row r="73" spans="4:4" ht="15" x14ac:dyDescent="0.25">
      <c r="D73"/>
    </row>
    <row r="74" spans="4:4" ht="15" x14ac:dyDescent="0.25">
      <c r="D74"/>
    </row>
    <row r="75" spans="4:4" ht="15" x14ac:dyDescent="0.25">
      <c r="D75"/>
    </row>
    <row r="76" spans="4:4" ht="15" x14ac:dyDescent="0.25">
      <c r="D76"/>
    </row>
    <row r="77" spans="4:4" ht="15" x14ac:dyDescent="0.25">
      <c r="D77"/>
    </row>
    <row r="78" spans="4:4" ht="15" x14ac:dyDescent="0.25">
      <c r="D78"/>
    </row>
    <row r="79" spans="4:4" ht="15" x14ac:dyDescent="0.25">
      <c r="D79"/>
    </row>
    <row r="80" spans="4:4" ht="15" x14ac:dyDescent="0.25">
      <c r="D80"/>
    </row>
    <row r="81" spans="4:4" ht="15" x14ac:dyDescent="0.25">
      <c r="D81"/>
    </row>
    <row r="82" spans="4:4" ht="15" x14ac:dyDescent="0.25">
      <c r="D82"/>
    </row>
    <row r="83" spans="4:4" ht="15" x14ac:dyDescent="0.25">
      <c r="D83"/>
    </row>
    <row r="84" spans="4:4" ht="15" x14ac:dyDescent="0.25">
      <c r="D84"/>
    </row>
    <row r="85" spans="4:4" ht="15" x14ac:dyDescent="0.25">
      <c r="D85"/>
    </row>
    <row r="86" spans="4:4" ht="15" x14ac:dyDescent="0.25">
      <c r="D86"/>
    </row>
    <row r="87" spans="4:4" ht="15" x14ac:dyDescent="0.25">
      <c r="D87"/>
    </row>
    <row r="88" spans="4:4" ht="15" x14ac:dyDescent="0.25">
      <c r="D88"/>
    </row>
    <row r="89" spans="4:4" ht="15" x14ac:dyDescent="0.25">
      <c r="D89"/>
    </row>
    <row r="90" spans="4:4" ht="15" x14ac:dyDescent="0.25">
      <c r="D90"/>
    </row>
    <row r="91" spans="4:4" ht="15" x14ac:dyDescent="0.25">
      <c r="D91"/>
    </row>
    <row r="92" spans="4:4" ht="15" x14ac:dyDescent="0.25">
      <c r="D92"/>
    </row>
    <row r="93" spans="4:4" ht="15" x14ac:dyDescent="0.25">
      <c r="D93"/>
    </row>
    <row r="94" spans="4:4" ht="15" x14ac:dyDescent="0.25">
      <c r="D94"/>
    </row>
    <row r="95" spans="4:4" ht="15" x14ac:dyDescent="0.25">
      <c r="D95"/>
    </row>
    <row r="96" spans="4:4" ht="15" x14ac:dyDescent="0.25">
      <c r="D96"/>
    </row>
    <row r="97" spans="4:4" ht="15" x14ac:dyDescent="0.25">
      <c r="D97"/>
    </row>
    <row r="98" spans="4:4" ht="15" x14ac:dyDescent="0.25">
      <c r="D98"/>
    </row>
    <row r="99" spans="4:4" ht="15" x14ac:dyDescent="0.25">
      <c r="D99"/>
    </row>
    <row r="100" spans="4:4" ht="15" x14ac:dyDescent="0.25">
      <c r="D100"/>
    </row>
    <row r="101" spans="4:4" ht="15" x14ac:dyDescent="0.25">
      <c r="D101"/>
    </row>
    <row r="102" spans="4:4" ht="15" x14ac:dyDescent="0.25">
      <c r="D102"/>
    </row>
    <row r="103" spans="4:4" ht="15" x14ac:dyDescent="0.25">
      <c r="D103"/>
    </row>
    <row r="104" spans="4:4" ht="15" x14ac:dyDescent="0.25">
      <c r="D104"/>
    </row>
    <row r="105" spans="4:4" ht="15" x14ac:dyDescent="0.25">
      <c r="D105"/>
    </row>
    <row r="106" spans="4:4" ht="15" x14ac:dyDescent="0.25">
      <c r="D106"/>
    </row>
    <row r="107" spans="4:4" ht="15" x14ac:dyDescent="0.25">
      <c r="D107"/>
    </row>
    <row r="108" spans="4:4" ht="15" x14ac:dyDescent="0.25">
      <c r="D108"/>
    </row>
    <row r="109" spans="4:4" ht="15" x14ac:dyDescent="0.25">
      <c r="D109"/>
    </row>
    <row r="110" spans="4:4" ht="15" x14ac:dyDescent="0.25">
      <c r="D110"/>
    </row>
    <row r="111" spans="4:4" ht="15" x14ac:dyDescent="0.25">
      <c r="D111"/>
    </row>
    <row r="112" spans="4:4" ht="15" x14ac:dyDescent="0.25">
      <c r="D112"/>
    </row>
    <row r="113" spans="4:4" ht="15" x14ac:dyDescent="0.25">
      <c r="D113"/>
    </row>
    <row r="114" spans="4:4" ht="15" x14ac:dyDescent="0.25">
      <c r="D114"/>
    </row>
    <row r="115" spans="4:4" ht="15" x14ac:dyDescent="0.25">
      <c r="D115"/>
    </row>
    <row r="116" spans="4:4" ht="15" x14ac:dyDescent="0.25">
      <c r="D116"/>
    </row>
    <row r="117" spans="4:4" ht="15" x14ac:dyDescent="0.25">
      <c r="D117"/>
    </row>
    <row r="118" spans="4:4" ht="15" x14ac:dyDescent="0.25">
      <c r="D118"/>
    </row>
    <row r="119" spans="4:4" ht="15" x14ac:dyDescent="0.25">
      <c r="D119"/>
    </row>
    <row r="120" spans="4:4" ht="15" x14ac:dyDescent="0.25">
      <c r="D120"/>
    </row>
    <row r="121" spans="4:4" ht="15" x14ac:dyDescent="0.25">
      <c r="D121"/>
    </row>
    <row r="122" spans="4:4" ht="15" x14ac:dyDescent="0.25">
      <c r="D122"/>
    </row>
    <row r="123" spans="4:4" ht="15" x14ac:dyDescent="0.25">
      <c r="D123"/>
    </row>
    <row r="124" spans="4:4" ht="15" x14ac:dyDescent="0.25">
      <c r="D124"/>
    </row>
    <row r="125" spans="4:4" ht="15" x14ac:dyDescent="0.25">
      <c r="D125"/>
    </row>
    <row r="126" spans="4:4" ht="15" x14ac:dyDescent="0.25">
      <c r="D126"/>
    </row>
    <row r="127" spans="4:4" ht="15" x14ac:dyDescent="0.25">
      <c r="D127"/>
    </row>
    <row r="128" spans="4:4" ht="15" x14ac:dyDescent="0.25">
      <c r="D128"/>
    </row>
    <row r="129" spans="4:4" ht="15" x14ac:dyDescent="0.25">
      <c r="D129"/>
    </row>
    <row r="130" spans="4:4" ht="15" x14ac:dyDescent="0.25">
      <c r="D130"/>
    </row>
    <row r="131" spans="4:4" ht="15" x14ac:dyDescent="0.25">
      <c r="D131"/>
    </row>
    <row r="132" spans="4:4" ht="15" x14ac:dyDescent="0.25">
      <c r="D132"/>
    </row>
    <row r="133" spans="4:4" ht="15" x14ac:dyDescent="0.25">
      <c r="D133"/>
    </row>
    <row r="134" spans="4:4" ht="15" x14ac:dyDescent="0.25">
      <c r="D134"/>
    </row>
    <row r="135" spans="4:4" ht="15" x14ac:dyDescent="0.25">
      <c r="D135"/>
    </row>
    <row r="136" spans="4:4" ht="15" x14ac:dyDescent="0.25">
      <c r="D136"/>
    </row>
    <row r="137" spans="4:4" ht="15" x14ac:dyDescent="0.25">
      <c r="D137"/>
    </row>
    <row r="138" spans="4:4" ht="15" x14ac:dyDescent="0.25">
      <c r="D138"/>
    </row>
    <row r="139" spans="4:4" ht="15" x14ac:dyDescent="0.25">
      <c r="D139"/>
    </row>
    <row r="140" spans="4:4" ht="15" x14ac:dyDescent="0.25">
      <c r="D140"/>
    </row>
    <row r="141" spans="4:4" ht="15" x14ac:dyDescent="0.25">
      <c r="D141"/>
    </row>
    <row r="142" spans="4:4" ht="15" x14ac:dyDescent="0.25">
      <c r="D142"/>
    </row>
    <row r="143" spans="4:4" ht="15" x14ac:dyDescent="0.25">
      <c r="D143"/>
    </row>
    <row r="144" spans="4:4" ht="15" x14ac:dyDescent="0.25">
      <c r="D144"/>
    </row>
    <row r="145" spans="4:4" ht="15" x14ac:dyDescent="0.25">
      <c r="D145"/>
    </row>
    <row r="146" spans="4:4" ht="15" x14ac:dyDescent="0.25">
      <c r="D146"/>
    </row>
    <row r="147" spans="4:4" ht="15" x14ac:dyDescent="0.25">
      <c r="D147"/>
    </row>
    <row r="148" spans="4:4" ht="15" x14ac:dyDescent="0.25">
      <c r="D148"/>
    </row>
    <row r="149" spans="4:4" ht="15" x14ac:dyDescent="0.25">
      <c r="D149"/>
    </row>
    <row r="150" spans="4:4" ht="15" x14ac:dyDescent="0.25">
      <c r="D150"/>
    </row>
    <row r="151" spans="4:4" ht="15" x14ac:dyDescent="0.25">
      <c r="D151"/>
    </row>
    <row r="152" spans="4:4" ht="15" x14ac:dyDescent="0.25">
      <c r="D152"/>
    </row>
    <row r="153" spans="4:4" ht="15" x14ac:dyDescent="0.25">
      <c r="D153"/>
    </row>
    <row r="154" spans="4:4" ht="15" x14ac:dyDescent="0.25">
      <c r="D154"/>
    </row>
    <row r="155" spans="4:4" ht="15" x14ac:dyDescent="0.25">
      <c r="D155"/>
    </row>
    <row r="156" spans="4:4" ht="15" x14ac:dyDescent="0.25">
      <c r="D156"/>
    </row>
    <row r="157" spans="4:4" ht="15" x14ac:dyDescent="0.25">
      <c r="D157"/>
    </row>
    <row r="158" spans="4:4" ht="15" x14ac:dyDescent="0.25">
      <c r="D158"/>
    </row>
    <row r="159" spans="4:4" ht="15" x14ac:dyDescent="0.25">
      <c r="D159"/>
    </row>
    <row r="160" spans="4:4" ht="15" x14ac:dyDescent="0.25">
      <c r="D160"/>
    </row>
    <row r="161" spans="4:4" ht="15" x14ac:dyDescent="0.25">
      <c r="D161"/>
    </row>
    <row r="162" spans="4:4" ht="15" x14ac:dyDescent="0.25">
      <c r="D162"/>
    </row>
    <row r="163" spans="4:4" ht="15" x14ac:dyDescent="0.25">
      <c r="D163"/>
    </row>
    <row r="164" spans="4:4" ht="15" x14ac:dyDescent="0.25">
      <c r="D164"/>
    </row>
    <row r="165" spans="4:4" ht="15" x14ac:dyDescent="0.25">
      <c r="D165"/>
    </row>
    <row r="166" spans="4:4" ht="15" x14ac:dyDescent="0.25">
      <c r="D166"/>
    </row>
    <row r="167" spans="4:4" ht="15" x14ac:dyDescent="0.25">
      <c r="D167"/>
    </row>
    <row r="168" spans="4:4" ht="15" x14ac:dyDescent="0.25">
      <c r="D168"/>
    </row>
    <row r="169" spans="4:4" ht="15" x14ac:dyDescent="0.25">
      <c r="D169"/>
    </row>
    <row r="170" spans="4:4" ht="15" x14ac:dyDescent="0.25">
      <c r="D170"/>
    </row>
    <row r="171" spans="4:4" ht="15" x14ac:dyDescent="0.25">
      <c r="D171"/>
    </row>
    <row r="172" spans="4:4" ht="15" x14ac:dyDescent="0.25">
      <c r="D172"/>
    </row>
    <row r="173" spans="4:4" ht="15" x14ac:dyDescent="0.25">
      <c r="D173"/>
    </row>
    <row r="174" spans="4:4" ht="15" x14ac:dyDescent="0.25">
      <c r="D174"/>
    </row>
    <row r="175" spans="4:4" ht="15" x14ac:dyDescent="0.25">
      <c r="D175"/>
    </row>
    <row r="176" spans="4:4" ht="15" x14ac:dyDescent="0.25">
      <c r="D176"/>
    </row>
    <row r="177" spans="4:4" ht="15" x14ac:dyDescent="0.25">
      <c r="D177"/>
    </row>
    <row r="178" spans="4:4" ht="15" x14ac:dyDescent="0.25">
      <c r="D178"/>
    </row>
    <row r="179" spans="4:4" ht="15" x14ac:dyDescent="0.25">
      <c r="D179"/>
    </row>
    <row r="180" spans="4:4" ht="15" x14ac:dyDescent="0.25">
      <c r="D180"/>
    </row>
    <row r="181" spans="4:4" ht="15" x14ac:dyDescent="0.25">
      <c r="D181"/>
    </row>
    <row r="182" spans="4:4" ht="15" x14ac:dyDescent="0.25">
      <c r="D182"/>
    </row>
    <row r="183" spans="4:4" ht="15" x14ac:dyDescent="0.25">
      <c r="D183"/>
    </row>
    <row r="184" spans="4:4" ht="15" x14ac:dyDescent="0.25">
      <c r="D184"/>
    </row>
    <row r="185" spans="4:4" ht="15" x14ac:dyDescent="0.25">
      <c r="D185"/>
    </row>
    <row r="186" spans="4:4" ht="15" x14ac:dyDescent="0.25">
      <c r="D186"/>
    </row>
    <row r="187" spans="4:4" ht="15" x14ac:dyDescent="0.25">
      <c r="D187"/>
    </row>
    <row r="188" spans="4:4" ht="15" x14ac:dyDescent="0.25">
      <c r="D188"/>
    </row>
    <row r="189" spans="4:4" ht="15" x14ac:dyDescent="0.25">
      <c r="D189"/>
    </row>
    <row r="190" spans="4:4" ht="15" x14ac:dyDescent="0.25">
      <c r="D190"/>
    </row>
    <row r="191" spans="4:4" ht="15" x14ac:dyDescent="0.25">
      <c r="D191"/>
    </row>
    <row r="192" spans="4:4" ht="15" x14ac:dyDescent="0.25">
      <c r="D192"/>
    </row>
    <row r="193" spans="4:4" ht="15" x14ac:dyDescent="0.25">
      <c r="D193"/>
    </row>
    <row r="194" spans="4:4" ht="15" x14ac:dyDescent="0.25">
      <c r="D194"/>
    </row>
    <row r="195" spans="4:4" ht="15" x14ac:dyDescent="0.25">
      <c r="D195"/>
    </row>
    <row r="196" spans="4:4" ht="15" x14ac:dyDescent="0.25">
      <c r="D196"/>
    </row>
    <row r="197" spans="4:4" ht="15" x14ac:dyDescent="0.25">
      <c r="D197"/>
    </row>
    <row r="198" spans="4:4" ht="15" x14ac:dyDescent="0.25">
      <c r="D198"/>
    </row>
    <row r="199" spans="4:4" ht="15" x14ac:dyDescent="0.25">
      <c r="D199"/>
    </row>
    <row r="200" spans="4:4" ht="15" x14ac:dyDescent="0.25">
      <c r="D200"/>
    </row>
    <row r="201" spans="4:4" ht="15" x14ac:dyDescent="0.25">
      <c r="D201"/>
    </row>
    <row r="202" spans="4:4" ht="15" x14ac:dyDescent="0.25">
      <c r="D202"/>
    </row>
    <row r="203" spans="4:4" ht="15" x14ac:dyDescent="0.25">
      <c r="D203"/>
    </row>
    <row r="204" spans="4:4" ht="15" x14ac:dyDescent="0.25">
      <c r="D204"/>
    </row>
    <row r="205" spans="4:4" ht="15" x14ac:dyDescent="0.25">
      <c r="D205"/>
    </row>
    <row r="206" spans="4:4" ht="15" x14ac:dyDescent="0.25">
      <c r="D206"/>
    </row>
    <row r="207" spans="4:4" ht="15" x14ac:dyDescent="0.25">
      <c r="D207"/>
    </row>
    <row r="208" spans="4:4" ht="15" x14ac:dyDescent="0.25">
      <c r="D208"/>
    </row>
    <row r="209" spans="4:4" ht="15" x14ac:dyDescent="0.25">
      <c r="D209"/>
    </row>
    <row r="210" spans="4:4" ht="15" x14ac:dyDescent="0.25">
      <c r="D210"/>
    </row>
    <row r="211" spans="4:4" ht="15" x14ac:dyDescent="0.25">
      <c r="D211"/>
    </row>
    <row r="212" spans="4:4" ht="15" x14ac:dyDescent="0.25">
      <c r="D212"/>
    </row>
    <row r="213" spans="4:4" ht="15" x14ac:dyDescent="0.25">
      <c r="D213"/>
    </row>
    <row r="214" spans="4:4" ht="15" x14ac:dyDescent="0.25">
      <c r="D214"/>
    </row>
    <row r="215" spans="4:4" ht="15" x14ac:dyDescent="0.25">
      <c r="D215"/>
    </row>
    <row r="216" spans="4:4" ht="15" x14ac:dyDescent="0.25">
      <c r="D216"/>
    </row>
    <row r="217" spans="4:4" ht="15" x14ac:dyDescent="0.25">
      <c r="D217"/>
    </row>
    <row r="218" spans="4:4" ht="15" x14ac:dyDescent="0.25">
      <c r="D218"/>
    </row>
    <row r="219" spans="4:4" ht="15" x14ac:dyDescent="0.25">
      <c r="D219"/>
    </row>
    <row r="220" spans="4:4" ht="15" x14ac:dyDescent="0.25">
      <c r="D220"/>
    </row>
    <row r="221" spans="4:4" ht="15" x14ac:dyDescent="0.25">
      <c r="D221"/>
    </row>
    <row r="222" spans="4:4" ht="15" x14ac:dyDescent="0.25">
      <c r="D222"/>
    </row>
    <row r="223" spans="4:4" ht="15" x14ac:dyDescent="0.25">
      <c r="D223"/>
    </row>
    <row r="224" spans="4:4" ht="15" x14ac:dyDescent="0.25">
      <c r="D224"/>
    </row>
    <row r="225" spans="4:4" ht="15" x14ac:dyDescent="0.25">
      <c r="D225"/>
    </row>
    <row r="226" spans="4:4" ht="15" x14ac:dyDescent="0.25">
      <c r="D226"/>
    </row>
    <row r="227" spans="4:4" ht="15" x14ac:dyDescent="0.25">
      <c r="D227"/>
    </row>
    <row r="228" spans="4:4" ht="15" x14ac:dyDescent="0.25">
      <c r="D228"/>
    </row>
    <row r="229" spans="4:4" ht="15" x14ac:dyDescent="0.25">
      <c r="D229"/>
    </row>
    <row r="230" spans="4:4" ht="15" x14ac:dyDescent="0.25">
      <c r="D230"/>
    </row>
    <row r="231" spans="4:4" ht="15" x14ac:dyDescent="0.25">
      <c r="D231"/>
    </row>
    <row r="232" spans="4:4" ht="15" x14ac:dyDescent="0.25">
      <c r="D232"/>
    </row>
    <row r="233" spans="4:4" ht="15" x14ac:dyDescent="0.25">
      <c r="D233"/>
    </row>
    <row r="234" spans="4:4" ht="15" x14ac:dyDescent="0.25">
      <c r="D234"/>
    </row>
    <row r="235" spans="4:4" ht="15" x14ac:dyDescent="0.25">
      <c r="D235"/>
    </row>
    <row r="236" spans="4:4" ht="15" x14ac:dyDescent="0.25">
      <c r="D236"/>
    </row>
    <row r="237" spans="4:4" ht="15" x14ac:dyDescent="0.25">
      <c r="D237"/>
    </row>
    <row r="238" spans="4:4" ht="15" x14ac:dyDescent="0.25">
      <c r="D238"/>
    </row>
    <row r="239" spans="4:4" ht="15" x14ac:dyDescent="0.25">
      <c r="D239"/>
    </row>
    <row r="240" spans="4:4" ht="15" x14ac:dyDescent="0.25">
      <c r="D240"/>
    </row>
    <row r="241" spans="4:4" ht="15" x14ac:dyDescent="0.25">
      <c r="D241"/>
    </row>
    <row r="242" spans="4:4" ht="15" x14ac:dyDescent="0.25">
      <c r="D242"/>
    </row>
    <row r="243" spans="4:4" ht="15" x14ac:dyDescent="0.25">
      <c r="D243"/>
    </row>
    <row r="244" spans="4:4" ht="15" x14ac:dyDescent="0.25">
      <c r="D244"/>
    </row>
    <row r="245" spans="4:4" ht="15" x14ac:dyDescent="0.25">
      <c r="D245"/>
    </row>
    <row r="246" spans="4:4" ht="15" x14ac:dyDescent="0.25">
      <c r="D246"/>
    </row>
    <row r="247" spans="4:4" ht="15" x14ac:dyDescent="0.25">
      <c r="D247"/>
    </row>
    <row r="248" spans="4:4" ht="15" x14ac:dyDescent="0.25">
      <c r="D248"/>
    </row>
    <row r="249" spans="4:4" ht="15" x14ac:dyDescent="0.25">
      <c r="D249"/>
    </row>
    <row r="250" spans="4:4" ht="15" x14ac:dyDescent="0.25">
      <c r="D250"/>
    </row>
    <row r="251" spans="4:4" ht="15" x14ac:dyDescent="0.25">
      <c r="D251"/>
    </row>
    <row r="252" spans="4:4" ht="15" x14ac:dyDescent="0.25">
      <c r="D252"/>
    </row>
    <row r="253" spans="4:4" ht="15" x14ac:dyDescent="0.25">
      <c r="D253"/>
    </row>
    <row r="254" spans="4:4" ht="15" x14ac:dyDescent="0.25">
      <c r="D254"/>
    </row>
    <row r="255" spans="4:4" ht="15" x14ac:dyDescent="0.25">
      <c r="D255"/>
    </row>
    <row r="256" spans="4:4" ht="15" x14ac:dyDescent="0.25">
      <c r="D256"/>
    </row>
    <row r="257" spans="4:4" ht="15" x14ac:dyDescent="0.25">
      <c r="D257"/>
    </row>
    <row r="258" spans="4:4" ht="15" x14ac:dyDescent="0.25">
      <c r="D258"/>
    </row>
    <row r="259" spans="4:4" ht="15" x14ac:dyDescent="0.25">
      <c r="D259"/>
    </row>
    <row r="260" spans="4:4" ht="15" x14ac:dyDescent="0.25">
      <c r="D260"/>
    </row>
    <row r="261" spans="4:4" ht="15" x14ac:dyDescent="0.25">
      <c r="D261"/>
    </row>
    <row r="262" spans="4:4" ht="15" x14ac:dyDescent="0.25">
      <c r="D262"/>
    </row>
    <row r="263" spans="4:4" ht="15" x14ac:dyDescent="0.25">
      <c r="D263"/>
    </row>
    <row r="264" spans="4:4" ht="15" x14ac:dyDescent="0.25">
      <c r="D264"/>
    </row>
    <row r="265" spans="4:4" ht="15" x14ac:dyDescent="0.25">
      <c r="D265"/>
    </row>
    <row r="266" spans="4:4" ht="15" x14ac:dyDescent="0.25">
      <c r="D266"/>
    </row>
    <row r="267" spans="4:4" ht="15" x14ac:dyDescent="0.25">
      <c r="D267"/>
    </row>
    <row r="268" spans="4:4" ht="15" x14ac:dyDescent="0.25">
      <c r="D268"/>
    </row>
    <row r="269" spans="4:4" ht="15" x14ac:dyDescent="0.25">
      <c r="D269"/>
    </row>
    <row r="270" spans="4:4" ht="15" x14ac:dyDescent="0.25">
      <c r="D270"/>
    </row>
    <row r="271" spans="4:4" ht="15" x14ac:dyDescent="0.25">
      <c r="D271"/>
    </row>
    <row r="272" spans="4:4" ht="15" x14ac:dyDescent="0.25">
      <c r="D272"/>
    </row>
    <row r="273" spans="4:4" ht="15" x14ac:dyDescent="0.25">
      <c r="D273"/>
    </row>
    <row r="274" spans="4:4" ht="15" x14ac:dyDescent="0.25">
      <c r="D274"/>
    </row>
    <row r="275" spans="4:4" ht="15" x14ac:dyDescent="0.25">
      <c r="D275"/>
    </row>
    <row r="276" spans="4:4" ht="15" x14ac:dyDescent="0.25">
      <c r="D276"/>
    </row>
    <row r="277" spans="4:4" ht="15" x14ac:dyDescent="0.25">
      <c r="D277"/>
    </row>
    <row r="278" spans="4:4" ht="15" x14ac:dyDescent="0.25">
      <c r="D278"/>
    </row>
    <row r="279" spans="4:4" ht="15" x14ac:dyDescent="0.25">
      <c r="D279"/>
    </row>
    <row r="280" spans="4:4" ht="15" x14ac:dyDescent="0.25">
      <c r="D280"/>
    </row>
    <row r="281" spans="4:4" ht="15" x14ac:dyDescent="0.25">
      <c r="D281"/>
    </row>
    <row r="282" spans="4:4" ht="15" x14ac:dyDescent="0.25">
      <c r="D282"/>
    </row>
    <row r="283" spans="4:4" ht="15" x14ac:dyDescent="0.25">
      <c r="D283"/>
    </row>
    <row r="284" spans="4:4" ht="15" x14ac:dyDescent="0.25">
      <c r="D284"/>
    </row>
    <row r="285" spans="4:4" ht="15" x14ac:dyDescent="0.25">
      <c r="D285"/>
    </row>
    <row r="286" spans="4:4" ht="15" x14ac:dyDescent="0.25">
      <c r="D286"/>
    </row>
    <row r="287" spans="4:4" ht="15" x14ac:dyDescent="0.25">
      <c r="D287"/>
    </row>
    <row r="288" spans="4:4" ht="15" x14ac:dyDescent="0.25">
      <c r="D288"/>
    </row>
    <row r="289" spans="4:4" ht="15" x14ac:dyDescent="0.25">
      <c r="D289"/>
    </row>
    <row r="290" spans="4:4" ht="15" x14ac:dyDescent="0.25">
      <c r="D290"/>
    </row>
    <row r="291" spans="4:4" ht="15" x14ac:dyDescent="0.25">
      <c r="D291"/>
    </row>
    <row r="292" spans="4:4" ht="15" x14ac:dyDescent="0.25">
      <c r="D292"/>
    </row>
    <row r="293" spans="4:4" ht="15" x14ac:dyDescent="0.25">
      <c r="D293"/>
    </row>
    <row r="294" spans="4:4" ht="15" x14ac:dyDescent="0.25">
      <c r="D294"/>
    </row>
    <row r="295" spans="4:4" ht="15" x14ac:dyDescent="0.25">
      <c r="D295"/>
    </row>
    <row r="296" spans="4:4" ht="15" x14ac:dyDescent="0.25">
      <c r="D296"/>
    </row>
    <row r="297" spans="4:4" ht="15" x14ac:dyDescent="0.25">
      <c r="D297"/>
    </row>
    <row r="298" spans="4:4" ht="15" x14ac:dyDescent="0.25">
      <c r="D298"/>
    </row>
    <row r="299" spans="4:4" ht="15" x14ac:dyDescent="0.25">
      <c r="D299"/>
    </row>
    <row r="300" spans="4:4" ht="15" x14ac:dyDescent="0.25">
      <c r="D300"/>
    </row>
    <row r="301" spans="4:4" ht="15" x14ac:dyDescent="0.25">
      <c r="D301"/>
    </row>
    <row r="302" spans="4:4" ht="15" x14ac:dyDescent="0.25">
      <c r="D302"/>
    </row>
    <row r="303" spans="4:4" ht="15" x14ac:dyDescent="0.25">
      <c r="D303"/>
    </row>
    <row r="304" spans="4:4" ht="15" x14ac:dyDescent="0.25">
      <c r="D304"/>
    </row>
    <row r="305" spans="4:4" ht="15" x14ac:dyDescent="0.25">
      <c r="D305"/>
    </row>
    <row r="306" spans="4:4" ht="15" x14ac:dyDescent="0.25">
      <c r="D306"/>
    </row>
    <row r="307" spans="4:4" ht="15" x14ac:dyDescent="0.25">
      <c r="D307"/>
    </row>
    <row r="308" spans="4:4" ht="15" x14ac:dyDescent="0.25">
      <c r="D308"/>
    </row>
    <row r="309" spans="4:4" ht="15" x14ac:dyDescent="0.25">
      <c r="D309"/>
    </row>
    <row r="310" spans="4:4" ht="15" x14ac:dyDescent="0.25">
      <c r="D310"/>
    </row>
    <row r="311" spans="4:4" ht="15" x14ac:dyDescent="0.25">
      <c r="D311"/>
    </row>
    <row r="312" spans="4:4" ht="15" x14ac:dyDescent="0.25">
      <c r="D312"/>
    </row>
    <row r="313" spans="4:4" ht="15" x14ac:dyDescent="0.25">
      <c r="D313"/>
    </row>
    <row r="314" spans="4:4" ht="15" x14ac:dyDescent="0.25">
      <c r="D314"/>
    </row>
    <row r="315" spans="4:4" ht="15" x14ac:dyDescent="0.25">
      <c r="D315"/>
    </row>
    <row r="316" spans="4:4" ht="15" x14ac:dyDescent="0.25">
      <c r="D316"/>
    </row>
    <row r="317" spans="4:4" ht="15" x14ac:dyDescent="0.25">
      <c r="D317"/>
    </row>
    <row r="318" spans="4:4" ht="15" x14ac:dyDescent="0.25">
      <c r="D318"/>
    </row>
    <row r="319" spans="4:4" ht="15" x14ac:dyDescent="0.25">
      <c r="D319"/>
    </row>
    <row r="320" spans="4:4" ht="15" x14ac:dyDescent="0.25">
      <c r="D320"/>
    </row>
    <row r="321" spans="4:4" ht="15" x14ac:dyDescent="0.25">
      <c r="D321"/>
    </row>
    <row r="322" spans="4:4" ht="15" x14ac:dyDescent="0.25">
      <c r="D322"/>
    </row>
    <row r="323" spans="4:4" ht="15" x14ac:dyDescent="0.25">
      <c r="D323"/>
    </row>
    <row r="324" spans="4:4" ht="15" x14ac:dyDescent="0.25">
      <c r="D324"/>
    </row>
    <row r="325" spans="4:4" ht="15" x14ac:dyDescent="0.25">
      <c r="D325"/>
    </row>
    <row r="326" spans="4:4" ht="15" x14ac:dyDescent="0.25">
      <c r="D326"/>
    </row>
    <row r="327" spans="4:4" ht="15" x14ac:dyDescent="0.25">
      <c r="D327"/>
    </row>
    <row r="328" spans="4:4" ht="15" x14ac:dyDescent="0.25">
      <c r="D328"/>
    </row>
    <row r="329" spans="4:4" ht="15" x14ac:dyDescent="0.25">
      <c r="D329"/>
    </row>
    <row r="330" spans="4:4" ht="15" x14ac:dyDescent="0.25">
      <c r="D330"/>
    </row>
    <row r="331" spans="4:4" ht="15" x14ac:dyDescent="0.25">
      <c r="D331"/>
    </row>
    <row r="332" spans="4:4" ht="15" x14ac:dyDescent="0.25">
      <c r="D332"/>
    </row>
    <row r="333" spans="4:4" ht="15" x14ac:dyDescent="0.25">
      <c r="D333"/>
    </row>
    <row r="334" spans="4:4" ht="15" x14ac:dyDescent="0.25">
      <c r="D334"/>
    </row>
    <row r="335" spans="4:4" ht="15" x14ac:dyDescent="0.25">
      <c r="D335"/>
    </row>
    <row r="336" spans="4:4" ht="15" x14ac:dyDescent="0.25">
      <c r="D336"/>
    </row>
    <row r="337" spans="4:4" ht="15" x14ac:dyDescent="0.25">
      <c r="D337"/>
    </row>
    <row r="338" spans="4:4" ht="15" x14ac:dyDescent="0.25">
      <c r="D338"/>
    </row>
    <row r="339" spans="4:4" ht="15" x14ac:dyDescent="0.25">
      <c r="D339"/>
    </row>
    <row r="340" spans="4:4" ht="15" x14ac:dyDescent="0.25">
      <c r="D340"/>
    </row>
    <row r="341" spans="4:4" ht="15" x14ac:dyDescent="0.25">
      <c r="D341"/>
    </row>
    <row r="342" spans="4:4" ht="15" x14ac:dyDescent="0.25">
      <c r="D342"/>
    </row>
    <row r="343" spans="4:4" ht="15" x14ac:dyDescent="0.25">
      <c r="D343"/>
    </row>
    <row r="344" spans="4:4" ht="15" x14ac:dyDescent="0.25">
      <c r="D344"/>
    </row>
  </sheetData>
  <pageMargins left="0.7" right="0.7" top="0.75" bottom="0.75" header="0.3" footer="0.3"/>
  <pageSetup paperSize="17" scale="75" orientation="landscape" r:id="rId1"/>
  <colBreaks count="7" manualBreakCount="7">
    <brk id="26" max="1048575" man="1"/>
    <brk id="80" max="1048575" man="1"/>
    <brk id="107" max="1048575" man="1"/>
    <brk id="134" max="1048575" man="1"/>
    <brk id="161" max="1048575" man="1"/>
    <brk id="188" max="1048575" man="1"/>
    <brk id="215" max="1048575" man="1"/>
  </colBreaks>
  <extLst>
    <ext xmlns:x14="http://schemas.microsoft.com/office/spreadsheetml/2009/9/main" uri="{78C0D931-6437-407d-A8EE-F0AAD7539E65}">
      <x14:conditionalFormattings>
        <x14:conditionalFormatting xmlns:xm="http://schemas.microsoft.com/office/excel/2006/main">
          <x14:cfRule type="containsText" priority="32" operator="containsText" text="See Memo on TFP Update for Enbridge" id="{95E89D6F-7E5D-4B16-9B7E-13403D4FFABC}">
            <xm:f>NOT(ISERROR(SEARCH("See Memo on TFP Update for Enbridge",'Capital Stock Calculation'!D23)))</xm:f>
            <x14:dxf>
              <fill>
                <patternFill>
                  <bgColor rgb="FFFFFF00"/>
                </patternFill>
              </fill>
            </x14:dxf>
          </x14:cfRule>
          <xm:sqref>D27:D28</xm:sqref>
        </x14:conditionalFormatting>
        <x14:conditionalFormatting xmlns:xm="http://schemas.microsoft.com/office/excel/2006/main">
          <x14:cfRule type="containsText" priority="59" operator="containsText" text="See Memo on TFP Update for Enbridge" id="{319CD75D-139D-4A55-8A14-9FE1C030E8C2}">
            <xm:f>NOT(ISERROR(SEARCH("See Memo on TFP Update for Enbridge",'Capital Stock Calculation'!B19)))</xm:f>
            <x14:dxf>
              <fill>
                <patternFill>
                  <bgColor rgb="FFFFFF00"/>
                </patternFill>
              </fill>
            </x14:dxf>
          </x14:cfRule>
          <xm:sqref>B22:C23</xm:sqref>
        </x14:conditionalFormatting>
        <x14:conditionalFormatting xmlns:xm="http://schemas.microsoft.com/office/excel/2006/main">
          <x14:cfRule type="containsText" priority="131" operator="containsText" text="See Memo on TFP Update for Enbridge" id="{95E89D6F-7E5D-4B16-9B7E-13403D4FFABC}">
            <xm:f>NOT(ISERROR(SEARCH("See Memo on TFP Update for Enbridge",'Capital Stock Calculation'!#REF!)))</xm:f>
            <x14:dxf>
              <fill>
                <patternFill>
                  <bgColor rgb="FFFFFF00"/>
                </patternFill>
              </fill>
            </x14:dxf>
          </x14:cfRule>
          <xm:sqref>D29</xm:sqref>
        </x14:conditionalFormatting>
        <x14:conditionalFormatting xmlns:xm="http://schemas.microsoft.com/office/excel/2006/main">
          <x14:cfRule type="containsText" priority="195" operator="containsText" text="See Memo on TFP Update for Enbridge" id="{95E89D6F-7E5D-4B16-9B7E-13403D4FFABC}">
            <xm:f>NOT(ISERROR(SEARCH("See Memo on TFP Update for Enbridge",'Capital Stock Calculation'!#REF!)))</xm:f>
            <x14:dxf>
              <fill>
                <patternFill>
                  <bgColor rgb="FFFFFF00"/>
                </patternFill>
              </fill>
            </x14:dxf>
          </x14:cfRule>
          <xm:sqref>D30:D36</xm:sqref>
        </x14:conditionalFormatting>
        <x14:conditionalFormatting xmlns:xm="http://schemas.microsoft.com/office/excel/2006/main">
          <x14:cfRule type="containsText" priority="196" operator="containsText" text="See Memo on TFP Update for Enbridge" id="{95E89D6F-7E5D-4B16-9B7E-13403D4FFABC}">
            <xm:f>NOT(ISERROR(SEARCH("See Memo on TFP Update for Enbridge",'Capital Stock Calculation'!D25)))</xm:f>
            <x14:dxf>
              <fill>
                <patternFill>
                  <bgColor rgb="FFFFFF00"/>
                </patternFill>
              </fill>
            </x14:dxf>
          </x14:cfRule>
          <xm:sqref>D37:D53</xm:sqref>
        </x14:conditionalFormatting>
        <x14:conditionalFormatting xmlns:xm="http://schemas.microsoft.com/office/excel/2006/main">
          <x14:cfRule type="containsText" priority="216" operator="containsText" text="See Memo on TFP Update for Enbridge" id="{95E89D6F-7E5D-4B16-9B7E-13403D4FFABC}">
            <xm:f>NOT(ISERROR(SEARCH("See Memo on TFP Update for Enbridge",'Capital Stock Calculation'!B5)))</xm:f>
            <x14:dxf>
              <fill>
                <patternFill>
                  <bgColor rgb="FFFFFF00"/>
                </patternFill>
              </fill>
            </x14:dxf>
          </x14:cfRule>
          <xm:sqref>B11:C13 AA11:AB13 BB12:BC13 CC12:CD13 DD12:DE13 EE12:EF13 FF12:FG13</xm:sqref>
        </x14:conditionalFormatting>
        <x14:conditionalFormatting xmlns:xm="http://schemas.microsoft.com/office/excel/2006/main">
          <x14:cfRule type="containsText" priority="241" operator="containsText" text="See Memo on TFP Update for Enbridge" id="{95E89D6F-7E5D-4B16-9B7E-13403D4FFABC}">
            <xm:f>NOT(ISERROR(SEARCH("See Memo on TFP Update for Enbridge",'Capital Stock Calculation'!DH5)))</xm:f>
            <x14:dxf>
              <fill>
                <patternFill>
                  <bgColor rgb="FFFFFF00"/>
                </patternFill>
              </fill>
            </x14:dxf>
          </x14:cfRule>
          <xm:sqref>D11:Z13</xm:sqref>
        </x14:conditionalFormatting>
        <x14:conditionalFormatting xmlns:xm="http://schemas.microsoft.com/office/excel/2006/main">
          <x14:cfRule type="containsText" priority="260" operator="containsText" text="See Memo on TFP Update for Enbridge" id="{95E89D6F-7E5D-4B16-9B7E-13403D4FFABC}">
            <xm:f>NOT(ISERROR(SEARCH("See Memo on TFP Update for Enbridge",'Capital Stock Calculation'!M19)))</xm:f>
            <x14:dxf>
              <fill>
                <patternFill>
                  <bgColor rgb="FFFFFF00"/>
                </patternFill>
              </fill>
            </x14:dxf>
          </x14:cfRule>
          <xm:sqref>D23:T23</xm:sqref>
        </x14:conditionalFormatting>
        <x14:conditionalFormatting xmlns:xm="http://schemas.microsoft.com/office/excel/2006/main">
          <x14:cfRule type="containsText" priority="263" operator="containsText" text="See Memo on TFP Update for Enbridge" id="{319CD75D-139D-4A55-8A14-9FE1C030E8C2}">
            <xm:f>NOT(ISERROR(SEARCH("See Memo on TFP Update for Enbridge",'Capital Stock Calculation'!R19)))</xm:f>
            <x14:dxf>
              <fill>
                <patternFill>
                  <bgColor rgb="FFFFFF00"/>
                </patternFill>
              </fill>
            </x14:dxf>
          </x14:cfRule>
          <xm:sqref>D22:T22</xm:sqref>
        </x14:conditionalFormatting>
        <x14:conditionalFormatting xmlns:xm="http://schemas.microsoft.com/office/excel/2006/main">
          <x14:cfRule type="containsText" priority="318" operator="containsText" text="See Memo on TFP Update for Enbridge" id="{95E89D6F-7E5D-4B16-9B7E-13403D4FFABC}">
            <xm:f>NOT(ISERROR(SEARCH("See Memo on TFP Update for Enbridge",'Capital Stock Calculation'!EE5)))</xm:f>
            <x14:dxf>
              <fill>
                <patternFill>
                  <bgColor rgb="FFFFFF00"/>
                </patternFill>
              </fill>
            </x14:dxf>
          </x14:cfRule>
          <xm:sqref>AC11:BB11 AC12:BA13 CC11 DD11 EE11 FF11</xm:sqref>
        </x14:conditionalFormatting>
        <x14:conditionalFormatting xmlns:xm="http://schemas.microsoft.com/office/excel/2006/main">
          <x14:cfRule type="containsText" priority="350" operator="containsText" text="See Memo on TFP Update for Enbridge" id="{95E89D6F-7E5D-4B16-9B7E-13403D4FFABC}">
            <xm:f>NOT(ISERROR(SEARCH("See Memo on TFP Update for Enbridge",'Capital Stock Calculation'!FD5)))</xm:f>
            <x14:dxf>
              <fill>
                <patternFill>
                  <bgColor rgb="FFFFFF00"/>
                </patternFill>
              </fill>
            </x14:dxf>
          </x14:cfRule>
          <xm:sqref>BD11:CB13</xm:sqref>
        </x14:conditionalFormatting>
        <x14:conditionalFormatting xmlns:xm="http://schemas.microsoft.com/office/excel/2006/main">
          <x14:cfRule type="containsText" priority="383" operator="containsText" text="See Memo on TFP Update for Enbridge" id="{95E89D6F-7E5D-4B16-9B7E-13403D4FFABC}">
            <xm:f>NOT(ISERROR(SEARCH("See Memo on TFP Update for Enbridge",'Capital Stock Calculation'!FD5)))</xm:f>
            <x14:dxf>
              <fill>
                <patternFill>
                  <bgColor rgb="FFFFFF00"/>
                </patternFill>
              </fill>
            </x14:dxf>
          </x14:cfRule>
          <xm:sqref>BC11 CD11 DE11 EF11 FG11</xm:sqref>
        </x14:conditionalFormatting>
        <x14:conditionalFormatting xmlns:xm="http://schemas.microsoft.com/office/excel/2006/main">
          <x14:cfRule type="containsText" priority="418" operator="containsText" text="See Memo on TFP Update for Enbridge" id="{95E89D6F-7E5D-4B16-9B7E-13403D4FFABC}">
            <xm:f>NOT(ISERROR(SEARCH("See Memo on TFP Update for Enbridge",'Capital Stock Calculation'!GC5)))</xm:f>
            <x14:dxf>
              <fill>
                <patternFill>
                  <bgColor rgb="FFFFFF00"/>
                </patternFill>
              </fill>
            </x14:dxf>
          </x14:cfRule>
          <xm:sqref>CE11:DC13</xm:sqref>
        </x14:conditionalFormatting>
        <x14:conditionalFormatting xmlns:xm="http://schemas.microsoft.com/office/excel/2006/main">
          <x14:cfRule type="containsText" priority="456" operator="containsText" text="See Memo on TFP Update for Enbridge" id="{95E89D6F-7E5D-4B16-9B7E-13403D4FFABC}">
            <xm:f>NOT(ISERROR(SEARCH("See Memo on TFP Update for Enbridge",'Capital Stock Calculation'!HB5)))</xm:f>
            <x14:dxf>
              <fill>
                <patternFill>
                  <bgColor rgb="FFFFFF00"/>
                </patternFill>
              </fill>
            </x14:dxf>
          </x14:cfRule>
          <xm:sqref>DF11:ED13</xm:sqref>
        </x14:conditionalFormatting>
        <x14:conditionalFormatting xmlns:xm="http://schemas.microsoft.com/office/excel/2006/main">
          <x14:cfRule type="containsText" priority="539" operator="containsText" text="See Memo on TFP Update for Enbridge" id="{95E89D6F-7E5D-4B16-9B7E-13403D4FFABC}">
            <xm:f>NOT(ISERROR(SEARCH("See Memo on TFP Update for Enbridge",'Capital Stock Calculation'!IA5)))</xm:f>
            <x14:dxf>
              <fill>
                <patternFill>
                  <bgColor rgb="FFFFFF00"/>
                </patternFill>
              </fill>
            </x14:dxf>
          </x14:cfRule>
          <xm:sqref>EG11:FE13</xm:sqref>
        </x14:conditionalFormatting>
        <x14:conditionalFormatting xmlns:xm="http://schemas.microsoft.com/office/excel/2006/main">
          <x14:cfRule type="containsText" priority="582" operator="containsText" text="See Memo on TFP Update for Enbridge" id="{95E89D6F-7E5D-4B16-9B7E-13403D4FFABC}">
            <xm:f>NOT(ISERROR(SEARCH("See Memo on TFP Update for Enbridge",'Capital Stock Calculation'!IZ5)))</xm:f>
            <x14:dxf>
              <fill>
                <patternFill>
                  <bgColor rgb="FFFFFF00"/>
                </patternFill>
              </fill>
            </x14:dxf>
          </x14:cfRule>
          <xm:sqref>FH11:GF13</xm:sqref>
        </x14:conditionalFormatting>
        <x14:conditionalFormatting xmlns:xm="http://schemas.microsoft.com/office/excel/2006/main">
          <x14:cfRule type="containsText" priority="632" operator="containsText" text="See Memo on TFP Update for Enbridge" id="{95E89D6F-7E5D-4B16-9B7E-13403D4FFABC}">
            <xm:f>NOT(ISERROR(SEARCH("See Memo on TFP Update for Enbridge",'Capital Stock Calculation'!JY5)))</xm:f>
            <x14:dxf>
              <fill>
                <patternFill>
                  <bgColor rgb="FFFFFF00"/>
                </patternFill>
              </fill>
            </x14:dxf>
          </x14:cfRule>
          <xm:sqref>GI11:HG13</xm:sqref>
        </x14:conditionalFormatting>
        <x14:conditionalFormatting xmlns:xm="http://schemas.microsoft.com/office/excel/2006/main">
          <x14:cfRule type="containsText" priority="739" operator="containsText" text="See Memo on TFP Update for Enbridge" id="{95E89D6F-7E5D-4B16-9B7E-13403D4FFABC}">
            <xm:f>NOT(ISERROR(SEARCH("See Memo on TFP Update for Enbridge",'Capital Stock Calculation'!KX5)))</xm:f>
            <x14:dxf>
              <fill>
                <patternFill>
                  <bgColor rgb="FFFFFF00"/>
                </patternFill>
              </fill>
            </x14:dxf>
          </x14:cfRule>
          <xm:sqref>HJ11:HU13</xm:sqref>
        </x14:conditionalFormatting>
        <x14:conditionalFormatting xmlns:xm="http://schemas.microsoft.com/office/excel/2006/main">
          <x14:cfRule type="containsText" priority="4" operator="containsText" text="See Memo on TFP Update for Enbridge" id="{31DE9A2F-3CBF-45ED-A939-7ED9685F6172}">
            <xm:f>NOT(ISERROR(SEARCH("See Memo on TFP Update for Enbridge",'Capital Stock Calculation'!GG6)))</xm:f>
            <x14:dxf>
              <fill>
                <patternFill>
                  <bgColor rgb="FFFFFF00"/>
                </patternFill>
              </fill>
            </x14:dxf>
          </x14:cfRule>
          <xm:sqref>GG12:GH13</xm:sqref>
        </x14:conditionalFormatting>
        <x14:conditionalFormatting xmlns:xm="http://schemas.microsoft.com/office/excel/2006/main">
          <x14:cfRule type="containsText" priority="5" operator="containsText" text="See Memo on TFP Update for Enbridge" id="{6466B705-1EA7-47F2-BEF1-B48A1885BD2A}">
            <xm:f>NOT(ISERROR(SEARCH("See Memo on TFP Update for Enbridge",'Capital Stock Calculation'!KI5)))</xm:f>
            <x14:dxf>
              <fill>
                <patternFill>
                  <bgColor rgb="FFFFFF00"/>
                </patternFill>
              </fill>
            </x14:dxf>
          </x14:cfRule>
          <xm:sqref>GG11</xm:sqref>
        </x14:conditionalFormatting>
        <x14:conditionalFormatting xmlns:xm="http://schemas.microsoft.com/office/excel/2006/main">
          <x14:cfRule type="containsText" priority="6" operator="containsText" text="See Memo on TFP Update for Enbridge" id="{7DEEFAC3-AF23-4600-A8E9-1CCBAEDBFD33}">
            <xm:f>NOT(ISERROR(SEARCH("See Memo on TFP Update for Enbridge",'Capital Stock Calculation'!KI5)))</xm:f>
            <x14:dxf>
              <fill>
                <patternFill>
                  <bgColor rgb="FFFFFF00"/>
                </patternFill>
              </fill>
            </x14:dxf>
          </x14:cfRule>
          <xm:sqref>GH11</xm:sqref>
        </x14:conditionalFormatting>
        <x14:conditionalFormatting xmlns:xm="http://schemas.microsoft.com/office/excel/2006/main">
          <x14:cfRule type="containsText" priority="1" operator="containsText" text="See Memo on TFP Update for Enbridge" id="{E790AD91-5618-46BC-9E55-5309088AFFCB}">
            <xm:f>NOT(ISERROR(SEARCH("See Memo on TFP Update for Enbridge",'Capital Stock Calculation'!HH6)))</xm:f>
            <x14:dxf>
              <fill>
                <patternFill>
                  <bgColor rgb="FFFFFF00"/>
                </patternFill>
              </fill>
            </x14:dxf>
          </x14:cfRule>
          <xm:sqref>HH12:HI13</xm:sqref>
        </x14:conditionalFormatting>
        <x14:conditionalFormatting xmlns:xm="http://schemas.microsoft.com/office/excel/2006/main">
          <x14:cfRule type="containsText" priority="2" operator="containsText" text="See Memo on TFP Update for Enbridge" id="{AD21B336-629A-4088-B8F2-08A09384DC9C}">
            <xm:f>NOT(ISERROR(SEARCH("See Memo on TFP Update for Enbridge",'Capital Stock Calculation'!LJ5)))</xm:f>
            <x14:dxf>
              <fill>
                <patternFill>
                  <bgColor rgb="FFFFFF00"/>
                </patternFill>
              </fill>
            </x14:dxf>
          </x14:cfRule>
          <xm:sqref>HH11</xm:sqref>
        </x14:conditionalFormatting>
        <x14:conditionalFormatting xmlns:xm="http://schemas.microsoft.com/office/excel/2006/main">
          <x14:cfRule type="containsText" priority="3" operator="containsText" text="See Memo on TFP Update for Enbridge" id="{BB62544A-1DE5-4B19-94E4-A6AA5A7DD9C0}">
            <xm:f>NOT(ISERROR(SEARCH("See Memo on TFP Update for Enbridge",'Capital Stock Calculation'!LJ5)))</xm:f>
            <x14:dxf>
              <fill>
                <patternFill>
                  <bgColor rgb="FFFFFF00"/>
                </patternFill>
              </fill>
            </x14:dxf>
          </x14:cfRule>
          <xm:sqref>HI11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70C0"/>
  </sheetPr>
  <dimension ref="A1"/>
  <sheetViews>
    <sheetView workbookViewId="0">
      <selection activeCell="D40" sqref="D40"/>
    </sheetView>
  </sheetViews>
  <sheetFormatPr defaultRowHeight="15" x14ac:dyDescent="0.25"/>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B2:O44"/>
  <sheetViews>
    <sheetView showGridLines="0" tabSelected="1" zoomScale="75" zoomScaleNormal="75" workbookViewId="0">
      <selection activeCell="Q24" sqref="Q24"/>
    </sheetView>
  </sheetViews>
  <sheetFormatPr defaultColWidth="9.140625" defaultRowHeight="12.75" x14ac:dyDescent="0.2"/>
  <cols>
    <col min="1" max="1" width="9.140625" style="1"/>
    <col min="2" max="2" width="7.28515625" style="1" customWidth="1"/>
    <col min="3" max="3" width="24.7109375" style="1" customWidth="1"/>
    <col min="4" max="4" width="12.42578125" style="1" customWidth="1"/>
    <col min="5" max="5" width="14.42578125" style="1" customWidth="1"/>
    <col min="6" max="6" width="20.28515625" style="1" customWidth="1"/>
    <col min="7" max="7" width="18.140625" style="1" customWidth="1"/>
    <col min="8" max="8" width="17.140625" style="1" customWidth="1"/>
    <col min="9" max="9" width="16.5703125" style="1" customWidth="1"/>
    <col min="10" max="10" width="19.140625" style="1" customWidth="1"/>
    <col min="11" max="11" width="17.28515625" style="1" customWidth="1"/>
    <col min="12" max="12" width="18.5703125" style="1" customWidth="1"/>
    <col min="13" max="13" width="19.140625" style="1" customWidth="1"/>
    <col min="14" max="14" width="26.140625" style="1" customWidth="1"/>
    <col min="15" max="15" width="16.85546875" style="1" bestFit="1" customWidth="1"/>
    <col min="16" max="16384" width="9.140625" style="1"/>
  </cols>
  <sheetData>
    <row r="2" spans="2:15" ht="18.75" x14ac:dyDescent="0.3">
      <c r="B2" s="28" t="str">
        <f ca="1">MID(CELL("filename",A1),FIND("]",CELL("filename",A1))+1,256)</f>
        <v>Capital Stock Calculation</v>
      </c>
    </row>
    <row r="4" spans="2:15" ht="15" x14ac:dyDescent="0.25">
      <c r="B4" s="29" t="s">
        <v>40</v>
      </c>
      <c r="C4" s="29"/>
    </row>
    <row r="5" spans="2:15" ht="15" x14ac:dyDescent="0.25">
      <c r="B5" s="30" t="s">
        <v>41</v>
      </c>
      <c r="C5" s="30"/>
      <c r="D5" s="366"/>
      <c r="E5" s="367"/>
      <c r="F5" s="367"/>
      <c r="G5" s="367"/>
    </row>
    <row r="7" spans="2:15" ht="15.75" x14ac:dyDescent="0.25">
      <c r="B7" s="31" t="s">
        <v>43</v>
      </c>
      <c r="C7" s="32"/>
      <c r="D7" s="32"/>
      <c r="E7" s="32"/>
      <c r="F7" s="32"/>
      <c r="G7" s="32"/>
      <c r="H7" s="32"/>
    </row>
    <row r="8" spans="2:15" ht="15" x14ac:dyDescent="0.25">
      <c r="B8" s="33"/>
      <c r="C8" s="34"/>
    </row>
    <row r="9" spans="2:15" ht="15" x14ac:dyDescent="0.25">
      <c r="B9" s="35" t="s">
        <v>42</v>
      </c>
      <c r="C9" s="36"/>
      <c r="D9" s="36" t="s">
        <v>464</v>
      </c>
      <c r="E9" s="36"/>
      <c r="F9" s="36"/>
      <c r="G9" s="36"/>
      <c r="H9" s="36"/>
    </row>
    <row r="11" spans="2:15" ht="30" customHeight="1" x14ac:dyDescent="0.2">
      <c r="B11" s="23"/>
      <c r="C11" s="23"/>
      <c r="D11" s="23"/>
      <c r="E11" s="23"/>
      <c r="F11" s="24" t="s">
        <v>423</v>
      </c>
      <c r="G11" s="24" t="s">
        <v>424</v>
      </c>
      <c r="H11" s="24" t="s">
        <v>433</v>
      </c>
      <c r="I11" s="24" t="s">
        <v>436</v>
      </c>
      <c r="J11" s="24" t="s">
        <v>451</v>
      </c>
      <c r="K11" s="24" t="s">
        <v>452</v>
      </c>
      <c r="L11" s="24" t="s">
        <v>8</v>
      </c>
      <c r="M11" s="24" t="s">
        <v>38</v>
      </c>
      <c r="N11" s="24" t="s">
        <v>11</v>
      </c>
      <c r="O11" s="24" t="s">
        <v>12</v>
      </c>
    </row>
    <row r="12" spans="2:15" ht="15" x14ac:dyDescent="0.2">
      <c r="B12" s="23"/>
      <c r="C12" s="25" t="s">
        <v>28</v>
      </c>
      <c r="D12" s="25" t="s">
        <v>39</v>
      </c>
      <c r="E12" s="25" t="s">
        <v>13</v>
      </c>
      <c r="F12" s="25" t="s">
        <v>6</v>
      </c>
      <c r="G12" s="25" t="s">
        <v>9</v>
      </c>
      <c r="H12" s="25" t="s">
        <v>446</v>
      </c>
      <c r="I12" s="25" t="s">
        <v>10</v>
      </c>
      <c r="J12" s="25" t="s">
        <v>7</v>
      </c>
      <c r="K12" s="25" t="s">
        <v>14</v>
      </c>
      <c r="L12" s="25" t="s">
        <v>15</v>
      </c>
      <c r="M12" s="25" t="s">
        <v>16</v>
      </c>
      <c r="N12" s="25" t="s">
        <v>17</v>
      </c>
      <c r="O12" s="25" t="s">
        <v>18</v>
      </c>
    </row>
    <row r="13" spans="2:15" ht="15" x14ac:dyDescent="0.2">
      <c r="B13" s="23"/>
      <c r="C13" s="25"/>
      <c r="D13" s="25"/>
      <c r="E13" s="25"/>
      <c r="F13" s="25" t="s">
        <v>19</v>
      </c>
      <c r="G13" s="25" t="s">
        <v>20</v>
      </c>
      <c r="H13" s="25" t="s">
        <v>30</v>
      </c>
      <c r="I13" s="25" t="s">
        <v>22</v>
      </c>
      <c r="J13" s="25" t="s">
        <v>23</v>
      </c>
      <c r="K13" s="25" t="s">
        <v>24</v>
      </c>
      <c r="L13" s="25" t="s">
        <v>25</v>
      </c>
      <c r="M13" s="25" t="s">
        <v>26</v>
      </c>
      <c r="N13" s="25" t="s">
        <v>27</v>
      </c>
      <c r="O13" s="25" t="s">
        <v>449</v>
      </c>
    </row>
    <row r="14" spans="2:15" ht="15" x14ac:dyDescent="0.2">
      <c r="B14" s="25"/>
      <c r="C14" s="25"/>
      <c r="D14" s="25"/>
      <c r="E14" s="25"/>
      <c r="F14" s="25"/>
      <c r="G14" s="25"/>
      <c r="H14" s="25"/>
      <c r="I14" s="25"/>
      <c r="J14" s="25" t="s">
        <v>447</v>
      </c>
      <c r="K14" s="25" t="s">
        <v>60</v>
      </c>
      <c r="L14" s="25"/>
      <c r="M14" s="25" t="s">
        <v>448</v>
      </c>
      <c r="N14" s="25"/>
      <c r="O14" s="25" t="s">
        <v>450</v>
      </c>
    </row>
    <row r="15" spans="2:15" ht="15" x14ac:dyDescent="0.2">
      <c r="B15" s="26"/>
      <c r="C15" s="26" t="s">
        <v>165</v>
      </c>
      <c r="D15" s="26">
        <v>1999</v>
      </c>
      <c r="E15" s="26" t="s">
        <v>29</v>
      </c>
      <c r="F15" s="27">
        <f t="array" ref="F15">INDEX('Capital Data Summary'!$E$13:$E$30,MATCH('Capital Stock Calculation'!$D15,'Capital Data Summary'!$D$13:$D$30,0))</f>
        <v>2493140224</v>
      </c>
      <c r="G15" s="351">
        <f t="array" ref="G15">INDEX('Capital Data Summary'!$H$13:$H$30,MATCH('Capital Stock Calculation'!$D$15,'Capital Data Summary'!$D$13:$D$30,0))+INDEX('Capital Data Summary'!$K$13:$K$30,MATCH('Capital Stock Calculation'!$D$15,'Capital Data Summary'!$D$13:$D$30,0))</f>
        <v>500428741</v>
      </c>
      <c r="H15" s="27">
        <f t="array" ref="H15">INDEX('Capital Data Summary'!$N$13:$N$30,MATCH('Capital Stock Calculation'!$D$15,'Capital Data Summary'!$D$13:$D$30,0))</f>
        <v>978968512</v>
      </c>
      <c r="I15" s="27">
        <f t="array" ref="I15">INDEX('Capital Data Summary'!$T$13:$T$30,MATCH('Capital Stock Calculation'!$D$15,'Capital Data Summary'!$D$13:$D$30,0))</f>
        <v>258850944</v>
      </c>
      <c r="J15" s="38">
        <f>SUM(F15:I15)</f>
        <v>4231388421</v>
      </c>
      <c r="K15" s="40">
        <f>(F15+G15)/J15</f>
        <v>0.70746730556409965</v>
      </c>
      <c r="L15" s="27">
        <f t="array" ref="L15">INDEX('Capital Data Summary'!$W$13:$W$30,MATCH('Capital Stock Calculation'!$D$15,'Capital Data Summary'!$D$13:$D$30,0))</f>
        <v>3026565304.0900002</v>
      </c>
      <c r="M15" s="38">
        <f>L15*K15</f>
        <v>2141196000.7983422</v>
      </c>
      <c r="N15" s="39">
        <f t="array" ref="N15">INDEX('Handy-Whitman Triangularized'!$C$6:$C$11,MATCH('Capital Stock Calculation'!E15,'Handy-Whitman Triangularized'!$A$6:$A$11,0))</f>
        <v>0.52876190476190477</v>
      </c>
      <c r="O15" s="38">
        <f>M15/N15</f>
        <v>4049452090.8470087</v>
      </c>
    </row>
    <row r="17" spans="2:14" ht="15.75" x14ac:dyDescent="0.25">
      <c r="B17" s="31" t="s">
        <v>454</v>
      </c>
      <c r="C17" s="32"/>
      <c r="D17" s="32"/>
      <c r="E17" s="32"/>
      <c r="F17" s="32"/>
      <c r="G17" s="32"/>
      <c r="H17" s="32"/>
    </row>
    <row r="18" spans="2:14" ht="15" x14ac:dyDescent="0.25">
      <c r="B18" s="33"/>
      <c r="C18" s="34"/>
    </row>
    <row r="19" spans="2:14" ht="15" x14ac:dyDescent="0.25">
      <c r="B19" s="35" t="s">
        <v>42</v>
      </c>
      <c r="C19" s="36"/>
      <c r="D19" s="36" t="s">
        <v>465</v>
      </c>
      <c r="E19" s="36"/>
      <c r="F19" s="36"/>
      <c r="G19" s="36"/>
      <c r="H19" s="36"/>
    </row>
    <row r="21" spans="2:14" ht="75" x14ac:dyDescent="0.2">
      <c r="B21" s="23"/>
      <c r="C21" s="24"/>
      <c r="D21" s="24"/>
      <c r="E21" s="24"/>
      <c r="F21" s="24" t="s">
        <v>2</v>
      </c>
      <c r="G21" s="24" t="s">
        <v>4</v>
      </c>
      <c r="H21" s="24" t="s">
        <v>54</v>
      </c>
      <c r="I21" s="24" t="s">
        <v>55</v>
      </c>
      <c r="J21" s="24" t="s">
        <v>56</v>
      </c>
      <c r="K21" s="24" t="s">
        <v>57</v>
      </c>
      <c r="L21" s="24" t="s">
        <v>44</v>
      </c>
      <c r="M21" s="24" t="s">
        <v>45</v>
      </c>
      <c r="N21" s="24" t="s">
        <v>46</v>
      </c>
    </row>
    <row r="22" spans="2:14" ht="15" x14ac:dyDescent="0.2">
      <c r="B22" s="23"/>
      <c r="C22" s="24" t="s">
        <v>28</v>
      </c>
      <c r="D22" s="24" t="s">
        <v>0</v>
      </c>
      <c r="E22" s="24" t="s">
        <v>13</v>
      </c>
      <c r="F22" s="24" t="s">
        <v>3</v>
      </c>
      <c r="G22" s="24" t="s">
        <v>5</v>
      </c>
      <c r="H22" s="24" t="s">
        <v>47</v>
      </c>
      <c r="I22" s="24" t="s">
        <v>48</v>
      </c>
      <c r="J22" s="24" t="s">
        <v>49</v>
      </c>
      <c r="K22" s="24" t="s">
        <v>50</v>
      </c>
      <c r="L22" s="24" t="s">
        <v>51</v>
      </c>
      <c r="M22" s="24" t="s">
        <v>52</v>
      </c>
      <c r="N22" s="24" t="s">
        <v>53</v>
      </c>
    </row>
    <row r="23" spans="2:14" ht="15" x14ac:dyDescent="0.2">
      <c r="B23" s="23"/>
      <c r="C23" s="24"/>
      <c r="D23" s="24"/>
      <c r="E23" s="24"/>
      <c r="F23" s="24" t="s">
        <v>19</v>
      </c>
      <c r="G23" s="24" t="s">
        <v>20</v>
      </c>
      <c r="H23" s="24" t="s">
        <v>21</v>
      </c>
      <c r="I23" s="24" t="s">
        <v>22</v>
      </c>
      <c r="J23" s="24" t="s">
        <v>23</v>
      </c>
      <c r="K23" s="24" t="s">
        <v>24</v>
      </c>
      <c r="L23" s="24" t="s">
        <v>25</v>
      </c>
      <c r="M23" s="24" t="s">
        <v>26</v>
      </c>
      <c r="N23" s="24" t="s">
        <v>27</v>
      </c>
    </row>
    <row r="24" spans="2:14" ht="35.25" customHeight="1" x14ac:dyDescent="0.2">
      <c r="B24" s="23"/>
      <c r="C24" s="24"/>
      <c r="D24" s="24"/>
      <c r="E24" s="24"/>
      <c r="F24" s="24"/>
      <c r="G24" s="24"/>
      <c r="H24" s="24"/>
      <c r="I24" s="24"/>
      <c r="J24" s="24" t="s">
        <v>58</v>
      </c>
      <c r="K24" s="24" t="s">
        <v>59</v>
      </c>
      <c r="L24" s="24" t="s">
        <v>60</v>
      </c>
      <c r="M24" s="24" t="s">
        <v>61</v>
      </c>
      <c r="N24" s="24"/>
    </row>
    <row r="25" spans="2:14" ht="15" x14ac:dyDescent="0.2">
      <c r="B25" s="74">
        <v>1</v>
      </c>
      <c r="C25" s="26" t="s">
        <v>165</v>
      </c>
      <c r="D25" s="26">
        <v>1999</v>
      </c>
      <c r="E25" s="26" t="s">
        <v>29</v>
      </c>
      <c r="F25" s="351">
        <f t="array" ref="F25">INDEX('Capital Data Summary'!$F$38:$F$55,MATCH('Capital Stock Calculation'!$D25,'Capital Data Summary'!$D$38:$D$55,0))</f>
        <v>202593993.9622663</v>
      </c>
      <c r="G25" s="351" t="str">
        <f t="array" ref="G25">IF(D25=1999,"-",-(INDEX('Capital Data Summary'!G$38:G$55,MATCH('Capital Stock Calculation'!$D25,'Capital Data Summary'!$D$38:$D$55,0))))</f>
        <v>-</v>
      </c>
      <c r="H25" s="37">
        <f t="array" ref="H25">INDEX('Handy-Whitman Index'!$B$3:$G$107,MATCH('Capital Stock Calculation'!$D25,'Handy-Whitman Index'!$A$3:$A$107,0),MATCH('Capital Stock Calculation'!$E25,'Handy-Whitman Index'!$B$2:$G$2,0))</f>
        <v>336.75</v>
      </c>
      <c r="I25" s="37">
        <f t="array" ref="I25">INDEX('Handy-Whitman Index'!$B$3:$G$107,(MATCH('Capital Stock Calculation'!$D25,'Handy-Whitman Index'!$A$3:$A$107)-33),MATCH('Capital Stock Calculation'!$E25,'Handy-Whitman Index'!$B$2:$G$2,0))</f>
        <v>64</v>
      </c>
      <c r="J25" s="38">
        <f t="shared" ref="J25:J42" si="0">H25/100</f>
        <v>3.3675000000000002</v>
      </c>
      <c r="K25" s="38">
        <f t="shared" ref="K25:K42" si="1">I25/100</f>
        <v>0.64</v>
      </c>
      <c r="L25" s="38">
        <f t="shared" ref="L25:L42" si="2">F25/J25</f>
        <v>60161542.379292138</v>
      </c>
      <c r="M25" s="38" t="str">
        <f>IFERROR(G25/K25,"-")</f>
        <v>-</v>
      </c>
      <c r="N25" s="38">
        <f>IF(D25=1999,O15,N24+L25+M25)</f>
        <v>4049452090.8470087</v>
      </c>
    </row>
    <row r="26" spans="2:14" ht="15" x14ac:dyDescent="0.2">
      <c r="B26" s="74">
        <f t="shared" ref="B26:B42" si="3">B25+1</f>
        <v>2</v>
      </c>
      <c r="C26" s="26" t="s">
        <v>165</v>
      </c>
      <c r="D26" s="26">
        <v>2000</v>
      </c>
      <c r="E26" s="26" t="s">
        <v>29</v>
      </c>
      <c r="F26" s="351">
        <f t="array" ref="F26">INDEX('Capital Data Summary'!$F$38:$F$55,MATCH('Capital Stock Calculation'!$D26,'Capital Data Summary'!$D$38:$D$55,0))</f>
        <v>190950057.78698489</v>
      </c>
      <c r="G26" s="351">
        <f t="array" ref="G26">IF(D26=1999,"-",-(INDEX('Capital Data Summary'!G$38:G$55,MATCH('Capital Stock Calculation'!$D26,'Capital Data Summary'!$D$38:$D$55,0))))</f>
        <v>-49365784.890737332</v>
      </c>
      <c r="H26" s="37">
        <f t="array" ref="H26">INDEX('Handy-Whitman Index'!$B$3:$G$107,MATCH('Capital Stock Calculation'!$D26,'Handy-Whitman Index'!$A$3:$A$107,0),MATCH('Capital Stock Calculation'!$E26,'Handy-Whitman Index'!$B$2:$G$2,0))</f>
        <v>345.5</v>
      </c>
      <c r="I26" s="37">
        <f t="array" ref="I26">INDEX('Handy-Whitman Index'!$B$3:$G$107,(MATCH('Capital Stock Calculation'!$D26,'Handy-Whitman Index'!$A$3:$A$107)-33),MATCH('Capital Stock Calculation'!$E26,'Handy-Whitman Index'!$B$2:$G$2,0))</f>
        <v>67</v>
      </c>
      <c r="J26" s="38">
        <f t="shared" si="0"/>
        <v>3.4550000000000001</v>
      </c>
      <c r="K26" s="38">
        <f t="shared" si="1"/>
        <v>0.67</v>
      </c>
      <c r="L26" s="38">
        <f t="shared" si="2"/>
        <v>55267744.656146131</v>
      </c>
      <c r="M26" s="38">
        <f t="shared" ref="M26:M42" si="4">IFERROR(G26/K26,"-")</f>
        <v>-73680275.956324369</v>
      </c>
      <c r="N26" s="38">
        <f t="shared" ref="N26:N42" si="5">IF(D26=1999,O16,N25+L26+M26)</f>
        <v>4031039559.5468302</v>
      </c>
    </row>
    <row r="27" spans="2:14" ht="15" x14ac:dyDescent="0.2">
      <c r="B27" s="74">
        <f t="shared" si="3"/>
        <v>3</v>
      </c>
      <c r="C27" s="26" t="s">
        <v>165</v>
      </c>
      <c r="D27" s="26">
        <v>2001</v>
      </c>
      <c r="E27" s="26" t="s">
        <v>29</v>
      </c>
      <c r="F27" s="351">
        <f t="array" ref="F27">INDEX('Capital Data Summary'!$F$38:$F$55,MATCH('Capital Stock Calculation'!$D27,'Capital Data Summary'!$D$38:$D$55,0))</f>
        <v>154244582.56828284</v>
      </c>
      <c r="G27" s="351">
        <f t="array" ref="G27">IF(D27=1999,"-",-(INDEX('Capital Data Summary'!G$38:G$55,MATCH('Capital Stock Calculation'!$D27,'Capital Data Summary'!$D$38:$D$55,0))))</f>
        <v>-28141523.985197958</v>
      </c>
      <c r="H27" s="37">
        <f t="array" ref="H27">INDEX('Handy-Whitman Index'!$B$3:$G$107,MATCH('Capital Stock Calculation'!$D27,'Handy-Whitman Index'!$A$3:$A$107,0),MATCH('Capital Stock Calculation'!$E27,'Handy-Whitman Index'!$B$2:$G$2,0))</f>
        <v>355.75</v>
      </c>
      <c r="I27" s="37">
        <f t="array" ref="I27">INDEX('Handy-Whitman Index'!$B$3:$G$107,(MATCH('Capital Stock Calculation'!$D27,'Handy-Whitman Index'!$A$3:$A$107)-33),MATCH('Capital Stock Calculation'!$E27,'Handy-Whitman Index'!$B$2:$G$2,0))</f>
        <v>70</v>
      </c>
      <c r="J27" s="38">
        <f t="shared" si="0"/>
        <v>3.5575000000000001</v>
      </c>
      <c r="K27" s="38">
        <f t="shared" si="1"/>
        <v>0.7</v>
      </c>
      <c r="L27" s="38">
        <f t="shared" si="2"/>
        <v>43357577.67204015</v>
      </c>
      <c r="M27" s="38">
        <f t="shared" si="4"/>
        <v>-40202177.121711373</v>
      </c>
      <c r="N27" s="38">
        <f t="shared" si="5"/>
        <v>4034194960.0971589</v>
      </c>
    </row>
    <row r="28" spans="2:14" ht="15" x14ac:dyDescent="0.2">
      <c r="B28" s="74">
        <f t="shared" si="3"/>
        <v>4</v>
      </c>
      <c r="C28" s="26" t="s">
        <v>165</v>
      </c>
      <c r="D28" s="26">
        <v>2002</v>
      </c>
      <c r="E28" s="26" t="s">
        <v>29</v>
      </c>
      <c r="F28" s="351">
        <f t="array" ref="F28">INDEX('Capital Data Summary'!$F$38:$F$55,MATCH('Capital Stock Calculation'!$D28,'Capital Data Summary'!$D$38:$D$55,0))</f>
        <v>154796810.78907713</v>
      </c>
      <c r="G28" s="351">
        <f t="array" ref="G28">IF(D28=1999,"-",-(INDEX('Capital Data Summary'!G$38:G$55,MATCH('Capital Stock Calculation'!$D28,'Capital Data Summary'!$D$38:$D$55,0))))</f>
        <v>-63087848.098528713</v>
      </c>
      <c r="H28" s="37">
        <f t="array" ref="H28">INDEX('Handy-Whitman Index'!$B$3:$G$107,MATCH('Capital Stock Calculation'!$D28,'Handy-Whitman Index'!$A$3:$A$107,0),MATCH('Capital Stock Calculation'!$E28,'Handy-Whitman Index'!$B$2:$G$2,0))</f>
        <v>367.5</v>
      </c>
      <c r="I28" s="37">
        <f t="array" ref="I28">INDEX('Handy-Whitman Index'!$B$3:$G$107,(MATCH('Capital Stock Calculation'!$D28,'Handy-Whitman Index'!$A$3:$A$107)-33),MATCH('Capital Stock Calculation'!$E28,'Handy-Whitman Index'!$B$2:$G$2,0))</f>
        <v>74</v>
      </c>
      <c r="J28" s="38">
        <f t="shared" si="0"/>
        <v>3.6749999999999998</v>
      </c>
      <c r="K28" s="38">
        <f t="shared" si="1"/>
        <v>0.74</v>
      </c>
      <c r="L28" s="38">
        <f t="shared" si="2"/>
        <v>42121581.167095818</v>
      </c>
      <c r="M28" s="38">
        <f t="shared" si="4"/>
        <v>-85253848.781795561</v>
      </c>
      <c r="N28" s="38">
        <f t="shared" si="5"/>
        <v>3991062692.4824591</v>
      </c>
    </row>
    <row r="29" spans="2:14" ht="15" x14ac:dyDescent="0.2">
      <c r="B29" s="74">
        <f t="shared" si="3"/>
        <v>5</v>
      </c>
      <c r="C29" s="26" t="s">
        <v>165</v>
      </c>
      <c r="D29" s="26">
        <v>2003</v>
      </c>
      <c r="E29" s="26" t="s">
        <v>29</v>
      </c>
      <c r="F29" s="351">
        <f t="array" ref="F29">INDEX('Capital Data Summary'!$F$38:$F$55,MATCH('Capital Stock Calculation'!$D29,'Capital Data Summary'!$D$38:$D$55,0))</f>
        <v>122384469.09559703</v>
      </c>
      <c r="G29" s="351">
        <f t="array" ref="G29">IF(D29=1999,"-",-(INDEX('Capital Data Summary'!G$38:G$55,MATCH('Capital Stock Calculation'!$D29,'Capital Data Summary'!$D$38:$D$55,0))))</f>
        <v>-26475321.432206515</v>
      </c>
      <c r="H29" s="37">
        <f t="array" ref="H29">INDEX('Handy-Whitman Index'!$B$3:$G$107,MATCH('Capital Stock Calculation'!$D29,'Handy-Whitman Index'!$A$3:$A$107,0),MATCH('Capital Stock Calculation'!$E29,'Handy-Whitman Index'!$B$2:$G$2,0))</f>
        <v>374.75</v>
      </c>
      <c r="I29" s="37">
        <f t="array" ref="I29">INDEX('Handy-Whitman Index'!$B$3:$G$107,(MATCH('Capital Stock Calculation'!$D29,'Handy-Whitman Index'!$A$3:$A$107)-33),MATCH('Capital Stock Calculation'!$E29,'Handy-Whitman Index'!$B$2:$G$2,0))</f>
        <v>81</v>
      </c>
      <c r="J29" s="38">
        <f t="shared" si="0"/>
        <v>3.7475000000000001</v>
      </c>
      <c r="K29" s="38">
        <f t="shared" si="1"/>
        <v>0.81</v>
      </c>
      <c r="L29" s="38">
        <f t="shared" si="2"/>
        <v>32657630.178945169</v>
      </c>
      <c r="M29" s="38">
        <f t="shared" si="4"/>
        <v>-32685582.015069772</v>
      </c>
      <c r="N29" s="38">
        <f t="shared" si="5"/>
        <v>3991034740.6463342</v>
      </c>
    </row>
    <row r="30" spans="2:14" ht="15" x14ac:dyDescent="0.2">
      <c r="B30" s="74">
        <f t="shared" si="3"/>
        <v>6</v>
      </c>
      <c r="C30" s="26" t="s">
        <v>165</v>
      </c>
      <c r="D30" s="26">
        <v>2004</v>
      </c>
      <c r="E30" s="26" t="s">
        <v>29</v>
      </c>
      <c r="F30" s="351">
        <f t="array" ref="F30">INDEX('Capital Data Summary'!$F$38:$F$55,MATCH('Capital Stock Calculation'!$D30,'Capital Data Summary'!$D$38:$D$55,0))</f>
        <v>127151662.00218013</v>
      </c>
      <c r="G30" s="351">
        <f t="array" ref="G30">IF(D30=1999,"-",-(INDEX('Capital Data Summary'!G$38:G$55,MATCH('Capital Stock Calculation'!$D30,'Capital Data Summary'!$D$38:$D$55,0))))</f>
        <v>-38269560.71212516</v>
      </c>
      <c r="H30" s="37">
        <f t="array" ref="H30">INDEX('Handy-Whitman Index'!$B$3:$G$107,MATCH('Capital Stock Calculation'!$D30,'Handy-Whitman Index'!$A$3:$A$107,0),MATCH('Capital Stock Calculation'!$E30,'Handy-Whitman Index'!$B$2:$G$2,0))</f>
        <v>399.25</v>
      </c>
      <c r="I30" s="37">
        <f t="array" ref="I30">INDEX('Handy-Whitman Index'!$B$3:$G$107,(MATCH('Capital Stock Calculation'!$D30,'Handy-Whitman Index'!$A$3:$A$107)-33),MATCH('Capital Stock Calculation'!$E30,'Handy-Whitman Index'!$B$2:$G$2,0))</f>
        <v>87</v>
      </c>
      <c r="J30" s="38">
        <f t="shared" si="0"/>
        <v>3.9925000000000002</v>
      </c>
      <c r="K30" s="38">
        <f t="shared" si="1"/>
        <v>0.87</v>
      </c>
      <c r="L30" s="38">
        <f t="shared" si="2"/>
        <v>31847629.806432091</v>
      </c>
      <c r="M30" s="38">
        <f t="shared" si="4"/>
        <v>-43988000.818534665</v>
      </c>
      <c r="N30" s="38">
        <f t="shared" si="5"/>
        <v>3978894369.6342316</v>
      </c>
    </row>
    <row r="31" spans="2:14" ht="15" x14ac:dyDescent="0.2">
      <c r="B31" s="74">
        <f t="shared" si="3"/>
        <v>7</v>
      </c>
      <c r="C31" s="26" t="s">
        <v>165</v>
      </c>
      <c r="D31" s="26">
        <v>2005</v>
      </c>
      <c r="E31" s="26" t="s">
        <v>29</v>
      </c>
      <c r="F31" s="351">
        <f t="array" ref="F31">INDEX('Capital Data Summary'!$F$38:$F$55,MATCH('Capital Stock Calculation'!$D31,'Capital Data Summary'!$D$38:$D$55,0))</f>
        <v>166576236.51060373</v>
      </c>
      <c r="G31" s="351">
        <f t="array" ref="G31">IF(D31=1999,"-",-(INDEX('Capital Data Summary'!G$38:G$55,MATCH('Capital Stock Calculation'!$D31,'Capital Data Summary'!$D$38:$D$55,0))))</f>
        <v>-45404689.875867859</v>
      </c>
      <c r="H31" s="37">
        <f t="array" ref="H31">INDEX('Handy-Whitman Index'!$B$3:$G$107,MATCH('Capital Stock Calculation'!$D31,'Handy-Whitman Index'!$A$3:$A$107,0),MATCH('Capital Stock Calculation'!$E31,'Handy-Whitman Index'!$B$2:$G$2,0))</f>
        <v>432.5</v>
      </c>
      <c r="I31" s="37">
        <f t="array" ref="I31">INDEX('Handy-Whitman Index'!$B$3:$G$107,(MATCH('Capital Stock Calculation'!$D31,'Handy-Whitman Index'!$A$3:$A$107)-33),MATCH('Capital Stock Calculation'!$E31,'Handy-Whitman Index'!$B$2:$G$2,0))</f>
        <v>92</v>
      </c>
      <c r="J31" s="38">
        <f t="shared" si="0"/>
        <v>4.3250000000000002</v>
      </c>
      <c r="K31" s="38">
        <f t="shared" si="1"/>
        <v>0.92</v>
      </c>
      <c r="L31" s="38">
        <f t="shared" si="2"/>
        <v>38514736.765457511</v>
      </c>
      <c r="M31" s="38">
        <f t="shared" si="4"/>
        <v>-49352923.778117232</v>
      </c>
      <c r="N31" s="38">
        <f t="shared" si="5"/>
        <v>3968056182.621572</v>
      </c>
    </row>
    <row r="32" spans="2:14" ht="15" x14ac:dyDescent="0.2">
      <c r="B32" s="74">
        <f t="shared" si="3"/>
        <v>8</v>
      </c>
      <c r="C32" s="26" t="s">
        <v>165</v>
      </c>
      <c r="D32" s="26">
        <v>2006</v>
      </c>
      <c r="E32" s="26" t="s">
        <v>29</v>
      </c>
      <c r="F32" s="351">
        <f t="array" ref="F32">INDEX('Capital Data Summary'!$F$38:$F$55,MATCH('Capital Stock Calculation'!$D32,'Capital Data Summary'!$D$38:$D$55,0))</f>
        <v>222677367.97105193</v>
      </c>
      <c r="G32" s="351">
        <f t="array" ref="G32">IF(D32=1999,"-",-(INDEX('Capital Data Summary'!G$38:G$55,MATCH('Capital Stock Calculation'!$D32,'Capital Data Summary'!$D$38:$D$55,0))))</f>
        <v>-44687919.641948611</v>
      </c>
      <c r="H32" s="37">
        <f t="array" ref="H32">INDEX('Handy-Whitman Index'!$B$3:$G$107,MATCH('Capital Stock Calculation'!$D32,'Handy-Whitman Index'!$A$3:$A$107,0),MATCH('Capital Stock Calculation'!$E32,'Handy-Whitman Index'!$B$2:$G$2,0))</f>
        <v>478.5</v>
      </c>
      <c r="I32" s="37">
        <f t="array" ref="I32">INDEX('Handy-Whitman Index'!$B$3:$G$107,(MATCH('Capital Stock Calculation'!$D32,'Handy-Whitman Index'!$A$3:$A$107)-33),MATCH('Capital Stock Calculation'!$E32,'Handy-Whitman Index'!$B$2:$G$2,0))</f>
        <v>100</v>
      </c>
      <c r="J32" s="38">
        <f t="shared" si="0"/>
        <v>4.7850000000000001</v>
      </c>
      <c r="K32" s="38">
        <f t="shared" si="1"/>
        <v>1</v>
      </c>
      <c r="L32" s="38">
        <f t="shared" si="2"/>
        <v>46536545.030522868</v>
      </c>
      <c r="M32" s="38">
        <f t="shared" si="4"/>
        <v>-44687919.641948611</v>
      </c>
      <c r="N32" s="38">
        <f t="shared" si="5"/>
        <v>3969904808.0101461</v>
      </c>
    </row>
    <row r="33" spans="2:14" ht="15" x14ac:dyDescent="0.2">
      <c r="B33" s="74">
        <f t="shared" si="3"/>
        <v>9</v>
      </c>
      <c r="C33" s="26" t="s">
        <v>165</v>
      </c>
      <c r="D33" s="26">
        <v>2007</v>
      </c>
      <c r="E33" s="26" t="s">
        <v>29</v>
      </c>
      <c r="F33" s="351">
        <f t="array" ref="F33">INDEX('Capital Data Summary'!$F$38:$F$55,MATCH('Capital Stock Calculation'!$D33,'Capital Data Summary'!$D$38:$D$55,0))</f>
        <v>171894611.26372376</v>
      </c>
      <c r="G33" s="351">
        <f t="array" ref="G33">IF(D33=1999,"-",-(INDEX('Capital Data Summary'!G$38:G$55,MATCH('Capital Stock Calculation'!$D33,'Capital Data Summary'!$D$38:$D$55,0))))</f>
        <v>-43788129.092551455</v>
      </c>
      <c r="H33" s="37">
        <f t="array" ref="H33">INDEX('Handy-Whitman Index'!$B$3:$G$107,MATCH('Capital Stock Calculation'!$D33,'Handy-Whitman Index'!$A$3:$A$107,0),MATCH('Capital Stock Calculation'!$E33,'Handy-Whitman Index'!$B$2:$G$2,0))</f>
        <v>532.44704139288206</v>
      </c>
      <c r="I33" s="37">
        <f t="array" ref="I33">INDEX('Handy-Whitman Index'!$B$3:$G$107,(MATCH('Capital Stock Calculation'!$D33,'Handy-Whitman Index'!$A$3:$A$107)-33),MATCH('Capital Stock Calculation'!$E33,'Handy-Whitman Index'!$B$2:$G$2,0))</f>
        <v>118</v>
      </c>
      <c r="J33" s="38">
        <f t="shared" si="0"/>
        <v>5.3244704139288208</v>
      </c>
      <c r="K33" s="38">
        <f t="shared" si="1"/>
        <v>1.18</v>
      </c>
      <c r="L33" s="38">
        <f t="shared" si="2"/>
        <v>32283888.894198239</v>
      </c>
      <c r="M33" s="38">
        <f t="shared" si="4"/>
        <v>-37108583.97673852</v>
      </c>
      <c r="N33" s="38">
        <f t="shared" si="5"/>
        <v>3965080112.9276061</v>
      </c>
    </row>
    <row r="34" spans="2:14" ht="15" x14ac:dyDescent="0.2">
      <c r="B34" s="74">
        <f t="shared" si="3"/>
        <v>10</v>
      </c>
      <c r="C34" s="26" t="s">
        <v>165</v>
      </c>
      <c r="D34" s="26">
        <v>2008</v>
      </c>
      <c r="E34" s="26" t="s">
        <v>29</v>
      </c>
      <c r="F34" s="351">
        <f t="array" ref="F34">INDEX('Capital Data Summary'!$F$38:$F$55,MATCH('Capital Stock Calculation'!$D34,'Capital Data Summary'!$D$38:$D$55,0))</f>
        <v>237873972.67595729</v>
      </c>
      <c r="G34" s="351">
        <f t="array" ref="G34">IF(D34=1999,"-",-(INDEX('Capital Data Summary'!G$38:G$55,MATCH('Capital Stock Calculation'!$D34,'Capital Data Summary'!$D$38:$D$55,0))))</f>
        <v>-39545666.708668403</v>
      </c>
      <c r="H34" s="37">
        <f t="array" ref="H34">INDEX('Handy-Whitman Index'!$B$3:$G$107,MATCH('Capital Stock Calculation'!$D34,'Handy-Whitman Index'!$A$3:$A$107,0),MATCH('Capital Stock Calculation'!$E34,'Handy-Whitman Index'!$B$2:$G$2,0))</f>
        <v>582.25</v>
      </c>
      <c r="I34" s="37">
        <f t="array" ref="I34">INDEX('Handy-Whitman Index'!$B$3:$G$107,(MATCH('Capital Stock Calculation'!$D34,'Handy-Whitman Index'!$A$3:$A$107)-33),MATCH('Capital Stock Calculation'!$E34,'Handy-Whitman Index'!$B$2:$G$2,0))</f>
        <v>136</v>
      </c>
      <c r="J34" s="38">
        <f t="shared" si="0"/>
        <v>5.8224999999999998</v>
      </c>
      <c r="K34" s="38">
        <f t="shared" si="1"/>
        <v>1.36</v>
      </c>
      <c r="L34" s="38">
        <f t="shared" si="2"/>
        <v>40854267.526999965</v>
      </c>
      <c r="M34" s="38">
        <f t="shared" si="4"/>
        <v>-29077696.109315</v>
      </c>
      <c r="N34" s="38">
        <f t="shared" si="5"/>
        <v>3976856684.3452911</v>
      </c>
    </row>
    <row r="35" spans="2:14" ht="15" x14ac:dyDescent="0.2">
      <c r="B35" s="74">
        <f t="shared" si="3"/>
        <v>11</v>
      </c>
      <c r="C35" s="26" t="s">
        <v>165</v>
      </c>
      <c r="D35" s="26">
        <v>2009</v>
      </c>
      <c r="E35" s="26" t="s">
        <v>29</v>
      </c>
      <c r="F35" s="351">
        <f t="array" ref="F35">INDEX('Capital Data Summary'!$F$38:$F$55,MATCH('Capital Stock Calculation'!$D35,'Capital Data Summary'!$D$38:$D$55,0))</f>
        <v>291518707.39378428</v>
      </c>
      <c r="G35" s="351">
        <f t="array" ref="G35">IF(D35=1999,"-",-(INDEX('Capital Data Summary'!G$38:G$55,MATCH('Capital Stock Calculation'!$D35,'Capital Data Summary'!$D$38:$D$55,0))))</f>
        <v>-77913545.411397174</v>
      </c>
      <c r="H35" s="37">
        <f t="array" ref="H35">INDEX('Handy-Whitman Index'!$B$3:$G$107,MATCH('Capital Stock Calculation'!$D35,'Handy-Whitman Index'!$A$3:$A$107,0),MATCH('Capital Stock Calculation'!$E35,'Handy-Whitman Index'!$B$2:$G$2,0))</f>
        <v>598.25</v>
      </c>
      <c r="I35" s="37">
        <f t="array" ref="I35">INDEX('Handy-Whitman Index'!$B$3:$G$107,(MATCH('Capital Stock Calculation'!$D35,'Handy-Whitman Index'!$A$3:$A$107)-33),MATCH('Capital Stock Calculation'!$E35,'Handy-Whitman Index'!$B$2:$G$2,0))</f>
        <v>142</v>
      </c>
      <c r="J35" s="38">
        <f t="shared" si="0"/>
        <v>5.9824999999999999</v>
      </c>
      <c r="K35" s="38">
        <f t="shared" si="1"/>
        <v>1.42</v>
      </c>
      <c r="L35" s="38">
        <f t="shared" si="2"/>
        <v>48728576.24634923</v>
      </c>
      <c r="M35" s="38">
        <f t="shared" si="4"/>
        <v>-54868693.951688156</v>
      </c>
      <c r="N35" s="38">
        <f t="shared" si="5"/>
        <v>3970716566.6399522</v>
      </c>
    </row>
    <row r="36" spans="2:14" ht="15" x14ac:dyDescent="0.2">
      <c r="B36" s="74">
        <f t="shared" si="3"/>
        <v>12</v>
      </c>
      <c r="C36" s="26" t="s">
        <v>165</v>
      </c>
      <c r="D36" s="26">
        <v>2010</v>
      </c>
      <c r="E36" s="26" t="s">
        <v>29</v>
      </c>
      <c r="F36" s="351">
        <f t="array" ref="F36">INDEX('Capital Data Summary'!$F$38:$F$55,MATCH('Capital Stock Calculation'!$D36,'Capital Data Summary'!$D$38:$D$55,0))</f>
        <v>180033159.72115356</v>
      </c>
      <c r="G36" s="351">
        <f t="array" ref="G36">IF(D36=1999,"-",-(INDEX('Capital Data Summary'!G$38:G$55,MATCH('Capital Stock Calculation'!$D36,'Capital Data Summary'!$D$38:$D$55,0))))</f>
        <v>-56388974.08032909</v>
      </c>
      <c r="H36" s="37">
        <f t="array" ref="H36">INDEX('Handy-Whitman Index'!$B$3:$G$107,MATCH('Capital Stock Calculation'!$D36,'Handy-Whitman Index'!$A$3:$A$107,0),MATCH('Capital Stock Calculation'!$E36,'Handy-Whitman Index'!$B$2:$G$2,0))</f>
        <v>619.25</v>
      </c>
      <c r="I36" s="37">
        <f t="array" ref="I36">INDEX('Handy-Whitman Index'!$B$3:$G$107,(MATCH('Capital Stock Calculation'!$D36,'Handy-Whitman Index'!$A$3:$A$107)-33),MATCH('Capital Stock Calculation'!$E36,'Handy-Whitman Index'!$B$2:$G$2,0))</f>
        <v>149</v>
      </c>
      <c r="J36" s="38">
        <f t="shared" si="0"/>
        <v>6.1924999999999999</v>
      </c>
      <c r="K36" s="38">
        <f t="shared" si="1"/>
        <v>1.49</v>
      </c>
      <c r="L36" s="38">
        <f t="shared" si="2"/>
        <v>29072775.086177401</v>
      </c>
      <c r="M36" s="38">
        <f t="shared" si="4"/>
        <v>-37844949.047200732</v>
      </c>
      <c r="N36" s="38">
        <f t="shared" si="5"/>
        <v>3961944392.6789289</v>
      </c>
    </row>
    <row r="37" spans="2:14" ht="15" x14ac:dyDescent="0.2">
      <c r="B37" s="74">
        <f t="shared" si="3"/>
        <v>13</v>
      </c>
      <c r="C37" s="26" t="s">
        <v>165</v>
      </c>
      <c r="D37" s="26">
        <v>2011</v>
      </c>
      <c r="E37" s="26" t="s">
        <v>29</v>
      </c>
      <c r="F37" s="351">
        <f t="array" ref="F37">INDEX('Capital Data Summary'!$F$38:$F$55,MATCH('Capital Stock Calculation'!$D37,'Capital Data Summary'!$D$38:$D$55,0))</f>
        <v>231794953.38104293</v>
      </c>
      <c r="G37" s="351">
        <f t="array" ref="G37">IF(D37=1999,"-",-(INDEX('Capital Data Summary'!G$38:G$55,MATCH('Capital Stock Calculation'!$D37,'Capital Data Summary'!$D$38:$D$55,0))))</f>
        <v>-53216455.130228981</v>
      </c>
      <c r="H37" s="37">
        <f t="array" ref="H37">INDEX('Handy-Whitman Index'!$B$3:$G$107,MATCH('Capital Stock Calculation'!$D37,'Handy-Whitman Index'!$A$3:$A$107,0),MATCH('Capital Stock Calculation'!$E37,'Handy-Whitman Index'!$B$2:$G$2,0))</f>
        <v>649.75</v>
      </c>
      <c r="I37" s="37">
        <f t="array" ref="I37">INDEX('Handy-Whitman Index'!$B$3:$G$107,(MATCH('Capital Stock Calculation'!$D37,'Handy-Whitman Index'!$A$3:$A$107)-33),MATCH('Capital Stock Calculation'!$E37,'Handy-Whitman Index'!$B$2:$G$2,0))</f>
        <v>156</v>
      </c>
      <c r="J37" s="38">
        <f t="shared" si="0"/>
        <v>6.4974999999999996</v>
      </c>
      <c r="K37" s="38">
        <f t="shared" si="1"/>
        <v>1.56</v>
      </c>
      <c r="L37" s="38">
        <f t="shared" si="2"/>
        <v>35674483.013627231</v>
      </c>
      <c r="M37" s="38">
        <f t="shared" si="4"/>
        <v>-34113112.262967296</v>
      </c>
      <c r="N37" s="38">
        <f t="shared" si="5"/>
        <v>3963505763.4295888</v>
      </c>
    </row>
    <row r="38" spans="2:14" ht="15" x14ac:dyDescent="0.2">
      <c r="B38" s="74">
        <f t="shared" si="3"/>
        <v>14</v>
      </c>
      <c r="C38" s="26" t="s">
        <v>165</v>
      </c>
      <c r="D38" s="26">
        <v>2012</v>
      </c>
      <c r="E38" s="26" t="s">
        <v>29</v>
      </c>
      <c r="F38" s="351">
        <f t="array" ref="F38">INDEX('Capital Data Summary'!$F$38:$F$55,MATCH('Capital Stock Calculation'!$D38,'Capital Data Summary'!$D$38:$D$55,0))</f>
        <v>215180140.21661082</v>
      </c>
      <c r="G38" s="351">
        <f t="array" ref="G38">IF(D38=1999,"-",-(INDEX('Capital Data Summary'!G$38:G$55,MATCH('Capital Stock Calculation'!$D38,'Capital Data Summary'!$D$38:$D$55,0))))</f>
        <v>-63790098.564305604</v>
      </c>
      <c r="H38" s="37">
        <f t="array" ref="H38">INDEX('Handy-Whitman Index'!$B$3:$G$107,MATCH('Capital Stock Calculation'!$D38,'Handy-Whitman Index'!$A$3:$A$107,0),MATCH('Capital Stock Calculation'!$E38,'Handy-Whitman Index'!$B$2:$G$2,0))</f>
        <v>678.5</v>
      </c>
      <c r="I38" s="37">
        <f t="array" ref="I38">INDEX('Handy-Whitman Index'!$B$3:$G$107,(MATCH('Capital Stock Calculation'!$D38,'Handy-Whitman Index'!$A$3:$A$107)-33),MATCH('Capital Stock Calculation'!$E38,'Handy-Whitman Index'!$B$2:$G$2,0))</f>
        <v>173</v>
      </c>
      <c r="J38" s="38">
        <f t="shared" si="0"/>
        <v>6.7850000000000001</v>
      </c>
      <c r="K38" s="38">
        <f t="shared" si="1"/>
        <v>1.73</v>
      </c>
      <c r="L38" s="38">
        <f t="shared" si="2"/>
        <v>31714095.831482802</v>
      </c>
      <c r="M38" s="38">
        <f t="shared" si="4"/>
        <v>-36872889.343529254</v>
      </c>
      <c r="N38" s="38">
        <f t="shared" si="5"/>
        <v>3958346969.9175425</v>
      </c>
    </row>
    <row r="39" spans="2:14" ht="15" x14ac:dyDescent="0.2">
      <c r="B39" s="74">
        <f t="shared" si="3"/>
        <v>15</v>
      </c>
      <c r="C39" s="26" t="s">
        <v>165</v>
      </c>
      <c r="D39" s="26">
        <v>2013</v>
      </c>
      <c r="E39" s="26" t="s">
        <v>29</v>
      </c>
      <c r="F39" s="351">
        <f t="array" ref="F39">INDEX('Capital Data Summary'!$F$38:$F$55,MATCH('Capital Stock Calculation'!$D39,'Capital Data Summary'!$D$38:$D$55,0))</f>
        <v>316363467.89314818</v>
      </c>
      <c r="G39" s="351">
        <f t="array" ref="G39">IF(D39=1999,"-",-(INDEX('Capital Data Summary'!G$38:G$55,MATCH('Capital Stock Calculation'!$D39,'Capital Data Summary'!$D$38:$D$55,0))))</f>
        <v>-88319919.167111918</v>
      </c>
      <c r="H39" s="37">
        <f t="array" ref="H39">INDEX('Handy-Whitman Index'!$B$3:$G$107,MATCH('Capital Stock Calculation'!$D39,'Handy-Whitman Index'!$A$3:$A$107,0),MATCH('Capital Stock Calculation'!$E39,'Handy-Whitman Index'!$B$2:$G$2,0))</f>
        <v>701</v>
      </c>
      <c r="I39" s="37">
        <f t="array" ref="I39">INDEX('Handy-Whitman Index'!$B$3:$G$107,(MATCH('Capital Stock Calculation'!$D39,'Handy-Whitman Index'!$A$3:$A$107)-33),MATCH('Capital Stock Calculation'!$E39,'Handy-Whitman Index'!$B$2:$G$2,0))</f>
        <v>186</v>
      </c>
      <c r="J39" s="38">
        <f t="shared" si="0"/>
        <v>7.01</v>
      </c>
      <c r="K39" s="38">
        <f t="shared" si="1"/>
        <v>1.86</v>
      </c>
      <c r="L39" s="38">
        <f t="shared" si="2"/>
        <v>45130309.257225133</v>
      </c>
      <c r="M39" s="38">
        <f t="shared" si="4"/>
        <v>-47483827.509199955</v>
      </c>
      <c r="N39" s="38">
        <f t="shared" si="5"/>
        <v>3955993451.6655674</v>
      </c>
    </row>
    <row r="40" spans="2:14" ht="15" x14ac:dyDescent="0.2">
      <c r="B40" s="74">
        <f t="shared" si="3"/>
        <v>16</v>
      </c>
      <c r="C40" s="26" t="s">
        <v>165</v>
      </c>
      <c r="D40" s="26">
        <v>2014</v>
      </c>
      <c r="E40" s="26" t="s">
        <v>29</v>
      </c>
      <c r="F40" s="351">
        <f t="array" ref="F40">INDEX('Capital Data Summary'!$F$38:$F$55,MATCH('Capital Stock Calculation'!$D40,'Capital Data Summary'!$D$38:$D$55,0))</f>
        <v>263960992.25076768</v>
      </c>
      <c r="G40" s="351">
        <f t="array" ref="G40">IF(D40=1999,"-",-(INDEX('Capital Data Summary'!G$38:G$55,MATCH('Capital Stock Calculation'!$D40,'Capital Data Summary'!$D$38:$D$55,0))))</f>
        <v>-52586501.431641668</v>
      </c>
      <c r="H40" s="37">
        <f t="array" ref="H40">INDEX('Handy-Whitman Index'!$B$3:$G$107,MATCH('Capital Stock Calculation'!$D40,'Handy-Whitman Index'!$A$3:$A$107,0),MATCH('Capital Stock Calculation'!$E40,'Handy-Whitman Index'!$B$2:$G$2,0))</f>
        <v>722</v>
      </c>
      <c r="I40" s="37">
        <f t="array" ref="I40">INDEX('Handy-Whitman Index'!$B$3:$G$107,(MATCH('Capital Stock Calculation'!$D40,'Handy-Whitman Index'!$A$3:$A$107)-33),MATCH('Capital Stock Calculation'!$E40,'Handy-Whitman Index'!$B$2:$G$2,0))</f>
        <v>202</v>
      </c>
      <c r="J40" s="38">
        <f t="shared" si="0"/>
        <v>7.22</v>
      </c>
      <c r="K40" s="38">
        <f t="shared" si="1"/>
        <v>2.02</v>
      </c>
      <c r="L40" s="38">
        <f t="shared" si="2"/>
        <v>36559694.217557855</v>
      </c>
      <c r="M40" s="38">
        <f t="shared" si="4"/>
        <v>-26032921.500812706</v>
      </c>
      <c r="N40" s="38">
        <f t="shared" si="5"/>
        <v>3966520224.3823128</v>
      </c>
    </row>
    <row r="41" spans="2:14" ht="15" x14ac:dyDescent="0.2">
      <c r="B41" s="74">
        <f t="shared" si="3"/>
        <v>17</v>
      </c>
      <c r="C41" s="26" t="s">
        <v>165</v>
      </c>
      <c r="D41" s="26">
        <v>2015</v>
      </c>
      <c r="E41" s="26" t="s">
        <v>29</v>
      </c>
      <c r="F41" s="351">
        <f t="array" ref="F41">INDEX('Capital Data Summary'!$F$38:$F$55,MATCH('Capital Stock Calculation'!$D41,'Capital Data Summary'!$D$38:$D$55,0))</f>
        <v>294333571.53146619</v>
      </c>
      <c r="G41" s="351">
        <f t="array" ref="G41">IF(D41=1999,"-",-(INDEX('Capital Data Summary'!G$38:G$55,MATCH('Capital Stock Calculation'!$D41,'Capital Data Summary'!$D$38:$D$55,0))))</f>
        <v>-57983504.280691952</v>
      </c>
      <c r="H41" s="37">
        <f t="array" ref="H41">INDEX('Handy-Whitman Index'!$B$3:$G$107,MATCH('Capital Stock Calculation'!$D41,'Handy-Whitman Index'!$A$3:$A$107,0),MATCH('Capital Stock Calculation'!$E41,'Handy-Whitman Index'!$B$2:$G$2,0))</f>
        <v>737.25</v>
      </c>
      <c r="I41" s="37">
        <f t="array" ref="I41">INDEX('Handy-Whitman Index'!$B$3:$G$107,(MATCH('Capital Stock Calculation'!$D41,'Handy-Whitman Index'!$A$3:$A$107)-33),MATCH('Capital Stock Calculation'!$E41,'Handy-Whitman Index'!$B$2:$G$2,0))</f>
        <v>215</v>
      </c>
      <c r="J41" s="38">
        <f t="shared" si="0"/>
        <v>7.3724999999999996</v>
      </c>
      <c r="K41" s="38">
        <f t="shared" si="1"/>
        <v>2.15</v>
      </c>
      <c r="L41" s="38">
        <f t="shared" si="2"/>
        <v>39923170.09582451</v>
      </c>
      <c r="M41" s="38">
        <f t="shared" si="4"/>
        <v>-26969071.758461375</v>
      </c>
      <c r="N41" s="38">
        <f t="shared" si="5"/>
        <v>3979474322.719676</v>
      </c>
    </row>
    <row r="42" spans="2:14" ht="15" x14ac:dyDescent="0.2">
      <c r="B42" s="74">
        <f t="shared" si="3"/>
        <v>18</v>
      </c>
      <c r="C42" s="26" t="s">
        <v>165</v>
      </c>
      <c r="D42" s="26">
        <v>2016</v>
      </c>
      <c r="E42" s="26" t="s">
        <v>29</v>
      </c>
      <c r="F42" s="351">
        <f t="array" ref="F42">INDEX('Capital Data Summary'!$F$38:$F$55,MATCH('Capital Stock Calculation'!$D42,'Capital Data Summary'!$D$38:$D$55,0))</f>
        <v>416436896.91243327</v>
      </c>
      <c r="G42" s="351">
        <f t="array" ref="G42">IF(D42=1999,"-",-(INDEX('Capital Data Summary'!G$38:G$55,MATCH('Capital Stock Calculation'!$D42,'Capital Data Summary'!$D$38:$D$55,0))))</f>
        <v>-51312662.316729777</v>
      </c>
      <c r="H42" s="37">
        <f t="array" ref="H42">INDEX('Handy-Whitman Index'!$B$3:$G$107,MATCH('Capital Stock Calculation'!$D42,'Handy-Whitman Index'!$A$3:$A$107,0),MATCH('Capital Stock Calculation'!$E42,'Handy-Whitman Index'!$B$2:$G$2,0))</f>
        <v>746.5</v>
      </c>
      <c r="I42" s="37">
        <f t="array" ref="I42">INDEX('Handy-Whitman Index'!$B$3:$G$107,(MATCH('Capital Stock Calculation'!$D42,'Handy-Whitman Index'!$A$3:$A$107)-33),MATCH('Capital Stock Calculation'!$E42,'Handy-Whitman Index'!$B$2:$G$2,0))</f>
        <v>223</v>
      </c>
      <c r="J42" s="38">
        <f t="shared" si="0"/>
        <v>7.4649999999999999</v>
      </c>
      <c r="K42" s="38">
        <f t="shared" si="1"/>
        <v>2.23</v>
      </c>
      <c r="L42" s="38">
        <f t="shared" si="2"/>
        <v>55785250.758530915</v>
      </c>
      <c r="M42" s="38">
        <f t="shared" si="4"/>
        <v>-23010162.473869856</v>
      </c>
      <c r="N42" s="38">
        <f t="shared" si="5"/>
        <v>4012249411.0043373</v>
      </c>
    </row>
    <row r="43" spans="2:14" ht="15" x14ac:dyDescent="0.2">
      <c r="B43" s="353" t="s">
        <v>453</v>
      </c>
    </row>
    <row r="44" spans="2:14" ht="15" x14ac:dyDescent="0.2">
      <c r="B44" s="353" t="s">
        <v>459</v>
      </c>
    </row>
  </sheetData>
  <conditionalFormatting sqref="C11:F12 C13:G14 H11:O14">
    <cfRule type="containsText" dxfId="5" priority="13" operator="containsText" text="See Memo on TFP Update for Enbridge">
      <formula>NOT(ISERROR(SEARCH("See Memo on TFP Update for Enbridge",C11)))</formula>
    </cfRule>
  </conditionalFormatting>
  <conditionalFormatting sqref="G11:G12">
    <cfRule type="containsText" dxfId="4" priority="12" operator="containsText" text="See Memo on TFP Update for Enbridge">
      <formula>NOT(ISERROR(SEARCH("See Memo on TFP Update for Enbridge",G11)))</formula>
    </cfRule>
  </conditionalFormatting>
  <conditionalFormatting sqref="B11:B14">
    <cfRule type="containsText" dxfId="3" priority="11" operator="containsText" text="See Memo on TFP Update for Enbridge">
      <formula>NOT(ISERROR(SEARCH("See Memo on TFP Update for Enbridge",B11)))</formula>
    </cfRule>
  </conditionalFormatting>
  <conditionalFormatting sqref="B21:B24">
    <cfRule type="containsText" dxfId="2" priority="8" operator="containsText" text="See Memo on TFP Update for Enbridge">
      <formula>NOT(ISERROR(SEARCH("See Memo on TFP Update for Enbridge",B21)))</formula>
    </cfRule>
  </conditionalFormatting>
  <conditionalFormatting sqref="C21:N24">
    <cfRule type="containsText" dxfId="1" priority="9" operator="containsText" text="See Memo on TFP Update for Enbridge">
      <formula>NOT(ISERROR(SEARCH("See Memo on TFP Update for Enbridge",C21)))</formula>
    </cfRule>
  </conditionalFormatting>
  <pageMargins left="0.2" right="0.2" top="0.75" bottom="0.75" header="0.3" footer="0.3"/>
  <pageSetup scale="50" orientation="landscape" r:id="rId1"/>
  <drawing r:id="rId2"/>
  <legacyDrawing r:id="rId3"/>
  <oleObjects>
    <mc:AlternateContent xmlns:mc="http://schemas.openxmlformats.org/markup-compatibility/2006">
      <mc:Choice Requires="x14">
        <oleObject progId="Equation.3" shapeId="6146" r:id="rId4">
          <objectPr defaultSize="0" autoPict="0" r:id="rId5">
            <anchor moveWithCells="1" sizeWithCells="1">
              <from>
                <xdr:col>13</xdr:col>
                <xdr:colOff>247650</xdr:colOff>
                <xdr:row>23</xdr:row>
                <xdr:rowOff>47625</xdr:rowOff>
              </from>
              <to>
                <xdr:col>13</xdr:col>
                <xdr:colOff>1552575</xdr:colOff>
                <xdr:row>24</xdr:row>
                <xdr:rowOff>19050</xdr:rowOff>
              </to>
            </anchor>
          </objectPr>
        </oleObject>
      </mc:Choice>
      <mc:Fallback>
        <oleObject progId="Equation.3" shapeId="6146" r:id="rId4"/>
      </mc:Fallback>
    </mc:AlternateContent>
  </oleObjec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Y55"/>
  <sheetViews>
    <sheetView showGridLines="0" view="pageBreakPreview" topLeftCell="B4" zoomScale="60" zoomScaleNormal="75" workbookViewId="0">
      <selection activeCell="O11" sqref="O11:Q30"/>
    </sheetView>
  </sheetViews>
  <sheetFormatPr defaultColWidth="9.140625" defaultRowHeight="12.75" x14ac:dyDescent="0.2"/>
  <cols>
    <col min="1" max="1" width="9.140625" style="1"/>
    <col min="2" max="2" width="7.28515625" style="1" customWidth="1"/>
    <col min="3" max="3" width="24.7109375" style="1" customWidth="1"/>
    <col min="4" max="4" width="12.42578125" style="1" customWidth="1"/>
    <col min="5" max="5" width="14.42578125" style="1" customWidth="1"/>
    <col min="6" max="6" width="20.28515625" style="1" customWidth="1"/>
    <col min="7" max="7" width="18.140625" style="1" customWidth="1"/>
    <col min="8" max="8" width="17.140625" style="1" customWidth="1"/>
    <col min="9" max="9" width="16.5703125" style="1" customWidth="1"/>
    <col min="10" max="10" width="19.140625" style="1" customWidth="1"/>
    <col min="11" max="11" width="17.28515625" style="1" customWidth="1"/>
    <col min="12" max="12" width="18.5703125" style="1" customWidth="1"/>
    <col min="13" max="14" width="17.140625" style="1" customWidth="1"/>
    <col min="15" max="15" width="7.28515625" style="1" customWidth="1"/>
    <col min="16" max="16" width="26.42578125" style="1" customWidth="1"/>
    <col min="17" max="17" width="12.42578125" style="1" customWidth="1"/>
    <col min="18" max="18" width="16.85546875" style="1" bestFit="1" customWidth="1"/>
    <col min="19" max="25" width="17.140625" style="1" customWidth="1"/>
    <col min="26" max="16384" width="9.140625" style="1"/>
  </cols>
  <sheetData>
    <row r="2" spans="2:25" ht="18.75" x14ac:dyDescent="0.3">
      <c r="B2" s="28" t="str">
        <f ca="1">MID(CELL("filename",A1),FIND("]",CELL("filename",A1))+1,256)</f>
        <v>Capital Data Summary</v>
      </c>
      <c r="F2" s="2"/>
    </row>
    <row r="4" spans="2:25" ht="15" x14ac:dyDescent="0.25">
      <c r="B4" s="29" t="s">
        <v>40</v>
      </c>
      <c r="C4" s="29"/>
    </row>
    <row r="5" spans="2:25" ht="15" x14ac:dyDescent="0.25">
      <c r="B5" s="30" t="s">
        <v>421</v>
      </c>
      <c r="C5" s="30"/>
    </row>
    <row r="7" spans="2:25" ht="15.75" x14ac:dyDescent="0.25">
      <c r="B7" s="31" t="str">
        <f ca="1">B2</f>
        <v>Capital Data Summary</v>
      </c>
      <c r="C7" s="32"/>
      <c r="D7" s="32"/>
      <c r="E7" s="32"/>
      <c r="F7" s="32"/>
      <c r="G7" s="32"/>
      <c r="H7" s="32"/>
    </row>
    <row r="8" spans="2:25" ht="15" x14ac:dyDescent="0.25">
      <c r="B8" s="33"/>
      <c r="C8" s="34"/>
    </row>
    <row r="9" spans="2:25" ht="15" x14ac:dyDescent="0.25">
      <c r="B9" s="35" t="s">
        <v>42</v>
      </c>
      <c r="C9" s="36"/>
      <c r="D9" s="36" t="s">
        <v>422</v>
      </c>
      <c r="E9" s="36"/>
      <c r="F9" s="36"/>
      <c r="G9" s="36"/>
      <c r="H9" s="36"/>
    </row>
    <row r="11" spans="2:25" ht="15" x14ac:dyDescent="0.25">
      <c r="B11" s="76"/>
      <c r="C11" s="76"/>
      <c r="D11" s="76"/>
      <c r="E11" s="76"/>
      <c r="F11" s="76"/>
      <c r="G11" s="76"/>
      <c r="H11" s="76"/>
      <c r="I11" s="76"/>
      <c r="J11" s="76"/>
      <c r="K11" s="76"/>
      <c r="L11" s="76"/>
      <c r="M11" s="76"/>
      <c r="N11" s="76"/>
      <c r="O11" s="76"/>
      <c r="P11" s="76"/>
      <c r="Q11" s="76"/>
      <c r="R11" s="76"/>
      <c r="S11" s="76"/>
      <c r="T11" s="76"/>
      <c r="U11" s="76"/>
      <c r="V11" s="76"/>
      <c r="W11" s="76"/>
      <c r="X11" s="78"/>
      <c r="Y11" s="78"/>
    </row>
    <row r="12" spans="2:25" s="52" customFormat="1" ht="45" x14ac:dyDescent="0.25">
      <c r="B12" s="77"/>
      <c r="C12" s="78" t="s">
        <v>1</v>
      </c>
      <c r="D12" s="78" t="s">
        <v>0</v>
      </c>
      <c r="E12" s="78" t="s">
        <v>423</v>
      </c>
      <c r="F12" s="78" t="s">
        <v>426</v>
      </c>
      <c r="G12" s="78" t="s">
        <v>425</v>
      </c>
      <c r="H12" s="78" t="s">
        <v>427</v>
      </c>
      <c r="I12" s="78" t="s">
        <v>428</v>
      </c>
      <c r="J12" s="78" t="s">
        <v>429</v>
      </c>
      <c r="K12" s="78" t="s">
        <v>430</v>
      </c>
      <c r="L12" s="78" t="s">
        <v>431</v>
      </c>
      <c r="M12" s="78" t="s">
        <v>432</v>
      </c>
      <c r="N12" s="78" t="s">
        <v>433</v>
      </c>
      <c r="O12" s="77"/>
      <c r="P12" s="78" t="s">
        <v>1</v>
      </c>
      <c r="Q12" s="78" t="s">
        <v>0</v>
      </c>
      <c r="R12" s="78" t="s">
        <v>434</v>
      </c>
      <c r="S12" s="78" t="s">
        <v>435</v>
      </c>
      <c r="T12" s="78" t="s">
        <v>436</v>
      </c>
      <c r="U12" s="78" t="s">
        <v>437</v>
      </c>
      <c r="V12" s="78" t="s">
        <v>438</v>
      </c>
      <c r="W12" s="78" t="s">
        <v>8</v>
      </c>
      <c r="X12" s="78" t="s">
        <v>439</v>
      </c>
      <c r="Y12" s="78" t="s">
        <v>440</v>
      </c>
    </row>
    <row r="13" spans="2:25" ht="15" x14ac:dyDescent="0.25">
      <c r="B13" s="339">
        <v>1</v>
      </c>
      <c r="C13" s="75" t="s">
        <v>165</v>
      </c>
      <c r="D13" s="75">
        <v>1999</v>
      </c>
      <c r="E13" s="340">
        <f t="array" ref="E13">INDEX('From Union (2)'!$BJ$42:$BJ$61,MATCH('Capital Data Summary'!D13,'From Union (2)'!$C$42:$C$61,0))</f>
        <v>2493140224</v>
      </c>
      <c r="F13" s="340">
        <f t="array" ref="F13">INDEX('From Union'!$B$64:$BE$64,MATCH('Capital Data Summary'!$D13,'From Union'!$B$1:$BE$1,0))</f>
        <v>704026392.12000012</v>
      </c>
      <c r="G13" s="347">
        <f t="shared" ref="G13:G30" si="0">E13-F13</f>
        <v>1789113831.8799999</v>
      </c>
      <c r="H13" s="340">
        <f t="array" ref="H13">INDEX('From Union (2)'!$BG$42:$BG$61,MATCH('Capital Data Summary'!$D13,'From Union (2)'!$C$42:$C$61,0))</f>
        <v>10041189</v>
      </c>
      <c r="I13" s="340">
        <f t="array" ref="I13">INDEX('From Union'!$B$57:$BE$57,MATCH('Capital Data Summary'!$D13,'From Union'!$B$1:$BE$1,0))</f>
        <v>2935187.55</v>
      </c>
      <c r="J13" s="347">
        <f t="shared" ref="J13:J30" si="1">H13-I13</f>
        <v>7106001.4500000002</v>
      </c>
      <c r="K13" s="340">
        <f t="array" ref="K13">INDEX('From Union (2)'!$BH$42:$BH$61,MATCH('Capital Data Summary'!$D13,'From Union (2)'!$C$42:$C$61,0))</f>
        <v>490387552</v>
      </c>
      <c r="L13" s="340">
        <f t="array" ref="L13">INDEX('From Union'!$B$58:$BE$58,MATCH('Capital Data Summary'!$D13,'From Union'!$B$1:$BE$1,0))</f>
        <v>124012275.95999999</v>
      </c>
      <c r="M13" s="347">
        <f t="shared" ref="M13:M30" si="2">K13-L13</f>
        <v>366375276.04000002</v>
      </c>
      <c r="N13" s="340">
        <f t="array" ref="N13">INDEX('From Union (2)'!$BI$42:$BI$61,MATCH('Capital Data Summary'!$D13,'From Union (2)'!$C$42:$C$61,0))</f>
        <v>978968512</v>
      </c>
      <c r="O13" s="339">
        <v>1</v>
      </c>
      <c r="P13" s="75" t="s">
        <v>165</v>
      </c>
      <c r="Q13" s="75">
        <v>1999</v>
      </c>
      <c r="R13" s="340">
        <f t="array" ref="R13">INDEX('From Union'!$B$63:$BE$63,MATCH('Capital Data Summary'!$D13,'From Union'!$B$1:$BE$1,0))</f>
        <v>274026217.65999997</v>
      </c>
      <c r="S13" s="347">
        <f t="shared" ref="S13:S30" si="3">N13-R13</f>
        <v>704942294.34000003</v>
      </c>
      <c r="T13" s="340">
        <f t="array" ref="T13">INDEX('From Union (2)'!$BK$42:$BK$61,MATCH('Capital Data Summary'!$D13,'From Union (2)'!$C$42:$C$61,0))</f>
        <v>258850944</v>
      </c>
      <c r="U13" s="340">
        <f t="array" ref="U13">INDEX('From Union'!$B$65:$BE$65,MATCH('Capital Data Summary'!$D13,'From Union'!$B$1:$BE$1,0))</f>
        <v>99823043.620000035</v>
      </c>
      <c r="V13" s="347">
        <f t="shared" ref="V13:V30" si="4">T13-U13</f>
        <v>159027900.37999997</v>
      </c>
      <c r="W13" s="347">
        <f t="shared" ref="W13:W30" si="5">G13+J13+M13+S13+V13</f>
        <v>3026565304.0900002</v>
      </c>
      <c r="X13" s="340">
        <f t="array" ref="X13">INDEX('From Union (2)'!$BU$42:$BU$61,MATCH('Capital Data Summary'!$D13,'From Union (2)'!$C$42:$C$61,0))</f>
        <v>220112096</v>
      </c>
      <c r="Y13" s="340" t="str">
        <f>IFERROR(INDEX('Retirements Data'!$C$5:$C$21,MATCH('Capital Data Summary'!D13,'Retirements Data'!$B$5:$B$21,0))*1000000,"-")</f>
        <v>-</v>
      </c>
    </row>
    <row r="14" spans="2:25" ht="15" x14ac:dyDescent="0.25">
      <c r="B14" s="339">
        <f t="shared" ref="B14:B30" si="6">B13+1</f>
        <v>2</v>
      </c>
      <c r="C14" s="75" t="s">
        <v>165</v>
      </c>
      <c r="D14" s="75">
        <v>2000</v>
      </c>
      <c r="E14" s="340">
        <f t="array" ref="E14">INDEX('From Union (2)'!$BJ$42:$BJ$61,MATCH('Capital Data Summary'!D14,'From Union (2)'!$C$42:$C$61,0))</f>
        <v>2599400991.3400002</v>
      </c>
      <c r="F14" s="340">
        <f t="array" ref="F14">INDEX('From Union'!$B$64:$BE$64,MATCH('Capital Data Summary'!$D14,'From Union'!$B$1:$BE$1,0))</f>
        <v>770309546.16999996</v>
      </c>
      <c r="G14" s="347">
        <f t="shared" si="0"/>
        <v>1829091445.1700001</v>
      </c>
      <c r="H14" s="340">
        <f t="array" ref="H14">INDEX('From Union (2)'!$BG$42:$BG$61,MATCH('Capital Data Summary'!$D14,'From Union (2)'!$C$42:$C$61,0))</f>
        <v>10177022</v>
      </c>
      <c r="I14" s="340">
        <f t="array" ref="I14">INDEX('From Union'!$B$57:$BE$57,MATCH('Capital Data Summary'!$D14,'From Union'!$B$1:$BE$1,0))</f>
        <v>3325950.89</v>
      </c>
      <c r="J14" s="347">
        <f t="shared" si="1"/>
        <v>6851071.1099999994</v>
      </c>
      <c r="K14" s="340">
        <f t="array" ref="K14">INDEX('From Union (2)'!$BH$42:$BH$61,MATCH('Capital Data Summary'!$D14,'From Union (2)'!$C$42:$C$61,0))</f>
        <v>538127936</v>
      </c>
      <c r="L14" s="340">
        <f t="array" ref="L14">INDEX('From Union'!$B$58:$BE$58,MATCH('Capital Data Summary'!$D14,'From Union'!$B$1:$BE$1,0))</f>
        <v>137213895.90000001</v>
      </c>
      <c r="M14" s="347">
        <f t="shared" si="2"/>
        <v>400914040.10000002</v>
      </c>
      <c r="N14" s="340">
        <f t="array" ref="N14">INDEX('From Union (2)'!$BI$42:$BI$61,MATCH('Capital Data Summary'!$D14,'From Union (2)'!$C$42:$C$61,0))</f>
        <v>995149824</v>
      </c>
      <c r="O14" s="339">
        <f t="shared" ref="O14:O30" si="7">O13+1</f>
        <v>2</v>
      </c>
      <c r="P14" s="75" t="s">
        <v>165</v>
      </c>
      <c r="Q14" s="75">
        <v>2000</v>
      </c>
      <c r="R14" s="340">
        <f t="array" ref="R14">INDEX('From Union'!$B$63:$BE$63,MATCH('Capital Data Summary'!$D14,'From Union'!$B$1:$BE$1,0))</f>
        <v>299661899.80000001</v>
      </c>
      <c r="S14" s="347">
        <f t="shared" si="3"/>
        <v>695487924.20000005</v>
      </c>
      <c r="T14" s="340">
        <f t="array" ref="T14">INDEX('From Union (2)'!$BK$42:$BK$61,MATCH('Capital Data Summary'!$D14,'From Union (2)'!$C$42:$C$61,0))</f>
        <v>250856992</v>
      </c>
      <c r="U14" s="340">
        <f t="array" ref="U14">INDEX('From Union'!$B$65:$BE$65,MATCH('Capital Data Summary'!$D14,'From Union'!$B$1:$BE$1,0))</f>
        <v>95313240.299999997</v>
      </c>
      <c r="V14" s="347">
        <f t="shared" si="4"/>
        <v>155543751.69999999</v>
      </c>
      <c r="W14" s="347">
        <f t="shared" si="5"/>
        <v>3087888232.2799997</v>
      </c>
      <c r="X14" s="340">
        <f>'Union Transmission Additions'!D3</f>
        <v>206167857</v>
      </c>
      <c r="Y14" s="340">
        <f>IFERROR(INDEX('Retirements Data'!$C$5:$C$21,MATCH('Capital Data Summary'!D14,'Retirements Data'!$B$5:$B$21,0))*1000000,"-")</f>
        <v>53300000</v>
      </c>
    </row>
    <row r="15" spans="2:25" ht="15" x14ac:dyDescent="0.25">
      <c r="B15" s="339">
        <f t="shared" si="6"/>
        <v>3</v>
      </c>
      <c r="C15" s="75" t="s">
        <v>165</v>
      </c>
      <c r="D15" s="75">
        <v>2001</v>
      </c>
      <c r="E15" s="340">
        <f t="array" ref="E15">INDEX('From Union (2)'!$BJ$42:$BJ$61,MATCH('Capital Data Summary'!D15,'From Union (2)'!$C$42:$C$61,0))</f>
        <v>2700473712.23</v>
      </c>
      <c r="F15" s="340">
        <f t="array" ref="F15">INDEX('From Union'!$B$64:$BE$64,MATCH('Capital Data Summary'!$D15,'From Union'!$B$1:$BE$1,0))</f>
        <v>840012546.16999996</v>
      </c>
      <c r="G15" s="347">
        <f t="shared" si="0"/>
        <v>1860461166.0599999</v>
      </c>
      <c r="H15" s="340">
        <f t="array" ref="H15">INDEX('From Union (2)'!$BG$42:$BG$61,MATCH('Capital Data Summary'!$D15,'From Union (2)'!$C$42:$C$61,0))</f>
        <v>10926022</v>
      </c>
      <c r="I15" s="340">
        <f t="array" ref="I15">INDEX('From Union'!$B$57:$BE$57,MATCH('Capital Data Summary'!$D15,'From Union'!$B$1:$BE$1,0))</f>
        <v>3733950.89</v>
      </c>
      <c r="J15" s="347">
        <f t="shared" si="1"/>
        <v>7192071.1099999994</v>
      </c>
      <c r="K15" s="340">
        <f t="array" ref="K15">INDEX('From Union (2)'!$BH$42:$BH$61,MATCH('Capital Data Summary'!$D15,'From Union (2)'!$C$42:$C$61,0))</f>
        <v>562158976</v>
      </c>
      <c r="L15" s="340">
        <f t="array" ref="L15">INDEX('From Union'!$B$58:$BE$58,MATCH('Capital Data Summary'!$D15,'From Union'!$B$1:$BE$1,0))</f>
        <v>152856895.90000001</v>
      </c>
      <c r="M15" s="347">
        <f t="shared" si="2"/>
        <v>409302080.10000002</v>
      </c>
      <c r="N15" s="340">
        <f t="array" ref="N15">INDEX('From Union (2)'!$BI$42:$BI$61,MATCH('Capital Data Summary'!$D15,'From Union (2)'!$C$42:$C$61,0))</f>
        <v>1045951808</v>
      </c>
      <c r="O15" s="339">
        <f t="shared" si="7"/>
        <v>3</v>
      </c>
      <c r="P15" s="75" t="s">
        <v>165</v>
      </c>
      <c r="Q15" s="75">
        <v>2001</v>
      </c>
      <c r="R15" s="340">
        <f t="array" ref="R15">INDEX('From Union'!$B$63:$BE$63,MATCH('Capital Data Summary'!$D15,'From Union'!$B$1:$BE$1,0))</f>
        <v>325117899.80000001</v>
      </c>
      <c r="S15" s="347">
        <f t="shared" si="3"/>
        <v>720833908.20000005</v>
      </c>
      <c r="T15" s="340">
        <f t="array" ref="T15">INDEX('From Union (2)'!$BK$42:$BK$61,MATCH('Capital Data Summary'!$D15,'From Union (2)'!$C$42:$C$61,0))</f>
        <v>262716896</v>
      </c>
      <c r="U15" s="340">
        <f t="array" ref="U15">INDEX('From Union'!$B$65:$BE$65,MATCH('Capital Data Summary'!$D15,'From Union'!$B$1:$BE$1,0))</f>
        <v>108471240.3</v>
      </c>
      <c r="V15" s="347">
        <f t="shared" si="4"/>
        <v>154245655.69999999</v>
      </c>
      <c r="W15" s="347">
        <f t="shared" si="5"/>
        <v>3152034881.1700001</v>
      </c>
      <c r="X15" s="340">
        <f>'Union Transmission Additions'!D4</f>
        <v>166623361</v>
      </c>
      <c r="Y15" s="340">
        <f>IFERROR(INDEX('Retirements Data'!$C$5:$C$21,MATCH('Capital Data Summary'!D15,'Retirements Data'!$B$5:$B$21,0))*1000000,"-")</f>
        <v>30400000</v>
      </c>
    </row>
    <row r="16" spans="2:25" ht="15" x14ac:dyDescent="0.25">
      <c r="B16" s="339">
        <f t="shared" si="6"/>
        <v>4</v>
      </c>
      <c r="C16" s="75" t="s">
        <v>165</v>
      </c>
      <c r="D16" s="75">
        <v>2002</v>
      </c>
      <c r="E16" s="340">
        <f t="array" ref="E16">INDEX('From Union (2)'!$BJ$42:$BJ$61,MATCH('Capital Data Summary'!D16,'From Union (2)'!$C$42:$C$61,0))</f>
        <v>2806591232</v>
      </c>
      <c r="F16" s="340">
        <f t="array" ref="F16">INDEX('From Union'!$B$64:$BE$64,MATCH('Capital Data Summary'!$D16,'From Union'!$B$1:$BE$1,0))</f>
        <v>911656546.16999996</v>
      </c>
      <c r="G16" s="347">
        <f t="shared" si="0"/>
        <v>1894934685.8299999</v>
      </c>
      <c r="H16" s="340">
        <f t="array" ref="H16">INDEX('From Union (2)'!$BG$42:$BG$61,MATCH('Capital Data Summary'!$D16,'From Union (2)'!$C$42:$C$61,0))</f>
        <v>12163022</v>
      </c>
      <c r="I16" s="340">
        <f t="array" ref="I16">INDEX('From Union'!$B$57:$BE$57,MATCH('Capital Data Summary'!$D16,'From Union'!$B$1:$BE$1,0))</f>
        <v>4177950.89</v>
      </c>
      <c r="J16" s="347">
        <f t="shared" si="1"/>
        <v>7985071.1099999994</v>
      </c>
      <c r="K16" s="340">
        <f t="array" ref="K16">INDEX('From Union (2)'!$BH$42:$BH$61,MATCH('Capital Data Summary'!$D16,'From Union (2)'!$C$42:$C$61,0))</f>
        <v>571033984</v>
      </c>
      <c r="L16" s="340">
        <f t="array" ref="L16">INDEX('From Union'!$B$58:$BE$58,MATCH('Capital Data Summary'!$D16,'From Union'!$B$1:$BE$1,0))</f>
        <v>169132895.90000001</v>
      </c>
      <c r="M16" s="347">
        <f t="shared" si="2"/>
        <v>401901088.10000002</v>
      </c>
      <c r="N16" s="340">
        <f t="array" ref="N16">INDEX('From Union (2)'!$BI$42:$BI$61,MATCH('Capital Data Summary'!$D16,'From Union (2)'!$C$42:$C$61,0))</f>
        <v>1106308864</v>
      </c>
      <c r="O16" s="339">
        <f t="shared" si="7"/>
        <v>4</v>
      </c>
      <c r="P16" s="75" t="s">
        <v>165</v>
      </c>
      <c r="Q16" s="75">
        <v>2002</v>
      </c>
      <c r="R16" s="340">
        <f t="array" ref="R16">INDEX('From Union'!$B$63:$BE$63,MATCH('Capital Data Summary'!$D16,'From Union'!$B$1:$BE$1,0))</f>
        <v>350900899.80000001</v>
      </c>
      <c r="S16" s="347">
        <f t="shared" si="3"/>
        <v>755407964.20000005</v>
      </c>
      <c r="T16" s="340">
        <f t="array" ref="T16">INDEX('From Union (2)'!$BK$42:$BK$61,MATCH('Capital Data Summary'!$D16,'From Union (2)'!$C$42:$C$61,0))</f>
        <v>231697264</v>
      </c>
      <c r="U16" s="340">
        <f t="array" ref="U16">INDEX('From Union'!$B$65:$BE$65,MATCH('Capital Data Summary'!$D16,'From Union'!$B$1:$BE$1,0))</f>
        <v>93414240.299999997</v>
      </c>
      <c r="V16" s="347">
        <f t="shared" si="4"/>
        <v>138283023.69999999</v>
      </c>
      <c r="W16" s="347">
        <f t="shared" si="5"/>
        <v>3198511832.9399996</v>
      </c>
      <c r="X16" s="340">
        <f>'Union Transmission Additions'!D5</f>
        <v>165377412</v>
      </c>
      <c r="Y16" s="340">
        <f>IFERROR(INDEX('Retirements Data'!$C$5:$C$21,MATCH('Capital Data Summary'!D16,'Retirements Data'!$B$5:$B$21,0))*1000000,"-")</f>
        <v>67400000</v>
      </c>
    </row>
    <row r="17" spans="2:25" ht="15" x14ac:dyDescent="0.25">
      <c r="B17" s="339">
        <f t="shared" si="6"/>
        <v>5</v>
      </c>
      <c r="C17" s="75" t="s">
        <v>165</v>
      </c>
      <c r="D17" s="75">
        <v>2003</v>
      </c>
      <c r="E17" s="340">
        <f t="array" ref="E17">INDEX('From Union (2)'!$BJ$42:$BJ$61,MATCH('Capital Data Summary'!D17,'From Union (2)'!$C$42:$C$61,0))</f>
        <v>2753707264</v>
      </c>
      <c r="F17" s="340">
        <f t="array" ref="F17">INDEX('From Union'!$B$64:$BE$64,MATCH('Capital Data Summary'!$D17,'From Union'!$B$1:$BE$1,0))</f>
        <v>952117449.30000007</v>
      </c>
      <c r="G17" s="347">
        <f t="shared" si="0"/>
        <v>1801589814.6999998</v>
      </c>
      <c r="H17" s="340">
        <f t="array" ref="H17">INDEX('From Union (2)'!$BG$42:$BG$61,MATCH('Capital Data Summary'!$D17,'From Union (2)'!$C$42:$C$61,0))</f>
        <v>12195908</v>
      </c>
      <c r="I17" s="340">
        <f t="array" ref="I17">INDEX('From Union'!$B$57:$BE$57,MATCH('Capital Data Summary'!$D17,'From Union'!$B$1:$BE$1,0))</f>
        <v>4644998.7300000004</v>
      </c>
      <c r="J17" s="347">
        <f t="shared" si="1"/>
        <v>7550909.2699999996</v>
      </c>
      <c r="K17" s="340">
        <f t="array" ref="K17">INDEX('From Union (2)'!$BH$42:$BH$61,MATCH('Capital Data Summary'!$D17,'From Union (2)'!$C$42:$C$61,0))</f>
        <v>574880256</v>
      </c>
      <c r="L17" s="340">
        <f t="array" ref="L17">INDEX('From Union'!$B$58:$BE$58,MATCH('Capital Data Summary'!$D17,'From Union'!$B$1:$BE$1,0))</f>
        <v>187995974.89999998</v>
      </c>
      <c r="M17" s="347">
        <f t="shared" si="2"/>
        <v>386884281.10000002</v>
      </c>
      <c r="N17" s="340">
        <f t="array" ref="N17">INDEX('From Union (2)'!$BI$42:$BI$61,MATCH('Capital Data Summary'!$D17,'From Union (2)'!$C$42:$C$61,0))</f>
        <v>1105423104</v>
      </c>
      <c r="O17" s="339">
        <f t="shared" si="7"/>
        <v>5</v>
      </c>
      <c r="P17" s="75" t="s">
        <v>165</v>
      </c>
      <c r="Q17" s="75">
        <v>2003</v>
      </c>
      <c r="R17" s="340">
        <f t="array" ref="R17">INDEX('From Union'!$B$63:$BE$63,MATCH('Capital Data Summary'!$D17,'From Union'!$B$1:$BE$1,0))</f>
        <v>373092258.27999997</v>
      </c>
      <c r="S17" s="347">
        <f t="shared" si="3"/>
        <v>732330845.72000003</v>
      </c>
      <c r="T17" s="340">
        <f t="array" ref="T17">INDEX('From Union (2)'!$BK$42:$BK$61,MATCH('Capital Data Summary'!$D17,'From Union (2)'!$C$42:$C$61,0))</f>
        <v>230246720</v>
      </c>
      <c r="U17" s="340">
        <f t="array" ref="U17">INDEX('From Union'!$B$65:$BE$65,MATCH('Capital Data Summary'!$D17,'From Union'!$B$1:$BE$1,0))</f>
        <v>104469192.98</v>
      </c>
      <c r="V17" s="347">
        <f t="shared" si="4"/>
        <v>125777527.02</v>
      </c>
      <c r="W17" s="347">
        <f t="shared" si="5"/>
        <v>3054133377.8099999</v>
      </c>
      <c r="X17" s="340">
        <f>'Union Transmission Additions'!D6</f>
        <v>130819204</v>
      </c>
      <c r="Y17" s="340">
        <f>IFERROR(INDEX('Retirements Data'!$C$5:$C$21,MATCH('Capital Data Summary'!D17,'Retirements Data'!$B$5:$B$21,0))*1000000,"-")</f>
        <v>28300000</v>
      </c>
    </row>
    <row r="18" spans="2:25" ht="15" x14ac:dyDescent="0.25">
      <c r="B18" s="339">
        <f t="shared" si="6"/>
        <v>6</v>
      </c>
      <c r="C18" s="75" t="s">
        <v>165</v>
      </c>
      <c r="D18" s="75">
        <v>2004</v>
      </c>
      <c r="E18" s="340">
        <f t="array" ref="E18">INDEX('From Union (2)'!$BJ$42:$BJ$61,MATCH('Capital Data Summary'!D18,'From Union (2)'!$C$42:$C$61,0))</f>
        <v>2845384192</v>
      </c>
      <c r="F18" s="340">
        <f t="array" ref="F18">INDEX('From Union'!$B$64:$BE$64,MATCH('Capital Data Summary'!$D18,'From Union'!$B$1:$BE$1,0))</f>
        <v>1026502951.6700001</v>
      </c>
      <c r="G18" s="347">
        <f t="shared" si="0"/>
        <v>1818881240.3299999</v>
      </c>
      <c r="H18" s="340">
        <f t="array" ref="H18">INDEX('From Union (2)'!$BG$42:$BG$61,MATCH('Capital Data Summary'!$D18,'From Union (2)'!$C$42:$C$61,0))</f>
        <v>12242618</v>
      </c>
      <c r="I18" s="340">
        <f t="array" ref="I18">INDEX('From Union'!$B$57:$BE$57,MATCH('Capital Data Summary'!$D18,'From Union'!$B$1:$BE$1,0))</f>
        <v>11781479.120000001</v>
      </c>
      <c r="J18" s="347">
        <f t="shared" si="1"/>
        <v>461138.87999999896</v>
      </c>
      <c r="K18" s="340">
        <f t="array" ref="K18">INDEX('From Union (2)'!$BH$42:$BH$61,MATCH('Capital Data Summary'!$D18,'From Union (2)'!$C$42:$C$61,0))</f>
        <v>577283840</v>
      </c>
      <c r="L18" s="340">
        <f t="array" ref="L18">INDEX('From Union'!$B$58:$BE$58,MATCH('Capital Data Summary'!$D18,'From Union'!$B$1:$BE$1,0))</f>
        <v>202811274.47</v>
      </c>
      <c r="M18" s="347">
        <f t="shared" si="2"/>
        <v>374472565.52999997</v>
      </c>
      <c r="N18" s="340">
        <f t="array" ref="N18">INDEX('From Union (2)'!$BI$42:$BI$61,MATCH('Capital Data Summary'!$D18,'From Union (2)'!$C$42:$C$61,0))</f>
        <v>1122963968</v>
      </c>
      <c r="O18" s="339">
        <f t="shared" si="7"/>
        <v>6</v>
      </c>
      <c r="P18" s="75" t="s">
        <v>165</v>
      </c>
      <c r="Q18" s="75">
        <v>2004</v>
      </c>
      <c r="R18" s="340">
        <f t="array" ref="R18">INDEX('From Union'!$B$63:$BE$63,MATCH('Capital Data Summary'!$D18,'From Union'!$B$1:$BE$1,0))</f>
        <v>394440257.61000007</v>
      </c>
      <c r="S18" s="347">
        <f t="shared" si="3"/>
        <v>728523710.38999987</v>
      </c>
      <c r="T18" s="340">
        <f t="array" ref="T18">INDEX('From Union (2)'!$BK$42:$BK$61,MATCH('Capital Data Summary'!$D18,'From Union (2)'!$C$42:$C$61,0))</f>
        <v>218145744</v>
      </c>
      <c r="U18" s="340">
        <f t="array" ref="U18">INDEX('From Union'!$B$65:$BE$65,MATCH('Capital Data Summary'!$D18,'From Union'!$B$1:$BE$1,0))</f>
        <v>102956693.89</v>
      </c>
      <c r="V18" s="347">
        <f t="shared" si="4"/>
        <v>115189050.11</v>
      </c>
      <c r="W18" s="347">
        <f t="shared" si="5"/>
        <v>3037527705.2399998</v>
      </c>
      <c r="X18" s="340">
        <f>'Union Transmission Additions'!D7</f>
        <v>135226863</v>
      </c>
      <c r="Y18" s="340">
        <f>IFERROR(INDEX('Retirements Data'!$C$5:$C$21,MATCH('Capital Data Summary'!D18,'Retirements Data'!$B$5:$B$21,0))*1000000,"-")</f>
        <v>40700000</v>
      </c>
    </row>
    <row r="19" spans="2:25" ht="15" x14ac:dyDescent="0.25">
      <c r="B19" s="339">
        <f t="shared" si="6"/>
        <v>7</v>
      </c>
      <c r="C19" s="75" t="s">
        <v>165</v>
      </c>
      <c r="D19" s="75">
        <v>2005</v>
      </c>
      <c r="E19" s="340">
        <f t="array" ref="E19">INDEX('From Union (2)'!$BJ$42:$BJ$61,MATCH('Capital Data Summary'!D19,'From Union (2)'!$C$42:$C$61,0))</f>
        <v>2952843264</v>
      </c>
      <c r="F19" s="340">
        <f t="array" ref="F19">INDEX('From Union'!$B$64:$BE$64,MATCH('Capital Data Summary'!$D19,'From Union'!$B$1:$BE$1,0))</f>
        <v>1102162417.8200002</v>
      </c>
      <c r="G19" s="347">
        <f t="shared" si="0"/>
        <v>1850680846.1799998</v>
      </c>
      <c r="H19" s="340">
        <f t="array" ref="H19">INDEX('From Union (2)'!$BG$42:$BG$61,MATCH('Capital Data Summary'!$D19,'From Union (2)'!$C$42:$C$61,0))</f>
        <v>12424346</v>
      </c>
      <c r="I19" s="340">
        <f t="array" ref="I19">INDEX('From Union'!$B$57:$BE$57,MATCH('Capital Data Summary'!$D19,'From Union'!$B$1:$BE$1,0))</f>
        <v>12182293.780000001</v>
      </c>
      <c r="J19" s="347">
        <f t="shared" si="1"/>
        <v>242052.21999999881</v>
      </c>
      <c r="K19" s="340">
        <f t="array" ref="K19">INDEX('From Union (2)'!$BH$42:$BH$61,MATCH('Capital Data Summary'!$D19,'From Union (2)'!$C$42:$C$61,0))</f>
        <v>584274304</v>
      </c>
      <c r="L19" s="340">
        <f t="array" ref="L19">INDEX('From Union'!$B$58:$BE$58,MATCH('Capital Data Summary'!$D19,'From Union'!$B$1:$BE$1,0))</f>
        <v>218487569.33999997</v>
      </c>
      <c r="M19" s="347">
        <f t="shared" si="2"/>
        <v>365786734.66000003</v>
      </c>
      <c r="N19" s="340">
        <f t="array" ref="N19">INDEX('From Union (2)'!$BI$42:$BI$61,MATCH('Capital Data Summary'!$D19,'From Union (2)'!$C$42:$C$61,0))</f>
        <v>1130377344</v>
      </c>
      <c r="O19" s="339">
        <f t="shared" si="7"/>
        <v>7</v>
      </c>
      <c r="P19" s="75" t="s">
        <v>165</v>
      </c>
      <c r="Q19" s="75">
        <v>2005</v>
      </c>
      <c r="R19" s="340">
        <f t="array" ref="R19">INDEX('From Union'!$B$63:$BE$63,MATCH('Capital Data Summary'!$D19,'From Union'!$B$1:$BE$1,0))</f>
        <v>416138354.13</v>
      </c>
      <c r="S19" s="347">
        <f t="shared" si="3"/>
        <v>714238989.87</v>
      </c>
      <c r="T19" s="340">
        <f t="array" ref="T19">INDEX('From Union (2)'!$BK$42:$BK$61,MATCH('Capital Data Summary'!$D19,'From Union (2)'!$C$42:$C$61,0))</f>
        <v>226342800</v>
      </c>
      <c r="U19" s="340">
        <f t="array" ref="U19">INDEX('From Union'!$B$65:$BE$65,MATCH('Capital Data Summary'!$D19,'From Union'!$B$1:$BE$1,0))</f>
        <v>96969928.900000006</v>
      </c>
      <c r="V19" s="347">
        <f t="shared" si="4"/>
        <v>129372871.09999999</v>
      </c>
      <c r="W19" s="347">
        <f t="shared" si="5"/>
        <v>3060321494.0299997</v>
      </c>
      <c r="X19" s="340">
        <f>'Union Transmission Additions'!D8</f>
        <v>177198264</v>
      </c>
      <c r="Y19" s="340">
        <f>IFERROR(INDEX('Retirements Data'!$C$5:$C$21,MATCH('Capital Data Summary'!D19,'Retirements Data'!$B$5:$B$21,0))*1000000,"-")</f>
        <v>48300000</v>
      </c>
    </row>
    <row r="20" spans="2:25" ht="15" x14ac:dyDescent="0.25">
      <c r="B20" s="339">
        <f t="shared" si="6"/>
        <v>8</v>
      </c>
      <c r="C20" s="75" t="s">
        <v>165</v>
      </c>
      <c r="D20" s="75">
        <v>2006</v>
      </c>
      <c r="E20" s="340">
        <f t="array" ref="E20">INDEX('From Union (2)'!$BJ$42:$BJ$61,MATCH('Capital Data Summary'!D20,'From Union (2)'!$C$42:$C$61,0))</f>
        <v>3073398911.75</v>
      </c>
      <c r="F20" s="340">
        <f t="array" ref="F20">INDEX('From Union'!$B$64:$BE$64,MATCH('Capital Data Summary'!$D20,'From Union'!$B$1:$BE$1,0))</f>
        <v>1179342555.3799999</v>
      </c>
      <c r="G20" s="347">
        <f t="shared" si="0"/>
        <v>1894056356.3700001</v>
      </c>
      <c r="H20" s="340">
        <f t="array" ref="H20">INDEX('From Union (2)'!$BG$42:$BG$61,MATCH('Capital Data Summary'!$D20,'From Union (2)'!$C$42:$C$61,0))</f>
        <v>14502816.949999999</v>
      </c>
      <c r="I20" s="340">
        <f t="array" ref="I20">INDEX('From Union'!$B$57:$BE$57,MATCH('Capital Data Summary'!$D20,'From Union'!$B$1:$BE$1,0))</f>
        <v>12330097.25</v>
      </c>
      <c r="J20" s="347">
        <f t="shared" si="1"/>
        <v>2172719.6999999993</v>
      </c>
      <c r="K20" s="340">
        <f t="array" ref="K20">INDEX('From Union (2)'!$BH$42:$BH$61,MATCH('Capital Data Summary'!$D20,'From Union (2)'!$C$42:$C$61,0))</f>
        <v>639423492.40999997</v>
      </c>
      <c r="L20" s="340">
        <f t="array" ref="L20">INDEX('From Union'!$B$58:$BE$58,MATCH('Capital Data Summary'!$D20,'From Union'!$B$1:$BE$1,0))</f>
        <v>234203159.05000001</v>
      </c>
      <c r="M20" s="347">
        <f t="shared" si="2"/>
        <v>405220333.35999995</v>
      </c>
      <c r="N20" s="340">
        <f t="array" ref="N20">INDEX('From Union (2)'!$BI$42:$BI$61,MATCH('Capital Data Summary'!$D20,'From Union (2)'!$C$42:$C$61,0))</f>
        <v>1265822399.0200002</v>
      </c>
      <c r="O20" s="339">
        <f t="shared" si="7"/>
        <v>8</v>
      </c>
      <c r="P20" s="75" t="s">
        <v>165</v>
      </c>
      <c r="Q20" s="75">
        <v>2006</v>
      </c>
      <c r="R20" s="340">
        <f t="array" ref="R20">INDEX('From Union'!$B$63:$BE$63,MATCH('Capital Data Summary'!$D20,'From Union'!$B$1:$BE$1,0))</f>
        <v>445367735.59000003</v>
      </c>
      <c r="S20" s="347">
        <f t="shared" si="3"/>
        <v>820454663.43000019</v>
      </c>
      <c r="T20" s="340">
        <f t="array" ref="T20">INDEX('From Union (2)'!$BK$42:$BK$61,MATCH('Capital Data Summary'!$D20,'From Union (2)'!$C$42:$C$61,0))</f>
        <v>238720092.34000003</v>
      </c>
      <c r="U20" s="340">
        <f t="array" ref="U20">INDEX('From Union'!$B$65:$BE$65,MATCH('Capital Data Summary'!$D20,'From Union'!$B$1:$BE$1,0))</f>
        <v>103283990.13</v>
      </c>
      <c r="V20" s="347">
        <f t="shared" si="4"/>
        <v>135436102.21000004</v>
      </c>
      <c r="W20" s="347">
        <f t="shared" si="5"/>
        <v>3257340175.0700006</v>
      </c>
      <c r="X20" s="340">
        <f>'Union Transmission Additions'!D9</f>
        <v>236938952</v>
      </c>
      <c r="Y20" s="340">
        <f>IFERROR(INDEX('Retirements Data'!$C$5:$C$21,MATCH('Capital Data Summary'!D20,'Retirements Data'!$B$5:$B$21,0))*1000000,"-")</f>
        <v>47550000</v>
      </c>
    </row>
    <row r="21" spans="2:25" ht="15" x14ac:dyDescent="0.25">
      <c r="B21" s="339">
        <f t="shared" si="6"/>
        <v>9</v>
      </c>
      <c r="C21" s="75" t="s">
        <v>165</v>
      </c>
      <c r="D21" s="75">
        <v>2007</v>
      </c>
      <c r="E21" s="340">
        <f t="array" ref="E21">INDEX('From Union (2)'!$BJ$42:$BJ$61,MATCH('Capital Data Summary'!D21,'From Union (2)'!$C$42:$C$61,0))</f>
        <v>3161508374.3499999</v>
      </c>
      <c r="F21" s="340">
        <f t="array" ref="F21">INDEX('From Union'!$B$64:$BE$64,MATCH('Capital Data Summary'!$D21,'From Union'!$B$1:$BE$1,0))</f>
        <v>1250411052.2900002</v>
      </c>
      <c r="G21" s="347">
        <f t="shared" si="0"/>
        <v>1911097322.0599997</v>
      </c>
      <c r="H21" s="340">
        <f t="array" ref="H21">INDEX('From Union (2)'!$BG$42:$BG$61,MATCH('Capital Data Summary'!$D21,'From Union (2)'!$C$42:$C$61,0))</f>
        <v>14721045.65</v>
      </c>
      <c r="I21" s="340">
        <f t="array" ref="I21">INDEX('From Union'!$B$57:$BE$57,MATCH('Capital Data Summary'!$D21,'From Union'!$B$1:$BE$1,0))</f>
        <v>12812351.949999999</v>
      </c>
      <c r="J21" s="347">
        <f t="shared" si="1"/>
        <v>1908693.7000000011</v>
      </c>
      <c r="K21" s="340">
        <f t="array" ref="K21">INDEX('From Union (2)'!$BH$42:$BH$61,MATCH('Capital Data Summary'!$D21,'From Union (2)'!$C$42:$C$61,0))</f>
        <v>646449203.54999995</v>
      </c>
      <c r="L21" s="340">
        <f t="array" ref="L21">INDEX('From Union'!$B$58:$BE$58,MATCH('Capital Data Summary'!$D21,'From Union'!$B$1:$BE$1,0))</f>
        <v>249126339.94999999</v>
      </c>
      <c r="M21" s="347">
        <f t="shared" si="2"/>
        <v>397322863.59999996</v>
      </c>
      <c r="N21" s="340">
        <f t="array" ref="N21">INDEX('From Union (2)'!$BI$42:$BI$61,MATCH('Capital Data Summary'!$D21,'From Union (2)'!$C$42:$C$61,0))</f>
        <v>1364615102.3500001</v>
      </c>
      <c r="O21" s="339">
        <f t="shared" si="7"/>
        <v>9</v>
      </c>
      <c r="P21" s="75" t="s">
        <v>165</v>
      </c>
      <c r="Q21" s="75">
        <v>2007</v>
      </c>
      <c r="R21" s="340">
        <f t="array" ref="R21">INDEX('From Union'!$B$63:$BE$63,MATCH('Capital Data Summary'!$D21,'From Union'!$B$1:$BE$1,0))</f>
        <v>478871144.9000001</v>
      </c>
      <c r="S21" s="347">
        <f t="shared" si="3"/>
        <v>885743957.45000005</v>
      </c>
      <c r="T21" s="340">
        <f t="array" ref="T21">INDEX('From Union (2)'!$BK$42:$BK$61,MATCH('Capital Data Summary'!$D21,'From Union (2)'!$C$42:$C$61,0))</f>
        <v>262934607.47</v>
      </c>
      <c r="U21" s="340">
        <f t="array" ref="U21">INDEX('From Union'!$B$65:$BE$65,MATCH('Capital Data Summary'!$D21,'From Union'!$B$1:$BE$1,0))</f>
        <v>110821867.25999999</v>
      </c>
      <c r="V21" s="347">
        <f t="shared" si="4"/>
        <v>152112740.21000001</v>
      </c>
      <c r="W21" s="347">
        <f t="shared" si="5"/>
        <v>3348185577.0199995</v>
      </c>
      <c r="X21" s="340">
        <f>'Union Transmission Additions'!D10</f>
        <v>183718007</v>
      </c>
      <c r="Y21" s="340">
        <f>IFERROR(INDEX('Retirements Data'!$C$5:$C$21,MATCH('Capital Data Summary'!D21,'Retirements Data'!$B$5:$B$21,0))*1000000,"-")</f>
        <v>46800000</v>
      </c>
    </row>
    <row r="22" spans="2:25" ht="15" x14ac:dyDescent="0.25">
      <c r="B22" s="339">
        <f t="shared" si="6"/>
        <v>10</v>
      </c>
      <c r="C22" s="75" t="s">
        <v>165</v>
      </c>
      <c r="D22" s="75">
        <v>2008</v>
      </c>
      <c r="E22" s="340">
        <f t="array" ref="E22">INDEX('From Union (2)'!$BJ$42:$BJ$61,MATCH('Capital Data Summary'!D22,'From Union (2)'!$C$42:$C$61,0))</f>
        <v>3299078429.2900004</v>
      </c>
      <c r="F22" s="340">
        <f t="array" ref="F22">INDEX('From Union'!$B$64:$BE$64,MATCH('Capital Data Summary'!$D22,'From Union'!$B$1:$BE$1,0))</f>
        <v>1328856135.6200001</v>
      </c>
      <c r="G22" s="347">
        <f t="shared" si="0"/>
        <v>1970222293.6700003</v>
      </c>
      <c r="H22" s="340">
        <f t="array" ref="H22">INDEX('From Union (2)'!$BG$42:$BG$61,MATCH('Capital Data Summary'!$D22,'From Union (2)'!$C$42:$C$61,0))</f>
        <v>14745985.189999999</v>
      </c>
      <c r="I22" s="340">
        <f t="array" ref="I22">INDEX('From Union'!$B$57:$BE$57,MATCH('Capital Data Summary'!$D22,'From Union'!$B$1:$BE$1,0))</f>
        <v>13295451.49</v>
      </c>
      <c r="J22" s="347">
        <f t="shared" si="1"/>
        <v>1450533.6999999993</v>
      </c>
      <c r="K22" s="340">
        <f t="array" ref="K22">INDEX('From Union (2)'!$BH$42:$BH$61,MATCH('Capital Data Summary'!$D22,'From Union (2)'!$C$42:$C$61,0))</f>
        <v>697608642.10000002</v>
      </c>
      <c r="L22" s="340">
        <f t="array" ref="L22">INDEX('From Union'!$B$58:$BE$58,MATCH('Capital Data Summary'!$D22,'From Union'!$B$1:$BE$1,0))</f>
        <v>264733278.5</v>
      </c>
      <c r="M22" s="347">
        <f t="shared" si="2"/>
        <v>432875363.60000002</v>
      </c>
      <c r="N22" s="340">
        <f t="array" ref="N22">INDEX('From Union (2)'!$BI$42:$BI$61,MATCH('Capital Data Summary'!$D22,'From Union (2)'!$C$42:$C$61,0))</f>
        <v>1544645601.4599998</v>
      </c>
      <c r="O22" s="339">
        <f t="shared" si="7"/>
        <v>10</v>
      </c>
      <c r="P22" s="75" t="s">
        <v>165</v>
      </c>
      <c r="Q22" s="75">
        <v>2008</v>
      </c>
      <c r="R22" s="340">
        <f t="array" ref="R22">INDEX('From Union'!$B$63:$BE$63,MATCH('Capital Data Summary'!$D22,'From Union'!$B$1:$BE$1,0))</f>
        <v>516825817.07999998</v>
      </c>
      <c r="S22" s="347">
        <f t="shared" si="3"/>
        <v>1027819784.3799999</v>
      </c>
      <c r="T22" s="340">
        <f t="array" ref="T22">INDEX('From Union (2)'!$BK$42:$BK$61,MATCH('Capital Data Summary'!$D22,'From Union (2)'!$C$42:$C$61,0))</f>
        <v>269250241.40999997</v>
      </c>
      <c r="U22" s="340">
        <f t="array" ref="U22">INDEX('From Union'!$B$65:$BE$65,MATCH('Capital Data Summary'!$D22,'From Union'!$B$1:$BE$1,0))</f>
        <v>118039265.19999999</v>
      </c>
      <c r="V22" s="347">
        <f t="shared" si="4"/>
        <v>151210976.20999998</v>
      </c>
      <c r="W22" s="347">
        <f t="shared" si="5"/>
        <v>3583578951.5600004</v>
      </c>
      <c r="X22" s="340">
        <f>'Union Transmission Additions'!D11</f>
        <v>253840243</v>
      </c>
      <c r="Y22" s="340">
        <f>IFERROR(INDEX('Retirements Data'!$C$5:$C$21,MATCH('Capital Data Summary'!D22,'Retirements Data'!$B$5:$B$21,0))*1000000,"-")</f>
        <v>42200000</v>
      </c>
    </row>
    <row r="23" spans="2:25" ht="15" x14ac:dyDescent="0.25">
      <c r="B23" s="339">
        <f t="shared" si="6"/>
        <v>11</v>
      </c>
      <c r="C23" s="75" t="s">
        <v>165</v>
      </c>
      <c r="D23" s="75">
        <v>2009</v>
      </c>
      <c r="E23" s="340">
        <f t="array" ref="E23">INDEX('From Union (2)'!$BJ$42:$BJ$61,MATCH('Capital Data Summary'!D23,'From Union (2)'!$C$42:$C$61,0))</f>
        <v>3440392837.4200001</v>
      </c>
      <c r="F23" s="340">
        <f t="array" ref="F23">INDEX('From Union'!$B$64:$BE$64,MATCH('Capital Data Summary'!$D23,'From Union'!$B$1:$BE$1,0))</f>
        <v>1405810493.2700002</v>
      </c>
      <c r="G23" s="347">
        <f t="shared" si="0"/>
        <v>2034582344.1499999</v>
      </c>
      <c r="H23" s="340">
        <f t="array" ref="H23">INDEX('From Union (2)'!$BG$42:$BG$61,MATCH('Capital Data Summary'!$D23,'From Union (2)'!$C$42:$C$61,0))</f>
        <v>15771527.470000001</v>
      </c>
      <c r="I23" s="340">
        <f t="array" ref="I23">INDEX('From Union'!$B$57:$BE$57,MATCH('Capital Data Summary'!$D23,'From Union'!$B$1:$BE$1,0))</f>
        <v>14600710.77</v>
      </c>
      <c r="J23" s="347">
        <f t="shared" si="1"/>
        <v>1170816.7000000011</v>
      </c>
      <c r="K23" s="340">
        <f t="array" ref="K23">INDEX('From Union (2)'!$BH$42:$BH$61,MATCH('Capital Data Summary'!$D23,'From Union (2)'!$C$42:$C$61,0))</f>
        <v>784115711.50999999</v>
      </c>
      <c r="L23" s="340">
        <f t="array" ref="L23">INDEX('From Union'!$B$58:$BE$58,MATCH('Capital Data Summary'!$D23,'From Union'!$B$1:$BE$1,0))</f>
        <v>275336108.83999997</v>
      </c>
      <c r="M23" s="347">
        <f t="shared" si="2"/>
        <v>508779602.67000002</v>
      </c>
      <c r="N23" s="340">
        <f t="array" ref="N23">INDEX('From Union (2)'!$BI$42:$BI$61,MATCH('Capital Data Summary'!$D23,'From Union (2)'!$C$42:$C$61,0))</f>
        <v>1586432560.72</v>
      </c>
      <c r="O23" s="339">
        <f t="shared" si="7"/>
        <v>11</v>
      </c>
      <c r="P23" s="75" t="s">
        <v>165</v>
      </c>
      <c r="Q23" s="75">
        <v>2009</v>
      </c>
      <c r="R23" s="340">
        <f t="array" ref="R23">INDEX('From Union'!$B$63:$BE$63,MATCH('Capital Data Summary'!$D23,'From Union'!$B$1:$BE$1,0))</f>
        <v>540241996.64999998</v>
      </c>
      <c r="S23" s="347">
        <f t="shared" si="3"/>
        <v>1046190564.0700001</v>
      </c>
      <c r="T23" s="340">
        <f t="array" ref="T23">INDEX('From Union (2)'!$BK$42:$BK$61,MATCH('Capital Data Summary'!$D23,'From Union (2)'!$C$42:$C$61,0))</f>
        <v>249608099.72999999</v>
      </c>
      <c r="U23" s="340">
        <f t="array" ref="U23">INDEX('From Union'!$B$65:$BE$65,MATCH('Capital Data Summary'!$D23,'From Union'!$B$1:$BE$1,0))</f>
        <v>109730332.52</v>
      </c>
      <c r="V23" s="347">
        <f t="shared" si="4"/>
        <v>139877767.20999998</v>
      </c>
      <c r="W23" s="347">
        <f t="shared" si="5"/>
        <v>3730601094.8000002</v>
      </c>
      <c r="X23" s="340">
        <f>'Union Transmission Additions'!D12</f>
        <v>308679232</v>
      </c>
      <c r="Y23" s="340">
        <f>IFERROR(INDEX('Retirements Data'!$C$5:$C$21,MATCH('Capital Data Summary'!D23,'Retirements Data'!$B$5:$B$21,0))*1000000,"-")</f>
        <v>82500000</v>
      </c>
    </row>
    <row r="24" spans="2:25" ht="15" x14ac:dyDescent="0.25">
      <c r="B24" s="339">
        <f t="shared" si="6"/>
        <v>12</v>
      </c>
      <c r="C24" s="75" t="s">
        <v>165</v>
      </c>
      <c r="D24" s="75">
        <v>2010</v>
      </c>
      <c r="E24" s="340">
        <f t="array" ref="E24">INDEX('From Union (2)'!$BJ$42:$BJ$61,MATCH('Capital Data Summary'!D24,'From Union (2)'!$C$42:$C$61,0))</f>
        <v>3549212776.2199998</v>
      </c>
      <c r="F24" s="340">
        <f t="array" ref="F24">INDEX('From Union'!$B$64:$BE$64,MATCH('Capital Data Summary'!$D24,'From Union'!$B$1:$BE$1,0))</f>
        <v>1485857716.74</v>
      </c>
      <c r="G24" s="347">
        <f t="shared" si="0"/>
        <v>2063355059.4799998</v>
      </c>
      <c r="H24" s="340">
        <f t="array" ref="H24">INDEX('From Union (2)'!$BG$42:$BG$61,MATCH('Capital Data Summary'!$D24,'From Union (2)'!$C$42:$C$61,0))</f>
        <v>17255907.640000001</v>
      </c>
      <c r="I24" s="340">
        <f t="array" ref="I24">INDEX('From Union'!$B$57:$BE$57,MATCH('Capital Data Summary'!$D24,'From Union'!$B$1:$BE$1,0))</f>
        <v>14987522.939999999</v>
      </c>
      <c r="J24" s="347">
        <f t="shared" si="1"/>
        <v>2268384.7000000011</v>
      </c>
      <c r="K24" s="340">
        <f t="array" ref="K24">INDEX('From Union (2)'!$BH$42:$BH$61,MATCH('Capital Data Summary'!$D24,'From Union (2)'!$C$42:$C$61,0))</f>
        <v>789711188.66999996</v>
      </c>
      <c r="L24" s="340">
        <f t="array" ref="L24">INDEX('From Union'!$B$58:$BE$58,MATCH('Capital Data Summary'!$D24,'From Union'!$B$1:$BE$1,0))</f>
        <v>283654485.48000002</v>
      </c>
      <c r="M24" s="347">
        <f t="shared" si="2"/>
        <v>506056703.18999994</v>
      </c>
      <c r="N24" s="340">
        <f t="array" ref="N24">INDEX('From Union (2)'!$BI$42:$BI$61,MATCH('Capital Data Summary'!$D24,'From Union (2)'!$C$42:$C$61,0))</f>
        <v>1608013048.45</v>
      </c>
      <c r="O24" s="339">
        <f t="shared" si="7"/>
        <v>12</v>
      </c>
      <c r="P24" s="75" t="s">
        <v>165</v>
      </c>
      <c r="Q24" s="75">
        <v>2010</v>
      </c>
      <c r="R24" s="340">
        <f t="array" ref="R24">INDEX('From Union'!$B$63:$BE$63,MATCH('Capital Data Summary'!$D24,'From Union'!$B$1:$BE$1,0))</f>
        <v>581696881.79999995</v>
      </c>
      <c r="S24" s="347">
        <f t="shared" si="3"/>
        <v>1026316166.6500001</v>
      </c>
      <c r="T24" s="340">
        <f t="array" ref="T24">INDEX('From Union (2)'!$BK$42:$BK$61,MATCH('Capital Data Summary'!$D24,'From Union (2)'!$C$42:$C$61,0))</f>
        <v>255784480.99000001</v>
      </c>
      <c r="U24" s="340">
        <f t="array" ref="U24">INDEX('From Union'!$B$65:$BE$65,MATCH('Capital Data Summary'!$D24,'From Union'!$B$1:$BE$1,0))</f>
        <v>111828675.77999999</v>
      </c>
      <c r="V24" s="347">
        <f t="shared" si="4"/>
        <v>143955805.21000004</v>
      </c>
      <c r="W24" s="347">
        <f t="shared" si="5"/>
        <v>3741952119.23</v>
      </c>
      <c r="X24" s="340">
        <f>'Union Transmission Additions'!D13</f>
        <v>190604277</v>
      </c>
      <c r="Y24" s="340">
        <f>IFERROR(INDEX('Retirements Data'!$C$5:$C$21,MATCH('Capital Data Summary'!D24,'Retirements Data'!$B$5:$B$21,0))*1000000,"-")</f>
        <v>59700000</v>
      </c>
    </row>
    <row r="25" spans="2:25" ht="15" x14ac:dyDescent="0.25">
      <c r="B25" s="339">
        <f t="shared" si="6"/>
        <v>13</v>
      </c>
      <c r="C25" s="75" t="s">
        <v>165</v>
      </c>
      <c r="D25" s="75">
        <v>2011</v>
      </c>
      <c r="E25" s="340">
        <f t="array" ref="E25">INDEX('From Union (2)'!$BJ$42:$BJ$61,MATCH('Capital Data Summary'!D25,'From Union (2)'!$C$42:$C$61,0))</f>
        <v>3671884386.4000001</v>
      </c>
      <c r="F25" s="340">
        <f t="array" ref="F25">INDEX('From Union'!$B$64:$BE$64,MATCH('Capital Data Summary'!$D25,'From Union'!$B$1:$BE$1,0))</f>
        <v>1575992083.0800002</v>
      </c>
      <c r="G25" s="347">
        <f t="shared" si="0"/>
        <v>2095892303.3199999</v>
      </c>
      <c r="H25" s="340">
        <f t="array" ref="H25">INDEX('From Union (2)'!$BG$42:$BG$61,MATCH('Capital Data Summary'!$D25,'From Union (2)'!$C$42:$C$61,0))</f>
        <v>17891676.110000003</v>
      </c>
      <c r="I25" s="340">
        <f t="array" ref="I25">INDEX('From Union'!$B$57:$BE$57,MATCH('Capital Data Summary'!$D25,'From Union'!$B$1:$BE$1,0))</f>
        <v>15426776.41</v>
      </c>
      <c r="J25" s="347">
        <f t="shared" si="1"/>
        <v>2464899.700000003</v>
      </c>
      <c r="K25" s="340">
        <f t="array" ref="K25">INDEX('From Union (2)'!$BH$42:$BH$61,MATCH('Capital Data Summary'!$D25,'From Union (2)'!$C$42:$C$61,0))</f>
        <v>840665425.35000002</v>
      </c>
      <c r="L25" s="340">
        <f t="array" ref="L25">INDEX('From Union'!$B$58:$BE$58,MATCH('Capital Data Summary'!$D25,'From Union'!$B$1:$BE$1,0))</f>
        <v>304300620.49000001</v>
      </c>
      <c r="M25" s="347">
        <f t="shared" si="2"/>
        <v>536364804.86000001</v>
      </c>
      <c r="N25" s="340">
        <f t="array" ref="N25">INDEX('From Union (2)'!$BI$42:$BI$61,MATCH('Capital Data Summary'!$D25,'From Union (2)'!$C$42:$C$61,0))</f>
        <v>1679559170.71</v>
      </c>
      <c r="O25" s="339">
        <f t="shared" si="7"/>
        <v>13</v>
      </c>
      <c r="P25" s="75" t="s">
        <v>165</v>
      </c>
      <c r="Q25" s="75">
        <v>2011</v>
      </c>
      <c r="R25" s="340">
        <f t="array" ref="R25">INDEX('From Union'!$B$63:$BE$63,MATCH('Capital Data Summary'!$D25,'From Union'!$B$1:$BE$1,0))</f>
        <v>623688497.12999988</v>
      </c>
      <c r="S25" s="347">
        <f t="shared" si="3"/>
        <v>1055870673.5800002</v>
      </c>
      <c r="T25" s="340">
        <f t="array" ref="T25">INDEX('From Union (2)'!$BK$42:$BK$61,MATCH('Capital Data Summary'!$D25,'From Union (2)'!$C$42:$C$61,0))</f>
        <v>253996163.88999999</v>
      </c>
      <c r="U25" s="340">
        <f t="array" ref="U25">INDEX('From Union'!$B$65:$BE$65,MATCH('Capital Data Summary'!$D25,'From Union'!$B$1:$BE$1,0))</f>
        <v>101011726.60999998</v>
      </c>
      <c r="V25" s="347">
        <f t="shared" si="4"/>
        <v>152984437.28</v>
      </c>
      <c r="W25" s="347">
        <f t="shared" si="5"/>
        <v>3843577118.7400002</v>
      </c>
      <c r="X25" s="340">
        <f>'Union Transmission Additions'!D14</f>
        <v>244790382</v>
      </c>
      <c r="Y25" s="340">
        <f>IFERROR(INDEX('Retirements Data'!$C$5:$C$21,MATCH('Capital Data Summary'!D25,'Retirements Data'!$B$5:$B$21,0))*1000000,"-")</f>
        <v>56200000</v>
      </c>
    </row>
    <row r="26" spans="2:25" ht="15" x14ac:dyDescent="0.25">
      <c r="B26" s="339">
        <f t="shared" si="6"/>
        <v>14</v>
      </c>
      <c r="C26" s="75" t="s">
        <v>165</v>
      </c>
      <c r="D26" s="75">
        <v>2012</v>
      </c>
      <c r="E26" s="340">
        <f t="array" ref="E26">INDEX('From Union (2)'!$BJ$42:$BJ$61,MATCH('Capital Data Summary'!D26,'From Union (2)'!$C$42:$C$61,0))</f>
        <v>3814635278.9400001</v>
      </c>
      <c r="F26" s="340">
        <f t="array" ref="F26">INDEX('From Union'!$B$64:$BE$64,MATCH('Capital Data Summary'!$D26,'From Union'!$B$1:$BE$1,0))</f>
        <v>1664372579.4099998</v>
      </c>
      <c r="G26" s="347">
        <f t="shared" si="0"/>
        <v>2150262699.5300002</v>
      </c>
      <c r="H26" s="340">
        <f t="array" ref="H26">INDEX('From Union (2)'!$BG$42:$BG$61,MATCH('Capital Data Summary'!$D26,'From Union (2)'!$C$42:$C$61,0))</f>
        <v>19248168.430000003</v>
      </c>
      <c r="I26" s="340">
        <f t="array" ref="I26">INDEX('From Union'!$B$57:$BE$57,MATCH('Capital Data Summary'!$D26,'From Union'!$B$1:$BE$1,0))</f>
        <v>15926668.76</v>
      </c>
      <c r="J26" s="347">
        <f t="shared" si="1"/>
        <v>3321499.6700000037</v>
      </c>
      <c r="K26" s="340">
        <f t="array" ref="K26">INDEX('From Union (2)'!$BH$42:$BH$61,MATCH('Capital Data Summary'!$D26,'From Union (2)'!$C$42:$C$61,0))</f>
        <v>847007037.17999995</v>
      </c>
      <c r="L26" s="340">
        <f t="array" ref="L26">INDEX('From Union'!$B$58:$BE$58,MATCH('Capital Data Summary'!$D26,'From Union'!$B$1:$BE$1,0))</f>
        <v>318595878.58999997</v>
      </c>
      <c r="M26" s="347">
        <f t="shared" si="2"/>
        <v>528411158.58999997</v>
      </c>
      <c r="N26" s="340">
        <f t="array" ref="N26">INDEX('From Union (2)'!$BI$42:$BI$61,MATCH('Capital Data Summary'!$D26,'From Union (2)'!$C$42:$C$61,0))</f>
        <v>1691905852.54</v>
      </c>
      <c r="O26" s="339">
        <f t="shared" si="7"/>
        <v>14</v>
      </c>
      <c r="P26" s="75" t="s">
        <v>165</v>
      </c>
      <c r="Q26" s="75">
        <v>2012</v>
      </c>
      <c r="R26" s="340">
        <f t="array" ref="R26">INDEX('From Union'!$B$63:$BE$63,MATCH('Capital Data Summary'!$D26,'From Union'!$B$1:$BE$1,0))</f>
        <v>665650451.63</v>
      </c>
      <c r="S26" s="347">
        <f t="shared" si="3"/>
        <v>1026255400.91</v>
      </c>
      <c r="T26" s="340">
        <f t="array" ref="T26">INDEX('From Union (2)'!$BK$42:$BK$61,MATCH('Capital Data Summary'!$D26,'From Union (2)'!$C$42:$C$61,0))</f>
        <v>264893042.34999999</v>
      </c>
      <c r="U26" s="340">
        <f t="array" ref="U26">INDEX('From Union'!$B$65:$BE$65,MATCH('Capital Data Summary'!$D26,'From Union'!$B$1:$BE$1,0))</f>
        <v>97197330.100000009</v>
      </c>
      <c r="V26" s="347">
        <f t="shared" si="4"/>
        <v>167695712.25</v>
      </c>
      <c r="W26" s="347">
        <f t="shared" si="5"/>
        <v>3875946470.9500003</v>
      </c>
      <c r="X26" s="340">
        <f>'Union Transmission Additions'!D15</f>
        <v>227357251</v>
      </c>
      <c r="Y26" s="340">
        <f>IFERROR(INDEX('Retirements Data'!$C$5:$C$21,MATCH('Capital Data Summary'!D26,'Retirements Data'!$B$5:$B$21,0))*1000000,"-")</f>
        <v>67400000</v>
      </c>
    </row>
    <row r="27" spans="2:25" ht="15" x14ac:dyDescent="0.25">
      <c r="B27" s="339">
        <f t="shared" si="6"/>
        <v>15</v>
      </c>
      <c r="C27" s="75" t="s">
        <v>165</v>
      </c>
      <c r="D27" s="75">
        <v>2013</v>
      </c>
      <c r="E27" s="340">
        <f t="array" ref="E27">INDEX('From Union (2)'!$BJ$42:$BJ$61,MATCH('Capital Data Summary'!D27,'From Union (2)'!$C$42:$C$61,0))</f>
        <v>3970430352.5700002</v>
      </c>
      <c r="F27" s="340">
        <f t="array" ref="F27">INDEX('From Union'!$B$64:$BE$64,MATCH('Capital Data Summary'!$D27,'From Union'!$B$1:$BE$1,0))</f>
        <v>1704236614.9200001</v>
      </c>
      <c r="G27" s="347">
        <f t="shared" si="0"/>
        <v>2266193737.6500001</v>
      </c>
      <c r="H27" s="340">
        <f t="array" ref="H27">INDEX('From Union (2)'!$BG$42:$BG$61,MATCH('Capital Data Summary'!$D27,'From Union (2)'!$C$42:$C$61,0))</f>
        <v>23530862.48</v>
      </c>
      <c r="I27" s="340">
        <f t="array" ref="I27">INDEX('From Union'!$B$57:$BE$57,MATCH('Capital Data Summary'!$D27,'From Union'!$B$1:$BE$1,0))</f>
        <v>10961282.779999999</v>
      </c>
      <c r="J27" s="347">
        <f t="shared" si="1"/>
        <v>12569579.700000001</v>
      </c>
      <c r="K27" s="340">
        <f t="array" ref="K27">INDEX('From Union (2)'!$BH$42:$BH$61,MATCH('Capital Data Summary'!$D27,'From Union (2)'!$C$42:$C$61,0))</f>
        <v>858779869.44000006</v>
      </c>
      <c r="L27" s="340">
        <f t="array" ref="L27">INDEX('From Union'!$B$58:$BE$58,MATCH('Capital Data Summary'!$D27,'From Union'!$B$1:$BE$1,0))</f>
        <v>342860583.38999999</v>
      </c>
      <c r="M27" s="347">
        <f t="shared" si="2"/>
        <v>515919286.05000007</v>
      </c>
      <c r="N27" s="340">
        <f t="array" ref="N27">INDEX('From Union (2)'!$BI$42:$BI$61,MATCH('Capital Data Summary'!$D27,'From Union (2)'!$C$42:$C$61,0))</f>
        <v>1763958946.6700001</v>
      </c>
      <c r="O27" s="339">
        <f t="shared" si="7"/>
        <v>15</v>
      </c>
      <c r="P27" s="75" t="s">
        <v>165</v>
      </c>
      <c r="Q27" s="75">
        <v>2013</v>
      </c>
      <c r="R27" s="340">
        <f t="array" ref="R27">INDEX('From Union'!$B$63:$BE$63,MATCH('Capital Data Summary'!$D27,'From Union'!$B$1:$BE$1,0))</f>
        <v>706321828.25999987</v>
      </c>
      <c r="S27" s="347">
        <f t="shared" si="3"/>
        <v>1057637118.4100002</v>
      </c>
      <c r="T27" s="340">
        <f t="array" ref="T27">INDEX('From Union (2)'!$BK$42:$BK$61,MATCH('Capital Data Summary'!$D27,'From Union (2)'!$C$42:$C$61,0))</f>
        <v>273630717.62</v>
      </c>
      <c r="U27" s="340">
        <f t="array" ref="U27">INDEX('From Union'!$B$65:$BE$65,MATCH('Capital Data Summary'!$D27,'From Union'!$B$1:$BE$1,0))</f>
        <v>108074755.83000001</v>
      </c>
      <c r="V27" s="347">
        <f t="shared" si="4"/>
        <v>165555961.78999999</v>
      </c>
      <c r="W27" s="347">
        <f t="shared" si="5"/>
        <v>4017875683.6000004</v>
      </c>
      <c r="X27" s="340">
        <f>'Union Transmission Additions'!D16</f>
        <v>334202203</v>
      </c>
      <c r="Y27" s="340">
        <f>IFERROR(INDEX('Retirements Data'!$C$5:$C$21,MATCH('Capital Data Summary'!D27,'Retirements Data'!$B$5:$B$21,0))*1000000,"-")</f>
        <v>93300000</v>
      </c>
    </row>
    <row r="28" spans="2:25" ht="15" x14ac:dyDescent="0.25">
      <c r="B28" s="339">
        <f t="shared" si="6"/>
        <v>16</v>
      </c>
      <c r="C28" s="75" t="s">
        <v>165</v>
      </c>
      <c r="D28" s="75">
        <v>2014</v>
      </c>
      <c r="E28" s="340">
        <f t="array" ref="E28">INDEX('From Union (2)'!$BJ$42:$BJ$61,MATCH('Capital Data Summary'!D28,'From Union (2)'!$C$42:$C$61,0))</f>
        <v>4134933277.4899998</v>
      </c>
      <c r="F28" s="340">
        <f t="array" ref="F28">INDEX('From Union'!$B$64:$BE$64,MATCH('Capital Data Summary'!$D28,'From Union'!$B$1:$BE$1,0))</f>
        <v>1787005292.6800001</v>
      </c>
      <c r="G28" s="347">
        <f t="shared" si="0"/>
        <v>2347927984.8099995</v>
      </c>
      <c r="H28" s="340">
        <f t="array" ref="H28">INDEX('From Union (2)'!$BG$42:$BG$61,MATCH('Capital Data Summary'!$D28,'From Union (2)'!$C$42:$C$61,0))</f>
        <v>25618299</v>
      </c>
      <c r="I28" s="340">
        <f t="array" ref="I28">INDEX('From Union'!$B$57:$BE$57,MATCH('Capital Data Summary'!$D28,'From Union'!$B$1:$BE$1,0))</f>
        <v>11549369.619999999</v>
      </c>
      <c r="J28" s="347">
        <f t="shared" si="1"/>
        <v>14068929.380000001</v>
      </c>
      <c r="K28" s="340">
        <f t="array" ref="K28">INDEX('From Union (2)'!$BH$42:$BH$61,MATCH('Capital Data Summary'!$D28,'From Union (2)'!$C$42:$C$61,0))</f>
        <v>869846563</v>
      </c>
      <c r="L28" s="340">
        <f t="array" ref="L28">INDEX('From Union'!$B$58:$BE$58,MATCH('Capital Data Summary'!$D28,'From Union'!$B$1:$BE$1,0))</f>
        <v>362782014.60000002</v>
      </c>
      <c r="M28" s="347">
        <f t="shared" si="2"/>
        <v>507064548.39999998</v>
      </c>
      <c r="N28" s="340">
        <f t="array" ref="N28">INDEX('From Union (2)'!$BI$42:$BI$61,MATCH('Capital Data Summary'!$D28,'From Union (2)'!$C$42:$C$61,0))</f>
        <v>1902120522.04</v>
      </c>
      <c r="O28" s="339">
        <f t="shared" si="7"/>
        <v>16</v>
      </c>
      <c r="P28" s="75" t="s">
        <v>165</v>
      </c>
      <c r="Q28" s="75">
        <v>2014</v>
      </c>
      <c r="R28" s="340">
        <f t="array" ref="R28">INDEX('From Union'!$B$63:$BE$63,MATCH('Capital Data Summary'!$D28,'From Union'!$B$1:$BE$1,0))</f>
        <v>739879349.98999989</v>
      </c>
      <c r="S28" s="347">
        <f t="shared" si="3"/>
        <v>1162241172.0500002</v>
      </c>
      <c r="T28" s="340">
        <f t="array" ref="T28">INDEX('From Union (2)'!$BK$42:$BK$61,MATCH('Capital Data Summary'!$D28,'From Union (2)'!$C$42:$C$61,0))</f>
        <v>288269749.44</v>
      </c>
      <c r="U28" s="340">
        <f t="array" ref="U28">INDEX('From Union'!$B$65:$BE$65,MATCH('Capital Data Summary'!$D28,'From Union'!$B$1:$BE$1,0))</f>
        <v>118813761.06</v>
      </c>
      <c r="V28" s="347">
        <f t="shared" si="4"/>
        <v>169455988.38</v>
      </c>
      <c r="W28" s="347">
        <f t="shared" si="5"/>
        <v>4200758623.02</v>
      </c>
      <c r="X28" s="340">
        <f>'Union Transmission Additions'!D17</f>
        <v>279087423</v>
      </c>
      <c r="Y28" s="340">
        <f>IFERROR(INDEX('Retirements Data'!$C$5:$C$21,MATCH('Capital Data Summary'!D28,'Retirements Data'!$B$5:$B$21,0))*1000000,"-")</f>
        <v>55600000</v>
      </c>
    </row>
    <row r="29" spans="2:25" ht="15" x14ac:dyDescent="0.25">
      <c r="B29" s="339">
        <f t="shared" si="6"/>
        <v>17</v>
      </c>
      <c r="C29" s="75" t="s">
        <v>165</v>
      </c>
      <c r="D29" s="75">
        <v>2015</v>
      </c>
      <c r="E29" s="340">
        <f t="array" ref="E29">INDEX('From Union (2)'!$BJ$42:$BJ$61,MATCH('Capital Data Summary'!D29,'From Union (2)'!$C$42:$C$61,0))</f>
        <v>4308206966.9299994</v>
      </c>
      <c r="F29" s="340">
        <f t="array" ref="F29">INDEX('From Union'!$B$64:$BE$64,MATCH('Capital Data Summary'!$D29,'From Union'!$B$1:$BE$1,0))</f>
        <v>1869419542.3900001</v>
      </c>
      <c r="G29" s="347">
        <f t="shared" si="0"/>
        <v>2438787424.539999</v>
      </c>
      <c r="H29" s="340">
        <f t="array" ref="H29">INDEX('From Union (2)'!$BG$42:$BG$61,MATCH('Capital Data Summary'!$D29,'From Union (2)'!$C$42:$C$61,0))</f>
        <v>26343627.490000002</v>
      </c>
      <c r="I29" s="340">
        <f t="array" ref="I29">INDEX('From Union'!$B$57:$BE$57,MATCH('Capital Data Summary'!$D29,'From Union'!$B$1:$BE$1,0))</f>
        <v>12393041.789999999</v>
      </c>
      <c r="J29" s="347">
        <f t="shared" si="1"/>
        <v>13950585.700000003</v>
      </c>
      <c r="K29" s="340">
        <f t="array" ref="K29">INDEX('From Union (2)'!$BH$42:$BH$61,MATCH('Capital Data Summary'!$D29,'From Union (2)'!$C$42:$C$61,0))</f>
        <v>927829121.08000004</v>
      </c>
      <c r="L29" s="340">
        <f t="array" ref="L29">INDEX('From Union'!$B$58:$BE$58,MATCH('Capital Data Summary'!$D29,'From Union'!$B$1:$BE$1,0))</f>
        <v>393322582.50999999</v>
      </c>
      <c r="M29" s="347">
        <f t="shared" si="2"/>
        <v>534506538.57000005</v>
      </c>
      <c r="N29" s="340">
        <f t="array" ref="N29">INDEX('From Union (2)'!$BI$42:$BI$61,MATCH('Capital Data Summary'!$D29,'From Union (2)'!$C$42:$C$61,0))</f>
        <v>2293942523.7799997</v>
      </c>
      <c r="O29" s="339">
        <f t="shared" si="7"/>
        <v>17</v>
      </c>
      <c r="P29" s="75" t="s">
        <v>165</v>
      </c>
      <c r="Q29" s="75">
        <v>2015</v>
      </c>
      <c r="R29" s="340">
        <f t="array" ref="R29">INDEX('From Union'!$B$63:$BE$63,MATCH('Capital Data Summary'!$D29,'From Union'!$B$1:$BE$1,0))</f>
        <v>790876260.99000001</v>
      </c>
      <c r="S29" s="347">
        <f t="shared" si="3"/>
        <v>1503066262.7899997</v>
      </c>
      <c r="T29" s="340">
        <f t="array" ref="T29">INDEX('From Union (2)'!$BK$42:$BK$61,MATCH('Capital Data Summary'!$D29,'From Union (2)'!$C$42:$C$61,0))</f>
        <v>310069182.50999999</v>
      </c>
      <c r="U29" s="340">
        <f t="array" ref="U29">INDEX('From Union'!$B$65:$BE$65,MATCH('Capital Data Summary'!$D29,'From Union'!$B$1:$BE$1,0))</f>
        <v>119170579.13</v>
      </c>
      <c r="V29" s="347">
        <f t="shared" si="4"/>
        <v>190898603.38</v>
      </c>
      <c r="W29" s="347">
        <f t="shared" si="5"/>
        <v>4681209414.9799986</v>
      </c>
      <c r="X29" s="340">
        <f>'Union Transmission Additions'!D18</f>
        <v>311676252</v>
      </c>
      <c r="Y29" s="340">
        <f>IFERROR(INDEX('Retirements Data'!$C$5:$C$21,MATCH('Capital Data Summary'!D29,'Retirements Data'!$B$5:$B$21,0))*1000000,"-")</f>
        <v>61400000</v>
      </c>
    </row>
    <row r="30" spans="2:25" ht="15" x14ac:dyDescent="0.25">
      <c r="B30" s="339">
        <f t="shared" si="6"/>
        <v>18</v>
      </c>
      <c r="C30" s="75" t="s">
        <v>165</v>
      </c>
      <c r="D30" s="75">
        <v>2016</v>
      </c>
      <c r="E30" s="340">
        <f t="array" ref="E30">INDEX('From Union (2)'!$BJ$42:$BJ$61,MATCH('Capital Data Summary'!D30,'From Union (2)'!$C$42:$C$61,0))</f>
        <v>4533298294.210001</v>
      </c>
      <c r="F30" s="340">
        <f t="array" ref="F30">INDEX('From Union'!$B$64:$BE$64,MATCH('Capital Data Summary'!$D30,'From Union'!$B$1:$BE$1,0))</f>
        <v>1969726435.54</v>
      </c>
      <c r="G30" s="347">
        <f t="shared" si="0"/>
        <v>2563571858.670001</v>
      </c>
      <c r="H30" s="340">
        <f t="array" ref="H30">INDEX('From Union (2)'!$BG$42:$BG$61,MATCH('Capital Data Summary'!$D30,'From Union (2)'!$C$42:$C$61,0))</f>
        <v>27791421.970000003</v>
      </c>
      <c r="I30" s="340">
        <f t="array" ref="I30">INDEX('From Union'!$B$57:$BE$57,MATCH('Capital Data Summary'!$D30,'From Union'!$B$1:$BE$1,0))</f>
        <v>13267747.27</v>
      </c>
      <c r="J30" s="347">
        <f t="shared" si="1"/>
        <v>14523674.700000003</v>
      </c>
      <c r="K30" s="340">
        <f t="array" ref="K30">INDEX('From Union (2)'!$BH$42:$BH$61,MATCH('Capital Data Summary'!$D30,'From Union (2)'!$C$42:$C$61,0))</f>
        <v>962553535.47000003</v>
      </c>
      <c r="L30" s="340">
        <f t="array" ref="L30">INDEX('From Union'!$B$58:$BE$58,MATCH('Capital Data Summary'!$D30,'From Union'!$B$1:$BE$1,0))</f>
        <v>410739028.05000001</v>
      </c>
      <c r="M30" s="347">
        <f t="shared" si="2"/>
        <v>551814507.42000008</v>
      </c>
      <c r="N30" s="340">
        <f t="array" ref="N30">INDEX('From Union (2)'!$BI$42:$BI$61,MATCH('Capital Data Summary'!$D30,'From Union (2)'!$C$42:$C$61,0))</f>
        <v>2845284644.2300005</v>
      </c>
      <c r="O30" s="339">
        <f t="shared" si="7"/>
        <v>18</v>
      </c>
      <c r="P30" s="75" t="s">
        <v>165</v>
      </c>
      <c r="Q30" s="75">
        <v>2016</v>
      </c>
      <c r="R30" s="340">
        <f t="array" ref="R30">INDEX('From Union'!$B$63:$BE$63,MATCH('Capital Data Summary'!$D30,'From Union'!$B$1:$BE$1,0))</f>
        <v>847497184.51000011</v>
      </c>
      <c r="S30" s="347">
        <f t="shared" si="3"/>
        <v>1997787459.7200003</v>
      </c>
      <c r="T30" s="340">
        <f t="array" ref="T30">INDEX('From Union (2)'!$BK$42:$BK$61,MATCH('Capital Data Summary'!$D30,'From Union (2)'!$C$42:$C$61,0))</f>
        <v>300047947.01999998</v>
      </c>
      <c r="U30" s="340">
        <f t="array" ref="U30">INDEX('From Union'!$B$65:$BE$65,MATCH('Capital Data Summary'!$D30,'From Union'!$B$1:$BE$1,0))</f>
        <v>118989111.64000002</v>
      </c>
      <c r="V30" s="347">
        <f t="shared" si="4"/>
        <v>181058835.37999997</v>
      </c>
      <c r="W30" s="347">
        <f t="shared" si="5"/>
        <v>5308756335.8900013</v>
      </c>
      <c r="X30" s="340">
        <f>'Union Transmission Additions'!D19</f>
        <v>439058024</v>
      </c>
      <c r="Y30" s="340">
        <f>IFERROR(INDEX('Retirements Data'!$C$5:$C$21,MATCH('Capital Data Summary'!D30,'Retirements Data'!$B$5:$B$21,0))*1000000,"-")</f>
        <v>54100000</v>
      </c>
    </row>
    <row r="32" spans="2:25" ht="15.75" x14ac:dyDescent="0.25">
      <c r="B32" s="31" t="s">
        <v>443</v>
      </c>
      <c r="C32" s="32"/>
      <c r="D32" s="32"/>
      <c r="E32" s="32"/>
      <c r="F32" s="32"/>
      <c r="G32" s="32"/>
      <c r="H32" s="32"/>
    </row>
    <row r="33" spans="2:10" ht="15" x14ac:dyDescent="0.25">
      <c r="B33" s="33"/>
      <c r="C33" s="34"/>
    </row>
    <row r="34" spans="2:10" ht="15" x14ac:dyDescent="0.25">
      <c r="B34" s="35" t="s">
        <v>42</v>
      </c>
      <c r="C34" s="36"/>
      <c r="D34" s="36" t="s">
        <v>422</v>
      </c>
      <c r="E34" s="36"/>
      <c r="F34" s="36"/>
      <c r="G34" s="36"/>
      <c r="H34" s="36"/>
    </row>
    <row r="36" spans="2:10" ht="15" x14ac:dyDescent="0.25">
      <c r="B36" s="76"/>
      <c r="C36" s="76"/>
      <c r="D36" s="76"/>
      <c r="E36" s="76"/>
      <c r="F36" s="76"/>
      <c r="G36" s="76"/>
    </row>
    <row r="37" spans="2:10" ht="60" x14ac:dyDescent="0.25">
      <c r="B37" s="77"/>
      <c r="C37" s="78" t="s">
        <v>1</v>
      </c>
      <c r="D37" s="78" t="s">
        <v>0</v>
      </c>
      <c r="E37" s="78" t="s">
        <v>455</v>
      </c>
      <c r="F37" s="78" t="s">
        <v>444</v>
      </c>
      <c r="G37" s="78" t="s">
        <v>445</v>
      </c>
      <c r="J37" s="352"/>
    </row>
    <row r="38" spans="2:10" ht="15" x14ac:dyDescent="0.25">
      <c r="B38" s="339">
        <v>1</v>
      </c>
      <c r="C38" s="75" t="s">
        <v>165</v>
      </c>
      <c r="D38" s="75">
        <v>1999</v>
      </c>
      <c r="E38" s="349">
        <f t="shared" ref="E38:E55" si="8">(E13+H13+K13)/(E13+H13+K13+T13)</f>
        <v>0.92041281530600794</v>
      </c>
      <c r="F38" s="350">
        <f t="shared" ref="F38:F55" si="9">E38*X13</f>
        <v>202593993.9622663</v>
      </c>
      <c r="G38" s="347" t="str">
        <f>Y13</f>
        <v>-</v>
      </c>
    </row>
    <row r="39" spans="2:10" ht="15" x14ac:dyDescent="0.25">
      <c r="B39" s="339">
        <f t="shared" ref="B39:B55" si="10">B38+1</f>
        <v>2</v>
      </c>
      <c r="C39" s="75" t="s">
        <v>165</v>
      </c>
      <c r="D39" s="75">
        <v>2000</v>
      </c>
      <c r="E39" s="349">
        <f t="shared" si="8"/>
        <v>0.92618733378494056</v>
      </c>
      <c r="F39" s="350">
        <f t="shared" si="9"/>
        <v>190950057.78698489</v>
      </c>
      <c r="G39" s="347">
        <f t="shared" ref="G39:G55" si="11">Y14*E39</f>
        <v>49365784.890737332</v>
      </c>
    </row>
    <row r="40" spans="2:10" ht="15" x14ac:dyDescent="0.25">
      <c r="B40" s="339">
        <f t="shared" si="10"/>
        <v>3</v>
      </c>
      <c r="C40" s="75" t="s">
        <v>165</v>
      </c>
      <c r="D40" s="75">
        <v>2001</v>
      </c>
      <c r="E40" s="349">
        <f t="shared" si="8"/>
        <v>0.92570802582888023</v>
      </c>
      <c r="F40" s="350">
        <f t="shared" si="9"/>
        <v>154244582.56828284</v>
      </c>
      <c r="G40" s="347">
        <f t="shared" si="11"/>
        <v>28141523.985197958</v>
      </c>
    </row>
    <row r="41" spans="2:10" ht="15" x14ac:dyDescent="0.25">
      <c r="B41" s="339">
        <f t="shared" si="10"/>
        <v>4</v>
      </c>
      <c r="C41" s="75" t="s">
        <v>165</v>
      </c>
      <c r="D41" s="75">
        <v>2002</v>
      </c>
      <c r="E41" s="349">
        <f t="shared" si="8"/>
        <v>0.93602148514137551</v>
      </c>
      <c r="F41" s="350">
        <f t="shared" si="9"/>
        <v>154796810.78907713</v>
      </c>
      <c r="G41" s="347">
        <f t="shared" si="11"/>
        <v>63087848.098528713</v>
      </c>
    </row>
    <row r="42" spans="2:10" ht="15" x14ac:dyDescent="0.25">
      <c r="B42" s="339">
        <f t="shared" si="10"/>
        <v>5</v>
      </c>
      <c r="C42" s="75" t="s">
        <v>165</v>
      </c>
      <c r="D42" s="75">
        <v>2003</v>
      </c>
      <c r="E42" s="349">
        <f t="shared" si="8"/>
        <v>0.93552372551966478</v>
      </c>
      <c r="F42" s="350">
        <f t="shared" si="9"/>
        <v>122384469.09559703</v>
      </c>
      <c r="G42" s="347">
        <f t="shared" si="11"/>
        <v>26475321.432206515</v>
      </c>
    </row>
    <row r="43" spans="2:10" ht="15" x14ac:dyDescent="0.25">
      <c r="B43" s="339">
        <f t="shared" si="10"/>
        <v>6</v>
      </c>
      <c r="C43" s="75" t="s">
        <v>165</v>
      </c>
      <c r="D43" s="75">
        <v>2004</v>
      </c>
      <c r="E43" s="349">
        <f t="shared" si="8"/>
        <v>0.94028404698096213</v>
      </c>
      <c r="F43" s="350">
        <f t="shared" si="9"/>
        <v>127151662.00218013</v>
      </c>
      <c r="G43" s="347">
        <f t="shared" si="11"/>
        <v>38269560.71212516</v>
      </c>
    </row>
    <row r="44" spans="2:10" ht="15" x14ac:dyDescent="0.25">
      <c r="B44" s="339">
        <f t="shared" si="10"/>
        <v>7</v>
      </c>
      <c r="C44" s="75" t="s">
        <v>165</v>
      </c>
      <c r="D44" s="75">
        <v>2005</v>
      </c>
      <c r="E44" s="349">
        <f t="shared" si="8"/>
        <v>0.9400556910117569</v>
      </c>
      <c r="F44" s="350">
        <f t="shared" si="9"/>
        <v>166576236.51060373</v>
      </c>
      <c r="G44" s="347">
        <f t="shared" si="11"/>
        <v>45404689.875867859</v>
      </c>
    </row>
    <row r="45" spans="2:10" ht="15" x14ac:dyDescent="0.25">
      <c r="B45" s="339">
        <f t="shared" si="10"/>
        <v>8</v>
      </c>
      <c r="C45" s="75" t="s">
        <v>165</v>
      </c>
      <c r="D45" s="75">
        <v>2006</v>
      </c>
      <c r="E45" s="349">
        <f t="shared" si="8"/>
        <v>0.9398090355825155</v>
      </c>
      <c r="F45" s="350">
        <f t="shared" si="9"/>
        <v>222677367.97105193</v>
      </c>
      <c r="G45" s="347">
        <f t="shared" si="11"/>
        <v>44687919.641948611</v>
      </c>
    </row>
    <row r="46" spans="2:10" ht="15" x14ac:dyDescent="0.25">
      <c r="B46" s="339">
        <f t="shared" si="10"/>
        <v>9</v>
      </c>
      <c r="C46" s="75" t="s">
        <v>165</v>
      </c>
      <c r="D46" s="75">
        <v>2007</v>
      </c>
      <c r="E46" s="349">
        <f t="shared" si="8"/>
        <v>0.93564378402887727</v>
      </c>
      <c r="F46" s="350">
        <f t="shared" si="9"/>
        <v>171894611.26372376</v>
      </c>
      <c r="G46" s="347">
        <f t="shared" si="11"/>
        <v>43788129.092551455</v>
      </c>
    </row>
    <row r="47" spans="2:10" ht="15" x14ac:dyDescent="0.25">
      <c r="B47" s="339">
        <f t="shared" si="10"/>
        <v>10</v>
      </c>
      <c r="C47" s="75" t="s">
        <v>165</v>
      </c>
      <c r="D47" s="75">
        <v>2008</v>
      </c>
      <c r="E47" s="349">
        <f t="shared" si="8"/>
        <v>0.93710110684048353</v>
      </c>
      <c r="F47" s="350">
        <f t="shared" si="9"/>
        <v>237873972.67595729</v>
      </c>
      <c r="G47" s="347">
        <f t="shared" si="11"/>
        <v>39545666.708668403</v>
      </c>
    </row>
    <row r="48" spans="2:10" ht="15" x14ac:dyDescent="0.25">
      <c r="B48" s="339">
        <f t="shared" si="10"/>
        <v>11</v>
      </c>
      <c r="C48" s="75" t="s">
        <v>165</v>
      </c>
      <c r="D48" s="75">
        <v>2009</v>
      </c>
      <c r="E48" s="349">
        <f t="shared" si="8"/>
        <v>0.94440661104723855</v>
      </c>
      <c r="F48" s="350">
        <f t="shared" si="9"/>
        <v>291518707.39378428</v>
      </c>
      <c r="G48" s="347">
        <f t="shared" si="11"/>
        <v>77913545.411397174</v>
      </c>
    </row>
    <row r="49" spans="2:7" ht="15" x14ac:dyDescent="0.25">
      <c r="B49" s="339">
        <f t="shared" si="10"/>
        <v>12</v>
      </c>
      <c r="C49" s="75" t="s">
        <v>165</v>
      </c>
      <c r="D49" s="75">
        <v>2010</v>
      </c>
      <c r="E49" s="349">
        <f t="shared" si="8"/>
        <v>0.94453892931874528</v>
      </c>
      <c r="F49" s="350">
        <f t="shared" si="9"/>
        <v>180033159.72115356</v>
      </c>
      <c r="G49" s="347">
        <f t="shared" si="11"/>
        <v>56388974.08032909</v>
      </c>
    </row>
    <row r="50" spans="2:7" ht="15" x14ac:dyDescent="0.25">
      <c r="B50" s="339">
        <f t="shared" si="10"/>
        <v>13</v>
      </c>
      <c r="C50" s="75" t="s">
        <v>165</v>
      </c>
      <c r="D50" s="75">
        <v>2011</v>
      </c>
      <c r="E50" s="349">
        <f t="shared" si="8"/>
        <v>0.94691201299339822</v>
      </c>
      <c r="F50" s="350">
        <f t="shared" si="9"/>
        <v>231794953.38104293</v>
      </c>
      <c r="G50" s="347">
        <f t="shared" si="11"/>
        <v>53216455.130228981</v>
      </c>
    </row>
    <row r="51" spans="2:7" ht="15" x14ac:dyDescent="0.25">
      <c r="B51" s="339">
        <f t="shared" si="10"/>
        <v>14</v>
      </c>
      <c r="C51" s="75" t="s">
        <v>165</v>
      </c>
      <c r="D51" s="75">
        <v>2012</v>
      </c>
      <c r="E51" s="349">
        <f t="shared" si="8"/>
        <v>0.94644063151788727</v>
      </c>
      <c r="F51" s="350">
        <f t="shared" si="9"/>
        <v>215180140.21661082</v>
      </c>
      <c r="G51" s="347">
        <f t="shared" si="11"/>
        <v>63790098.564305604</v>
      </c>
    </row>
    <row r="52" spans="2:7" ht="15" x14ac:dyDescent="0.25">
      <c r="B52" s="339">
        <f t="shared" si="10"/>
        <v>15</v>
      </c>
      <c r="C52" s="75" t="s">
        <v>165</v>
      </c>
      <c r="D52" s="75">
        <v>2013</v>
      </c>
      <c r="E52" s="349">
        <f t="shared" si="8"/>
        <v>0.94662292783614055</v>
      </c>
      <c r="F52" s="350">
        <f t="shared" si="9"/>
        <v>316363467.89314818</v>
      </c>
      <c r="G52" s="347">
        <f t="shared" si="11"/>
        <v>88319919.167111918</v>
      </c>
    </row>
    <row r="53" spans="2:7" ht="15" x14ac:dyDescent="0.25">
      <c r="B53" s="339">
        <f t="shared" si="10"/>
        <v>16</v>
      </c>
      <c r="C53" s="75" t="s">
        <v>165</v>
      </c>
      <c r="D53" s="75">
        <v>2014</v>
      </c>
      <c r="E53" s="349">
        <f t="shared" si="8"/>
        <v>0.94580038546118106</v>
      </c>
      <c r="F53" s="350">
        <f t="shared" si="9"/>
        <v>263960992.25076768</v>
      </c>
      <c r="G53" s="347">
        <f t="shared" si="11"/>
        <v>52586501.431641668</v>
      </c>
    </row>
    <row r="54" spans="2:7" ht="15" x14ac:dyDescent="0.25">
      <c r="B54" s="339">
        <f t="shared" si="10"/>
        <v>17</v>
      </c>
      <c r="C54" s="75" t="s">
        <v>165</v>
      </c>
      <c r="D54" s="75">
        <v>2015</v>
      </c>
      <c r="E54" s="349">
        <f t="shared" si="8"/>
        <v>0.94435674724253993</v>
      </c>
      <c r="F54" s="350">
        <f t="shared" si="9"/>
        <v>294333571.53146619</v>
      </c>
      <c r="G54" s="347">
        <f t="shared" si="11"/>
        <v>57983504.280691952</v>
      </c>
    </row>
    <row r="55" spans="2:7" ht="15" x14ac:dyDescent="0.25">
      <c r="B55" s="339">
        <f t="shared" si="10"/>
        <v>18</v>
      </c>
      <c r="C55" s="75" t="s">
        <v>165</v>
      </c>
      <c r="D55" s="75">
        <v>2016</v>
      </c>
      <c r="E55" s="349">
        <f t="shared" si="8"/>
        <v>0.94847804651995893</v>
      </c>
      <c r="F55" s="350">
        <f t="shared" si="9"/>
        <v>416436896.91243327</v>
      </c>
      <c r="G55" s="347">
        <f t="shared" si="11"/>
        <v>51312662.316729777</v>
      </c>
    </row>
  </sheetData>
  <pageMargins left="0.7" right="0.7" top="0.5" bottom="0.75" header="0.3" footer="0.3"/>
  <pageSetup scale="50" orientation="landscape" r:id="rId1"/>
  <colBreaks count="1" manualBreakCount="1">
    <brk id="1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70C0"/>
  </sheetPr>
  <dimension ref="A1"/>
  <sheetViews>
    <sheetView workbookViewId="0">
      <selection activeCell="P42" sqref="P42"/>
    </sheetView>
  </sheetViews>
  <sheetFormatPr defaultRowHeight="15" x14ac:dyDescent="0.25"/>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7</vt:i4>
      </vt:variant>
    </vt:vector>
  </HeadingPairs>
  <TitlesOfParts>
    <vt:vector size="27" baseType="lpstr">
      <vt:lpstr>Capital Price--&gt;</vt:lpstr>
      <vt:lpstr>Capital Price Calculation</vt:lpstr>
      <vt:lpstr>All Variables</vt:lpstr>
      <vt:lpstr>Expected Inflation (i)</vt:lpstr>
      <vt:lpstr>Union Ratings and Yields</vt:lpstr>
      <vt:lpstr>Capital Stock--&gt;</vt:lpstr>
      <vt:lpstr>Capital Stock Calculation</vt:lpstr>
      <vt:lpstr>Capital Data Summary</vt:lpstr>
      <vt:lpstr>Capital Stock Data--&gt;</vt:lpstr>
      <vt:lpstr>From Union</vt:lpstr>
      <vt:lpstr>From Union (2)</vt:lpstr>
      <vt:lpstr>Union Transmission Additions</vt:lpstr>
      <vt:lpstr>Retirements Data</vt:lpstr>
      <vt:lpstr>Handy-Whitman Index</vt:lpstr>
      <vt:lpstr>Handy-Whitman Triangularized</vt:lpstr>
      <vt:lpstr>Capital Price Data--&gt;</vt:lpstr>
      <vt:lpstr>Union Bond Ratings</vt:lpstr>
      <vt:lpstr>Monthly Average Bond Yields</vt:lpstr>
      <vt:lpstr>Canadian CPI</vt:lpstr>
      <vt:lpstr>Canadian 10 Year Bond Yield</vt:lpstr>
      <vt:lpstr>'Canadian CPI'!Print_Area</vt:lpstr>
      <vt:lpstr>'From Union (2)'!Print_Area</vt:lpstr>
      <vt:lpstr>'Canadian 10 Year Bond Yield'!Print_Titles</vt:lpstr>
      <vt:lpstr>'Canadian CPI'!Print_Titles</vt:lpstr>
      <vt:lpstr>'From Union (2)'!Print_Titles</vt:lpstr>
      <vt:lpstr>'Handy-Whitman Index'!Print_Titles</vt:lpstr>
      <vt:lpstr>'Monthly Average Bond Yields'!Print_Titles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2018-03-16T13:55:48Z</dcterms:created>
  <dcterms:modified xsi:type="dcterms:W3CDTF">2018-03-23T15:21:21Z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{28A986F2-352E-4EA9-9118-3ED1A8B6D5C2}</vt:lpwstr>
  </property>
  <property fmtid="{D5CDD505-2E9C-101B-9397-08002B2CF9AE}" pid="3" name="_AdHocReviewCycleID">
    <vt:i4>-1783117521</vt:i4>
  </property>
  <property fmtid="{D5CDD505-2E9C-101B-9397-08002B2CF9AE}" pid="4" name="_NewReviewCycle">
    <vt:lpwstr/>
  </property>
  <property fmtid="{D5CDD505-2E9C-101B-9397-08002B2CF9AE}" pid="6" name="_PreviousAdHocReviewCycleID">
    <vt:i4>-1783117521</vt:i4>
  </property>
</Properties>
</file>