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11190" yWindow="1410" windowWidth="15420" windowHeight="8220" activeTab="1"/>
  </bookViews>
  <sheets>
    <sheet name="Labor--&gt;" sheetId="36" r:id="rId1"/>
    <sheet name="Labor Calculation" sheetId="37" r:id="rId2"/>
    <sheet name="Materials--&gt;" sheetId="32" r:id="rId3"/>
    <sheet name="Materials Calculation" sheetId="33" r:id="rId4"/>
    <sheet name="GDP Price Index Data--&gt;" sheetId="1" r:id="rId5"/>
    <sheet name="Canadian GDP Price Index" sheetId="70" r:id="rId6"/>
    <sheet name="Company Data--&gt;" sheetId="67" r:id="rId7"/>
    <sheet name="Summarized Union Data" sheetId="69" r:id="rId8"/>
    <sheet name="Transmission Allocation" sheetId="71" r:id="rId9"/>
    <sheet name="Fuss - Data Sheet (3)" sheetId="68" r:id="rId10"/>
    <sheet name="D-P O&amp;M (valued)" sheetId="72" r:id="rId11"/>
  </sheets>
  <definedNames>
    <definedName name="_xlnm.Print_Area" localSheetId="8">'Transmission Allocation'!$A$1:$E$14</definedName>
  </definedNames>
  <calcPr calcId="145621"/>
</workbook>
</file>

<file path=xl/calcChain.xml><?xml version="1.0" encoding="utf-8"?>
<calcChain xmlns="http://schemas.openxmlformats.org/spreadsheetml/2006/main">
  <c r="D14" i="71" l="1"/>
  <c r="C14" i="71"/>
  <c r="G13" i="33" l="1"/>
  <c r="G14" i="33" l="1"/>
  <c r="G15" i="33" l="1"/>
  <c r="G16" i="33" l="1"/>
  <c r="G17" i="33" l="1"/>
  <c r="G18" i="33" l="1"/>
  <c r="G19" i="33" l="1"/>
  <c r="G20" i="33" l="1"/>
  <c r="G21" i="33" l="1"/>
  <c r="G22" i="33" l="1"/>
  <c r="G23" i="33" l="1"/>
  <c r="G24" i="33" l="1"/>
  <c r="C14" i="69"/>
  <c r="C13" i="69"/>
  <c r="B2" i="71"/>
  <c r="G25" i="33" l="1"/>
  <c r="B2" i="69"/>
  <c r="BD130" i="68"/>
  <c r="BC130" i="68"/>
  <c r="BB130" i="68"/>
  <c r="BA130" i="68"/>
  <c r="AZ130" i="68"/>
  <c r="AY130" i="68"/>
  <c r="BD128" i="68"/>
  <c r="BC128" i="68"/>
  <c r="BB128" i="68"/>
  <c r="BA128" i="68"/>
  <c r="AZ128" i="68"/>
  <c r="AY128" i="68"/>
  <c r="AX128" i="68"/>
  <c r="AW128" i="68"/>
  <c r="AV128" i="68"/>
  <c r="AU125" i="68"/>
  <c r="AT125" i="68"/>
  <c r="AS125" i="68"/>
  <c r="AR125" i="68"/>
  <c r="AQ125" i="68"/>
  <c r="AP125" i="68"/>
  <c r="AO125" i="68"/>
  <c r="AN125" i="68"/>
  <c r="AK125" i="68"/>
  <c r="AH125" i="68"/>
  <c r="AE125" i="68"/>
  <c r="AB125" i="68"/>
  <c r="Y125" i="68"/>
  <c r="V125" i="68"/>
  <c r="S125" i="68"/>
  <c r="P125" i="68"/>
  <c r="M125" i="68"/>
  <c r="J125" i="68"/>
  <c r="G125" i="68"/>
  <c r="D125" i="68"/>
  <c r="BD124" i="68"/>
  <c r="BC124" i="68"/>
  <c r="BB124" i="68"/>
  <c r="BD123" i="68"/>
  <c r="BC123" i="68"/>
  <c r="BB123" i="68"/>
  <c r="BA123" i="68"/>
  <c r="BA124" i="68" s="1"/>
  <c r="AZ123" i="68"/>
  <c r="AZ124" i="68" s="1"/>
  <c r="BD122" i="68"/>
  <c r="BC122" i="68"/>
  <c r="BA122" i="68"/>
  <c r="AZ122" i="68"/>
  <c r="AQ122" i="68"/>
  <c r="AN122" i="68"/>
  <c r="AM122" i="68"/>
  <c r="AL122" i="68"/>
  <c r="AJ122" i="68"/>
  <c r="AI122" i="68"/>
  <c r="AG122" i="68"/>
  <c r="AD122" i="68"/>
  <c r="AC122" i="68"/>
  <c r="AA122" i="68"/>
  <c r="X122" i="68"/>
  <c r="W122" i="68"/>
  <c r="U122" i="68"/>
  <c r="R122" i="68"/>
  <c r="Q122" i="68"/>
  <c r="O122" i="68"/>
  <c r="L122" i="68"/>
  <c r="K122" i="68"/>
  <c r="I122" i="68"/>
  <c r="H122" i="68"/>
  <c r="F122" i="68"/>
  <c r="E122" i="68"/>
  <c r="C122" i="68"/>
  <c r="B122" i="68"/>
  <c r="AK121" i="68"/>
  <c r="AH121" i="68"/>
  <c r="AE121" i="68"/>
  <c r="AE122" i="68" s="1"/>
  <c r="AB121" i="68"/>
  <c r="Y121" i="68"/>
  <c r="V121" i="68"/>
  <c r="S121" i="68"/>
  <c r="P121" i="68"/>
  <c r="M121" i="68"/>
  <c r="J121" i="68"/>
  <c r="G121" i="68"/>
  <c r="D121" i="68"/>
  <c r="AP122" i="68"/>
  <c r="AO122" i="68"/>
  <c r="AI119" i="68"/>
  <c r="AK119" i="68" s="1"/>
  <c r="AF119" i="68"/>
  <c r="AF122" i="68" s="1"/>
  <c r="AE119" i="68"/>
  <c r="AB119" i="68"/>
  <c r="Y119" i="68"/>
  <c r="V119" i="68"/>
  <c r="S119" i="68"/>
  <c r="P119" i="68"/>
  <c r="M119" i="68"/>
  <c r="M122" i="68" s="1"/>
  <c r="J119" i="68"/>
  <c r="G119" i="68"/>
  <c r="D119" i="68"/>
  <c r="BB117" i="68"/>
  <c r="BB122" i="68" s="1"/>
  <c r="AK117" i="68"/>
  <c r="AK122" i="68" s="1"/>
  <c r="AH117" i="68"/>
  <c r="AE117" i="68"/>
  <c r="Z117" i="68"/>
  <c r="AB117" i="68" s="1"/>
  <c r="AB122" i="68" s="1"/>
  <c r="Y117" i="68"/>
  <c r="Y122" i="68" s="1"/>
  <c r="W117" i="68"/>
  <c r="T117" i="68"/>
  <c r="V117" i="68" s="1"/>
  <c r="V122" i="68" s="1"/>
  <c r="S117" i="68"/>
  <c r="S122" i="68" s="1"/>
  <c r="Q117" i="68"/>
  <c r="N117" i="68"/>
  <c r="P117" i="68" s="1"/>
  <c r="P122" i="68" s="1"/>
  <c r="M117" i="68"/>
  <c r="J117" i="68"/>
  <c r="J122" i="68" s="1"/>
  <c r="G117" i="68"/>
  <c r="G122" i="68" s="1"/>
  <c r="D117" i="68"/>
  <c r="D122" i="68" s="1"/>
  <c r="AU123" i="68"/>
  <c r="AU124" i="68" s="1"/>
  <c r="AO123" i="68"/>
  <c r="AK115" i="68"/>
  <c r="AH115" i="68"/>
  <c r="AE115" i="68"/>
  <c r="AB115" i="68"/>
  <c r="Y115" i="68"/>
  <c r="V115" i="68"/>
  <c r="S115" i="68"/>
  <c r="P115" i="68"/>
  <c r="M115" i="68"/>
  <c r="J115" i="68"/>
  <c r="G115" i="68"/>
  <c r="D115" i="68"/>
  <c r="AK114" i="68"/>
  <c r="AH114" i="68"/>
  <c r="AE114" i="68"/>
  <c r="AB114" i="68"/>
  <c r="Y114" i="68"/>
  <c r="V114" i="68"/>
  <c r="S114" i="68"/>
  <c r="P114" i="68"/>
  <c r="M114" i="68"/>
  <c r="J114" i="68"/>
  <c r="G114" i="68"/>
  <c r="D114" i="68"/>
  <c r="AK113" i="68"/>
  <c r="AH113" i="68"/>
  <c r="AE113" i="68"/>
  <c r="AB113" i="68"/>
  <c r="Y113" i="68"/>
  <c r="V113" i="68"/>
  <c r="S113" i="68"/>
  <c r="P113" i="68"/>
  <c r="M113" i="68"/>
  <c r="J113" i="68"/>
  <c r="G113" i="68"/>
  <c r="D113" i="68"/>
  <c r="AK112" i="68"/>
  <c r="AH112" i="68"/>
  <c r="AE112" i="68"/>
  <c r="AB112" i="68"/>
  <c r="Y112" i="68"/>
  <c r="V112" i="68"/>
  <c r="S112" i="68"/>
  <c r="P112" i="68"/>
  <c r="M112" i="68"/>
  <c r="J112" i="68"/>
  <c r="G112" i="68"/>
  <c r="D112" i="68"/>
  <c r="AK111" i="68"/>
  <c r="AH111" i="68"/>
  <c r="AE111" i="68"/>
  <c r="AB111" i="68"/>
  <c r="Y111" i="68"/>
  <c r="V111" i="68"/>
  <c r="S111" i="68"/>
  <c r="P111" i="68"/>
  <c r="M111" i="68"/>
  <c r="J111" i="68"/>
  <c r="G111" i="68"/>
  <c r="D111" i="68"/>
  <c r="AK110" i="68"/>
  <c r="AH110" i="68"/>
  <c r="AE110" i="68"/>
  <c r="AB110" i="68"/>
  <c r="Y110" i="68"/>
  <c r="V110" i="68"/>
  <c r="S110" i="68"/>
  <c r="P110" i="68"/>
  <c r="M110" i="68"/>
  <c r="J110" i="68"/>
  <c r="G110" i="68"/>
  <c r="D110" i="68"/>
  <c r="AK109" i="68"/>
  <c r="AH109" i="68"/>
  <c r="AE109" i="68"/>
  <c r="AB109" i="68"/>
  <c r="Y109" i="68"/>
  <c r="V109" i="68"/>
  <c r="S109" i="68"/>
  <c r="P109" i="68"/>
  <c r="M109" i="68"/>
  <c r="J109" i="68"/>
  <c r="G109" i="68"/>
  <c r="D109" i="68"/>
  <c r="AC94" i="68"/>
  <c r="U94" i="68"/>
  <c r="R94" i="68"/>
  <c r="E94" i="68"/>
  <c r="AK83" i="68"/>
  <c r="AH83" i="68"/>
  <c r="AH94" i="68" s="1"/>
  <c r="AE83" i="68"/>
  <c r="AB83" i="68"/>
  <c r="Y83" i="68"/>
  <c r="V83" i="68"/>
  <c r="V94" i="68" s="1"/>
  <c r="S83" i="68"/>
  <c r="P83" i="68"/>
  <c r="M83" i="68"/>
  <c r="J83" i="68"/>
  <c r="G83" i="68"/>
  <c r="D83" i="68"/>
  <c r="AK82" i="68"/>
  <c r="AH82" i="68"/>
  <c r="AE82" i="68"/>
  <c r="AB82" i="68"/>
  <c r="Y82" i="68"/>
  <c r="V82" i="68"/>
  <c r="S82" i="68"/>
  <c r="P82" i="68"/>
  <c r="M82" i="68"/>
  <c r="J82" i="68"/>
  <c r="G82" i="68"/>
  <c r="D82" i="68"/>
  <c r="AK81" i="68"/>
  <c r="AH81" i="68"/>
  <c r="AE81" i="68"/>
  <c r="AB81" i="68"/>
  <c r="Y81" i="68"/>
  <c r="V81" i="68"/>
  <c r="S81" i="68"/>
  <c r="P81" i="68"/>
  <c r="M81" i="68"/>
  <c r="J81" i="68"/>
  <c r="G81" i="68"/>
  <c r="D81" i="68"/>
  <c r="AK80" i="68"/>
  <c r="AH80" i="68"/>
  <c r="AE80" i="68"/>
  <c r="AB80" i="68"/>
  <c r="Y80" i="68"/>
  <c r="V80" i="68"/>
  <c r="S80" i="68"/>
  <c r="P80" i="68"/>
  <c r="M80" i="68"/>
  <c r="J80" i="68"/>
  <c r="G80" i="68"/>
  <c r="D80" i="68"/>
  <c r="AK79" i="68"/>
  <c r="AH79" i="68"/>
  <c r="AE79" i="68"/>
  <c r="AB79" i="68"/>
  <c r="Y79" i="68"/>
  <c r="V79" i="68"/>
  <c r="S79" i="68"/>
  <c r="P79" i="68"/>
  <c r="M79" i="68"/>
  <c r="J79" i="68"/>
  <c r="G79" i="68"/>
  <c r="D79" i="68"/>
  <c r="AI78" i="68"/>
  <c r="AK78" i="68" s="1"/>
  <c r="AH78" i="68"/>
  <c r="AE78" i="68"/>
  <c r="AB78" i="68"/>
  <c r="Y78" i="68"/>
  <c r="V78" i="68"/>
  <c r="S78" i="68"/>
  <c r="P78" i="68"/>
  <c r="M78" i="68"/>
  <c r="K78" i="68"/>
  <c r="H78" i="68"/>
  <c r="J78" i="68" s="1"/>
  <c r="G78" i="68"/>
  <c r="D78" i="68"/>
  <c r="BA73" i="68"/>
  <c r="AZ73" i="68"/>
  <c r="AY73" i="68"/>
  <c r="AK72" i="68"/>
  <c r="AH72" i="68"/>
  <c r="AE72" i="68"/>
  <c r="AB72" i="68"/>
  <c r="Y72" i="68"/>
  <c r="V72" i="68"/>
  <c r="S72" i="68"/>
  <c r="P72" i="68"/>
  <c r="M72" i="68"/>
  <c r="J72" i="68"/>
  <c r="G72" i="68"/>
  <c r="D72" i="68"/>
  <c r="AK71" i="68"/>
  <c r="AH71" i="68"/>
  <c r="AE71" i="68"/>
  <c r="AB71" i="68"/>
  <c r="Y71" i="68"/>
  <c r="V71" i="68"/>
  <c r="S71" i="68"/>
  <c r="P71" i="68"/>
  <c r="M71" i="68"/>
  <c r="J71" i="68"/>
  <c r="G71" i="68"/>
  <c r="D71" i="68"/>
  <c r="AK70" i="68"/>
  <c r="AH70" i="68"/>
  <c r="AE70" i="68"/>
  <c r="AB70" i="68"/>
  <c r="Y70" i="68"/>
  <c r="V70" i="68"/>
  <c r="S70" i="68"/>
  <c r="P70" i="68"/>
  <c r="M70" i="68"/>
  <c r="J70" i="68"/>
  <c r="H70" i="68"/>
  <c r="G70" i="68"/>
  <c r="D70" i="68"/>
  <c r="AQ69" i="68"/>
  <c r="AP69" i="68"/>
  <c r="AO69" i="68"/>
  <c r="AN69" i="68"/>
  <c r="BE68" i="68"/>
  <c r="BB68" i="68"/>
  <c r="BA68" i="68"/>
  <c r="AZ68" i="68"/>
  <c r="AY68" i="68"/>
  <c r="AX68" i="68"/>
  <c r="AW68" i="68"/>
  <c r="AV68" i="68"/>
  <c r="BE66" i="68"/>
  <c r="BD66" i="68"/>
  <c r="BD68" i="68" s="1"/>
  <c r="BC66" i="68"/>
  <c r="BC68" i="68" s="1"/>
  <c r="BB66" i="68"/>
  <c r="AU69" i="68"/>
  <c r="AT69" i="68"/>
  <c r="AS69" i="68"/>
  <c r="AR69" i="68"/>
  <c r="AK66" i="68"/>
  <c r="AH66" i="68"/>
  <c r="AE66" i="68"/>
  <c r="AB66" i="68"/>
  <c r="Y66" i="68"/>
  <c r="V66" i="68"/>
  <c r="S66" i="68"/>
  <c r="P66" i="68"/>
  <c r="M66" i="68"/>
  <c r="J66" i="68"/>
  <c r="G66" i="68"/>
  <c r="D66" i="68"/>
  <c r="BE65" i="68"/>
  <c r="BD65" i="68"/>
  <c r="BC65" i="68"/>
  <c r="BB65" i="68"/>
  <c r="AK65" i="68"/>
  <c r="AH65" i="68"/>
  <c r="AE65" i="68"/>
  <c r="AB65" i="68"/>
  <c r="Y65" i="68"/>
  <c r="V65" i="68"/>
  <c r="S65" i="68"/>
  <c r="P65" i="68"/>
  <c r="M65" i="68"/>
  <c r="J65" i="68"/>
  <c r="G65" i="68"/>
  <c r="D65" i="68"/>
  <c r="BE64" i="68"/>
  <c r="BD64" i="68"/>
  <c r="BD55" i="68" s="1"/>
  <c r="BC64" i="68"/>
  <c r="BB64" i="68"/>
  <c r="AS55" i="68"/>
  <c r="AK64" i="68"/>
  <c r="AH64" i="68"/>
  <c r="AE64" i="68"/>
  <c r="AB64" i="68"/>
  <c r="Y64" i="68"/>
  <c r="V64" i="68"/>
  <c r="S64" i="68"/>
  <c r="P64" i="68"/>
  <c r="M64" i="68"/>
  <c r="J64" i="68"/>
  <c r="G64" i="68"/>
  <c r="D64" i="68"/>
  <c r="AS63" i="68"/>
  <c r="AQ63" i="68"/>
  <c r="AP63" i="68"/>
  <c r="AO63" i="68"/>
  <c r="AN63" i="68"/>
  <c r="AZ62" i="68"/>
  <c r="AZ74" i="68" s="1"/>
  <c r="AZ76" i="68" s="1"/>
  <c r="BE61" i="68"/>
  <c r="BB61" i="68"/>
  <c r="BA61" i="68"/>
  <c r="AZ61" i="68"/>
  <c r="AY61" i="68"/>
  <c r="BE60" i="68"/>
  <c r="BD60" i="68"/>
  <c r="BD61" i="68" s="1"/>
  <c r="BC60" i="68"/>
  <c r="BC61" i="68" s="1"/>
  <c r="BB60" i="68"/>
  <c r="AX61" i="68"/>
  <c r="AV61" i="68"/>
  <c r="BE59" i="68"/>
  <c r="BD59" i="68"/>
  <c r="BC59" i="68"/>
  <c r="BC55" i="68" s="1"/>
  <c r="BB59" i="68"/>
  <c r="AW55" i="68"/>
  <c r="AU63" i="68"/>
  <c r="AT63" i="68"/>
  <c r="AR63" i="68"/>
  <c r="AK59" i="68"/>
  <c r="AH59" i="68"/>
  <c r="AE59" i="68"/>
  <c r="AB59" i="68"/>
  <c r="Y59" i="68"/>
  <c r="V59" i="68"/>
  <c r="S59" i="68"/>
  <c r="P59" i="68"/>
  <c r="M59" i="68"/>
  <c r="J59" i="68"/>
  <c r="G59" i="68"/>
  <c r="D59" i="68"/>
  <c r="BE58" i="68"/>
  <c r="BE55" i="68" s="1"/>
  <c r="BD58" i="68"/>
  <c r="BC58" i="68"/>
  <c r="BB58" i="68"/>
  <c r="BB55" i="68" s="1"/>
  <c r="AK58" i="68"/>
  <c r="AH58" i="68"/>
  <c r="AE58" i="68"/>
  <c r="AB58" i="68"/>
  <c r="Y58" i="68"/>
  <c r="V58" i="68"/>
  <c r="V55" i="68" s="1"/>
  <c r="S58" i="68"/>
  <c r="P58" i="68"/>
  <c r="M58" i="68"/>
  <c r="J58" i="68"/>
  <c r="G58" i="68"/>
  <c r="D58" i="68"/>
  <c r="AK57" i="68"/>
  <c r="AH57" i="68"/>
  <c r="AE57" i="68"/>
  <c r="AB57" i="68"/>
  <c r="Y57" i="68"/>
  <c r="Y55" i="68" s="1"/>
  <c r="V57" i="68"/>
  <c r="S57" i="68"/>
  <c r="P57" i="68"/>
  <c r="P55" i="68" s="1"/>
  <c r="M57" i="68"/>
  <c r="M55" i="68" s="1"/>
  <c r="J57" i="68"/>
  <c r="G57" i="68"/>
  <c r="D57" i="68"/>
  <c r="AR55" i="68"/>
  <c r="AK56" i="68"/>
  <c r="AK55" i="68" s="1"/>
  <c r="AH56" i="68"/>
  <c r="AH55" i="68" s="1"/>
  <c r="AF56" i="68"/>
  <c r="AC56" i="68"/>
  <c r="AE56" i="68" s="1"/>
  <c r="AE55" i="68" s="1"/>
  <c r="AB56" i="68"/>
  <c r="AB55" i="68" s="1"/>
  <c r="Y56" i="68"/>
  <c r="V56" i="68"/>
  <c r="S56" i="68"/>
  <c r="P56" i="68"/>
  <c r="M56" i="68"/>
  <c r="H56" i="68"/>
  <c r="H55" i="68" s="1"/>
  <c r="G56" i="68"/>
  <c r="G55" i="68" s="1"/>
  <c r="D56" i="68"/>
  <c r="BA55" i="68"/>
  <c r="AZ55" i="68"/>
  <c r="AY55" i="68"/>
  <c r="AQ55" i="68"/>
  <c r="AP55" i="68"/>
  <c r="AO55" i="68"/>
  <c r="AN55" i="68"/>
  <c r="AM55" i="68"/>
  <c r="AL55" i="68"/>
  <c r="AJ55" i="68"/>
  <c r="AI55" i="68"/>
  <c r="AG55" i="68"/>
  <c r="AF55" i="68"/>
  <c r="AD55" i="68"/>
  <c r="AA55" i="68"/>
  <c r="Z55" i="68"/>
  <c r="X55" i="68"/>
  <c r="W55" i="68"/>
  <c r="U55" i="68"/>
  <c r="T55" i="68"/>
  <c r="S55" i="68"/>
  <c r="R55" i="68"/>
  <c r="Q55" i="68"/>
  <c r="O55" i="68"/>
  <c r="N55" i="68"/>
  <c r="L55" i="68"/>
  <c r="K55" i="68"/>
  <c r="I55" i="68"/>
  <c r="F55" i="68"/>
  <c r="E55" i="68"/>
  <c r="D55" i="68"/>
  <c r="C55" i="68"/>
  <c r="B55" i="68"/>
  <c r="AK54" i="68"/>
  <c r="AH54" i="68"/>
  <c r="AE54" i="68"/>
  <c r="AB54" i="68"/>
  <c r="Y54" i="68"/>
  <c r="V54" i="68"/>
  <c r="S54" i="68"/>
  <c r="P54" i="68"/>
  <c r="M54" i="68"/>
  <c r="J54" i="68"/>
  <c r="G54" i="68"/>
  <c r="D54" i="68"/>
  <c r="AK53" i="68"/>
  <c r="AH53" i="68"/>
  <c r="AE53" i="68"/>
  <c r="AB53" i="68"/>
  <c r="Y53" i="68"/>
  <c r="V53" i="68"/>
  <c r="S53" i="68"/>
  <c r="P53" i="68"/>
  <c r="M53" i="68"/>
  <c r="H53" i="68"/>
  <c r="J53" i="68" s="1"/>
  <c r="G53" i="68"/>
  <c r="D53" i="68"/>
  <c r="AU52" i="68"/>
  <c r="AT52" i="68"/>
  <c r="AQ52" i="68"/>
  <c r="AP52" i="68"/>
  <c r="AO52" i="68"/>
  <c r="AN52" i="68"/>
  <c r="BD50" i="68"/>
  <c r="BC50" i="68"/>
  <c r="BA50" i="68"/>
  <c r="AZ50" i="68"/>
  <c r="AY50" i="68"/>
  <c r="AV50" i="68"/>
  <c r="AX50" i="68"/>
  <c r="BE48" i="68"/>
  <c r="BE50" i="68" s="1"/>
  <c r="BD48" i="68"/>
  <c r="BC48" i="68"/>
  <c r="BB48" i="68"/>
  <c r="BB50" i="68" s="1"/>
  <c r="AW50" i="68"/>
  <c r="AS52" i="68"/>
  <c r="AR52" i="68"/>
  <c r="AK48" i="68"/>
  <c r="AH48" i="68"/>
  <c r="AE48" i="68"/>
  <c r="AB48" i="68"/>
  <c r="Y48" i="68"/>
  <c r="V48" i="68"/>
  <c r="S48" i="68"/>
  <c r="P48" i="68"/>
  <c r="M48" i="68"/>
  <c r="J48" i="68"/>
  <c r="G48" i="68"/>
  <c r="D48" i="68"/>
  <c r="BE47" i="68"/>
  <c r="BD47" i="68"/>
  <c r="BD38" i="68" s="1"/>
  <c r="BC47" i="68"/>
  <c r="BB47" i="68"/>
  <c r="AK47" i="68"/>
  <c r="AH47" i="68"/>
  <c r="AE47" i="68"/>
  <c r="AB47" i="68"/>
  <c r="Y47" i="68"/>
  <c r="V47" i="68"/>
  <c r="S47" i="68"/>
  <c r="P47" i="68"/>
  <c r="M47" i="68"/>
  <c r="J47" i="68"/>
  <c r="G47" i="68"/>
  <c r="D47" i="68"/>
  <c r="BE46" i="68"/>
  <c r="BD46" i="68"/>
  <c r="BC46" i="68"/>
  <c r="BB46" i="68"/>
  <c r="AK46" i="68"/>
  <c r="AH46" i="68"/>
  <c r="AE46" i="68"/>
  <c r="AB46" i="68"/>
  <c r="Y46" i="68"/>
  <c r="V46" i="68"/>
  <c r="S46" i="68"/>
  <c r="P46" i="68"/>
  <c r="M46" i="68"/>
  <c r="J46" i="68"/>
  <c r="G46" i="68"/>
  <c r="D46" i="68"/>
  <c r="BE44" i="68"/>
  <c r="BE62" i="68" s="1"/>
  <c r="BE74" i="68" s="1"/>
  <c r="BE76" i="68" s="1"/>
  <c r="BB44" i="68"/>
  <c r="BB62" i="68" s="1"/>
  <c r="BB74" i="68" s="1"/>
  <c r="BB76" i="68" s="1"/>
  <c r="BA44" i="68"/>
  <c r="BA62" i="68" s="1"/>
  <c r="BA74" i="68" s="1"/>
  <c r="BA76" i="68" s="1"/>
  <c r="AZ44" i="68"/>
  <c r="AY44" i="68"/>
  <c r="AY62" i="68" s="1"/>
  <c r="AY74" i="68" s="1"/>
  <c r="AY76" i="68" s="1"/>
  <c r="BE43" i="68"/>
  <c r="BE73" i="68" s="1"/>
  <c r="BD43" i="68"/>
  <c r="BD73" i="68" s="1"/>
  <c r="BC43" i="68"/>
  <c r="BB43" i="68"/>
  <c r="BB73" i="68" s="1"/>
  <c r="AX44" i="68"/>
  <c r="AX62" i="68" s="1"/>
  <c r="AW73" i="68"/>
  <c r="BE42" i="68"/>
  <c r="BD42" i="68"/>
  <c r="BC42" i="68"/>
  <c r="BB42" i="68"/>
  <c r="AV38" i="68"/>
  <c r="AU45" i="68"/>
  <c r="AT45" i="68"/>
  <c r="AS45" i="68"/>
  <c r="AR45" i="68"/>
  <c r="AQ45" i="68"/>
  <c r="AQ75" i="68" s="1"/>
  <c r="AQ76" i="68" s="1"/>
  <c r="AP45" i="68"/>
  <c r="AP75" i="68" s="1"/>
  <c r="AP76" i="68" s="1"/>
  <c r="AO45" i="68"/>
  <c r="AO75" i="68" s="1"/>
  <c r="AO76" i="68" s="1"/>
  <c r="AN45" i="68"/>
  <c r="AN75" i="68" s="1"/>
  <c r="AN76" i="68" s="1"/>
  <c r="AK42" i="68"/>
  <c r="AH42" i="68"/>
  <c r="AE42" i="68"/>
  <c r="AB42" i="68"/>
  <c r="Y42" i="68"/>
  <c r="V42" i="68"/>
  <c r="S42" i="68"/>
  <c r="P42" i="68"/>
  <c r="M42" i="68"/>
  <c r="J42" i="68"/>
  <c r="G42" i="68"/>
  <c r="D42" i="68"/>
  <c r="BE41" i="68"/>
  <c r="BD41" i="68"/>
  <c r="BC41" i="68"/>
  <c r="BC38" i="68" s="1"/>
  <c r="BB41" i="68"/>
  <c r="BB38" i="68" s="1"/>
  <c r="AW38" i="68"/>
  <c r="AU38" i="68"/>
  <c r="AK41" i="68"/>
  <c r="AH41" i="68"/>
  <c r="AE41" i="68"/>
  <c r="AB41" i="68"/>
  <c r="Y41" i="68"/>
  <c r="V41" i="68"/>
  <c r="S41" i="68"/>
  <c r="P41" i="68"/>
  <c r="M41" i="68"/>
  <c r="J41" i="68"/>
  <c r="G41" i="68"/>
  <c r="D41" i="68"/>
  <c r="AK40" i="68"/>
  <c r="AH40" i="68"/>
  <c r="AE40" i="68"/>
  <c r="AB40" i="68"/>
  <c r="Y40" i="68"/>
  <c r="V40" i="68"/>
  <c r="S40" i="68"/>
  <c r="P40" i="68"/>
  <c r="M40" i="68"/>
  <c r="J40" i="68"/>
  <c r="G40" i="68"/>
  <c r="D40" i="68"/>
  <c r="AT38" i="68"/>
  <c r="AS38" i="68"/>
  <c r="AK39" i="68"/>
  <c r="AF39" i="68"/>
  <c r="AH39" i="68" s="1"/>
  <c r="AE39" i="68"/>
  <c r="AC39" i="68"/>
  <c r="AB39" i="68"/>
  <c r="Y39" i="68"/>
  <c r="V39" i="68"/>
  <c r="S39" i="68"/>
  <c r="P39" i="68"/>
  <c r="M39" i="68"/>
  <c r="J39" i="68"/>
  <c r="H39" i="68"/>
  <c r="G39" i="68"/>
  <c r="D39" i="68"/>
  <c r="BE38" i="68"/>
  <c r="BA38" i="68"/>
  <c r="AZ38" i="68"/>
  <c r="AY38" i="68"/>
  <c r="AQ38" i="68"/>
  <c r="AP38" i="68"/>
  <c r="AO38" i="68"/>
  <c r="AK38" i="68"/>
  <c r="AH38" i="68"/>
  <c r="AE38" i="68"/>
  <c r="AB38" i="68"/>
  <c r="Y38" i="68"/>
  <c r="V38" i="68"/>
  <c r="S38" i="68"/>
  <c r="P38" i="68"/>
  <c r="M38" i="68"/>
  <c r="J38" i="68"/>
  <c r="G38" i="68"/>
  <c r="D38" i="68"/>
  <c r="BD36" i="68"/>
  <c r="BD37" i="68" s="1"/>
  <c r="BC36" i="68"/>
  <c r="BC37" i="68" s="1"/>
  <c r="BB36" i="68"/>
  <c r="BB37" i="68" s="1"/>
  <c r="BA36" i="68"/>
  <c r="BA37" i="68" s="1"/>
  <c r="AZ36" i="68"/>
  <c r="AZ37" i="68" s="1"/>
  <c r="BD35" i="68"/>
  <c r="BC35" i="68"/>
  <c r="BB35" i="68"/>
  <c r="BA35" i="68"/>
  <c r="AZ35" i="68"/>
  <c r="AY35" i="68"/>
  <c r="AM35" i="68"/>
  <c r="AM94" i="68" s="1"/>
  <c r="AL35" i="68"/>
  <c r="AL94" i="68" s="1"/>
  <c r="AJ35" i="68"/>
  <c r="AJ94" i="68" s="1"/>
  <c r="AG35" i="68"/>
  <c r="AG94" i="68" s="1"/>
  <c r="AF35" i="68"/>
  <c r="AF94" i="68" s="1"/>
  <c r="AE35" i="68"/>
  <c r="AE94" i="68" s="1"/>
  <c r="AD35" i="68"/>
  <c r="AD94" i="68" s="1"/>
  <c r="AC35" i="68"/>
  <c r="AA35" i="68"/>
  <c r="AA94" i="68" s="1"/>
  <c r="X35" i="68"/>
  <c r="X94" i="68" s="1"/>
  <c r="W35" i="68"/>
  <c r="W94" i="68" s="1"/>
  <c r="V35" i="68"/>
  <c r="U35" i="68"/>
  <c r="R35" i="68"/>
  <c r="O35" i="68"/>
  <c r="O94" i="68" s="1"/>
  <c r="L35" i="68"/>
  <c r="L94" i="68" s="1"/>
  <c r="K35" i="68"/>
  <c r="K94" i="68" s="1"/>
  <c r="I35" i="68"/>
  <c r="I94" i="68" s="1"/>
  <c r="H35" i="68"/>
  <c r="H94" i="68" s="1"/>
  <c r="G35" i="68"/>
  <c r="G94" i="68" s="1"/>
  <c r="F35" i="68"/>
  <c r="F94" i="68" s="1"/>
  <c r="E35" i="68"/>
  <c r="C35" i="68"/>
  <c r="C94" i="68" s="1"/>
  <c r="B35" i="68"/>
  <c r="AQ35" i="68"/>
  <c r="AK34" i="68"/>
  <c r="AH34" i="68"/>
  <c r="AE34" i="68"/>
  <c r="AB34" i="68"/>
  <c r="Y34" i="68"/>
  <c r="V34" i="68"/>
  <c r="S34" i="68"/>
  <c r="P34" i="68"/>
  <c r="M34" i="68"/>
  <c r="J34" i="68"/>
  <c r="G34" i="68"/>
  <c r="D34" i="68"/>
  <c r="AX130" i="68"/>
  <c r="AW130" i="68"/>
  <c r="AV130" i="68"/>
  <c r="AI32" i="68"/>
  <c r="AK32" i="68" s="1"/>
  <c r="AH32" i="68"/>
  <c r="AF32" i="68"/>
  <c r="AE32" i="68"/>
  <c r="AB32" i="68"/>
  <c r="Y32" i="68"/>
  <c r="V32" i="68"/>
  <c r="S32" i="68"/>
  <c r="P32" i="68"/>
  <c r="M32" i="68"/>
  <c r="J32" i="68"/>
  <c r="G32" i="68"/>
  <c r="D32" i="68"/>
  <c r="AT36" i="68"/>
  <c r="AT37" i="68" s="1"/>
  <c r="BB30" i="68"/>
  <c r="AK30" i="68"/>
  <c r="AH30" i="68"/>
  <c r="AH35" i="68" s="1"/>
  <c r="AE30" i="68"/>
  <c r="Z30" i="68"/>
  <c r="Y30" i="68"/>
  <c r="Y35" i="68" s="1"/>
  <c r="W30" i="68"/>
  <c r="V30" i="68"/>
  <c r="T30" i="68"/>
  <c r="T35" i="68" s="1"/>
  <c r="T94" i="68" s="1"/>
  <c r="Q30" i="68"/>
  <c r="Q35" i="68" s="1"/>
  <c r="Q94" i="68" s="1"/>
  <c r="N30" i="68"/>
  <c r="M30" i="68"/>
  <c r="J30" i="68"/>
  <c r="J35" i="68" s="1"/>
  <c r="G30" i="68"/>
  <c r="D30" i="68"/>
  <c r="D35" i="68" s="1"/>
  <c r="AK28" i="68"/>
  <c r="AH28" i="68"/>
  <c r="AE28" i="68"/>
  <c r="AB28" i="68"/>
  <c r="Y28" i="68"/>
  <c r="V28" i="68"/>
  <c r="S28" i="68"/>
  <c r="P28" i="68"/>
  <c r="M28" i="68"/>
  <c r="J28" i="68"/>
  <c r="G28" i="68"/>
  <c r="D28" i="68"/>
  <c r="AK27" i="68"/>
  <c r="AH27" i="68"/>
  <c r="AE27" i="68"/>
  <c r="AB27" i="68"/>
  <c r="Y27" i="68"/>
  <c r="V27" i="68"/>
  <c r="S27" i="68"/>
  <c r="P27" i="68"/>
  <c r="M27" i="68"/>
  <c r="J27" i="68"/>
  <c r="G27" i="68"/>
  <c r="D27" i="68"/>
  <c r="AK26" i="68"/>
  <c r="AH26" i="68"/>
  <c r="AE26" i="68"/>
  <c r="AB26" i="68"/>
  <c r="Y26" i="68"/>
  <c r="V26" i="68"/>
  <c r="S26" i="68"/>
  <c r="P26" i="68"/>
  <c r="M26" i="68"/>
  <c r="J26" i="68"/>
  <c r="G26" i="68"/>
  <c r="D26" i="68"/>
  <c r="AK25" i="68"/>
  <c r="AH25" i="68"/>
  <c r="AE25" i="68"/>
  <c r="AB25" i="68"/>
  <c r="Y25" i="68"/>
  <c r="V25" i="68"/>
  <c r="S25" i="68"/>
  <c r="P25" i="68"/>
  <c r="M25" i="68"/>
  <c r="J25" i="68"/>
  <c r="G25" i="68"/>
  <c r="D25" i="68"/>
  <c r="AK24" i="68"/>
  <c r="AH24" i="68"/>
  <c r="AE24" i="68"/>
  <c r="AB24" i="68"/>
  <c r="Y24" i="68"/>
  <c r="V24" i="68"/>
  <c r="S24" i="68"/>
  <c r="P24" i="68"/>
  <c r="M24" i="68"/>
  <c r="J24" i="68"/>
  <c r="G24" i="68"/>
  <c r="D24" i="68"/>
  <c r="AK23" i="68"/>
  <c r="AH23" i="68"/>
  <c r="AE23" i="68"/>
  <c r="AB23" i="68"/>
  <c r="Y23" i="68"/>
  <c r="V23" i="68"/>
  <c r="S23" i="68"/>
  <c r="P23" i="68"/>
  <c r="M23" i="68"/>
  <c r="J23" i="68"/>
  <c r="G23" i="68"/>
  <c r="D23" i="68"/>
  <c r="AK22" i="68"/>
  <c r="AH22" i="68"/>
  <c r="AE22" i="68"/>
  <c r="AB22" i="68"/>
  <c r="Y22" i="68"/>
  <c r="V22" i="68"/>
  <c r="S22" i="68"/>
  <c r="P22" i="68"/>
  <c r="M22" i="68"/>
  <c r="J22" i="68"/>
  <c r="G22" i="68"/>
  <c r="D22" i="68"/>
  <c r="AK21" i="68"/>
  <c r="AH21" i="68"/>
  <c r="AE21" i="68"/>
  <c r="AB21" i="68"/>
  <c r="Y21" i="68"/>
  <c r="V21" i="68"/>
  <c r="S21" i="68"/>
  <c r="P21" i="68"/>
  <c r="M21" i="68"/>
  <c r="J21" i="68"/>
  <c r="G21" i="68"/>
  <c r="D21" i="68"/>
  <c r="AK20" i="68"/>
  <c r="AH20" i="68"/>
  <c r="AE20" i="68"/>
  <c r="AB20" i="68"/>
  <c r="Y20" i="68"/>
  <c r="V20" i="68"/>
  <c r="S20" i="68"/>
  <c r="P20" i="68"/>
  <c r="M20" i="68"/>
  <c r="J20" i="68"/>
  <c r="G20" i="68"/>
  <c r="D20" i="68"/>
  <c r="AK19" i="68"/>
  <c r="AH19" i="68"/>
  <c r="AE19" i="68"/>
  <c r="AB19" i="68"/>
  <c r="Y19" i="68"/>
  <c r="V19" i="68"/>
  <c r="S19" i="68"/>
  <c r="P19" i="68"/>
  <c r="M19" i="68"/>
  <c r="J19" i="68"/>
  <c r="G19" i="68"/>
  <c r="D19" i="68"/>
  <c r="AK18" i="68"/>
  <c r="AH18" i="68"/>
  <c r="AE18" i="68"/>
  <c r="AB18" i="68"/>
  <c r="Y18" i="68"/>
  <c r="V18" i="68"/>
  <c r="S18" i="68"/>
  <c r="P18" i="68"/>
  <c r="M18" i="68"/>
  <c r="J18" i="68"/>
  <c r="G18" i="68"/>
  <c r="D18" i="68"/>
  <c r="AK16" i="68"/>
  <c r="AH16" i="68"/>
  <c r="AE16" i="68"/>
  <c r="AB16" i="68"/>
  <c r="Y16" i="68"/>
  <c r="V16" i="68"/>
  <c r="S16" i="68"/>
  <c r="P16" i="68"/>
  <c r="M16" i="68"/>
  <c r="J16" i="68"/>
  <c r="G16" i="68"/>
  <c r="D16" i="68"/>
  <c r="AK15" i="68"/>
  <c r="AH15" i="68"/>
  <c r="AE15" i="68"/>
  <c r="AB15" i="68"/>
  <c r="Y15" i="68"/>
  <c r="V15" i="68"/>
  <c r="S15" i="68"/>
  <c r="P15" i="68"/>
  <c r="M15" i="68"/>
  <c r="J15" i="68"/>
  <c r="G15" i="68"/>
  <c r="D15" i="68"/>
  <c r="AK14" i="68"/>
  <c r="AH14" i="68"/>
  <c r="AE14" i="68"/>
  <c r="AB14" i="68"/>
  <c r="Y14" i="68"/>
  <c r="V14" i="68"/>
  <c r="S14" i="68"/>
  <c r="P14" i="68"/>
  <c r="M14" i="68"/>
  <c r="J14" i="68"/>
  <c r="G14" i="68"/>
  <c r="D14" i="68"/>
  <c r="BC11" i="68"/>
  <c r="BA11" i="68"/>
  <c r="AQ11" i="68"/>
  <c r="AP11" i="68"/>
  <c r="AO11" i="68"/>
  <c r="AN11" i="68"/>
  <c r="AM11" i="68"/>
  <c r="AL11" i="68"/>
  <c r="AJ11" i="68"/>
  <c r="AI11" i="68"/>
  <c r="AG11" i="68"/>
  <c r="AF11" i="68"/>
  <c r="AE11" i="68"/>
  <c r="AD11" i="68"/>
  <c r="AC11" i="68"/>
  <c r="AA11" i="68"/>
  <c r="Z11" i="68"/>
  <c r="X11" i="68"/>
  <c r="W11" i="68"/>
  <c r="U11" i="68"/>
  <c r="T11" i="68"/>
  <c r="R11" i="68"/>
  <c r="Q11" i="68"/>
  <c r="O11" i="68"/>
  <c r="N11" i="68"/>
  <c r="L11" i="68"/>
  <c r="K11" i="68"/>
  <c r="I11" i="68"/>
  <c r="H11" i="68"/>
  <c r="G11" i="68"/>
  <c r="F11" i="68"/>
  <c r="E11" i="68"/>
  <c r="AK10" i="68"/>
  <c r="AH10" i="68"/>
  <c r="AE10" i="68"/>
  <c r="AB10" i="68"/>
  <c r="Y10" i="68"/>
  <c r="V10" i="68"/>
  <c r="S10" i="68"/>
  <c r="P10" i="68"/>
  <c r="M10" i="68"/>
  <c r="J10" i="68"/>
  <c r="G10" i="68"/>
  <c r="D10" i="68"/>
  <c r="AK9" i="68"/>
  <c r="AH9" i="68"/>
  <c r="AE9" i="68"/>
  <c r="AB9" i="68"/>
  <c r="Y9" i="68"/>
  <c r="V9" i="68"/>
  <c r="S9" i="68"/>
  <c r="P9" i="68"/>
  <c r="P11" i="68" s="1"/>
  <c r="M9" i="68"/>
  <c r="J9" i="68"/>
  <c r="G9" i="68"/>
  <c r="D9" i="68"/>
  <c r="AK8" i="68"/>
  <c r="AH8" i="68"/>
  <c r="AE8" i="68"/>
  <c r="AB8" i="68"/>
  <c r="Y8" i="68"/>
  <c r="V8" i="68"/>
  <c r="S8" i="68"/>
  <c r="P8" i="68"/>
  <c r="M8" i="68"/>
  <c r="J8" i="68"/>
  <c r="G8" i="68"/>
  <c r="D8" i="68"/>
  <c r="AK7" i="68"/>
  <c r="AH7" i="68"/>
  <c r="AE7" i="68"/>
  <c r="AB7" i="68"/>
  <c r="Y7" i="68"/>
  <c r="V7" i="68"/>
  <c r="S7" i="68"/>
  <c r="P7" i="68"/>
  <c r="M7" i="68"/>
  <c r="J7" i="68"/>
  <c r="G7" i="68"/>
  <c r="D7" i="68"/>
  <c r="AK6" i="68"/>
  <c r="AH6" i="68"/>
  <c r="AE6" i="68"/>
  <c r="AB6" i="68"/>
  <c r="Y6" i="68"/>
  <c r="V6" i="68"/>
  <c r="S6" i="68"/>
  <c r="P6" i="68"/>
  <c r="M6" i="68"/>
  <c r="J6" i="68"/>
  <c r="G6" i="68"/>
  <c r="D6" i="68"/>
  <c r="BE11" i="68"/>
  <c r="BD11" i="68"/>
  <c r="BB11" i="68"/>
  <c r="AZ11" i="68"/>
  <c r="AY11" i="68"/>
  <c r="AX11" i="68"/>
  <c r="AW11" i="68"/>
  <c r="AV11" i="68"/>
  <c r="AU11" i="68"/>
  <c r="AS11" i="68"/>
  <c r="AR11" i="68"/>
  <c r="AK5" i="68"/>
  <c r="AH5" i="68"/>
  <c r="AH11" i="68" s="1"/>
  <c r="AE5" i="68"/>
  <c r="AB5" i="68"/>
  <c r="AB11" i="68" s="1"/>
  <c r="Y5" i="68"/>
  <c r="Y11" i="68" s="1"/>
  <c r="V5" i="68"/>
  <c r="S5" i="68"/>
  <c r="S11" i="68" s="1"/>
  <c r="P5" i="68"/>
  <c r="M5" i="68"/>
  <c r="J5" i="68"/>
  <c r="J11" i="68" s="1"/>
  <c r="G5" i="68"/>
  <c r="D5" i="68"/>
  <c r="D11" i="68" s="1"/>
  <c r="G26" i="33" l="1"/>
  <c r="AX36" i="68"/>
  <c r="AX37" i="68" s="1"/>
  <c r="AR35" i="68"/>
  <c r="AV36" i="68"/>
  <c r="AV37" i="68" s="1"/>
  <c r="AX35" i="68"/>
  <c r="AT75" i="68"/>
  <c r="AT76" i="68" s="1"/>
  <c r="AW44" i="68"/>
  <c r="AW62" i="68" s="1"/>
  <c r="AW74" i="68" s="1"/>
  <c r="AW76" i="68" s="1"/>
  <c r="AT55" i="68"/>
  <c r="AS123" i="68"/>
  <c r="AS124" i="68" s="1"/>
  <c r="AO36" i="68"/>
  <c r="AO37" i="68" s="1"/>
  <c r="AW36" i="68"/>
  <c r="AW37" i="68" s="1"/>
  <c r="AT35" i="68"/>
  <c r="AR38" i="68"/>
  <c r="AX38" i="68"/>
  <c r="AV73" i="68"/>
  <c r="AU55" i="68"/>
  <c r="AV55" i="68"/>
  <c r="AQ94" i="68"/>
  <c r="AT123" i="68"/>
  <c r="AT124" i="68" s="1"/>
  <c r="AT122" i="68"/>
  <c r="AO35" i="68"/>
  <c r="AU36" i="68"/>
  <c r="AU37" i="68" s="1"/>
  <c r="AX55" i="68"/>
  <c r="AO124" i="68"/>
  <c r="AU122" i="68"/>
  <c r="AP36" i="68"/>
  <c r="AP37" i="68" s="1"/>
  <c r="AS35" i="68"/>
  <c r="AX73" i="68"/>
  <c r="AR36" i="68"/>
  <c r="AR37" i="68" s="1"/>
  <c r="AS36" i="68"/>
  <c r="AS37" i="68" s="1"/>
  <c r="AU35" i="68"/>
  <c r="AQ36" i="68"/>
  <c r="AQ37" i="68" s="1"/>
  <c r="AY36" i="68"/>
  <c r="AY37" i="68" s="1"/>
  <c r="AP35" i="68"/>
  <c r="AP94" i="68" s="1"/>
  <c r="AN35" i="68"/>
  <c r="AP123" i="68"/>
  <c r="AP124" i="68" s="1"/>
  <c r="AR122" i="68"/>
  <c r="AV35" i="68"/>
  <c r="AQ123" i="68"/>
  <c r="AQ124" i="68" s="1"/>
  <c r="AS122" i="68"/>
  <c r="AS75" i="68"/>
  <c r="AS76" i="68" s="1"/>
  <c r="AW61" i="68"/>
  <c r="AR123" i="68"/>
  <c r="AR124" i="68" s="1"/>
  <c r="V11" i="68"/>
  <c r="AT11" i="68"/>
  <c r="J94" i="68"/>
  <c r="AN94" i="68"/>
  <c r="M35" i="68"/>
  <c r="M94" i="68" s="1"/>
  <c r="AW35" i="68"/>
  <c r="P30" i="68"/>
  <c r="P35" i="68" s="1"/>
  <c r="N35" i="68"/>
  <c r="N94" i="68" s="1"/>
  <c r="Z35" i="68"/>
  <c r="Z94" i="68" s="1"/>
  <c r="AB30" i="68"/>
  <c r="AB35" i="68" s="1"/>
  <c r="AR75" i="68"/>
  <c r="AR76" i="68" s="1"/>
  <c r="P94" i="68"/>
  <c r="AO94" i="68"/>
  <c r="AH122" i="68"/>
  <c r="M11" i="68"/>
  <c r="AK11" i="68"/>
  <c r="AK35" i="68"/>
  <c r="AK94" i="68" s="1"/>
  <c r="AU75" i="68"/>
  <c r="AU76" i="68" s="1"/>
  <c r="Y94" i="68"/>
  <c r="BC74" i="68"/>
  <c r="BC76" i="68" s="1"/>
  <c r="D94" i="68"/>
  <c r="AB94" i="68"/>
  <c r="AN38" i="68"/>
  <c r="AV44" i="68"/>
  <c r="AV62" i="68" s="1"/>
  <c r="AV74" i="68" s="1"/>
  <c r="AV76" i="68" s="1"/>
  <c r="BD44" i="68"/>
  <c r="BD62" i="68" s="1"/>
  <c r="BD74" i="68" s="1"/>
  <c r="BD76" i="68" s="1"/>
  <c r="Z122" i="68"/>
  <c r="AX74" i="68"/>
  <c r="AX76" i="68" s="1"/>
  <c r="T122" i="68"/>
  <c r="AC55" i="68"/>
  <c r="S30" i="68"/>
  <c r="S35" i="68" s="1"/>
  <c r="S94" i="68" s="1"/>
  <c r="N122" i="68"/>
  <c r="AH119" i="68"/>
  <c r="J56" i="68"/>
  <c r="J55" i="68" s="1"/>
  <c r="BC73" i="68"/>
  <c r="AI35" i="68"/>
  <c r="AI94" i="68" s="1"/>
  <c r="BC44" i="68"/>
  <c r="BC62" i="68" s="1"/>
  <c r="G27" i="33" l="1"/>
  <c r="B2" i="37"/>
  <c r="B7" i="37" s="1"/>
  <c r="G29" i="33" l="1"/>
  <c r="G28" i="33"/>
  <c r="B2" i="33" l="1"/>
  <c r="B7" i="33" s="1"/>
  <c r="D18" i="69" l="1" a="1"/>
  <c r="D18" i="69" s="1"/>
  <c r="D13" i="33" s="1"/>
  <c r="F18" i="69" a="1"/>
  <c r="F18" i="69" s="1"/>
  <c r="D13" i="37" s="1"/>
  <c r="E18" i="69" a="1"/>
  <c r="E18" i="69" s="1"/>
  <c r="E19" i="69" l="1" a="1"/>
  <c r="E19" i="69" s="1"/>
  <c r="D19" i="69" a="1"/>
  <c r="D19" i="69" s="1"/>
  <c r="D14" i="33" s="1"/>
  <c r="F19" i="69" a="1"/>
  <c r="F19" i="69" s="1"/>
  <c r="D14" i="37" s="1"/>
  <c r="E13" i="33"/>
  <c r="F13" i="33" s="1"/>
  <c r="H13" i="33" s="1"/>
  <c r="E13" i="37"/>
  <c r="F13" i="37" s="1"/>
  <c r="F20" i="69" l="1" a="1"/>
  <c r="F20" i="69" s="1"/>
  <c r="D15" i="37" s="1"/>
  <c r="E20" i="69" a="1"/>
  <c r="E20" i="69" s="1"/>
  <c r="D20" i="69" a="1"/>
  <c r="D20" i="69" s="1"/>
  <c r="D15" i="33" s="1"/>
  <c r="E14" i="37"/>
  <c r="F14" i="37" s="1"/>
  <c r="E14" i="33"/>
  <c r="F14" i="33" s="1"/>
  <c r="H14" i="33" s="1"/>
  <c r="D21" i="69" l="1" a="1"/>
  <c r="D21" i="69" s="1"/>
  <c r="D16" i="33" s="1"/>
  <c r="E21" i="69" a="1"/>
  <c r="E21" i="69" s="1"/>
  <c r="F21" i="69" a="1"/>
  <c r="F21" i="69" s="1"/>
  <c r="D16" i="37" s="1"/>
  <c r="E15" i="37"/>
  <c r="F15" i="37" s="1"/>
  <c r="E15" i="33"/>
  <c r="F15" i="33" s="1"/>
  <c r="H15" i="33" s="1"/>
  <c r="D22" i="69" l="1" a="1"/>
  <c r="D22" i="69" s="1"/>
  <c r="D17" i="33" s="1"/>
  <c r="E22" i="69" a="1"/>
  <c r="E22" i="69" s="1"/>
  <c r="F22" i="69" a="1"/>
  <c r="F22" i="69" s="1"/>
  <c r="D17" i="37" s="1"/>
  <c r="E16" i="33"/>
  <c r="F16" i="33" s="1"/>
  <c r="H16" i="33" s="1"/>
  <c r="E16" i="37"/>
  <c r="F16" i="37" s="1"/>
  <c r="F23" i="69" l="1" a="1"/>
  <c r="F23" i="69" s="1"/>
  <c r="D18" i="37" s="1"/>
  <c r="D23" i="69" a="1"/>
  <c r="D23" i="69" s="1"/>
  <c r="D18" i="33" s="1"/>
  <c r="E23" i="69" a="1"/>
  <c r="E23" i="69" s="1"/>
  <c r="E17" i="33"/>
  <c r="F17" i="33" s="1"/>
  <c r="H17" i="33" s="1"/>
  <c r="E17" i="37"/>
  <c r="F17" i="37" s="1"/>
  <c r="E18" i="37" l="1"/>
  <c r="F18" i="37" s="1"/>
  <c r="E18" i="33"/>
  <c r="F18" i="33" s="1"/>
  <c r="H18" i="33" s="1"/>
  <c r="D24" i="69" a="1"/>
  <c r="D24" i="69" s="1"/>
  <c r="D19" i="33" s="1"/>
  <c r="E24" i="69" a="1"/>
  <c r="E24" i="69" s="1"/>
  <c r="F24" i="69" a="1"/>
  <c r="F24" i="69" s="1"/>
  <c r="D19" i="37" s="1"/>
  <c r="F25" i="69" l="1" a="1"/>
  <c r="F25" i="69" s="1"/>
  <c r="D20" i="37" s="1"/>
  <c r="D25" i="69" a="1"/>
  <c r="D25" i="69" s="1"/>
  <c r="D20" i="33" s="1"/>
  <c r="E25" i="69" a="1"/>
  <c r="E25" i="69" s="1"/>
  <c r="E19" i="37"/>
  <c r="F19" i="37" s="1"/>
  <c r="E19" i="33"/>
  <c r="F19" i="33" s="1"/>
  <c r="H19" i="33" s="1"/>
  <c r="F26" i="69" l="1" a="1"/>
  <c r="F26" i="69" s="1"/>
  <c r="D21" i="37" s="1"/>
  <c r="E26" i="69" a="1"/>
  <c r="E26" i="69" s="1"/>
  <c r="D26" i="69" a="1"/>
  <c r="D26" i="69" s="1"/>
  <c r="D21" i="33" s="1"/>
  <c r="E20" i="33"/>
  <c r="F20" i="33" s="1"/>
  <c r="H20" i="33" s="1"/>
  <c r="E20" i="37"/>
  <c r="F20" i="37" s="1"/>
  <c r="F27" i="69" l="1" a="1"/>
  <c r="F27" i="69" s="1"/>
  <c r="D22" i="37" s="1"/>
  <c r="E27" i="69" a="1"/>
  <c r="E27" i="69" s="1"/>
  <c r="D27" i="69" a="1"/>
  <c r="D27" i="69" s="1"/>
  <c r="D22" i="33" s="1"/>
  <c r="E21" i="33"/>
  <c r="F21" i="33" s="1"/>
  <c r="H21" i="33" s="1"/>
  <c r="E21" i="37"/>
  <c r="F21" i="37" s="1"/>
  <c r="F28" i="69" l="1" a="1"/>
  <c r="F28" i="69" s="1"/>
  <c r="D23" i="37" s="1"/>
  <c r="D28" i="69" a="1"/>
  <c r="D28" i="69" s="1"/>
  <c r="D23" i="33" s="1"/>
  <c r="E28" i="69" a="1"/>
  <c r="E28" i="69" s="1"/>
  <c r="E22" i="33"/>
  <c r="F22" i="33" s="1"/>
  <c r="H22" i="33" s="1"/>
  <c r="E22" i="37"/>
  <c r="F22" i="37" s="1"/>
  <c r="E23" i="33" l="1"/>
  <c r="F23" i="33" s="1"/>
  <c r="H23" i="33" s="1"/>
  <c r="E23" i="37"/>
  <c r="F23" i="37" s="1"/>
  <c r="E29" i="69" a="1"/>
  <c r="E29" i="69" s="1"/>
  <c r="D29" i="69" a="1"/>
  <c r="D29" i="69" s="1"/>
  <c r="D24" i="33" s="1"/>
  <c r="F29" i="69" a="1"/>
  <c r="F29" i="69" s="1"/>
  <c r="D24" i="37" s="1"/>
  <c r="E24" i="33" l="1"/>
  <c r="F24" i="33" s="1"/>
  <c r="H24" i="33" s="1"/>
  <c r="E24" i="37"/>
  <c r="F24" i="37" s="1"/>
  <c r="F30" i="69" a="1"/>
  <c r="F30" i="69" s="1"/>
  <c r="D25" i="37" s="1"/>
  <c r="E30" i="69" a="1"/>
  <c r="E30" i="69" s="1"/>
  <c r="D30" i="69" a="1"/>
  <c r="D30" i="69" s="1"/>
  <c r="D25" i="33" s="1"/>
  <c r="D31" i="69" l="1" a="1"/>
  <c r="D31" i="69" s="1"/>
  <c r="D26" i="33" s="1"/>
  <c r="E31" i="69" a="1"/>
  <c r="E31" i="69" s="1"/>
  <c r="F31" i="69" a="1"/>
  <c r="F31" i="69" s="1"/>
  <c r="D26" i="37" s="1"/>
  <c r="E25" i="33"/>
  <c r="F25" i="33" s="1"/>
  <c r="H25" i="33" s="1"/>
  <c r="E25" i="37"/>
  <c r="F25" i="37" s="1"/>
  <c r="E26" i="33" l="1"/>
  <c r="F26" i="33" s="1"/>
  <c r="H26" i="33" s="1"/>
  <c r="E26" i="37"/>
  <c r="F26" i="37" s="1"/>
  <c r="E32" i="69" a="1"/>
  <c r="E32" i="69" s="1"/>
  <c r="F32" i="69" a="1"/>
  <c r="F32" i="69" s="1"/>
  <c r="D27" i="37" s="1"/>
  <c r="D32" i="69" a="1"/>
  <c r="D32" i="69" s="1"/>
  <c r="D27" i="33" s="1"/>
  <c r="E27" i="33" l="1"/>
  <c r="F27" i="33" s="1"/>
  <c r="H27" i="33" s="1"/>
  <c r="E27" i="37"/>
  <c r="F27" i="37" s="1"/>
  <c r="E33" i="69" a="1"/>
  <c r="E33" i="69" s="1"/>
  <c r="F33" i="69" a="1"/>
  <c r="F33" i="69" s="1"/>
  <c r="D28" i="37" s="1"/>
  <c r="D33" i="69" a="1"/>
  <c r="D33" i="69" s="1"/>
  <c r="D28" i="33" s="1"/>
  <c r="E28" i="37" l="1"/>
  <c r="F28" i="37" s="1"/>
  <c r="E28" i="33"/>
  <c r="F28" i="33" s="1"/>
  <c r="H28" i="33" s="1"/>
  <c r="E34" i="69" a="1"/>
  <c r="E34" i="69" s="1"/>
  <c r="F34" i="69" a="1"/>
  <c r="F34" i="69" s="1"/>
  <c r="D29" i="37" s="1"/>
  <c r="D34" i="69" a="1"/>
  <c r="D34" i="69" s="1"/>
  <c r="D29" i="33" s="1"/>
  <c r="E29" i="33" l="1"/>
  <c r="F29" i="33" s="1"/>
  <c r="H29" i="33" s="1"/>
  <c r="E29" i="37"/>
  <c r="F29" i="37" s="1"/>
</calcChain>
</file>

<file path=xl/sharedStrings.xml><?xml version="1.0" encoding="utf-8"?>
<sst xmlns="http://schemas.openxmlformats.org/spreadsheetml/2006/main" count="1077" uniqueCount="188">
  <si>
    <t>Company</t>
  </si>
  <si>
    <t>Year</t>
  </si>
  <si>
    <t>Description</t>
  </si>
  <si>
    <t xml:space="preserve">Sources </t>
  </si>
  <si>
    <t>Calendar Year Conversion</t>
  </si>
  <si>
    <t>GDP Price Index</t>
  </si>
  <si>
    <t>(a)</t>
  </si>
  <si>
    <t>(b)</t>
  </si>
  <si>
    <t>(c) = (a) - (b)</t>
  </si>
  <si>
    <t>(d)</t>
  </si>
  <si>
    <t>Statistics Canada. Table 380-0102 - Gross domestic product indexes, annual (2007=100 unless otherwise noted)</t>
  </si>
  <si>
    <t>Source:</t>
  </si>
  <si>
    <t>Gross domestic product at market prices</t>
  </si>
  <si>
    <t>Implicit price indexes</t>
  </si>
  <si>
    <t>Canada</t>
  </si>
  <si>
    <t>Estimates</t>
  </si>
  <si>
    <t>Index</t>
  </si>
  <si>
    <t>Geography</t>
  </si>
  <si>
    <t>National Gross Domestic Product by Income and by Expenditure Accounts - 1901</t>
  </si>
  <si>
    <t>Survey or program details:</t>
  </si>
  <si>
    <t>Table 380-0102 Gross domestic product indexes, annual (2007=100)</t>
  </si>
  <si>
    <t>Distirbution FTEs</t>
  </si>
  <si>
    <t>Distribution Wages and Salaries</t>
  </si>
  <si>
    <t>(c) = (b)/(a)</t>
  </si>
  <si>
    <t>Labor Price</t>
  </si>
  <si>
    <t>Data for Union 1985-2002</t>
  </si>
  <si>
    <t>UNHIDE COLUMNS FOR Union/Centra</t>
  </si>
  <si>
    <t>CENTRA</t>
  </si>
  <si>
    <t>UNION</t>
  </si>
  <si>
    <t>COMBINED</t>
  </si>
  <si>
    <t>Revenue</t>
  </si>
  <si>
    <t>Distribution Revenue</t>
  </si>
  <si>
    <t>Storage - Utility Revenue</t>
  </si>
  <si>
    <t>n/a</t>
  </si>
  <si>
    <t>Transmission</t>
  </si>
  <si>
    <t>Sales Program</t>
  </si>
  <si>
    <t>Financing Program</t>
  </si>
  <si>
    <t>u/o</t>
  </si>
  <si>
    <t>Rental Program</t>
  </si>
  <si>
    <t>Total Revenues</t>
  </si>
  <si>
    <t>Storage - Non-Utility Revenue</t>
  </si>
  <si>
    <t>Quantities</t>
  </si>
  <si>
    <t>Customers</t>
  </si>
  <si>
    <t>Volumes</t>
  </si>
  <si>
    <t>Storage demand - Utility</t>
  </si>
  <si>
    <t>Storage demand -Non-Utility</t>
  </si>
  <si>
    <t>Transmission demand</t>
  </si>
  <si>
    <t xml:space="preserve">Sales Program </t>
  </si>
  <si>
    <t xml:space="preserve">Rental Program </t>
  </si>
  <si>
    <t>Total Number of Employees - March 2017 Update</t>
  </si>
  <si>
    <t># Mgmt/Supervisory</t>
  </si>
  <si>
    <t>ab u/o</t>
  </si>
  <si>
    <t>$ Mgmt/Supervisory</t>
  </si>
  <si>
    <t># Non Union Clerical/Technical/Technical/Sales</t>
  </si>
  <si>
    <t>$ Non Union Clerical/Technical/Technical/Sales</t>
  </si>
  <si>
    <t># Unionized Clerical/Hourly</t>
  </si>
  <si>
    <t>$ Unionized Clerical/Hourly</t>
  </si>
  <si>
    <t>Total $ Salaries and Wages (gross)</t>
  </si>
  <si>
    <t>Total $ Salaries and Wages (net)</t>
  </si>
  <si>
    <t>Total Benefits (gross)</t>
  </si>
  <si>
    <t>Total Benefits (net) - March 2017 Update</t>
  </si>
  <si>
    <t>Total Pension Calendar (gross)</t>
  </si>
  <si>
    <t>Total Pension Calendar (net)</t>
  </si>
  <si>
    <t>u/o (included with benefits)</t>
  </si>
  <si>
    <t>Total  Net Labour Costs</t>
  </si>
  <si>
    <t>Total  Gross Labour Costs</t>
  </si>
  <si>
    <t>Price of Labour</t>
  </si>
  <si>
    <t xml:space="preserve">Gross Cost of Plant : Balance at Year End </t>
  </si>
  <si>
    <t>Gross Other Intangible Plant</t>
  </si>
  <si>
    <t>Gross Total Production &amp; Gathering</t>
  </si>
  <si>
    <t>Local Storage</t>
  </si>
  <si>
    <t xml:space="preserve">Gross Underground Storage </t>
  </si>
  <si>
    <t>Unregulated Underground Storage (included in row above)</t>
  </si>
  <si>
    <t>Ratio (unregulated/total)</t>
  </si>
  <si>
    <t>Ex Franchise Underground Storage</t>
  </si>
  <si>
    <t xml:space="preserve">Gross Transmission Plant </t>
  </si>
  <si>
    <t>Gross Distribution Plant *</t>
  </si>
  <si>
    <t xml:space="preserve">Gross General Plant </t>
  </si>
  <si>
    <t>Unregulated Gross General Plant (included in row above)</t>
  </si>
  <si>
    <t>Gross Line Pack Gas</t>
  </si>
  <si>
    <t>Ex franchise Gross General Plant</t>
  </si>
  <si>
    <t>Captal Leases</t>
  </si>
  <si>
    <t>Gross Contribution in Aid of Construction</t>
  </si>
  <si>
    <t xml:space="preserve">Depreciation : Balance at Year End </t>
  </si>
  <si>
    <t>Other Intangible Plant</t>
  </si>
  <si>
    <t>Total Production &amp; Gathering</t>
  </si>
  <si>
    <t>Underground Storage</t>
  </si>
  <si>
    <t>Adjusted Unregulated Underground Storage</t>
  </si>
  <si>
    <t>Transmission Plant</t>
  </si>
  <si>
    <t>Distribution Plant*</t>
  </si>
  <si>
    <t>General Plant</t>
  </si>
  <si>
    <t>Unregulated General Plant (included in row above)</t>
  </si>
  <si>
    <t>Ex franchise General Plant</t>
  </si>
  <si>
    <t>Capital Leases</t>
  </si>
  <si>
    <t>Contribution in Aid of Construction</t>
  </si>
  <si>
    <t>Net unregulated Plant (unadjusted)</t>
  </si>
  <si>
    <t>Net unregulated Plant (adjusted)</t>
  </si>
  <si>
    <t>Net ex franchise Plant</t>
  </si>
  <si>
    <t>Net ex franchise and unregulated Plant</t>
  </si>
  <si>
    <t>Total Plant Add</t>
  </si>
  <si>
    <t>CkProptax (Utility)</t>
  </si>
  <si>
    <t>Inctax (Utility)</t>
  </si>
  <si>
    <t>The annual Board Approved Rate of Return, WAROR:  Rt</t>
  </si>
  <si>
    <t xml:space="preserve">U = 10.04%
C =  9.99%
Merged =      </t>
  </si>
  <si>
    <t>Gross Utility O&amp;M (excludes compressor fuel 2003 and later))</t>
  </si>
  <si>
    <t>Net Corp O&amp;M (excludes compressor fuel 2003 and later))</t>
  </si>
  <si>
    <t>Unregulated Net Utility O&amp;M (excludes compressor fuel 2003 and later))</t>
  </si>
  <si>
    <t>Ex franchise Net Utility O&amp;M (excludes compressor fuel 2003 and later))</t>
  </si>
  <si>
    <t>Compressor Fuel - $</t>
  </si>
  <si>
    <t>Compressor Fuel - Volumes at 10*6m*3</t>
  </si>
  <si>
    <t>MATERIALS COST</t>
  </si>
  <si>
    <t>Unregulated MATERIALS COST</t>
  </si>
  <si>
    <t>Ex franchise MATERIALS COST</t>
  </si>
  <si>
    <t>Blue Shade u/o</t>
  </si>
  <si>
    <t>Orange Shade n/a</t>
  </si>
  <si>
    <t>n/a; changed from Blank (conversation with ME 4/25/03</t>
  </si>
  <si>
    <t>Blank changed to n/a (Marian R. 17/4/03)</t>
  </si>
  <si>
    <t>Filled in data</t>
  </si>
  <si>
    <t>Added 5 5 03</t>
  </si>
  <si>
    <t>Removed 05/14/03 by AC</t>
  </si>
  <si>
    <t>Added 5 7 03</t>
  </si>
  <si>
    <t>Revised for March 2017 update</t>
  </si>
  <si>
    <t>Total Number of Employees - Fall 2016 Update</t>
  </si>
  <si>
    <t>Total Benefits (net) - Fall 2016 Update</t>
  </si>
  <si>
    <t>No of employees</t>
  </si>
  <si>
    <t>Total benefits (net)</t>
  </si>
  <si>
    <t>Union Gas Limited</t>
  </si>
  <si>
    <t>Summarizes relevant Union data</t>
  </si>
  <si>
    <t>Fuss- Data Sheet (3) tab</t>
  </si>
  <si>
    <t>Distribution FTEs</t>
  </si>
  <si>
    <t>(c)</t>
  </si>
  <si>
    <t xml:space="preserve">Wages and Salaries: Distribution (DWGSAL) </t>
  </si>
  <si>
    <t>Parameter</t>
  </si>
  <si>
    <t>Calculates Materials stock and cost for Union for each year</t>
  </si>
  <si>
    <t>Summarized Union Data tab</t>
  </si>
  <si>
    <t>(accessed: October 16, 2017)</t>
  </si>
  <si>
    <t>O&amp;M Expense: Distribution</t>
  </si>
  <si>
    <t xml:space="preserve">Cost of Materials </t>
  </si>
  <si>
    <t>Materials Stock</t>
  </si>
  <si>
    <t>Total</t>
  </si>
  <si>
    <t>C alculates allocation factor for O&amp;M and labor costs</t>
  </si>
  <si>
    <t>O&amp;M Allocation Factor</t>
  </si>
  <si>
    <t>Labor Allocation Factor</t>
  </si>
  <si>
    <t>O&amp;M Allocation</t>
  </si>
  <si>
    <t>Labor Allocation</t>
  </si>
  <si>
    <t>Dawn - Parkway O&amp;M</t>
  </si>
  <si>
    <t>2013 &amp; 2007 Cost Study</t>
  </si>
  <si>
    <t>2013 Cost Study</t>
  </si>
  <si>
    <t>2007 Cost Study</t>
  </si>
  <si>
    <t>Dawn</t>
  </si>
  <si>
    <t xml:space="preserve">Cost </t>
  </si>
  <si>
    <t>Parkway</t>
  </si>
  <si>
    <t>Particulars ($000's)</t>
  </si>
  <si>
    <t>Study</t>
  </si>
  <si>
    <t>Station</t>
  </si>
  <si>
    <t>Easterly</t>
  </si>
  <si>
    <t>Westerly</t>
  </si>
  <si>
    <t>(e) = (b+c+d)</t>
  </si>
  <si>
    <t>(f)</t>
  </si>
  <si>
    <t>(g)</t>
  </si>
  <si>
    <t>(h)</t>
  </si>
  <si>
    <t>(i)</t>
  </si>
  <si>
    <t>(j) = (g+h+i)</t>
  </si>
  <si>
    <t>Operating Expenses</t>
  </si>
  <si>
    <t>TOTAL COST OF GAS</t>
  </si>
  <si>
    <t>LOCAL STORAGE</t>
  </si>
  <si>
    <t>UNDERGROUND STORAGE</t>
  </si>
  <si>
    <t>TRANSMISSION</t>
  </si>
  <si>
    <t>DISTRIBUTION (Southern Ontario)</t>
  </si>
  <si>
    <t>DISTRIBUTION (Northern Ontario)</t>
  </si>
  <si>
    <t>GENERAL OPERATING AND ENGINEERING</t>
  </si>
  <si>
    <t>SALES PROMOTION AND MERCHANDISE</t>
  </si>
  <si>
    <t>DISTRIBUTION CUSTOMER ACCOUNTING</t>
  </si>
  <si>
    <t>ADMINISTRATIVE AND GENERAL</t>
  </si>
  <si>
    <t>TOTAL OPERATING EXPENSES</t>
  </si>
  <si>
    <t>Total Operating Expenses excluding Cost of Gas</t>
  </si>
  <si>
    <t>D-P O&amp;M as % of Total Operating Expenses (Including Labour)</t>
  </si>
  <si>
    <t>Less: Compressor Fuel</t>
  </si>
  <si>
    <t>Total excluding Cost of Gas and Compressor Fuel</t>
  </si>
  <si>
    <t>% of Total Operating Expenses (Excluding Compressor Fuel)</t>
  </si>
  <si>
    <t>Labour Expenses</t>
  </si>
  <si>
    <t>D-P Labour as % of D-P O&amp;M Expense</t>
  </si>
  <si>
    <t>D-P Labour as % of Total Labour Expense</t>
  </si>
  <si>
    <t xml:space="preserve"> D-P O&amp;M (valued) tab</t>
  </si>
  <si>
    <t>(e) = (c) / (d)</t>
  </si>
  <si>
    <t>Wages and Salaries: Distribution (DWGSAL)</t>
  </si>
  <si>
    <t>Summarized Union data tab</t>
  </si>
  <si>
    <t>Calculates Labor Price for Union for each 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</si>
</sst>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5" formatCode="&quot;$&quot;#,##0_);\(&quot;$&quot;#,##0\)"/>
    <numFmt numFmtId="43" formatCode="_(* #,##0.00_);_(* \(#,##0.00\);_(* &quot;-&quot;??_);_(@_)"/>
    <numFmt numFmtId="164" formatCode="0.0000"/>
    <numFmt numFmtId="165" formatCode="0.0"/>
    <numFmt numFmtId="166" formatCode="0.000"/>
    <numFmt numFmtId="167" formatCode="_-&quot;$&quot;* #,##0.00_-;\-&quot;$&quot;* #,##0.00_-;_-&quot;$&quot;* &quot;-&quot;??_-;_-@_-"/>
    <numFmt numFmtId="168" formatCode="_(&quot;$&quot;* #,##0_);_(&quot;$&quot;* \(#,##0\);_(&quot;$&quot;* &quot;-&quot;??_);_(@_)"/>
    <numFmt numFmtId="169" formatCode="_-* #,##0.00_-;\-* #,##0.00_-;_-* &quot;-&quot;??_-;_-@_-"/>
    <numFmt numFmtId="170" formatCode="_(* #,##0_);_(* \(#,##0\);_(* &quot;-&quot;??_);_(@_)"/>
    <numFmt numFmtId="171" formatCode="0.0%"/>
    <numFmt numFmtId="172" formatCode="_-* #,##0_-;\-* #,##0_-;_-* &quot;-&quot;??_-;_-@_-"/>
    <numFmt numFmtId="173" formatCode="&quot;$&quot;#,##0"/>
    <numFmt numFmtId="174" formatCode="#,##0_ ;\-#,##0\ "/>
    <numFmt numFmtId="175" formatCode="_([$€-2]* #,##0.00_);_([$€-2]* \(#,##0.00\);_([$€-2]* &quot;-&quot;??_)"/>
    <numFmt numFmtId="176" formatCode="_(* #,##0_);_(* \(#,##0\);_(* 0_);_(@_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b/>
      <sz val="11"/>
      <name val="Calibri"/>
      <family val="2"/>
      <scheme val="minor"/>
    </font>
    <font>
      <sz val="10"/>
      <color theme="1"/>
      <name val="Times New Roman"/>
      <family val="1"/>
    </font>
    <font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0"/>
      <color theme="1"/>
      <name val="Arial"/>
      <family val="2"/>
    </font>
    <font>
      <sz val="10"/>
      <name val="Arial Unicode MS"/>
      <family val="2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b/>
      <sz val="14"/>
      <color indexed="9"/>
      <name val="Arial"/>
      <family val="2"/>
    </font>
    <font>
      <b/>
      <sz val="14"/>
      <name val="Arial"/>
      <family val="2"/>
    </font>
    <font>
      <b/>
      <sz val="12"/>
      <color indexed="9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i/>
      <sz val="8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 Unicode MS"/>
      <family val="2"/>
    </font>
    <font>
      <b/>
      <sz val="8"/>
      <color indexed="10"/>
      <name val="Arial"/>
      <family val="2"/>
    </font>
    <font>
      <sz val="8"/>
      <color indexed="8"/>
      <name val="Arial"/>
      <family val="2"/>
    </font>
    <font>
      <sz val="8"/>
      <color indexed="10"/>
      <name val="Arial"/>
      <family val="2"/>
    </font>
    <font>
      <b/>
      <sz val="8"/>
      <color indexed="8"/>
      <name val="Arial"/>
      <family val="2"/>
    </font>
    <font>
      <sz val="7"/>
      <name val="Arial"/>
      <family val="2"/>
    </font>
    <font>
      <sz val="7"/>
      <color indexed="8"/>
      <name val="Arial"/>
      <family val="2"/>
    </font>
    <font>
      <b/>
      <sz val="7"/>
      <color indexed="10"/>
      <name val="Arial"/>
      <family val="2"/>
    </font>
    <font>
      <b/>
      <sz val="7"/>
      <color indexed="8"/>
      <name val="Arial"/>
      <family val="2"/>
    </font>
    <font>
      <sz val="8"/>
      <color indexed="12"/>
      <name val="Arial"/>
      <family val="2"/>
    </font>
    <font>
      <sz val="8"/>
      <color theme="0"/>
      <name val="Arial"/>
      <family val="2"/>
    </font>
    <font>
      <sz val="8"/>
      <color rgb="FFFF0000"/>
      <name val="Arial"/>
      <family val="2"/>
    </font>
    <font>
      <sz val="10"/>
      <name val="Times New Roman"/>
      <family val="1"/>
    </font>
    <font>
      <sz val="10"/>
      <color indexed="10"/>
      <name val="Arial"/>
      <family val="2"/>
    </font>
    <font>
      <sz val="11"/>
      <color indexed="8"/>
      <name val="Cambria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sz val="9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rgb="FF10B4DA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59A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CCFF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4">
    <xf numFmtId="0" fontId="0" fillId="0" borderId="0"/>
    <xf numFmtId="0" fontId="3" fillId="0" borderId="0"/>
    <xf numFmtId="0" fontId="1" fillId="0" borderId="0"/>
    <xf numFmtId="0" fontId="8" fillId="0" borderId="0"/>
    <xf numFmtId="0" fontId="9" fillId="0" borderId="0"/>
    <xf numFmtId="43" fontId="12" fillId="0" borderId="0" applyFont="0" applyFill="0" applyBorder="0" applyAlignment="0" applyProtection="0"/>
    <xf numFmtId="3" fontId="12" fillId="10" borderId="0" applyFont="0" applyFill="0" applyBorder="0" applyAlignment="0" applyProtection="0"/>
    <xf numFmtId="5" fontId="12" fillId="10" borderId="0" applyFont="0" applyFill="0" applyBorder="0" applyAlignment="0" applyProtection="0"/>
    <xf numFmtId="0" fontId="12" fillId="10" borderId="0" applyFont="0" applyFill="0" applyBorder="0" applyAlignment="0" applyProtection="0"/>
    <xf numFmtId="2" fontId="12" fillId="10" borderId="0" applyFont="0" applyFill="0" applyBorder="0" applyAlignment="0" applyProtection="0"/>
    <xf numFmtId="0" fontId="12" fillId="0" borderId="0" applyNumberFormat="0" applyFill="0" applyBorder="0" applyProtection="0">
      <alignment wrapText="1"/>
    </xf>
    <xf numFmtId="0" fontId="12" fillId="0" borderId="0" applyNumberFormat="0" applyFill="0" applyBorder="0" applyProtection="0">
      <alignment horizontal="justify" vertical="top" wrapText="1"/>
    </xf>
    <xf numFmtId="0" fontId="13" fillId="0" borderId="0"/>
    <xf numFmtId="0" fontId="12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14" fillId="11" borderId="0" applyNumberFormat="0" applyBorder="0" applyAlignment="0" applyProtection="0"/>
    <xf numFmtId="0" fontId="15" fillId="0" borderId="0" applyNumberFormat="0" applyFill="0" applyBorder="0" applyAlignment="0" applyProtection="0"/>
    <xf numFmtId="0" fontId="16" fillId="11" borderId="0" applyNumberFormat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12" borderId="0" applyNumberFormat="0" applyBorder="0" applyAlignment="0" applyProtection="0"/>
    <xf numFmtId="0" fontId="19" fillId="12" borderId="0" applyNumberFormat="0" applyBorder="0" applyProtection="0">
      <alignment horizontal="center"/>
    </xf>
    <xf numFmtId="0" fontId="20" fillId="12" borderId="0" applyNumberFormat="0" applyBorder="0" applyAlignment="0" applyProtection="0"/>
    <xf numFmtId="0" fontId="12" fillId="0" borderId="0" applyNumberFormat="0" applyFont="0" applyFill="0" applyBorder="0" applyProtection="0">
      <alignment horizontal="right"/>
    </xf>
    <xf numFmtId="0" fontId="12" fillId="0" borderId="0" applyNumberFormat="0" applyFont="0" applyFill="0" applyBorder="0" applyProtection="0">
      <alignment horizontal="left"/>
    </xf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2" fillId="13" borderId="0" applyNumberFormat="0" applyFont="0" applyBorder="0" applyAlignment="0" applyProtection="0"/>
    <xf numFmtId="164" fontId="12" fillId="0" borderId="0" applyFont="0" applyFill="0" applyBorder="0" applyAlignment="0" applyProtection="0"/>
    <xf numFmtId="2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2" fillId="0" borderId="9" applyNumberFormat="0" applyFont="0" applyFill="0" applyAlignment="0" applyProtection="0"/>
    <xf numFmtId="0" fontId="23" fillId="0" borderId="0"/>
    <xf numFmtId="167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0" fontId="35" fillId="0" borderId="0"/>
    <xf numFmtId="169" fontId="37" fillId="0" borderId="0" applyFont="0" applyFill="0" applyBorder="0" applyAlignment="0" applyProtection="0"/>
    <xf numFmtId="175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37" fontId="40" fillId="0" borderId="0"/>
    <xf numFmtId="169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201">
    <xf numFmtId="0" fontId="0" fillId="0" borderId="0" xfId="0"/>
    <xf numFmtId="0" fontId="5" fillId="0" borderId="0" xfId="0" applyFont="1"/>
    <xf numFmtId="0" fontId="6" fillId="2" borderId="5" xfId="0" applyNumberFormat="1" applyFont="1" applyFill="1" applyBorder="1" applyAlignment="1">
      <alignment horizontal="left"/>
    </xf>
    <xf numFmtId="0" fontId="7" fillId="4" borderId="0" xfId="0" applyNumberFormat="1" applyFont="1" applyFill="1" applyBorder="1" applyAlignment="1">
      <alignment horizontal="left"/>
    </xf>
    <xf numFmtId="0" fontId="2" fillId="3" borderId="2" xfId="0" applyFont="1" applyFill="1" applyBorder="1"/>
    <xf numFmtId="0" fontId="2" fillId="3" borderId="5" xfId="0" applyFont="1" applyFill="1" applyBorder="1"/>
    <xf numFmtId="0" fontId="0" fillId="0" borderId="5" xfId="0" applyBorder="1"/>
    <xf numFmtId="0" fontId="10" fillId="8" borderId="0" xfId="0" applyNumberFormat="1" applyFont="1" applyFill="1" applyBorder="1" applyAlignment="1">
      <alignment horizontal="left"/>
    </xf>
    <xf numFmtId="0" fontId="4" fillId="2" borderId="4" xfId="0" applyNumberFormat="1" applyFont="1" applyFill="1" applyBorder="1" applyAlignment="1">
      <alignment horizontal="left"/>
    </xf>
    <xf numFmtId="0" fontId="6" fillId="2" borderId="8" xfId="0" applyNumberFormat="1" applyFont="1" applyFill="1" applyBorder="1" applyAlignment="1">
      <alignment horizontal="left"/>
    </xf>
    <xf numFmtId="0" fontId="0" fillId="0" borderId="4" xfId="0" applyBorder="1"/>
    <xf numFmtId="0" fontId="0" fillId="0" borderId="8" xfId="0" applyBorder="1"/>
    <xf numFmtId="0" fontId="11" fillId="4" borderId="0" xfId="0" applyNumberFormat="1" applyFont="1" applyFill="1" applyBorder="1" applyAlignment="1">
      <alignment horizontal="left"/>
    </xf>
    <xf numFmtId="0" fontId="0" fillId="3" borderId="2" xfId="0" applyFill="1" applyBorder="1"/>
    <xf numFmtId="0" fontId="0" fillId="3" borderId="5" xfId="0" applyFill="1" applyBorder="1"/>
    <xf numFmtId="0" fontId="4" fillId="2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2" fillId="5" borderId="0" xfId="0" applyNumberFormat="1" applyFont="1" applyFill="1" applyBorder="1" applyAlignment="1">
      <alignment horizontal="left"/>
    </xf>
    <xf numFmtId="3" fontId="0" fillId="9" borderId="0" xfId="0" applyNumberFormat="1" applyFont="1" applyFill="1" applyBorder="1" applyAlignment="1">
      <alignment horizontal="center" vertical="center"/>
    </xf>
    <xf numFmtId="166" fontId="6" fillId="6" borderId="0" xfId="0" applyNumberFormat="1" applyFont="1" applyFill="1" applyBorder="1" applyAlignment="1">
      <alignment horizontal="center" vertical="center"/>
    </xf>
    <xf numFmtId="0" fontId="22" fillId="7" borderId="3" xfId="13" applyFont="1" applyFill="1" applyBorder="1" applyAlignment="1">
      <alignment horizontal="left" wrapText="1"/>
    </xf>
    <xf numFmtId="0" fontId="22" fillId="7" borderId="3" xfId="13" applyFont="1" applyFill="1" applyBorder="1" applyAlignment="1">
      <alignment horizontal="center" wrapText="1"/>
    </xf>
    <xf numFmtId="0" fontId="22" fillId="7" borderId="1" xfId="13" applyFont="1" applyFill="1" applyBorder="1" applyAlignment="1">
      <alignment horizontal="center" wrapText="1"/>
    </xf>
    <xf numFmtId="0" fontId="12" fillId="0" borderId="0" xfId="13"/>
    <xf numFmtId="0" fontId="24" fillId="7" borderId="10" xfId="13" applyFont="1" applyFill="1" applyBorder="1" applyAlignment="1">
      <alignment horizontal="left" wrapText="1"/>
    </xf>
    <xf numFmtId="0" fontId="22" fillId="7" borderId="7" xfId="13" applyFont="1" applyFill="1" applyBorder="1" applyAlignment="1">
      <alignment horizontal="left" wrapText="1"/>
    </xf>
    <xf numFmtId="0" fontId="22" fillId="7" borderId="11" xfId="13" applyFont="1" applyFill="1" applyBorder="1" applyAlignment="1">
      <alignment horizontal="left" wrapText="1"/>
    </xf>
    <xf numFmtId="0" fontId="22" fillId="7" borderId="12" xfId="13" applyFont="1" applyFill="1" applyBorder="1" applyAlignment="1">
      <alignment horizontal="left" wrapText="1"/>
    </xf>
    <xf numFmtId="0" fontId="21" fillId="7" borderId="13" xfId="13" applyFont="1" applyFill="1" applyBorder="1"/>
    <xf numFmtId="0" fontId="21" fillId="7" borderId="14" xfId="13" applyFont="1" applyFill="1" applyBorder="1"/>
    <xf numFmtId="0" fontId="21" fillId="7" borderId="15" xfId="13" applyFont="1" applyFill="1" applyBorder="1"/>
    <xf numFmtId="0" fontId="25" fillId="0" borderId="14" xfId="13" applyFont="1" applyBorder="1"/>
    <xf numFmtId="168" fontId="21" fillId="0" borderId="0" xfId="35" applyNumberFormat="1" applyFont="1" applyFill="1" applyBorder="1" applyAlignment="1">
      <alignment horizontal="center" vertical="top" wrapText="1"/>
    </xf>
    <xf numFmtId="168" fontId="25" fillId="0" borderId="16" xfId="35" applyNumberFormat="1" applyFont="1" applyBorder="1" applyAlignment="1">
      <alignment horizontal="center"/>
    </xf>
    <xf numFmtId="168" fontId="25" fillId="0" borderId="16" xfId="35" applyNumberFormat="1" applyFont="1" applyFill="1" applyBorder="1" applyAlignment="1">
      <alignment horizontal="center"/>
    </xf>
    <xf numFmtId="168" fontId="21" fillId="0" borderId="0" xfId="35" applyNumberFormat="1" applyFont="1" applyFill="1" applyBorder="1" applyAlignment="1">
      <alignment vertical="top" wrapText="1"/>
    </xf>
    <xf numFmtId="168" fontId="25" fillId="14" borderId="16" xfId="35" applyNumberFormat="1" applyFont="1" applyFill="1" applyBorder="1" applyAlignment="1">
      <alignment horizontal="center"/>
    </xf>
    <xf numFmtId="0" fontId="25" fillId="15" borderId="11" xfId="13" applyFont="1" applyFill="1" applyBorder="1"/>
    <xf numFmtId="0" fontId="21" fillId="0" borderId="0" xfId="13" applyFont="1" applyFill="1" applyBorder="1" applyAlignment="1">
      <alignment horizontal="center" vertical="top"/>
    </xf>
    <xf numFmtId="168" fontId="25" fillId="0" borderId="0" xfId="35" applyNumberFormat="1" applyFont="1" applyBorder="1" applyAlignment="1">
      <alignment horizontal="center"/>
    </xf>
    <xf numFmtId="168" fontId="21" fillId="16" borderId="0" xfId="35" applyNumberFormat="1" applyFont="1" applyFill="1" applyBorder="1" applyAlignment="1">
      <alignment horizontal="center"/>
    </xf>
    <xf numFmtId="168" fontId="25" fillId="16" borderId="0" xfId="35" applyNumberFormat="1" applyFont="1" applyFill="1" applyBorder="1" applyAlignment="1">
      <alignment horizontal="center"/>
    </xf>
    <xf numFmtId="168" fontId="25" fillId="14" borderId="0" xfId="35" applyNumberFormat="1" applyFont="1" applyFill="1" applyBorder="1" applyAlignment="1">
      <alignment horizontal="center"/>
    </xf>
    <xf numFmtId="168" fontId="25" fillId="0" borderId="0" xfId="35" applyNumberFormat="1" applyFont="1" applyFill="1" applyBorder="1" applyAlignment="1">
      <alignment horizontal="center"/>
    </xf>
    <xf numFmtId="168" fontId="25" fillId="15" borderId="0" xfId="35" applyNumberFormat="1" applyFont="1" applyFill="1" applyBorder="1" applyAlignment="1">
      <alignment horizontal="center"/>
    </xf>
    <xf numFmtId="0" fontId="25" fillId="0" borderId="11" xfId="13" applyFont="1" applyBorder="1"/>
    <xf numFmtId="168" fontId="26" fillId="15" borderId="0" xfId="35" applyNumberFormat="1" applyFont="1" applyFill="1" applyBorder="1" applyAlignment="1">
      <alignment horizontal="center"/>
    </xf>
    <xf numFmtId="168" fontId="26" fillId="0" borderId="0" xfId="35" applyNumberFormat="1" applyFont="1" applyFill="1" applyBorder="1" applyAlignment="1">
      <alignment horizontal="center"/>
    </xf>
    <xf numFmtId="0" fontId="21" fillId="0" borderId="0" xfId="13" applyFont="1" applyBorder="1" applyAlignment="1">
      <alignment horizontal="center" vertical="top"/>
    </xf>
    <xf numFmtId="168" fontId="25" fillId="17" borderId="0" xfId="35" applyNumberFormat="1" applyFont="1" applyFill="1" applyBorder="1" applyAlignment="1">
      <alignment horizontal="center"/>
    </xf>
    <xf numFmtId="168" fontId="25" fillId="18" borderId="0" xfId="35" applyNumberFormat="1" applyFont="1" applyFill="1" applyBorder="1" applyAlignment="1">
      <alignment horizontal="center"/>
    </xf>
    <xf numFmtId="0" fontId="25" fillId="0" borderId="12" xfId="13" applyFont="1" applyBorder="1"/>
    <xf numFmtId="0" fontId="21" fillId="0" borderId="9" xfId="13" applyFont="1" applyBorder="1" applyAlignment="1">
      <alignment horizontal="center" vertical="top"/>
    </xf>
    <xf numFmtId="168" fontId="25" fillId="0" borderId="9" xfId="35" applyNumberFormat="1" applyFont="1" applyBorder="1" applyAlignment="1">
      <alignment horizontal="center"/>
    </xf>
    <xf numFmtId="168" fontId="25" fillId="17" borderId="9" xfId="35" applyNumberFormat="1" applyFont="1" applyFill="1" applyBorder="1" applyAlignment="1">
      <alignment horizontal="center"/>
    </xf>
    <xf numFmtId="168" fontId="25" fillId="18" borderId="9" xfId="35" applyNumberFormat="1" applyFont="1" applyFill="1" applyBorder="1" applyAlignment="1">
      <alignment horizontal="center"/>
    </xf>
    <xf numFmtId="168" fontId="25" fillId="0" borderId="9" xfId="35" applyNumberFormat="1" applyFont="1" applyFill="1" applyBorder="1" applyAlignment="1">
      <alignment horizontal="center"/>
    </xf>
    <xf numFmtId="0" fontId="27" fillId="0" borderId="12" xfId="13" applyFont="1" applyFill="1" applyBorder="1"/>
    <xf numFmtId="0" fontId="28" fillId="0" borderId="0" xfId="13" applyFont="1" applyFill="1" applyBorder="1" applyAlignment="1">
      <alignment horizontal="center" vertical="top"/>
    </xf>
    <xf numFmtId="168" fontId="29" fillId="0" borderId="9" xfId="35" applyNumberFormat="1" applyFont="1" applyFill="1" applyBorder="1" applyAlignment="1">
      <alignment horizontal="center"/>
    </xf>
    <xf numFmtId="168" fontId="30" fillId="0" borderId="9" xfId="35" applyNumberFormat="1" applyFont="1" applyFill="1" applyBorder="1" applyAlignment="1">
      <alignment horizontal="center"/>
    </xf>
    <xf numFmtId="168" fontId="31" fillId="0" borderId="9" xfId="35" applyNumberFormat="1" applyFont="1" applyFill="1" applyBorder="1" applyAlignment="1">
      <alignment horizontal="center"/>
    </xf>
    <xf numFmtId="168" fontId="27" fillId="0" borderId="9" xfId="35" applyNumberFormat="1" applyFont="1" applyFill="1" applyBorder="1" applyAlignment="1">
      <alignment horizontal="center"/>
    </xf>
    <xf numFmtId="0" fontId="25" fillId="15" borderId="12" xfId="13" applyFont="1" applyFill="1" applyBorder="1"/>
    <xf numFmtId="168" fontId="25" fillId="15" borderId="9" xfId="35" applyNumberFormat="1" applyFont="1" applyFill="1" applyBorder="1" applyAlignment="1">
      <alignment horizontal="center"/>
    </xf>
    <xf numFmtId="0" fontId="21" fillId="7" borderId="17" xfId="13" applyFont="1" applyFill="1" applyBorder="1" applyAlignment="1">
      <alignment horizontal="center"/>
    </xf>
    <xf numFmtId="170" fontId="21" fillId="0" borderId="0" xfId="36" applyNumberFormat="1" applyFont="1" applyFill="1" applyBorder="1" applyAlignment="1">
      <alignment horizontal="center" vertical="top"/>
    </xf>
    <xf numFmtId="170" fontId="25" fillId="0" borderId="0" xfId="36" applyNumberFormat="1" applyFont="1" applyBorder="1" applyAlignment="1">
      <alignment horizontal="center"/>
    </xf>
    <xf numFmtId="170" fontId="21" fillId="0" borderId="0" xfId="36" applyNumberFormat="1" applyFont="1" applyFill="1" applyBorder="1" applyAlignment="1">
      <alignment vertical="top" wrapText="1"/>
    </xf>
    <xf numFmtId="170" fontId="25" fillId="16" borderId="0" xfId="36" applyNumberFormat="1" applyFont="1" applyFill="1" applyBorder="1" applyAlignment="1">
      <alignment horizontal="center"/>
    </xf>
    <xf numFmtId="170" fontId="25" fillId="15" borderId="0" xfId="36" applyNumberFormat="1" applyFont="1" applyFill="1" applyBorder="1" applyAlignment="1">
      <alignment horizontal="center"/>
    </xf>
    <xf numFmtId="170" fontId="25" fillId="0" borderId="0" xfId="36" applyNumberFormat="1" applyFont="1" applyFill="1" applyBorder="1" applyAlignment="1">
      <alignment horizontal="center"/>
    </xf>
    <xf numFmtId="170" fontId="21" fillId="0" borderId="0" xfId="36" applyNumberFormat="1" applyFont="1" applyBorder="1" applyAlignment="1">
      <alignment horizontal="center" vertical="top"/>
    </xf>
    <xf numFmtId="168" fontId="21" fillId="0" borderId="0" xfId="35" applyNumberFormat="1" applyFont="1" applyFill="1" applyBorder="1" applyAlignment="1">
      <alignment vertical="top"/>
    </xf>
    <xf numFmtId="170" fontId="25" fillId="18" borderId="0" xfId="36" applyNumberFormat="1" applyFont="1" applyFill="1" applyBorder="1" applyAlignment="1">
      <alignment horizontal="center"/>
    </xf>
    <xf numFmtId="168" fontId="21" fillId="0" borderId="9" xfId="35" applyNumberFormat="1" applyFont="1" applyFill="1" applyBorder="1" applyAlignment="1">
      <alignment vertical="top"/>
    </xf>
    <xf numFmtId="170" fontId="25" fillId="7" borderId="17" xfId="36" applyNumberFormat="1" applyFont="1" applyFill="1" applyBorder="1" applyAlignment="1">
      <alignment horizontal="center"/>
    </xf>
    <xf numFmtId="170" fontId="25" fillId="17" borderId="17" xfId="36" applyNumberFormat="1" applyFont="1" applyFill="1" applyBorder="1" applyAlignment="1">
      <alignment horizontal="center"/>
    </xf>
    <xf numFmtId="170" fontId="25" fillId="18" borderId="17" xfId="36" applyNumberFormat="1" applyFont="1" applyFill="1" applyBorder="1" applyAlignment="1">
      <alignment horizontal="center"/>
    </xf>
    <xf numFmtId="170" fontId="25" fillId="14" borderId="17" xfId="36" applyNumberFormat="1" applyFont="1" applyFill="1" applyBorder="1" applyAlignment="1">
      <alignment horizontal="center"/>
    </xf>
    <xf numFmtId="170" fontId="25" fillId="19" borderId="17" xfId="36" applyNumberFormat="1" applyFont="1" applyFill="1" applyBorder="1" applyAlignment="1">
      <alignment horizontal="center"/>
    </xf>
    <xf numFmtId="170" fontId="25" fillId="19" borderId="18" xfId="36" applyNumberFormat="1" applyFont="1" applyFill="1" applyBorder="1" applyAlignment="1">
      <alignment horizontal="center"/>
    </xf>
    <xf numFmtId="170" fontId="27" fillId="20" borderId="0" xfId="36" applyNumberFormat="1" applyFont="1" applyFill="1" applyBorder="1" applyAlignment="1">
      <alignment horizontal="center"/>
    </xf>
    <xf numFmtId="170" fontId="25" fillId="17" borderId="0" xfId="36" applyNumberFormat="1" applyFont="1" applyFill="1" applyBorder="1" applyAlignment="1">
      <alignment horizontal="center"/>
    </xf>
    <xf numFmtId="0" fontId="21" fillId="0" borderId="0" xfId="13" applyFont="1" applyFill="1" applyBorder="1" applyAlignment="1">
      <alignment vertical="top"/>
    </xf>
    <xf numFmtId="168" fontId="21" fillId="0" borderId="0" xfId="35" applyNumberFormat="1" applyFont="1" applyFill="1" applyBorder="1" applyAlignment="1">
      <alignment horizontal="center" vertical="top"/>
    </xf>
    <xf numFmtId="170" fontId="27" fillId="0" borderId="0" xfId="36" applyNumberFormat="1" applyFont="1" applyFill="1" applyBorder="1" applyAlignment="1">
      <alignment horizontal="center"/>
    </xf>
    <xf numFmtId="0" fontId="25" fillId="0" borderId="11" xfId="13" applyFont="1" applyFill="1" applyBorder="1"/>
    <xf numFmtId="170" fontId="25" fillId="14" borderId="0" xfId="36" applyNumberFormat="1" applyFont="1" applyFill="1" applyBorder="1" applyAlignment="1">
      <alignment horizontal="center"/>
    </xf>
    <xf numFmtId="168" fontId="21" fillId="18" borderId="0" xfId="35" applyNumberFormat="1" applyFont="1" applyFill="1" applyBorder="1" applyAlignment="1">
      <alignment horizontal="center" vertical="top"/>
    </xf>
    <xf numFmtId="0" fontId="25" fillId="0" borderId="11" xfId="36" applyNumberFormat="1" applyFont="1" applyFill="1" applyBorder="1" applyAlignment="1"/>
    <xf numFmtId="0" fontId="21" fillId="0" borderId="0" xfId="13" applyFont="1" applyFill="1" applyBorder="1" applyAlignment="1">
      <alignment vertical="top" wrapText="1"/>
    </xf>
    <xf numFmtId="168" fontId="21" fillId="14" borderId="0" xfId="35" applyNumberFormat="1" applyFont="1" applyFill="1" applyBorder="1"/>
    <xf numFmtId="168" fontId="21" fillId="15" borderId="0" xfId="35" applyNumberFormat="1" applyFont="1" applyFill="1" applyBorder="1"/>
    <xf numFmtId="168" fontId="21" fillId="0" borderId="0" xfId="35" applyNumberFormat="1" applyFont="1" applyFill="1" applyBorder="1"/>
    <xf numFmtId="0" fontId="12" fillId="0" borderId="0" xfId="13" applyFill="1"/>
    <xf numFmtId="168" fontId="32" fillId="0" borderId="0" xfId="35" applyNumberFormat="1" applyFont="1" applyFill="1" applyBorder="1" applyAlignment="1">
      <alignment horizontal="center"/>
    </xf>
    <xf numFmtId="168" fontId="26" fillId="18" borderId="0" xfId="35" applyNumberFormat="1" applyFont="1" applyFill="1" applyBorder="1" applyAlignment="1">
      <alignment horizontal="center"/>
    </xf>
    <xf numFmtId="168" fontId="21" fillId="0" borderId="0" xfId="35" applyNumberFormat="1" applyFont="1" applyFill="1" applyBorder="1" applyAlignment="1">
      <alignment horizontal="center"/>
    </xf>
    <xf numFmtId="168" fontId="21" fillId="0" borderId="0" xfId="13" applyNumberFormat="1" applyFont="1"/>
    <xf numFmtId="168" fontId="21" fillId="15" borderId="0" xfId="13" applyNumberFormat="1" applyFont="1" applyFill="1"/>
    <xf numFmtId="168" fontId="21" fillId="7" borderId="17" xfId="35" applyNumberFormat="1" applyFont="1" applyFill="1" applyBorder="1" applyAlignment="1">
      <alignment horizontal="center"/>
    </xf>
    <xf numFmtId="168" fontId="21" fillId="18" borderId="0" xfId="35" applyNumberFormat="1" applyFont="1" applyFill="1" applyBorder="1" applyAlignment="1">
      <alignment horizontal="center"/>
    </xf>
    <xf numFmtId="0" fontId="25" fillId="0" borderId="0" xfId="13" applyFont="1" applyBorder="1"/>
    <xf numFmtId="168" fontId="33" fillId="0" borderId="0" xfId="35" applyNumberFormat="1" applyFont="1" applyFill="1" applyBorder="1" applyAlignment="1">
      <alignment horizontal="center"/>
    </xf>
    <xf numFmtId="10" fontId="26" fillId="0" borderId="0" xfId="35" applyNumberFormat="1" applyFont="1" applyBorder="1" applyAlignment="1">
      <alignment horizontal="center"/>
    </xf>
    <xf numFmtId="171" fontId="25" fillId="14" borderId="0" xfId="35" applyNumberFormat="1" applyFont="1" applyFill="1" applyBorder="1" applyAlignment="1">
      <alignment horizontal="center"/>
    </xf>
    <xf numFmtId="168" fontId="26" fillId="0" borderId="0" xfId="35" applyNumberFormat="1" applyFont="1" applyBorder="1" applyAlignment="1">
      <alignment horizontal="center"/>
    </xf>
    <xf numFmtId="2" fontId="12" fillId="0" borderId="0" xfId="13" applyNumberFormat="1"/>
    <xf numFmtId="168" fontId="34" fillId="0" borderId="0" xfId="13" applyNumberFormat="1" applyFont="1"/>
    <xf numFmtId="171" fontId="26" fillId="14" borderId="0" xfId="35" applyNumberFormat="1" applyFont="1" applyFill="1" applyBorder="1" applyAlignment="1">
      <alignment horizontal="center"/>
    </xf>
    <xf numFmtId="168" fontId="25" fillId="21" borderId="0" xfId="35" applyNumberFormat="1" applyFont="1" applyFill="1" applyBorder="1" applyAlignment="1">
      <alignment horizontal="center"/>
    </xf>
    <xf numFmtId="168" fontId="21" fillId="21" borderId="0" xfId="13" applyNumberFormat="1" applyFont="1" applyFill="1"/>
    <xf numFmtId="172" fontId="26" fillId="0" borderId="0" xfId="36" applyNumberFormat="1" applyFont="1" applyBorder="1" applyAlignment="1">
      <alignment horizontal="center"/>
    </xf>
    <xf numFmtId="0" fontId="21" fillId="0" borderId="0" xfId="13" applyFont="1"/>
    <xf numFmtId="170" fontId="27" fillId="22" borderId="0" xfId="36" applyNumberFormat="1" applyFont="1" applyFill="1" applyBorder="1" applyAlignment="1">
      <alignment horizontal="center"/>
    </xf>
    <xf numFmtId="168" fontId="21" fillId="18" borderId="0" xfId="13" applyNumberFormat="1" applyFont="1" applyFill="1" applyBorder="1" applyAlignment="1">
      <alignment vertical="top"/>
    </xf>
    <xf numFmtId="168" fontId="21" fillId="22" borderId="0" xfId="35" applyNumberFormat="1" applyFont="1" applyFill="1" applyBorder="1" applyAlignment="1">
      <alignment vertical="top" wrapText="1"/>
    </xf>
    <xf numFmtId="168" fontId="26" fillId="7" borderId="17" xfId="35" applyNumberFormat="1" applyFont="1" applyFill="1" applyBorder="1" applyAlignment="1">
      <alignment horizontal="center"/>
    </xf>
    <xf numFmtId="168" fontId="25" fillId="23" borderId="0" xfId="35" applyNumberFormat="1" applyFont="1" applyFill="1" applyBorder="1" applyAlignment="1">
      <alignment horizontal="center"/>
    </xf>
    <xf numFmtId="173" fontId="25" fillId="14" borderId="0" xfId="35" applyNumberFormat="1" applyFont="1" applyFill="1" applyBorder="1" applyAlignment="1">
      <alignment horizontal="right"/>
    </xf>
    <xf numFmtId="10" fontId="26" fillId="0" borderId="0" xfId="35" applyNumberFormat="1" applyFont="1" applyFill="1" applyBorder="1" applyAlignment="1">
      <alignment horizontal="center"/>
    </xf>
    <xf numFmtId="172" fontId="26" fillId="0" borderId="0" xfId="36" applyNumberFormat="1" applyFont="1" applyFill="1" applyBorder="1" applyAlignment="1">
      <alignment horizontal="center"/>
    </xf>
    <xf numFmtId="0" fontId="21" fillId="7" borderId="11" xfId="13" applyFont="1" applyFill="1" applyBorder="1"/>
    <xf numFmtId="168" fontId="21" fillId="7" borderId="0" xfId="35" applyNumberFormat="1" applyFont="1" applyFill="1" applyBorder="1" applyAlignment="1">
      <alignment horizontal="center"/>
    </xf>
    <xf numFmtId="168" fontId="26" fillId="7" borderId="0" xfId="35" applyNumberFormat="1" applyFont="1" applyFill="1" applyBorder="1" applyAlignment="1">
      <alignment horizontal="center"/>
    </xf>
    <xf numFmtId="168" fontId="26" fillId="18" borderId="0" xfId="13" applyNumberFormat="1" applyFont="1" applyFill="1" applyBorder="1" applyAlignment="1">
      <alignment vertical="top"/>
    </xf>
    <xf numFmtId="168" fontId="25" fillId="14" borderId="2" xfId="35" applyNumberFormat="1" applyFont="1" applyFill="1" applyBorder="1" applyAlignment="1">
      <alignment horizontal="center"/>
    </xf>
    <xf numFmtId="168" fontId="25" fillId="0" borderId="2" xfId="35" applyNumberFormat="1" applyFont="1" applyFill="1" applyBorder="1" applyAlignment="1">
      <alignment horizontal="center"/>
    </xf>
    <xf numFmtId="168" fontId="25" fillId="15" borderId="2" xfId="35" applyNumberFormat="1" applyFont="1" applyFill="1" applyBorder="1" applyAlignment="1">
      <alignment horizontal="center"/>
    </xf>
    <xf numFmtId="10" fontId="25" fillId="0" borderId="9" xfId="13" applyNumberFormat="1" applyFont="1" applyFill="1" applyBorder="1" applyAlignment="1">
      <alignment horizontal="center"/>
    </xf>
    <xf numFmtId="10" fontId="25" fillId="0" borderId="9" xfId="16" applyNumberFormat="1" applyFont="1" applyFill="1" applyBorder="1" applyAlignment="1">
      <alignment horizontal="center"/>
    </xf>
    <xf numFmtId="10" fontId="25" fillId="0" borderId="2" xfId="16" applyNumberFormat="1" applyFont="1" applyFill="1" applyBorder="1" applyAlignment="1">
      <alignment horizontal="center"/>
    </xf>
    <xf numFmtId="10" fontId="25" fillId="0" borderId="2" xfId="13" applyNumberFormat="1" applyFont="1" applyFill="1" applyBorder="1" applyAlignment="1">
      <alignment horizontal="center"/>
    </xf>
    <xf numFmtId="10" fontId="21" fillId="0" borderId="6" xfId="16" applyNumberFormat="1" applyFont="1" applyFill="1" applyBorder="1" applyAlignment="1">
      <alignment horizontal="right" vertical="top" wrapText="1"/>
    </xf>
    <xf numFmtId="10" fontId="21" fillId="0" borderId="6" xfId="16" applyNumberFormat="1" applyFont="1" applyFill="1" applyBorder="1" applyAlignment="1">
      <alignment horizontal="left" vertical="top" wrapText="1"/>
    </xf>
    <xf numFmtId="10" fontId="21" fillId="0" borderId="19" xfId="16" applyNumberFormat="1" applyFont="1" applyFill="1" applyBorder="1" applyAlignment="1">
      <alignment horizontal="left" vertical="top" wrapText="1"/>
    </xf>
    <xf numFmtId="0" fontId="25" fillId="0" borderId="13" xfId="37" applyFont="1" applyBorder="1"/>
    <xf numFmtId="168" fontId="25" fillId="0" borderId="17" xfId="35" applyNumberFormat="1" applyFont="1" applyFill="1" applyBorder="1" applyAlignment="1">
      <alignment horizontal="center"/>
    </xf>
    <xf numFmtId="168" fontId="25" fillId="14" borderId="9" xfId="35" applyNumberFormat="1" applyFont="1" applyFill="1" applyBorder="1" applyAlignment="1">
      <alignment horizontal="center"/>
    </xf>
    <xf numFmtId="0" fontId="12" fillId="0" borderId="17" xfId="13" applyBorder="1"/>
    <xf numFmtId="0" fontId="12" fillId="0" borderId="9" xfId="13" applyBorder="1"/>
    <xf numFmtId="0" fontId="25" fillId="0" borderId="9" xfId="37" applyFont="1" applyBorder="1"/>
    <xf numFmtId="168" fontId="25" fillId="24" borderId="9" xfId="35" applyNumberFormat="1" applyFont="1" applyFill="1" applyBorder="1" applyAlignment="1">
      <alignment horizontal="center"/>
    </xf>
    <xf numFmtId="174" fontId="12" fillId="0" borderId="0" xfId="13" applyNumberFormat="1"/>
    <xf numFmtId="174" fontId="25" fillId="0" borderId="9" xfId="37" applyNumberFormat="1" applyFont="1" applyBorder="1"/>
    <xf numFmtId="174" fontId="25" fillId="0" borderId="0" xfId="35" applyNumberFormat="1" applyFont="1" applyFill="1" applyBorder="1" applyAlignment="1">
      <alignment horizontal="center"/>
    </xf>
    <xf numFmtId="174" fontId="25" fillId="0" borderId="0" xfId="35" applyNumberFormat="1" applyFont="1" applyBorder="1" applyAlignment="1">
      <alignment horizontal="center"/>
    </xf>
    <xf numFmtId="174" fontId="25" fillId="0" borderId="17" xfId="35" applyNumberFormat="1" applyFont="1" applyBorder="1" applyAlignment="1">
      <alignment horizontal="center"/>
    </xf>
    <xf numFmtId="170" fontId="25" fillId="0" borderId="17" xfId="36" applyNumberFormat="1" applyFont="1" applyBorder="1" applyAlignment="1">
      <alignment horizontal="center"/>
    </xf>
    <xf numFmtId="170" fontId="25" fillId="24" borderId="17" xfId="36" applyNumberFormat="1" applyFont="1" applyFill="1" applyBorder="1" applyAlignment="1">
      <alignment horizontal="center"/>
    </xf>
    <xf numFmtId="0" fontId="25" fillId="0" borderId="0" xfId="37" applyFont="1" applyBorder="1"/>
    <xf numFmtId="0" fontId="21" fillId="0" borderId="0" xfId="37" applyFont="1" applyFill="1" applyBorder="1"/>
    <xf numFmtId="168" fontId="12" fillId="0" borderId="0" xfId="13" applyNumberFormat="1" applyFont="1"/>
    <xf numFmtId="168" fontId="12" fillId="0" borderId="0" xfId="13" applyNumberFormat="1" applyFont="1" applyFill="1"/>
    <xf numFmtId="168" fontId="36" fillId="0" borderId="0" xfId="13" applyNumberFormat="1" applyFont="1"/>
    <xf numFmtId="0" fontId="12" fillId="17" borderId="0" xfId="13" applyFill="1"/>
    <xf numFmtId="0" fontId="12" fillId="16" borderId="0" xfId="13" applyFill="1"/>
    <xf numFmtId="0" fontId="18" fillId="22" borderId="0" xfId="13" applyFont="1" applyFill="1"/>
    <xf numFmtId="0" fontId="12" fillId="23" borderId="0" xfId="13" applyFill="1"/>
    <xf numFmtId="0" fontId="12" fillId="18" borderId="0" xfId="13" applyFill="1" applyBorder="1"/>
    <xf numFmtId="0" fontId="18" fillId="25" borderId="0" xfId="13" applyFont="1" applyFill="1"/>
    <xf numFmtId="0" fontId="18" fillId="14" borderId="0" xfId="13" applyFont="1" applyFill="1"/>
    <xf numFmtId="0" fontId="12" fillId="0" borderId="0" xfId="13" applyBorder="1"/>
    <xf numFmtId="0" fontId="18" fillId="15" borderId="0" xfId="13" applyFont="1" applyFill="1"/>
    <xf numFmtId="168" fontId="12" fillId="0" borderId="0" xfId="13" applyNumberFormat="1" applyBorder="1"/>
    <xf numFmtId="168" fontId="12" fillId="0" borderId="0" xfId="13" applyNumberFormat="1"/>
    <xf numFmtId="170" fontId="25" fillId="7" borderId="18" xfId="36" applyNumberFormat="1" applyFont="1" applyFill="1" applyBorder="1" applyAlignment="1">
      <alignment horizontal="center"/>
    </xf>
    <xf numFmtId="170" fontId="12" fillId="0" borderId="0" xfId="13" applyNumberFormat="1"/>
    <xf numFmtId="0" fontId="25" fillId="24" borderId="13" xfId="37" applyFont="1" applyFill="1" applyBorder="1"/>
    <xf numFmtId="168" fontId="25" fillId="24" borderId="17" xfId="35" applyNumberFormat="1" applyFont="1" applyFill="1" applyBorder="1" applyAlignment="1">
      <alignment horizontal="center"/>
    </xf>
    <xf numFmtId="0" fontId="12" fillId="24" borderId="0" xfId="13" applyFill="1"/>
    <xf numFmtId="0" fontId="1" fillId="26" borderId="0" xfId="13" applyFont="1" applyFill="1" applyBorder="1" applyAlignment="1">
      <alignment horizontal="center" vertical="center"/>
    </xf>
    <xf numFmtId="3" fontId="6" fillId="6" borderId="0" xfId="0" applyNumberFormat="1" applyFont="1" applyFill="1" applyBorder="1" applyAlignment="1">
      <alignment horizontal="center" vertical="center"/>
    </xf>
    <xf numFmtId="3" fontId="6" fillId="6" borderId="0" xfId="0" applyNumberFormat="1" applyFont="1" applyFill="1" applyBorder="1" applyAlignment="1">
      <alignment horizontal="center" vertical="center" wrapText="1"/>
    </xf>
    <xf numFmtId="4" fontId="6" fillId="6" borderId="0" xfId="0" applyNumberFormat="1" applyFont="1" applyFill="1" applyBorder="1" applyAlignment="1">
      <alignment horizontal="center" vertical="center"/>
    </xf>
    <xf numFmtId="4" fontId="1" fillId="26" borderId="0" xfId="13" applyNumberFormat="1" applyFont="1" applyFill="1" applyBorder="1" applyAlignment="1">
      <alignment horizontal="center" vertical="center"/>
    </xf>
    <xf numFmtId="0" fontId="38" fillId="0" borderId="0" xfId="3" applyFont="1"/>
    <xf numFmtId="0" fontId="8" fillId="0" borderId="0" xfId="3"/>
    <xf numFmtId="0" fontId="8" fillId="0" borderId="0" xfId="3" applyAlignment="1">
      <alignment horizontal="center"/>
    </xf>
    <xf numFmtId="0" fontId="8" fillId="0" borderId="2" xfId="3" applyBorder="1"/>
    <xf numFmtId="0" fontId="8" fillId="0" borderId="2" xfId="3" applyBorder="1" applyAlignment="1">
      <alignment horizontal="center"/>
    </xf>
    <xf numFmtId="0" fontId="8" fillId="0" borderId="0" xfId="3" applyFill="1" applyBorder="1" applyAlignment="1">
      <alignment horizontal="center"/>
    </xf>
    <xf numFmtId="0" fontId="39" fillId="0" borderId="0" xfId="3" applyFont="1"/>
    <xf numFmtId="37" fontId="40" fillId="0" borderId="0" xfId="41" applyFont="1" applyFill="1"/>
    <xf numFmtId="172" fontId="0" fillId="0" borderId="0" xfId="42" applyNumberFormat="1" applyFont="1"/>
    <xf numFmtId="169" fontId="0" fillId="0" borderId="0" xfId="42" applyFont="1"/>
    <xf numFmtId="172" fontId="8" fillId="0" borderId="0" xfId="3" applyNumberFormat="1"/>
    <xf numFmtId="172" fontId="8" fillId="0" borderId="0" xfId="3" applyNumberFormat="1" applyFill="1"/>
    <xf numFmtId="172" fontId="8" fillId="0" borderId="5" xfId="3" applyNumberFormat="1" applyBorder="1"/>
    <xf numFmtId="172" fontId="8" fillId="0" borderId="5" xfId="3" applyNumberFormat="1" applyFill="1" applyBorder="1"/>
    <xf numFmtId="0" fontId="8" fillId="0" borderId="0" xfId="3" applyFill="1"/>
    <xf numFmtId="10" fontId="38" fillId="19" borderId="0" xfId="43" applyNumberFormat="1" applyFont="1" applyFill="1"/>
    <xf numFmtId="176" fontId="0" fillId="0" borderId="0" xfId="42" applyNumberFormat="1" applyFont="1" applyFill="1"/>
    <xf numFmtId="176" fontId="0" fillId="0" borderId="0" xfId="42" applyNumberFormat="1" applyFont="1"/>
    <xf numFmtId="10" fontId="0" fillId="0" borderId="0" xfId="43" applyNumberFormat="1" applyFont="1"/>
    <xf numFmtId="172" fontId="0" fillId="0" borderId="5" xfId="42" applyNumberFormat="1" applyFont="1" applyBorder="1"/>
    <xf numFmtId="0" fontId="8" fillId="0" borderId="0" xfId="3" applyBorder="1"/>
    <xf numFmtId="0" fontId="0" fillId="3" borderId="0" xfId="0" applyFill="1" applyBorder="1"/>
    <xf numFmtId="0" fontId="0" fillId="0" borderId="0" xfId="0" applyAlignment="1">
      <alignment horizontal="left" vertical="top" wrapText="1"/>
    </xf>
    <xf numFmtId="0" fontId="38" fillId="0" borderId="2" xfId="3" applyFont="1" applyBorder="1" applyAlignment="1">
      <alignment horizontal="center"/>
    </xf>
  </cellXfs>
  <cellStyles count="44">
    <cellStyle name="Comma 2" xfId="5"/>
    <cellStyle name="Comma 2 2" xfId="36"/>
    <cellStyle name="Comma 3" xfId="38"/>
    <cellStyle name="Comma 4" xfId="42"/>
    <cellStyle name="Comma0" xfId="6"/>
    <cellStyle name="Currency 2" xfId="35"/>
    <cellStyle name="Currency0" xfId="7"/>
    <cellStyle name="Date" xfId="8"/>
    <cellStyle name="Euro" xfId="39"/>
    <cellStyle name="Fixed" xfId="9"/>
    <cellStyle name="HeadlineStyle" xfId="10"/>
    <cellStyle name="HeadlineStyleJustified" xfId="11"/>
    <cellStyle name="Normal" xfId="0" builtinId="0"/>
    <cellStyle name="Normal 10" xfId="3"/>
    <cellStyle name="Normal 103" xfId="2"/>
    <cellStyle name="Normal 16 4" xfId="12"/>
    <cellStyle name="Normal 2" xfId="4"/>
    <cellStyle name="Normal 2 2" xfId="13"/>
    <cellStyle name="Normal 3" xfId="1"/>
    <cellStyle name="Normal 4" xfId="14"/>
    <cellStyle name="Normal 5" xfId="15"/>
    <cellStyle name="Normal 6" xfId="34"/>
    <cellStyle name="Normal_C02 Master CostStudy v1" xfId="41"/>
    <cellStyle name="Normal_Finresults_nc 2" xfId="37"/>
    <cellStyle name="Percent 2" xfId="16"/>
    <cellStyle name="Percent 3" xfId="40"/>
    <cellStyle name="Percent 4" xfId="43"/>
    <cellStyle name="Style 21" xfId="17"/>
    <cellStyle name="Style 22" xfId="18"/>
    <cellStyle name="Style 23" xfId="19"/>
    <cellStyle name="Style 24" xfId="20"/>
    <cellStyle name="Style 25" xfId="21"/>
    <cellStyle name="Style 26" xfId="22"/>
    <cellStyle name="Style 27" xfId="23"/>
    <cellStyle name="Style 28" xfId="24"/>
    <cellStyle name="Style 29" xfId="25"/>
    <cellStyle name="Style 30" xfId="26"/>
    <cellStyle name="Style 31" xfId="27"/>
    <cellStyle name="Style 32" xfId="28"/>
    <cellStyle name="Style 33" xfId="29"/>
    <cellStyle name="Style 34" xfId="30"/>
    <cellStyle name="Style 35" xfId="31"/>
    <cellStyle name="Style 36" xfId="32"/>
    <cellStyle name="Style 39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0000"/>
  </sheetPr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2:BI130"/>
  <sheetViews>
    <sheetView workbookViewId="0">
      <selection activeCell="F25" sqref="F25"/>
    </sheetView>
  </sheetViews>
  <sheetFormatPr defaultColWidth="9.140625" defaultRowHeight="12.75" x14ac:dyDescent="0.2"/>
  <cols>
    <col min="1" max="1" width="43.42578125" style="23" customWidth="1"/>
    <col min="2" max="2" width="22.42578125" style="23" bestFit="1" customWidth="1"/>
    <col min="3" max="3" width="12.28515625" style="23" bestFit="1" customWidth="1"/>
    <col min="4" max="4" width="13.42578125" style="23" bestFit="1" customWidth="1"/>
    <col min="5" max="7" width="12.28515625" style="23" bestFit="1" customWidth="1"/>
    <col min="8" max="8" width="21.42578125" style="23" bestFit="1" customWidth="1"/>
    <col min="9" max="9" width="12.28515625" style="23" bestFit="1" customWidth="1"/>
    <col min="10" max="10" width="12.85546875" style="23" bestFit="1" customWidth="1"/>
    <col min="11" max="11" width="21.42578125" style="23" bestFit="1" customWidth="1"/>
    <col min="12" max="12" width="12.28515625" style="23" bestFit="1" customWidth="1"/>
    <col min="13" max="13" width="12.85546875" style="23" bestFit="1" customWidth="1"/>
    <col min="14" max="14" width="21.42578125" style="23" bestFit="1" customWidth="1"/>
    <col min="15" max="15" width="12.28515625" style="23" bestFit="1" customWidth="1"/>
    <col min="16" max="16" width="12.85546875" style="23" bestFit="1" customWidth="1"/>
    <col min="17" max="17" width="21.42578125" style="23" bestFit="1" customWidth="1"/>
    <col min="18" max="18" width="12.28515625" style="23" bestFit="1" customWidth="1"/>
    <col min="19" max="19" width="12.85546875" style="23" bestFit="1" customWidth="1"/>
    <col min="20" max="20" width="21.42578125" style="23" bestFit="1" customWidth="1"/>
    <col min="21" max="21" width="12.28515625" style="23" bestFit="1" customWidth="1"/>
    <col min="22" max="22" width="12.85546875" style="23" bestFit="1" customWidth="1"/>
    <col min="23" max="23" width="21.42578125" style="23" bestFit="1" customWidth="1"/>
    <col min="24" max="24" width="12.28515625" style="23" bestFit="1" customWidth="1"/>
    <col min="25" max="25" width="12.85546875" style="23" bestFit="1" customWidth="1"/>
    <col min="26" max="26" width="21.42578125" style="23" bestFit="1" customWidth="1"/>
    <col min="27" max="27" width="12.28515625" style="23" bestFit="1" customWidth="1"/>
    <col min="28" max="28" width="12.85546875" style="23" bestFit="1" customWidth="1"/>
    <col min="29" max="29" width="12.28515625" style="23" bestFit="1" customWidth="1"/>
    <col min="30" max="31" width="12.85546875" style="23" bestFit="1" customWidth="1"/>
    <col min="32" max="32" width="12.28515625" style="23" bestFit="1" customWidth="1"/>
    <col min="33" max="34" width="12.85546875" style="23" bestFit="1" customWidth="1"/>
    <col min="35" max="35" width="12.28515625" style="23" bestFit="1" customWidth="1"/>
    <col min="36" max="37" width="12.85546875" style="23" bestFit="1" customWidth="1"/>
    <col min="38" max="38" width="13.42578125" style="23" bestFit="1" customWidth="1"/>
    <col min="39" max="39" width="12.85546875" style="23" bestFit="1" customWidth="1"/>
    <col min="40" max="43" width="13.42578125" style="23" bestFit="1" customWidth="1"/>
    <col min="44" max="57" width="12.85546875" style="23" bestFit="1" customWidth="1"/>
    <col min="58" max="16384" width="9.140625" style="23"/>
  </cols>
  <sheetData>
    <row r="2" spans="1:57" ht="13.5" thickBot="1" x14ac:dyDescent="0.25">
      <c r="A2" s="20" t="s">
        <v>25</v>
      </c>
      <c r="B2" s="21">
        <v>1985</v>
      </c>
      <c r="C2" s="21">
        <v>1985</v>
      </c>
      <c r="D2" s="21">
        <v>1985</v>
      </c>
      <c r="E2" s="21">
        <v>1986</v>
      </c>
      <c r="F2" s="21">
        <v>1986</v>
      </c>
      <c r="G2" s="21">
        <v>1986</v>
      </c>
      <c r="H2" s="21">
        <v>1987</v>
      </c>
      <c r="I2" s="21">
        <v>1987</v>
      </c>
      <c r="J2" s="21">
        <v>1987</v>
      </c>
      <c r="K2" s="21">
        <v>1988</v>
      </c>
      <c r="L2" s="21">
        <v>1988</v>
      </c>
      <c r="M2" s="21">
        <v>1988</v>
      </c>
      <c r="N2" s="21">
        <v>1989</v>
      </c>
      <c r="O2" s="21">
        <v>1989</v>
      </c>
      <c r="P2" s="21">
        <v>1989</v>
      </c>
      <c r="Q2" s="21">
        <v>1990</v>
      </c>
      <c r="R2" s="21">
        <v>1990</v>
      </c>
      <c r="S2" s="21">
        <v>1990</v>
      </c>
      <c r="T2" s="21">
        <v>1991</v>
      </c>
      <c r="U2" s="21">
        <v>1991</v>
      </c>
      <c r="V2" s="21">
        <v>1991</v>
      </c>
      <c r="W2" s="21">
        <v>1992</v>
      </c>
      <c r="X2" s="21">
        <v>1992</v>
      </c>
      <c r="Y2" s="21">
        <v>1992</v>
      </c>
      <c r="Z2" s="21">
        <v>1993</v>
      </c>
      <c r="AA2" s="21">
        <v>1993</v>
      </c>
      <c r="AB2" s="21">
        <v>1993</v>
      </c>
      <c r="AC2" s="21">
        <v>1994</v>
      </c>
      <c r="AD2" s="21">
        <v>1994</v>
      </c>
      <c r="AE2" s="21">
        <v>1994</v>
      </c>
      <c r="AF2" s="21">
        <v>1995</v>
      </c>
      <c r="AG2" s="21">
        <v>1995</v>
      </c>
      <c r="AH2" s="21">
        <v>1995</v>
      </c>
      <c r="AI2" s="21">
        <v>1996</v>
      </c>
      <c r="AJ2" s="21">
        <v>1996</v>
      </c>
      <c r="AK2" s="21">
        <v>1996</v>
      </c>
      <c r="AL2" s="21">
        <v>1997</v>
      </c>
      <c r="AM2" s="21">
        <v>1998</v>
      </c>
      <c r="AN2" s="21">
        <v>1999</v>
      </c>
      <c r="AO2" s="21">
        <v>2000</v>
      </c>
      <c r="AP2" s="21">
        <v>2001</v>
      </c>
      <c r="AQ2" s="21">
        <v>2002</v>
      </c>
      <c r="AR2" s="21">
        <v>2003</v>
      </c>
      <c r="AS2" s="21">
        <v>2004</v>
      </c>
      <c r="AT2" s="21">
        <v>2005</v>
      </c>
      <c r="AU2" s="21">
        <v>2006</v>
      </c>
      <c r="AV2" s="21">
        <v>2007</v>
      </c>
      <c r="AW2" s="21">
        <v>2008</v>
      </c>
      <c r="AX2" s="21">
        <v>2009</v>
      </c>
      <c r="AY2" s="21">
        <v>2010</v>
      </c>
      <c r="AZ2" s="22">
        <v>2011</v>
      </c>
      <c r="BA2" s="22">
        <v>2012</v>
      </c>
      <c r="BB2" s="22">
        <v>2013</v>
      </c>
      <c r="BC2" s="22">
        <v>2014</v>
      </c>
      <c r="BD2" s="22">
        <v>2015</v>
      </c>
      <c r="BE2" s="22">
        <v>2016</v>
      </c>
    </row>
    <row r="3" spans="1:57" ht="23.25" thickBot="1" x14ac:dyDescent="0.25">
      <c r="A3" s="24" t="s">
        <v>26</v>
      </c>
      <c r="B3" s="25" t="s">
        <v>27</v>
      </c>
      <c r="C3" s="20" t="s">
        <v>28</v>
      </c>
      <c r="D3" s="20" t="s">
        <v>29</v>
      </c>
      <c r="E3" s="20" t="s">
        <v>27</v>
      </c>
      <c r="F3" s="20" t="s">
        <v>28</v>
      </c>
      <c r="G3" s="20" t="s">
        <v>29</v>
      </c>
      <c r="H3" s="20" t="s">
        <v>27</v>
      </c>
      <c r="I3" s="20" t="s">
        <v>28</v>
      </c>
      <c r="J3" s="20" t="s">
        <v>29</v>
      </c>
      <c r="K3" s="20" t="s">
        <v>27</v>
      </c>
      <c r="L3" s="20" t="s">
        <v>28</v>
      </c>
      <c r="M3" s="20" t="s">
        <v>29</v>
      </c>
      <c r="N3" s="20" t="s">
        <v>27</v>
      </c>
      <c r="O3" s="20" t="s">
        <v>28</v>
      </c>
      <c r="P3" s="20" t="s">
        <v>29</v>
      </c>
      <c r="Q3" s="20" t="s">
        <v>27</v>
      </c>
      <c r="R3" s="20" t="s">
        <v>28</v>
      </c>
      <c r="S3" s="20" t="s">
        <v>29</v>
      </c>
      <c r="T3" s="20" t="s">
        <v>27</v>
      </c>
      <c r="U3" s="20" t="s">
        <v>28</v>
      </c>
      <c r="V3" s="20" t="s">
        <v>29</v>
      </c>
      <c r="W3" s="20" t="s">
        <v>27</v>
      </c>
      <c r="X3" s="20" t="s">
        <v>28</v>
      </c>
      <c r="Y3" s="20" t="s">
        <v>29</v>
      </c>
      <c r="Z3" s="20" t="s">
        <v>27</v>
      </c>
      <c r="AA3" s="20" t="s">
        <v>28</v>
      </c>
      <c r="AB3" s="20" t="s">
        <v>29</v>
      </c>
      <c r="AC3" s="20" t="s">
        <v>27</v>
      </c>
      <c r="AD3" s="20" t="s">
        <v>28</v>
      </c>
      <c r="AE3" s="20" t="s">
        <v>29</v>
      </c>
      <c r="AF3" s="20" t="s">
        <v>27</v>
      </c>
      <c r="AG3" s="20" t="s">
        <v>28</v>
      </c>
      <c r="AH3" s="20" t="s">
        <v>29</v>
      </c>
      <c r="AI3" s="20" t="s">
        <v>27</v>
      </c>
      <c r="AJ3" s="20" t="s">
        <v>28</v>
      </c>
      <c r="AK3" s="20" t="s">
        <v>29</v>
      </c>
      <c r="AL3" s="20" t="s">
        <v>29</v>
      </c>
      <c r="AM3" s="20" t="s">
        <v>29</v>
      </c>
      <c r="AN3" s="20" t="s">
        <v>29</v>
      </c>
      <c r="AO3" s="20" t="s">
        <v>29</v>
      </c>
      <c r="AP3" s="20" t="s">
        <v>29</v>
      </c>
      <c r="AQ3" s="20" t="s">
        <v>29</v>
      </c>
      <c r="AR3" s="20" t="s">
        <v>29</v>
      </c>
      <c r="AS3" s="20" t="s">
        <v>29</v>
      </c>
      <c r="AT3" s="20" t="s">
        <v>29</v>
      </c>
      <c r="AU3" s="20" t="s">
        <v>29</v>
      </c>
      <c r="AV3" s="20" t="s">
        <v>29</v>
      </c>
      <c r="AW3" s="20" t="s">
        <v>29</v>
      </c>
      <c r="AX3" s="20" t="s">
        <v>29</v>
      </c>
      <c r="AY3" s="20" t="s">
        <v>29</v>
      </c>
      <c r="AZ3" s="26" t="s">
        <v>29</v>
      </c>
      <c r="BA3" s="26" t="s">
        <v>29</v>
      </c>
      <c r="BB3" s="26" t="s">
        <v>29</v>
      </c>
      <c r="BC3" s="26" t="s">
        <v>29</v>
      </c>
      <c r="BD3" s="26" t="s">
        <v>29</v>
      </c>
      <c r="BE3" s="27" t="s">
        <v>29</v>
      </c>
    </row>
    <row r="4" spans="1:57" ht="13.5" thickBot="1" x14ac:dyDescent="0.25">
      <c r="A4" s="28" t="s">
        <v>30</v>
      </c>
      <c r="B4" s="29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30"/>
      <c r="AD4" s="28"/>
      <c r="AE4" s="28"/>
      <c r="AF4" s="28"/>
      <c r="AG4" s="28"/>
      <c r="AH4" s="28"/>
      <c r="AI4" s="30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</row>
    <row r="5" spans="1:57" x14ac:dyDescent="0.2">
      <c r="A5" s="31" t="s">
        <v>31</v>
      </c>
      <c r="B5" s="32">
        <v>81803700</v>
      </c>
      <c r="C5" s="33">
        <v>256775000</v>
      </c>
      <c r="D5" s="33">
        <f>SUM(B5:C5)</f>
        <v>338578700</v>
      </c>
      <c r="E5" s="33">
        <v>92877200</v>
      </c>
      <c r="F5" s="33">
        <v>260575000</v>
      </c>
      <c r="G5" s="33">
        <f>SUM(E5:F5)</f>
        <v>353452200</v>
      </c>
      <c r="H5" s="33">
        <v>97159000</v>
      </c>
      <c r="I5" s="33">
        <v>266275000</v>
      </c>
      <c r="J5" s="33">
        <f>SUM(H5:I5)</f>
        <v>363434000</v>
      </c>
      <c r="K5" s="33">
        <v>117074600</v>
      </c>
      <c r="L5" s="33">
        <v>265100000</v>
      </c>
      <c r="M5" s="33">
        <f>SUM(K5:L5)</f>
        <v>382174600</v>
      </c>
      <c r="N5" s="33">
        <v>117783600</v>
      </c>
      <c r="O5" s="33">
        <v>280450000</v>
      </c>
      <c r="P5" s="33">
        <f>SUM(N5:O5)</f>
        <v>398233600</v>
      </c>
      <c r="Q5" s="33">
        <v>124391100</v>
      </c>
      <c r="R5" s="33">
        <v>284775000</v>
      </c>
      <c r="S5" s="33">
        <f>SUM(Q5:R5)</f>
        <v>409166100</v>
      </c>
      <c r="T5" s="33">
        <v>129595000</v>
      </c>
      <c r="U5" s="33">
        <v>303600000</v>
      </c>
      <c r="V5" s="33">
        <f>SUM(T5:U5)</f>
        <v>433195000</v>
      </c>
      <c r="W5" s="33">
        <v>149713200</v>
      </c>
      <c r="X5" s="33">
        <v>338875000</v>
      </c>
      <c r="Y5" s="33">
        <f>SUM(W5:X5)</f>
        <v>488588200</v>
      </c>
      <c r="Z5" s="33">
        <v>148587800</v>
      </c>
      <c r="AA5" s="33">
        <v>374525000</v>
      </c>
      <c r="AB5" s="33">
        <f>SUM(Z5:AA5)</f>
        <v>523112800</v>
      </c>
      <c r="AC5" s="34">
        <v>159074900</v>
      </c>
      <c r="AD5" s="33">
        <v>362350000</v>
      </c>
      <c r="AE5" s="34">
        <f>SUM(AC5:AD5)</f>
        <v>521424900</v>
      </c>
      <c r="AF5" s="33">
        <v>170294000</v>
      </c>
      <c r="AG5" s="33">
        <v>409400000</v>
      </c>
      <c r="AH5" s="33">
        <f>SUM(AF5:AG5)</f>
        <v>579694000</v>
      </c>
      <c r="AI5" s="35">
        <v>179123905</v>
      </c>
      <c r="AJ5" s="34">
        <v>435500000</v>
      </c>
      <c r="AK5" s="34">
        <f>SUM(AI5:AJ5)</f>
        <v>614623905</v>
      </c>
      <c r="AL5" s="33">
        <v>635500000</v>
      </c>
      <c r="AM5" s="33">
        <v>563600000</v>
      </c>
      <c r="AN5" s="33">
        <v>569200000</v>
      </c>
      <c r="AO5" s="33">
        <v>605300000</v>
      </c>
      <c r="AP5" s="36">
        <v>583985024</v>
      </c>
      <c r="AQ5" s="36">
        <v>630557000</v>
      </c>
      <c r="AR5" s="33">
        <v>641357000</v>
      </c>
      <c r="AS5" s="33">
        <v>649210000</v>
      </c>
      <c r="AT5" s="33">
        <v>639497000</v>
      </c>
      <c r="AU5" s="33">
        <v>606314345</v>
      </c>
      <c r="AV5" s="33">
        <v>655138588</v>
      </c>
      <c r="AW5" s="33">
        <v>675257375</v>
      </c>
      <c r="AX5" s="33">
        <v>658265302</v>
      </c>
      <c r="AY5" s="33">
        <v>699528483</v>
      </c>
      <c r="AZ5" s="33">
        <v>713187740.61000013</v>
      </c>
      <c r="BA5" s="33">
        <v>726695507.09000015</v>
      </c>
      <c r="BB5" s="33">
        <v>758043990.24257302</v>
      </c>
      <c r="BC5" s="33">
        <v>765977650.765028</v>
      </c>
      <c r="BD5" s="33">
        <v>781143131.74000001</v>
      </c>
      <c r="BE5" s="34">
        <v>794228500.63016009</v>
      </c>
    </row>
    <row r="6" spans="1:57" x14ac:dyDescent="0.2">
      <c r="A6" s="37" t="s">
        <v>32</v>
      </c>
      <c r="B6" s="38" t="s">
        <v>33</v>
      </c>
      <c r="C6" s="39">
        <v>6020384.25</v>
      </c>
      <c r="D6" s="40">
        <f>SUM(B6:C6)</f>
        <v>6020384.25</v>
      </c>
      <c r="E6" s="39" t="s">
        <v>33</v>
      </c>
      <c r="F6" s="39">
        <v>9207100.75</v>
      </c>
      <c r="G6" s="41">
        <f>SUM(E6:F6)</f>
        <v>9207100.75</v>
      </c>
      <c r="H6" s="39" t="s">
        <v>33</v>
      </c>
      <c r="I6" s="39">
        <v>10305486</v>
      </c>
      <c r="J6" s="41">
        <f>SUM(H6:I6)</f>
        <v>10305486</v>
      </c>
      <c r="K6" s="39" t="s">
        <v>33</v>
      </c>
      <c r="L6" s="39">
        <v>14436132</v>
      </c>
      <c r="M6" s="41">
        <f>SUM(K6:L6)</f>
        <v>14436132</v>
      </c>
      <c r="N6" s="39" t="s">
        <v>33</v>
      </c>
      <c r="O6" s="39">
        <v>16390871</v>
      </c>
      <c r="P6" s="41">
        <f>SUM(N6:O6)</f>
        <v>16390871</v>
      </c>
      <c r="Q6" s="39" t="s">
        <v>33</v>
      </c>
      <c r="R6" s="39">
        <v>16805651</v>
      </c>
      <c r="S6" s="41">
        <f>SUM(Q6:R6)</f>
        <v>16805651</v>
      </c>
      <c r="T6" s="39" t="s">
        <v>33</v>
      </c>
      <c r="U6" s="39">
        <v>17482808.75</v>
      </c>
      <c r="V6" s="41">
        <f>SUM(T6:U6)</f>
        <v>17482808.75</v>
      </c>
      <c r="W6" s="39" t="s">
        <v>33</v>
      </c>
      <c r="X6" s="39">
        <v>19710721.25</v>
      </c>
      <c r="Y6" s="41">
        <f>SUM(W6:X6)</f>
        <v>19710721.25</v>
      </c>
      <c r="Z6" s="39" t="s">
        <v>33</v>
      </c>
      <c r="AA6" s="39">
        <v>23453576.75</v>
      </c>
      <c r="AB6" s="41">
        <f>SUM(Z6:AA6)</f>
        <v>23453576.75</v>
      </c>
      <c r="AC6" s="39" t="s">
        <v>33</v>
      </c>
      <c r="AD6" s="39">
        <v>24321577.25</v>
      </c>
      <c r="AE6" s="41">
        <f>SUM(AC6:AD6)</f>
        <v>24321577.25</v>
      </c>
      <c r="AF6" s="39" t="s">
        <v>33</v>
      </c>
      <c r="AG6" s="39">
        <v>24642000</v>
      </c>
      <c r="AH6" s="41">
        <f>SUM(AF6:AG6)</f>
        <v>24642000</v>
      </c>
      <c r="AI6" s="39" t="s">
        <v>33</v>
      </c>
      <c r="AJ6" s="39">
        <v>25269800</v>
      </c>
      <c r="AK6" s="41">
        <f>SUM(AI6:AJ6)</f>
        <v>25269800</v>
      </c>
      <c r="AL6" s="39">
        <v>25600000</v>
      </c>
      <c r="AM6" s="39">
        <v>28300000</v>
      </c>
      <c r="AN6" s="39">
        <v>23010000</v>
      </c>
      <c r="AO6" s="42">
        <v>29150000</v>
      </c>
      <c r="AP6" s="42">
        <v>34666000</v>
      </c>
      <c r="AQ6" s="42">
        <v>53176000</v>
      </c>
      <c r="AR6" s="43">
        <v>47208000</v>
      </c>
      <c r="AS6" s="43">
        <v>47766000</v>
      </c>
      <c r="AT6" s="43">
        <v>49799000</v>
      </c>
      <c r="AU6" s="44">
        <v>0</v>
      </c>
      <c r="AV6" s="44">
        <v>0</v>
      </c>
      <c r="AW6" s="44">
        <v>0</v>
      </c>
      <c r="AX6" s="44">
        <v>0</v>
      </c>
      <c r="AY6" s="44">
        <v>0</v>
      </c>
      <c r="AZ6" s="44">
        <v>0</v>
      </c>
      <c r="BA6" s="44">
        <v>0</v>
      </c>
      <c r="BB6" s="44">
        <v>8844000</v>
      </c>
      <c r="BC6" s="44">
        <v>7783000</v>
      </c>
      <c r="BD6" s="44">
        <v>7368000</v>
      </c>
      <c r="BE6" s="44">
        <v>8503000</v>
      </c>
    </row>
    <row r="7" spans="1:57" x14ac:dyDescent="0.2">
      <c r="A7" s="45" t="s">
        <v>34</v>
      </c>
      <c r="B7" s="38" t="s">
        <v>33</v>
      </c>
      <c r="C7" s="39">
        <v>28547115.75</v>
      </c>
      <c r="D7" s="41">
        <f t="shared" ref="D7:D83" si="0">SUM(B7:C7)</f>
        <v>28547115.75</v>
      </c>
      <c r="E7" s="39" t="s">
        <v>33</v>
      </c>
      <c r="F7" s="39">
        <v>44608649.25</v>
      </c>
      <c r="G7" s="41">
        <f t="shared" ref="G7:G83" si="1">SUM(E7:F7)</f>
        <v>44608649.25</v>
      </c>
      <c r="H7" s="39" t="s">
        <v>33</v>
      </c>
      <c r="I7" s="39">
        <v>54433014</v>
      </c>
      <c r="J7" s="41">
        <f t="shared" ref="J7:J83" si="2">SUM(H7:I7)</f>
        <v>54433014</v>
      </c>
      <c r="K7" s="39" t="s">
        <v>33</v>
      </c>
      <c r="L7" s="39">
        <v>59256618</v>
      </c>
      <c r="M7" s="41">
        <f t="shared" ref="M7:M83" si="3">SUM(K7:L7)</f>
        <v>59256618</v>
      </c>
      <c r="N7" s="39" t="s">
        <v>33</v>
      </c>
      <c r="O7" s="39">
        <v>63049879</v>
      </c>
      <c r="P7" s="41">
        <f t="shared" ref="P7:P83" si="4">SUM(N7:O7)</f>
        <v>63049879</v>
      </c>
      <c r="Q7" s="39" t="s">
        <v>33</v>
      </c>
      <c r="R7" s="39">
        <v>78547349</v>
      </c>
      <c r="S7" s="41">
        <f t="shared" ref="S7:S83" si="5">SUM(Q7:R7)</f>
        <v>78547349</v>
      </c>
      <c r="T7" s="39" t="s">
        <v>33</v>
      </c>
      <c r="U7" s="39">
        <v>105978941.25</v>
      </c>
      <c r="V7" s="41">
        <f t="shared" ref="V7:V83" si="6">SUM(T7:U7)</f>
        <v>105978941.25</v>
      </c>
      <c r="W7" s="39" t="s">
        <v>33</v>
      </c>
      <c r="X7" s="39">
        <v>119064278.75</v>
      </c>
      <c r="Y7" s="41">
        <f t="shared" ref="Y7:Y83" si="7">SUM(W7:X7)</f>
        <v>119064278.75</v>
      </c>
      <c r="Z7" s="39" t="s">
        <v>33</v>
      </c>
      <c r="AA7" s="39">
        <v>130896423.25</v>
      </c>
      <c r="AB7" s="41">
        <f t="shared" ref="AB7:AB83" si="8">SUM(Z7:AA7)</f>
        <v>130896423.25</v>
      </c>
      <c r="AC7" s="39" t="s">
        <v>33</v>
      </c>
      <c r="AD7" s="39">
        <v>136703422.75</v>
      </c>
      <c r="AE7" s="41">
        <f t="shared" ref="AE7:AE83" si="9">SUM(AC7:AD7)</f>
        <v>136703422.75</v>
      </c>
      <c r="AF7" s="39" t="s">
        <v>33</v>
      </c>
      <c r="AG7" s="39">
        <v>124158000</v>
      </c>
      <c r="AH7" s="41">
        <f t="shared" ref="AH7:AH83" si="10">SUM(AF7:AG7)</f>
        <v>124158000</v>
      </c>
      <c r="AI7" s="39" t="s">
        <v>33</v>
      </c>
      <c r="AJ7" s="39">
        <v>131730200</v>
      </c>
      <c r="AK7" s="41">
        <f t="shared" ref="AK7:AK83" si="11">SUM(AI7:AJ7)</f>
        <v>131730200</v>
      </c>
      <c r="AL7" s="39">
        <v>126900000</v>
      </c>
      <c r="AM7" s="39">
        <v>122600000</v>
      </c>
      <c r="AN7" s="39">
        <v>117719000</v>
      </c>
      <c r="AO7" s="42">
        <v>121985000</v>
      </c>
      <c r="AP7" s="42">
        <v>116559000</v>
      </c>
      <c r="AQ7" s="42">
        <v>126066000</v>
      </c>
      <c r="AR7" s="43">
        <v>121892000</v>
      </c>
      <c r="AS7" s="43">
        <v>122986000</v>
      </c>
      <c r="AT7" s="43">
        <v>122518000</v>
      </c>
      <c r="AU7" s="43">
        <v>121649000</v>
      </c>
      <c r="AV7" s="43">
        <v>126271000</v>
      </c>
      <c r="AW7" s="43">
        <v>165087000</v>
      </c>
      <c r="AX7" s="43">
        <v>177325000</v>
      </c>
      <c r="AY7" s="43">
        <v>183331000</v>
      </c>
      <c r="AZ7" s="46">
        <v>193605000</v>
      </c>
      <c r="BA7" s="46">
        <v>210188000</v>
      </c>
      <c r="BB7" s="46">
        <v>160108000</v>
      </c>
      <c r="BC7" s="46">
        <v>151373000</v>
      </c>
      <c r="BD7" s="46">
        <v>156244000</v>
      </c>
      <c r="BE7" s="47">
        <v>182647000</v>
      </c>
    </row>
    <row r="8" spans="1:57" x14ac:dyDescent="0.2">
      <c r="A8" s="45" t="s">
        <v>35</v>
      </c>
      <c r="B8" s="48" t="s">
        <v>33</v>
      </c>
      <c r="C8" s="39">
        <v>16957800</v>
      </c>
      <c r="D8" s="41">
        <f t="shared" si="0"/>
        <v>16957800</v>
      </c>
      <c r="E8" s="39" t="s">
        <v>33</v>
      </c>
      <c r="F8" s="39">
        <v>23248350</v>
      </c>
      <c r="G8" s="41">
        <f t="shared" si="1"/>
        <v>23248350</v>
      </c>
      <c r="H8" s="39" t="s">
        <v>33</v>
      </c>
      <c r="I8" s="39">
        <v>29245000</v>
      </c>
      <c r="J8" s="41">
        <f t="shared" si="2"/>
        <v>29245000</v>
      </c>
      <c r="K8" s="39" t="s">
        <v>33</v>
      </c>
      <c r="L8" s="39">
        <v>34388250</v>
      </c>
      <c r="M8" s="41">
        <f t="shared" si="3"/>
        <v>34388250</v>
      </c>
      <c r="N8" s="39" t="s">
        <v>33</v>
      </c>
      <c r="O8" s="39">
        <v>32460000</v>
      </c>
      <c r="P8" s="41">
        <f t="shared" si="4"/>
        <v>32460000</v>
      </c>
      <c r="Q8" s="39" t="s">
        <v>33</v>
      </c>
      <c r="R8" s="39">
        <v>34586000</v>
      </c>
      <c r="S8" s="41">
        <f t="shared" si="5"/>
        <v>34586000</v>
      </c>
      <c r="T8" s="39" t="s">
        <v>33</v>
      </c>
      <c r="U8" s="39">
        <v>26423250</v>
      </c>
      <c r="V8" s="41">
        <f t="shared" si="6"/>
        <v>26423250</v>
      </c>
      <c r="W8" s="39" t="s">
        <v>33</v>
      </c>
      <c r="X8" s="39">
        <v>22218750</v>
      </c>
      <c r="Y8" s="41">
        <f t="shared" si="7"/>
        <v>22218750</v>
      </c>
      <c r="Z8" s="39" t="s">
        <v>33</v>
      </c>
      <c r="AA8" s="39">
        <v>21989250</v>
      </c>
      <c r="AB8" s="41">
        <f t="shared" si="8"/>
        <v>21989250</v>
      </c>
      <c r="AC8" s="39" t="s">
        <v>33</v>
      </c>
      <c r="AD8" s="39">
        <v>23509750</v>
      </c>
      <c r="AE8" s="41">
        <f t="shared" si="9"/>
        <v>23509750</v>
      </c>
      <c r="AF8" s="39" t="s">
        <v>33</v>
      </c>
      <c r="AG8" s="39">
        <v>26420000</v>
      </c>
      <c r="AH8" s="41">
        <f t="shared" si="10"/>
        <v>26420000</v>
      </c>
      <c r="AI8" s="39" t="s">
        <v>33</v>
      </c>
      <c r="AJ8" s="39">
        <v>25345000</v>
      </c>
      <c r="AK8" s="41">
        <f t="shared" si="11"/>
        <v>25345000</v>
      </c>
      <c r="AL8" s="39">
        <v>29432000</v>
      </c>
      <c r="AM8" s="39">
        <v>27559000</v>
      </c>
      <c r="AN8" s="39" t="s">
        <v>33</v>
      </c>
      <c r="AO8" s="39" t="s">
        <v>33</v>
      </c>
      <c r="AP8" s="39" t="s">
        <v>33</v>
      </c>
      <c r="AQ8" s="39" t="s">
        <v>33</v>
      </c>
      <c r="AR8" s="39" t="s">
        <v>33</v>
      </c>
      <c r="AS8" s="39" t="s">
        <v>33</v>
      </c>
      <c r="AT8" s="39" t="s">
        <v>33</v>
      </c>
      <c r="AU8" s="39" t="s">
        <v>33</v>
      </c>
      <c r="AV8" s="39" t="s">
        <v>33</v>
      </c>
      <c r="AW8" s="39" t="s">
        <v>33</v>
      </c>
      <c r="AX8" s="39" t="s">
        <v>33</v>
      </c>
      <c r="AY8" s="39" t="s">
        <v>33</v>
      </c>
      <c r="AZ8" s="39" t="s">
        <v>33</v>
      </c>
      <c r="BA8" s="39" t="s">
        <v>33</v>
      </c>
      <c r="BB8" s="39" t="s">
        <v>33</v>
      </c>
      <c r="BC8" s="39" t="s">
        <v>33</v>
      </c>
      <c r="BD8" s="39" t="s">
        <v>33</v>
      </c>
      <c r="BE8" s="39" t="s">
        <v>33</v>
      </c>
    </row>
    <row r="9" spans="1:57" x14ac:dyDescent="0.2">
      <c r="A9" s="45" t="s">
        <v>36</v>
      </c>
      <c r="B9" s="48" t="s">
        <v>37</v>
      </c>
      <c r="C9" s="39">
        <v>1621275</v>
      </c>
      <c r="D9" s="49">
        <f t="shared" si="0"/>
        <v>1621275</v>
      </c>
      <c r="E9" s="39" t="s">
        <v>37</v>
      </c>
      <c r="F9" s="39">
        <v>2222675</v>
      </c>
      <c r="G9" s="43">
        <f t="shared" si="1"/>
        <v>2222675</v>
      </c>
      <c r="H9" s="50">
        <v>4970647.6021741629</v>
      </c>
      <c r="I9" s="39">
        <v>2940500</v>
      </c>
      <c r="J9" s="50">
        <f t="shared" si="2"/>
        <v>7911147.6021741629</v>
      </c>
      <c r="K9" s="50">
        <v>8906716.9235204402</v>
      </c>
      <c r="L9" s="39">
        <v>4313000</v>
      </c>
      <c r="M9" s="50">
        <f t="shared" si="3"/>
        <v>13219716.92352044</v>
      </c>
      <c r="N9" s="39">
        <v>11898000</v>
      </c>
      <c r="O9" s="39">
        <v>5849500</v>
      </c>
      <c r="P9" s="39">
        <f t="shared" si="4"/>
        <v>17747500</v>
      </c>
      <c r="Q9" s="39">
        <v>13249000</v>
      </c>
      <c r="R9" s="39">
        <v>6469750</v>
      </c>
      <c r="S9" s="39">
        <f t="shared" si="5"/>
        <v>19718750</v>
      </c>
      <c r="T9" s="39">
        <v>14725000</v>
      </c>
      <c r="U9" s="39">
        <v>6548750</v>
      </c>
      <c r="V9" s="39">
        <f t="shared" si="6"/>
        <v>21273750</v>
      </c>
      <c r="W9" s="39">
        <v>16107000</v>
      </c>
      <c r="X9" s="39">
        <v>6184500</v>
      </c>
      <c r="Y9" s="39">
        <f t="shared" si="7"/>
        <v>22291500</v>
      </c>
      <c r="Z9" s="39">
        <v>17548000</v>
      </c>
      <c r="AA9" s="39">
        <v>6806250</v>
      </c>
      <c r="AB9" s="39">
        <f t="shared" si="8"/>
        <v>24354250</v>
      </c>
      <c r="AC9" s="43">
        <v>14845677</v>
      </c>
      <c r="AD9" s="43">
        <v>7763500</v>
      </c>
      <c r="AE9" s="43">
        <f t="shared" si="9"/>
        <v>22609177</v>
      </c>
      <c r="AF9" s="35">
        <v>19236002</v>
      </c>
      <c r="AG9" s="39">
        <v>8951000</v>
      </c>
      <c r="AH9" s="43">
        <f t="shared" si="10"/>
        <v>28187002</v>
      </c>
      <c r="AI9" s="35">
        <v>27200619</v>
      </c>
      <c r="AJ9" s="43">
        <v>10763000</v>
      </c>
      <c r="AK9" s="43">
        <f t="shared" si="11"/>
        <v>37963619</v>
      </c>
      <c r="AL9" s="39">
        <v>16233000</v>
      </c>
      <c r="AM9" s="39">
        <v>17539000</v>
      </c>
      <c r="AN9" s="39" t="s">
        <v>33</v>
      </c>
      <c r="AO9" s="39" t="s">
        <v>33</v>
      </c>
      <c r="AP9" s="39" t="s">
        <v>33</v>
      </c>
      <c r="AQ9" s="39" t="s">
        <v>33</v>
      </c>
      <c r="AR9" s="39" t="s">
        <v>33</v>
      </c>
      <c r="AS9" s="39" t="s">
        <v>33</v>
      </c>
      <c r="AT9" s="39" t="s">
        <v>33</v>
      </c>
      <c r="AU9" s="39" t="s">
        <v>33</v>
      </c>
      <c r="AV9" s="39" t="s">
        <v>33</v>
      </c>
      <c r="AW9" s="39" t="s">
        <v>33</v>
      </c>
      <c r="AX9" s="39" t="s">
        <v>33</v>
      </c>
      <c r="AY9" s="39" t="s">
        <v>33</v>
      </c>
      <c r="AZ9" s="39" t="s">
        <v>33</v>
      </c>
      <c r="BA9" s="39" t="s">
        <v>33</v>
      </c>
      <c r="BB9" s="39" t="s">
        <v>33</v>
      </c>
      <c r="BC9" s="39" t="s">
        <v>33</v>
      </c>
      <c r="BD9" s="39" t="s">
        <v>33</v>
      </c>
      <c r="BE9" s="39" t="s">
        <v>33</v>
      </c>
    </row>
    <row r="10" spans="1:57" ht="13.5" thickBot="1" x14ac:dyDescent="0.25">
      <c r="A10" s="51" t="s">
        <v>38</v>
      </c>
      <c r="B10" s="52" t="s">
        <v>37</v>
      </c>
      <c r="C10" s="53">
        <v>9770925</v>
      </c>
      <c r="D10" s="54">
        <f t="shared" si="0"/>
        <v>9770925</v>
      </c>
      <c r="E10" s="53">
        <v>7258000</v>
      </c>
      <c r="F10" s="53">
        <v>15077725</v>
      </c>
      <c r="G10" s="53">
        <f t="shared" si="1"/>
        <v>22335725</v>
      </c>
      <c r="H10" s="55">
        <v>15596372.180033617</v>
      </c>
      <c r="I10" s="53">
        <v>17576750</v>
      </c>
      <c r="J10" s="55">
        <f t="shared" si="2"/>
        <v>33173122.180033617</v>
      </c>
      <c r="K10" s="53">
        <v>8852700</v>
      </c>
      <c r="L10" s="53">
        <v>19493750</v>
      </c>
      <c r="M10" s="53">
        <f t="shared" si="3"/>
        <v>28346450</v>
      </c>
      <c r="N10" s="53">
        <v>9744500</v>
      </c>
      <c r="O10" s="53">
        <v>21299750</v>
      </c>
      <c r="P10" s="53">
        <f t="shared" si="4"/>
        <v>31044250</v>
      </c>
      <c r="Q10" s="53">
        <v>10811400</v>
      </c>
      <c r="R10" s="53">
        <v>23816250</v>
      </c>
      <c r="S10" s="53">
        <f t="shared" si="5"/>
        <v>34627650</v>
      </c>
      <c r="T10" s="53">
        <v>12219200</v>
      </c>
      <c r="U10" s="53">
        <v>26980250</v>
      </c>
      <c r="V10" s="53">
        <f t="shared" si="6"/>
        <v>39199450</v>
      </c>
      <c r="W10" s="53">
        <v>13725100</v>
      </c>
      <c r="X10" s="53">
        <v>31400000</v>
      </c>
      <c r="Y10" s="53">
        <f t="shared" si="7"/>
        <v>45125100</v>
      </c>
      <c r="Z10" s="53">
        <v>15583400</v>
      </c>
      <c r="AA10" s="53">
        <v>36325500</v>
      </c>
      <c r="AB10" s="53">
        <f t="shared" si="8"/>
        <v>51908900</v>
      </c>
      <c r="AC10" s="56">
        <v>17980403</v>
      </c>
      <c r="AD10" s="56">
        <v>39392000</v>
      </c>
      <c r="AE10" s="56">
        <f t="shared" si="9"/>
        <v>57372403</v>
      </c>
      <c r="AF10" s="56">
        <v>20732904</v>
      </c>
      <c r="AG10" s="53">
        <v>45246000</v>
      </c>
      <c r="AH10" s="56">
        <f t="shared" si="10"/>
        <v>65978904</v>
      </c>
      <c r="AI10" s="55">
        <v>23220614.202360429</v>
      </c>
      <c r="AJ10" s="53">
        <v>50675000</v>
      </c>
      <c r="AK10" s="55">
        <f t="shared" si="11"/>
        <v>73895614.202360421</v>
      </c>
      <c r="AL10" s="53">
        <v>90644000</v>
      </c>
      <c r="AM10" s="53">
        <v>94718000</v>
      </c>
      <c r="AN10" s="53" t="s">
        <v>33</v>
      </c>
      <c r="AO10" s="53" t="s">
        <v>33</v>
      </c>
      <c r="AP10" s="53" t="s">
        <v>33</v>
      </c>
      <c r="AQ10" s="53" t="s">
        <v>33</v>
      </c>
      <c r="AR10" s="53" t="s">
        <v>33</v>
      </c>
      <c r="AS10" s="53" t="s">
        <v>33</v>
      </c>
      <c r="AT10" s="53" t="s">
        <v>33</v>
      </c>
      <c r="AU10" s="53" t="s">
        <v>33</v>
      </c>
      <c r="AV10" s="53" t="s">
        <v>33</v>
      </c>
      <c r="AW10" s="53" t="s">
        <v>33</v>
      </c>
      <c r="AX10" s="53" t="s">
        <v>33</v>
      </c>
      <c r="AY10" s="53" t="s">
        <v>33</v>
      </c>
      <c r="AZ10" s="53" t="s">
        <v>33</v>
      </c>
      <c r="BA10" s="53" t="s">
        <v>33</v>
      </c>
      <c r="BB10" s="53" t="s">
        <v>33</v>
      </c>
      <c r="BC10" s="53" t="s">
        <v>33</v>
      </c>
      <c r="BD10" s="53" t="s">
        <v>33</v>
      </c>
      <c r="BE10" s="53" t="s">
        <v>33</v>
      </c>
    </row>
    <row r="11" spans="1:57" ht="13.5" thickBot="1" x14ac:dyDescent="0.25">
      <c r="A11" s="57" t="s">
        <v>39</v>
      </c>
      <c r="B11" s="58"/>
      <c r="C11" s="59"/>
      <c r="D11" s="60">
        <f t="shared" ref="D11:BE11" si="12">SUM(D5:D10)</f>
        <v>401496200</v>
      </c>
      <c r="E11" s="61">
        <f t="shared" si="12"/>
        <v>100135200</v>
      </c>
      <c r="F11" s="61">
        <f t="shared" si="12"/>
        <v>354939500</v>
      </c>
      <c r="G11" s="60">
        <f t="shared" si="12"/>
        <v>455074700</v>
      </c>
      <c r="H11" s="61">
        <f t="shared" si="12"/>
        <v>117726019.78220779</v>
      </c>
      <c r="I11" s="61">
        <f t="shared" si="12"/>
        <v>380775750</v>
      </c>
      <c r="J11" s="60">
        <f t="shared" si="12"/>
        <v>498501769.78220779</v>
      </c>
      <c r="K11" s="61">
        <f t="shared" si="12"/>
        <v>134834016.92352045</v>
      </c>
      <c r="L11" s="61">
        <f t="shared" si="12"/>
        <v>396987750</v>
      </c>
      <c r="M11" s="60">
        <f t="shared" si="12"/>
        <v>531821766.92352045</v>
      </c>
      <c r="N11" s="61">
        <f t="shared" si="12"/>
        <v>139426100</v>
      </c>
      <c r="O11" s="61">
        <f t="shared" si="12"/>
        <v>419500000</v>
      </c>
      <c r="P11" s="61">
        <f t="shared" si="12"/>
        <v>558926100</v>
      </c>
      <c r="Q11" s="61">
        <f t="shared" si="12"/>
        <v>148451500</v>
      </c>
      <c r="R11" s="61">
        <f t="shared" si="12"/>
        <v>445000000</v>
      </c>
      <c r="S11" s="61">
        <f t="shared" si="12"/>
        <v>593451500</v>
      </c>
      <c r="T11" s="61">
        <f t="shared" si="12"/>
        <v>156539200</v>
      </c>
      <c r="U11" s="61">
        <f t="shared" si="12"/>
        <v>487014000</v>
      </c>
      <c r="V11" s="61">
        <f t="shared" si="12"/>
        <v>643553200</v>
      </c>
      <c r="W11" s="61">
        <f t="shared" si="12"/>
        <v>179545300</v>
      </c>
      <c r="X11" s="61">
        <f t="shared" si="12"/>
        <v>537453250</v>
      </c>
      <c r="Y11" s="61">
        <f t="shared" si="12"/>
        <v>716998550</v>
      </c>
      <c r="Z11" s="61">
        <f t="shared" si="12"/>
        <v>181719200</v>
      </c>
      <c r="AA11" s="61">
        <f t="shared" si="12"/>
        <v>593996000</v>
      </c>
      <c r="AB11" s="61">
        <f t="shared" si="12"/>
        <v>775715200</v>
      </c>
      <c r="AC11" s="61">
        <f t="shared" si="12"/>
        <v>191900980</v>
      </c>
      <c r="AD11" s="61">
        <f t="shared" si="12"/>
        <v>594040250</v>
      </c>
      <c r="AE11" s="61">
        <f t="shared" si="12"/>
        <v>785941230</v>
      </c>
      <c r="AF11" s="61">
        <f t="shared" si="12"/>
        <v>210262906</v>
      </c>
      <c r="AG11" s="61">
        <f t="shared" si="12"/>
        <v>638817000</v>
      </c>
      <c r="AH11" s="61">
        <f t="shared" si="12"/>
        <v>849079906</v>
      </c>
      <c r="AI11" s="61">
        <f t="shared" si="12"/>
        <v>229545138.20236042</v>
      </c>
      <c r="AJ11" s="61">
        <f t="shared" si="12"/>
        <v>679283000</v>
      </c>
      <c r="AK11" s="60">
        <f t="shared" si="12"/>
        <v>908828138.20236039</v>
      </c>
      <c r="AL11" s="61">
        <f t="shared" si="12"/>
        <v>924309000</v>
      </c>
      <c r="AM11" s="61">
        <f t="shared" si="12"/>
        <v>854316000</v>
      </c>
      <c r="AN11" s="61">
        <f t="shared" si="12"/>
        <v>709929000</v>
      </c>
      <c r="AO11" s="61">
        <f t="shared" si="12"/>
        <v>756435000</v>
      </c>
      <c r="AP11" s="61">
        <f t="shared" si="12"/>
        <v>735210024</v>
      </c>
      <c r="AQ11" s="61">
        <f t="shared" si="12"/>
        <v>809799000</v>
      </c>
      <c r="AR11" s="61">
        <f t="shared" si="12"/>
        <v>810457000</v>
      </c>
      <c r="AS11" s="61">
        <f t="shared" si="12"/>
        <v>819962000</v>
      </c>
      <c r="AT11" s="61">
        <f t="shared" si="12"/>
        <v>811814000</v>
      </c>
      <c r="AU11" s="62">
        <f t="shared" si="12"/>
        <v>727963345</v>
      </c>
      <c r="AV11" s="62">
        <f t="shared" si="12"/>
        <v>781409588</v>
      </c>
      <c r="AW11" s="62">
        <f t="shared" si="12"/>
        <v>840344375</v>
      </c>
      <c r="AX11" s="62">
        <f t="shared" si="12"/>
        <v>835590302</v>
      </c>
      <c r="AY11" s="62">
        <f t="shared" si="12"/>
        <v>882859483</v>
      </c>
      <c r="AZ11" s="62">
        <f t="shared" si="12"/>
        <v>906792740.61000013</v>
      </c>
      <c r="BA11" s="62">
        <f t="shared" si="12"/>
        <v>936883507.09000015</v>
      </c>
      <c r="BB11" s="62">
        <f t="shared" si="12"/>
        <v>926995990.24257302</v>
      </c>
      <c r="BC11" s="62">
        <f t="shared" si="12"/>
        <v>925133650.765028</v>
      </c>
      <c r="BD11" s="62">
        <f t="shared" si="12"/>
        <v>944755131.74000001</v>
      </c>
      <c r="BE11" s="62">
        <f t="shared" si="12"/>
        <v>985378500.63016009</v>
      </c>
    </row>
    <row r="12" spans="1:57" ht="13.5" thickBot="1" x14ac:dyDescent="0.25">
      <c r="A12" s="63" t="s">
        <v>40</v>
      </c>
      <c r="B12" s="58"/>
      <c r="C12" s="59"/>
      <c r="D12" s="60"/>
      <c r="E12" s="61"/>
      <c r="F12" s="61"/>
      <c r="G12" s="60"/>
      <c r="H12" s="61"/>
      <c r="I12" s="61"/>
      <c r="J12" s="60"/>
      <c r="K12" s="61"/>
      <c r="L12" s="61"/>
      <c r="M12" s="60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0"/>
      <c r="AL12" s="61"/>
      <c r="AM12" s="61"/>
      <c r="AN12" s="61"/>
      <c r="AO12" s="61"/>
      <c r="AP12" s="61"/>
      <c r="AQ12" s="61"/>
      <c r="AR12" s="61"/>
      <c r="AS12" s="61"/>
      <c r="AT12" s="61"/>
      <c r="AU12" s="64">
        <v>69641000</v>
      </c>
      <c r="AV12" s="64">
        <v>86492000</v>
      </c>
      <c r="AW12" s="64">
        <v>78230000</v>
      </c>
      <c r="AX12" s="64">
        <v>119909000</v>
      </c>
      <c r="AY12" s="64">
        <v>123904000</v>
      </c>
      <c r="AZ12" s="64">
        <v>116314000</v>
      </c>
      <c r="BA12" s="64">
        <v>111225000</v>
      </c>
      <c r="BB12" s="64">
        <v>81828000</v>
      </c>
      <c r="BC12" s="64">
        <v>74546000</v>
      </c>
      <c r="BD12" s="64">
        <v>75794000</v>
      </c>
      <c r="BE12" s="44">
        <v>87095000</v>
      </c>
    </row>
    <row r="13" spans="1:57" ht="13.5" thickBot="1" x14ac:dyDescent="0.25">
      <c r="A13" s="28" t="s">
        <v>41</v>
      </c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</row>
    <row r="14" spans="1:57" x14ac:dyDescent="0.2">
      <c r="A14" s="45" t="s">
        <v>42</v>
      </c>
      <c r="B14" s="66">
        <v>149465</v>
      </c>
      <c r="C14" s="67">
        <v>388683</v>
      </c>
      <c r="D14" s="67">
        <f t="shared" si="0"/>
        <v>538148</v>
      </c>
      <c r="E14" s="67">
        <v>154312</v>
      </c>
      <c r="F14" s="67">
        <v>530623.5</v>
      </c>
      <c r="G14" s="67">
        <f t="shared" si="1"/>
        <v>684935.5</v>
      </c>
      <c r="H14" s="67">
        <v>159354</v>
      </c>
      <c r="I14" s="67">
        <v>548891.25</v>
      </c>
      <c r="J14" s="67">
        <f t="shared" si="2"/>
        <v>708245.25</v>
      </c>
      <c r="K14" s="67">
        <v>167684</v>
      </c>
      <c r="L14" s="67">
        <v>568895.25</v>
      </c>
      <c r="M14" s="67">
        <f t="shared" si="3"/>
        <v>736579.25</v>
      </c>
      <c r="N14" s="67">
        <v>175056</v>
      </c>
      <c r="O14" s="67">
        <v>590374.25</v>
      </c>
      <c r="P14" s="67">
        <f t="shared" si="4"/>
        <v>765430.25</v>
      </c>
      <c r="Q14" s="67">
        <v>182522</v>
      </c>
      <c r="R14" s="67">
        <v>609100.25</v>
      </c>
      <c r="S14" s="67">
        <f t="shared" si="5"/>
        <v>791622.25</v>
      </c>
      <c r="T14" s="67">
        <v>190086</v>
      </c>
      <c r="U14" s="67">
        <v>627786.25</v>
      </c>
      <c r="V14" s="67">
        <f t="shared" si="6"/>
        <v>817872.25</v>
      </c>
      <c r="W14" s="67">
        <v>201180</v>
      </c>
      <c r="X14" s="67">
        <v>650550.75</v>
      </c>
      <c r="Y14" s="67">
        <f t="shared" si="7"/>
        <v>851730.75</v>
      </c>
      <c r="Z14" s="67">
        <v>214309</v>
      </c>
      <c r="AA14" s="67">
        <v>677626</v>
      </c>
      <c r="AB14" s="67">
        <f t="shared" si="8"/>
        <v>891935</v>
      </c>
      <c r="AC14" s="67">
        <v>226137</v>
      </c>
      <c r="AD14" s="67">
        <v>705186.5</v>
      </c>
      <c r="AE14" s="67">
        <f t="shared" si="9"/>
        <v>931323.5</v>
      </c>
      <c r="AF14" s="67">
        <v>236585</v>
      </c>
      <c r="AG14" s="67">
        <v>728471</v>
      </c>
      <c r="AH14" s="67">
        <f t="shared" si="10"/>
        <v>965056</v>
      </c>
      <c r="AI14" s="68">
        <v>246740</v>
      </c>
      <c r="AJ14" s="67">
        <v>755256</v>
      </c>
      <c r="AK14" s="67">
        <f t="shared" si="11"/>
        <v>1001996</v>
      </c>
      <c r="AL14" s="67">
        <v>1040624</v>
      </c>
      <c r="AM14" s="67">
        <v>1075203</v>
      </c>
      <c r="AN14" s="67">
        <v>1103636</v>
      </c>
      <c r="AO14" s="67">
        <v>1123523</v>
      </c>
      <c r="AP14" s="67">
        <v>1146376</v>
      </c>
      <c r="AQ14" s="67">
        <v>1171277</v>
      </c>
      <c r="AR14" s="67">
        <v>1195115</v>
      </c>
      <c r="AS14" s="67">
        <v>1224276</v>
      </c>
      <c r="AT14" s="67">
        <v>1248510</v>
      </c>
      <c r="AU14" s="67">
        <v>1267900</v>
      </c>
      <c r="AV14" s="67">
        <v>1289360</v>
      </c>
      <c r="AW14" s="67">
        <v>1309430</v>
      </c>
      <c r="AX14" s="67">
        <v>1325043</v>
      </c>
      <c r="AY14" s="67">
        <v>1343795</v>
      </c>
      <c r="AZ14" s="67">
        <v>1360056</v>
      </c>
      <c r="BA14" s="67">
        <v>1378953</v>
      </c>
      <c r="BB14" s="67">
        <v>1398680</v>
      </c>
      <c r="BC14" s="67">
        <v>1419499</v>
      </c>
      <c r="BD14" s="67">
        <v>1436924</v>
      </c>
      <c r="BE14" s="67">
        <v>1458720</v>
      </c>
    </row>
    <row r="15" spans="1:57" x14ac:dyDescent="0.2">
      <c r="A15" s="45" t="s">
        <v>43</v>
      </c>
      <c r="B15" s="66">
        <v>3166</v>
      </c>
      <c r="C15" s="67">
        <v>5720.25</v>
      </c>
      <c r="D15" s="67">
        <f t="shared" si="0"/>
        <v>8886.25</v>
      </c>
      <c r="E15" s="67">
        <v>3054</v>
      </c>
      <c r="F15" s="67">
        <v>7349.5</v>
      </c>
      <c r="G15" s="67">
        <f t="shared" si="1"/>
        <v>10403.5</v>
      </c>
      <c r="H15" s="67">
        <v>3138</v>
      </c>
      <c r="I15" s="67">
        <v>7545.75</v>
      </c>
      <c r="J15" s="67">
        <f t="shared" si="2"/>
        <v>10683.75</v>
      </c>
      <c r="K15" s="67">
        <v>3390</v>
      </c>
      <c r="L15" s="67">
        <v>7929.25</v>
      </c>
      <c r="M15" s="67">
        <f t="shared" si="3"/>
        <v>11319.25</v>
      </c>
      <c r="N15" s="67">
        <v>3567</v>
      </c>
      <c r="O15" s="67">
        <v>8181.75</v>
      </c>
      <c r="P15" s="67">
        <f t="shared" si="4"/>
        <v>11748.75</v>
      </c>
      <c r="Q15" s="67">
        <v>3428</v>
      </c>
      <c r="R15" s="67">
        <v>7822.25</v>
      </c>
      <c r="S15" s="67">
        <f t="shared" si="5"/>
        <v>11250.25</v>
      </c>
      <c r="T15" s="67">
        <v>3590</v>
      </c>
      <c r="U15" s="67">
        <v>7772</v>
      </c>
      <c r="V15" s="67">
        <f t="shared" si="6"/>
        <v>11362</v>
      </c>
      <c r="W15" s="67">
        <v>3893</v>
      </c>
      <c r="X15" s="67">
        <v>8123.5</v>
      </c>
      <c r="Y15" s="67">
        <f t="shared" si="7"/>
        <v>12016.5</v>
      </c>
      <c r="Z15" s="67">
        <v>3930</v>
      </c>
      <c r="AA15" s="67">
        <v>8333.75</v>
      </c>
      <c r="AB15" s="67">
        <f t="shared" si="8"/>
        <v>12263.75</v>
      </c>
      <c r="AC15" s="67">
        <v>3963</v>
      </c>
      <c r="AD15" s="67">
        <v>8198.5</v>
      </c>
      <c r="AE15" s="67">
        <f t="shared" si="9"/>
        <v>12161.5</v>
      </c>
      <c r="AF15" s="67">
        <v>4576</v>
      </c>
      <c r="AG15" s="67">
        <v>8757</v>
      </c>
      <c r="AH15" s="67">
        <f t="shared" si="10"/>
        <v>13333</v>
      </c>
      <c r="AI15" s="68">
        <v>4665</v>
      </c>
      <c r="AJ15" s="67">
        <v>9078</v>
      </c>
      <c r="AK15" s="67">
        <f t="shared" si="11"/>
        <v>13743</v>
      </c>
      <c r="AL15" s="67">
        <v>14476</v>
      </c>
      <c r="AM15" s="67">
        <v>13274</v>
      </c>
      <c r="AN15" s="67">
        <v>14602</v>
      </c>
      <c r="AO15" s="67">
        <v>14933</v>
      </c>
      <c r="AP15" s="67">
        <v>13896</v>
      </c>
      <c r="AQ15" s="67">
        <v>14918</v>
      </c>
      <c r="AR15" s="67">
        <v>14827</v>
      </c>
      <c r="AS15" s="67">
        <v>14450</v>
      </c>
      <c r="AT15" s="67">
        <v>14198</v>
      </c>
      <c r="AU15" s="67">
        <v>13207</v>
      </c>
      <c r="AV15" s="67">
        <v>13878</v>
      </c>
      <c r="AW15" s="67">
        <v>13844</v>
      </c>
      <c r="AX15" s="67">
        <v>12849</v>
      </c>
      <c r="AY15" s="67">
        <v>13314</v>
      </c>
      <c r="AZ15" s="67">
        <v>14137.126042974969</v>
      </c>
      <c r="BA15" s="67">
        <v>13900.751781950001</v>
      </c>
      <c r="BB15" s="67">
        <v>14545.276747628999</v>
      </c>
      <c r="BC15" s="67">
        <v>14747.083425552999</v>
      </c>
      <c r="BD15" s="67">
        <v>13879.410539304999</v>
      </c>
      <c r="BE15" s="67">
        <v>13375.152611127001</v>
      </c>
    </row>
    <row r="16" spans="1:57" x14ac:dyDescent="0.2">
      <c r="A16" s="37" t="s">
        <v>44</v>
      </c>
      <c r="B16" s="48" t="s">
        <v>33</v>
      </c>
      <c r="C16" s="67">
        <v>750.75</v>
      </c>
      <c r="D16" s="69">
        <f t="shared" si="0"/>
        <v>750.75</v>
      </c>
      <c r="E16" s="48" t="s">
        <v>33</v>
      </c>
      <c r="F16" s="67">
        <v>1059.5</v>
      </c>
      <c r="G16" s="69">
        <f t="shared" si="1"/>
        <v>1059.5</v>
      </c>
      <c r="H16" s="48" t="s">
        <v>33</v>
      </c>
      <c r="I16" s="67">
        <v>1320.5</v>
      </c>
      <c r="J16" s="69">
        <f t="shared" si="2"/>
        <v>1320.5</v>
      </c>
      <c r="K16" s="48" t="s">
        <v>33</v>
      </c>
      <c r="L16" s="67">
        <v>1384.5</v>
      </c>
      <c r="M16" s="69">
        <f t="shared" si="3"/>
        <v>1384.5</v>
      </c>
      <c r="N16" s="48" t="s">
        <v>33</v>
      </c>
      <c r="O16" s="67">
        <v>1383.5</v>
      </c>
      <c r="P16" s="69">
        <f t="shared" si="4"/>
        <v>1383.5</v>
      </c>
      <c r="Q16" s="48" t="s">
        <v>33</v>
      </c>
      <c r="R16" s="67">
        <v>1380.5</v>
      </c>
      <c r="S16" s="69">
        <f t="shared" si="5"/>
        <v>1380.5</v>
      </c>
      <c r="T16" s="48" t="s">
        <v>33</v>
      </c>
      <c r="U16" s="67">
        <v>1590.5</v>
      </c>
      <c r="V16" s="69">
        <f t="shared" si="6"/>
        <v>1590.5</v>
      </c>
      <c r="W16" s="48" t="s">
        <v>33</v>
      </c>
      <c r="X16" s="67">
        <v>1754</v>
      </c>
      <c r="Y16" s="69">
        <f t="shared" si="7"/>
        <v>1754</v>
      </c>
      <c r="Z16" s="48" t="s">
        <v>33</v>
      </c>
      <c r="AA16" s="67">
        <v>1611</v>
      </c>
      <c r="AB16" s="69">
        <f t="shared" si="8"/>
        <v>1611</v>
      </c>
      <c r="AC16" s="48" t="s">
        <v>33</v>
      </c>
      <c r="AD16" s="67">
        <v>1553</v>
      </c>
      <c r="AE16" s="69">
        <f t="shared" si="9"/>
        <v>1553</v>
      </c>
      <c r="AF16" s="48" t="s">
        <v>33</v>
      </c>
      <c r="AG16" s="67">
        <v>1559</v>
      </c>
      <c r="AH16" s="69">
        <f t="shared" si="10"/>
        <v>1559</v>
      </c>
      <c r="AI16" s="48" t="s">
        <v>33</v>
      </c>
      <c r="AJ16" s="67">
        <v>1568</v>
      </c>
      <c r="AK16" s="69">
        <f t="shared" si="11"/>
        <v>1568</v>
      </c>
      <c r="AL16" s="67">
        <v>1455</v>
      </c>
      <c r="AM16" s="67">
        <v>1494</v>
      </c>
      <c r="AN16" s="67">
        <v>1569</v>
      </c>
      <c r="AO16" s="67">
        <v>1766</v>
      </c>
      <c r="AP16" s="67">
        <v>1786</v>
      </c>
      <c r="AQ16" s="67">
        <v>1870</v>
      </c>
      <c r="AR16" s="67">
        <v>1821</v>
      </c>
      <c r="AS16" s="67">
        <v>1911.4758876523581</v>
      </c>
      <c r="AT16" s="67">
        <v>1759.3248542660308</v>
      </c>
      <c r="AU16" s="70"/>
      <c r="AV16" s="70"/>
      <c r="AW16" s="70"/>
      <c r="AX16" s="70"/>
      <c r="AY16" s="70"/>
      <c r="AZ16" s="70"/>
      <c r="BA16" s="70"/>
      <c r="BB16" s="70">
        <v>226</v>
      </c>
      <c r="BC16" s="70">
        <v>167</v>
      </c>
      <c r="BD16" s="70">
        <v>130</v>
      </c>
      <c r="BE16" s="70">
        <v>165</v>
      </c>
    </row>
    <row r="17" spans="1:57" x14ac:dyDescent="0.2">
      <c r="A17" s="37" t="s">
        <v>45</v>
      </c>
      <c r="B17" s="48"/>
      <c r="C17" s="67"/>
      <c r="D17" s="69"/>
      <c r="E17" s="48"/>
      <c r="F17" s="67"/>
      <c r="G17" s="69"/>
      <c r="H17" s="48"/>
      <c r="I17" s="67"/>
      <c r="J17" s="69"/>
      <c r="K17" s="48"/>
      <c r="L17" s="67"/>
      <c r="M17" s="69"/>
      <c r="N17" s="48"/>
      <c r="O17" s="67"/>
      <c r="P17" s="69"/>
      <c r="Q17" s="48"/>
      <c r="R17" s="67"/>
      <c r="S17" s="69"/>
      <c r="T17" s="48"/>
      <c r="U17" s="67"/>
      <c r="V17" s="69"/>
      <c r="W17" s="48"/>
      <c r="X17" s="67"/>
      <c r="Y17" s="69"/>
      <c r="Z17" s="48"/>
      <c r="AA17" s="67"/>
      <c r="AB17" s="69"/>
      <c r="AC17" s="48"/>
      <c r="AD17" s="67"/>
      <c r="AE17" s="69"/>
      <c r="AF17" s="48"/>
      <c r="AG17" s="67"/>
      <c r="AH17" s="69"/>
      <c r="AI17" s="48"/>
      <c r="AJ17" s="67"/>
      <c r="AK17" s="69"/>
      <c r="AL17" s="67"/>
      <c r="AM17" s="67"/>
      <c r="AN17" s="67"/>
      <c r="AO17" s="67"/>
      <c r="AP17" s="67"/>
      <c r="AQ17" s="67"/>
      <c r="AR17" s="67"/>
      <c r="AS17" s="67"/>
      <c r="AT17" s="67"/>
      <c r="AU17" s="70">
        <v>1840</v>
      </c>
      <c r="AV17" s="70">
        <v>1942</v>
      </c>
      <c r="AW17" s="70">
        <v>2067</v>
      </c>
      <c r="AX17" s="70">
        <v>2215</v>
      </c>
      <c r="AY17" s="70">
        <v>2650</v>
      </c>
      <c r="AZ17" s="70">
        <v>2676</v>
      </c>
      <c r="BA17" s="70">
        <v>2603</v>
      </c>
      <c r="BB17" s="70">
        <v>2700</v>
      </c>
      <c r="BC17" s="70">
        <v>2924</v>
      </c>
      <c r="BD17" s="70">
        <v>2679</v>
      </c>
      <c r="BE17" s="70">
        <v>2796</v>
      </c>
    </row>
    <row r="18" spans="1:57" x14ac:dyDescent="0.2">
      <c r="A18" s="45" t="s">
        <v>46</v>
      </c>
      <c r="B18" s="48" t="s">
        <v>33</v>
      </c>
      <c r="C18" s="67">
        <v>39</v>
      </c>
      <c r="D18" s="69">
        <f t="shared" si="0"/>
        <v>39</v>
      </c>
      <c r="E18" s="48" t="s">
        <v>33</v>
      </c>
      <c r="F18" s="67">
        <v>53.5</v>
      </c>
      <c r="G18" s="69">
        <f t="shared" si="1"/>
        <v>53.5</v>
      </c>
      <c r="H18" s="48" t="s">
        <v>33</v>
      </c>
      <c r="I18" s="67">
        <v>58.5</v>
      </c>
      <c r="J18" s="69">
        <f t="shared" si="2"/>
        <v>58.5</v>
      </c>
      <c r="K18" s="48" t="s">
        <v>33</v>
      </c>
      <c r="L18" s="67">
        <v>63.75</v>
      </c>
      <c r="M18" s="69">
        <f t="shared" si="3"/>
        <v>63.75</v>
      </c>
      <c r="N18" s="48" t="s">
        <v>33</v>
      </c>
      <c r="O18" s="67">
        <v>70.25</v>
      </c>
      <c r="P18" s="69">
        <f t="shared" si="4"/>
        <v>70.25</v>
      </c>
      <c r="Q18" s="48" t="s">
        <v>33</v>
      </c>
      <c r="R18" s="67">
        <v>80.25</v>
      </c>
      <c r="S18" s="69">
        <f t="shared" si="5"/>
        <v>80.25</v>
      </c>
      <c r="T18" s="48" t="s">
        <v>33</v>
      </c>
      <c r="U18" s="67">
        <v>83.75</v>
      </c>
      <c r="V18" s="69">
        <f t="shared" si="6"/>
        <v>83.75</v>
      </c>
      <c r="W18" s="48" t="s">
        <v>33</v>
      </c>
      <c r="X18" s="67">
        <v>84.75</v>
      </c>
      <c r="Y18" s="69">
        <f t="shared" si="7"/>
        <v>84.75</v>
      </c>
      <c r="Z18" s="48" t="s">
        <v>33</v>
      </c>
      <c r="AA18" s="67">
        <v>88</v>
      </c>
      <c r="AB18" s="69">
        <f t="shared" si="8"/>
        <v>88</v>
      </c>
      <c r="AC18" s="48" t="s">
        <v>33</v>
      </c>
      <c r="AD18" s="67">
        <v>89</v>
      </c>
      <c r="AE18" s="69">
        <f t="shared" si="9"/>
        <v>89</v>
      </c>
      <c r="AF18" s="48" t="s">
        <v>33</v>
      </c>
      <c r="AG18" s="67">
        <v>90</v>
      </c>
      <c r="AH18" s="69">
        <f t="shared" si="10"/>
        <v>90</v>
      </c>
      <c r="AI18" s="48" t="s">
        <v>33</v>
      </c>
      <c r="AJ18" s="67">
        <v>93</v>
      </c>
      <c r="AK18" s="69">
        <f t="shared" si="11"/>
        <v>93</v>
      </c>
      <c r="AL18" s="67">
        <v>89</v>
      </c>
      <c r="AM18" s="67">
        <v>97</v>
      </c>
      <c r="AN18" s="67">
        <v>99</v>
      </c>
      <c r="AO18" s="67">
        <v>98</v>
      </c>
      <c r="AP18" s="67">
        <v>106</v>
      </c>
      <c r="AQ18" s="67">
        <v>108</v>
      </c>
      <c r="AR18" s="67">
        <v>110.16006889242183</v>
      </c>
      <c r="AS18" s="67">
        <v>111.13982511923687</v>
      </c>
      <c r="AT18" s="67">
        <v>109.01653418124006</v>
      </c>
      <c r="AU18" s="67">
        <v>141</v>
      </c>
      <c r="AV18" s="67">
        <v>151</v>
      </c>
      <c r="AW18" s="67">
        <v>151</v>
      </c>
      <c r="AX18" s="67">
        <v>158</v>
      </c>
      <c r="AY18" s="67">
        <v>164</v>
      </c>
      <c r="AZ18" s="70">
        <v>153</v>
      </c>
      <c r="BA18" s="70">
        <v>156</v>
      </c>
      <c r="BB18" s="70">
        <v>154</v>
      </c>
      <c r="BC18" s="70">
        <v>151</v>
      </c>
      <c r="BD18" s="70">
        <v>157</v>
      </c>
      <c r="BE18" s="71">
        <v>169</v>
      </c>
    </row>
    <row r="19" spans="1:57" x14ac:dyDescent="0.2">
      <c r="A19" s="45" t="s">
        <v>47</v>
      </c>
      <c r="B19" s="48" t="s">
        <v>33</v>
      </c>
      <c r="C19" s="67">
        <v>7221.75</v>
      </c>
      <c r="D19" s="69">
        <f t="shared" si="0"/>
        <v>7221.75</v>
      </c>
      <c r="E19" s="67" t="s">
        <v>33</v>
      </c>
      <c r="F19" s="67">
        <v>9698</v>
      </c>
      <c r="G19" s="69">
        <f t="shared" si="1"/>
        <v>9698</v>
      </c>
      <c r="H19" s="67" t="s">
        <v>33</v>
      </c>
      <c r="I19" s="67">
        <v>11818</v>
      </c>
      <c r="J19" s="69">
        <f t="shared" si="2"/>
        <v>11818</v>
      </c>
      <c r="K19" s="67" t="s">
        <v>33</v>
      </c>
      <c r="L19" s="67">
        <v>13492.75</v>
      </c>
      <c r="M19" s="69">
        <f t="shared" si="3"/>
        <v>13492.75</v>
      </c>
      <c r="N19" s="67" t="s">
        <v>33</v>
      </c>
      <c r="O19" s="67">
        <v>12322.5</v>
      </c>
      <c r="P19" s="69">
        <f t="shared" si="4"/>
        <v>12322.5</v>
      </c>
      <c r="Q19" s="67" t="s">
        <v>33</v>
      </c>
      <c r="R19" s="67">
        <v>10122.25</v>
      </c>
      <c r="S19" s="69">
        <f t="shared" si="5"/>
        <v>10122.25</v>
      </c>
      <c r="T19" s="67" t="s">
        <v>33</v>
      </c>
      <c r="U19" s="67">
        <v>8710.5</v>
      </c>
      <c r="V19" s="69">
        <f t="shared" si="6"/>
        <v>8710.5</v>
      </c>
      <c r="W19" s="67" t="s">
        <v>33</v>
      </c>
      <c r="X19" s="67">
        <v>8078</v>
      </c>
      <c r="Y19" s="69">
        <f t="shared" si="7"/>
        <v>8078</v>
      </c>
      <c r="Z19" s="67" t="s">
        <v>33</v>
      </c>
      <c r="AA19" s="67">
        <v>7774.25</v>
      </c>
      <c r="AB19" s="69">
        <f t="shared" si="8"/>
        <v>7774.25</v>
      </c>
      <c r="AC19" s="67" t="s">
        <v>33</v>
      </c>
      <c r="AD19" s="67">
        <v>7712</v>
      </c>
      <c r="AE19" s="69">
        <f t="shared" si="9"/>
        <v>7712</v>
      </c>
      <c r="AF19" s="67" t="s">
        <v>33</v>
      </c>
      <c r="AG19" s="67">
        <v>9032</v>
      </c>
      <c r="AH19" s="69">
        <f t="shared" si="10"/>
        <v>9032</v>
      </c>
      <c r="AI19" s="67" t="s">
        <v>33</v>
      </c>
      <c r="AJ19" s="67">
        <v>8448</v>
      </c>
      <c r="AK19" s="69">
        <f t="shared" si="11"/>
        <v>8448</v>
      </c>
      <c r="AL19" s="67">
        <v>9694.33465085639</v>
      </c>
      <c r="AM19" s="67">
        <v>8943.2556449048225</v>
      </c>
      <c r="AN19" s="67" t="s">
        <v>33</v>
      </c>
      <c r="AO19" s="67" t="s">
        <v>33</v>
      </c>
      <c r="AP19" s="67" t="s">
        <v>33</v>
      </c>
      <c r="AQ19" s="67" t="s">
        <v>33</v>
      </c>
      <c r="AR19" s="67" t="s">
        <v>33</v>
      </c>
      <c r="AS19" s="67" t="s">
        <v>33</v>
      </c>
      <c r="AT19" s="67" t="s">
        <v>33</v>
      </c>
      <c r="AU19" s="67" t="s">
        <v>33</v>
      </c>
      <c r="AV19" s="67" t="s">
        <v>33</v>
      </c>
      <c r="AW19" s="67" t="s">
        <v>33</v>
      </c>
      <c r="AX19" s="67" t="s">
        <v>33</v>
      </c>
      <c r="AY19" s="67" t="s">
        <v>33</v>
      </c>
      <c r="AZ19" s="67" t="s">
        <v>33</v>
      </c>
      <c r="BA19" s="67" t="s">
        <v>33</v>
      </c>
      <c r="BB19" s="67" t="s">
        <v>33</v>
      </c>
      <c r="BC19" s="67" t="s">
        <v>33</v>
      </c>
      <c r="BD19" s="67" t="s">
        <v>33</v>
      </c>
      <c r="BE19" s="67" t="s">
        <v>33</v>
      </c>
    </row>
    <row r="20" spans="1:57" x14ac:dyDescent="0.2">
      <c r="A20" s="45" t="s">
        <v>36</v>
      </c>
      <c r="B20" s="72">
        <v>3028</v>
      </c>
      <c r="C20" s="67">
        <v>23591.25</v>
      </c>
      <c r="D20" s="67">
        <f t="shared" si="0"/>
        <v>26619.25</v>
      </c>
      <c r="E20" s="67">
        <v>3685</v>
      </c>
      <c r="F20" s="67">
        <v>31093.5</v>
      </c>
      <c r="G20" s="67">
        <f t="shared" si="1"/>
        <v>34778.5</v>
      </c>
      <c r="H20" s="67">
        <v>2363</v>
      </c>
      <c r="I20" s="67">
        <v>38995</v>
      </c>
      <c r="J20" s="67">
        <f t="shared" si="2"/>
        <v>41358</v>
      </c>
      <c r="K20" s="67">
        <v>3974</v>
      </c>
      <c r="L20" s="67">
        <v>53681.75</v>
      </c>
      <c r="M20" s="67">
        <f t="shared" si="3"/>
        <v>57655.75</v>
      </c>
      <c r="N20" s="67">
        <v>5008</v>
      </c>
      <c r="O20" s="67">
        <v>68682.5</v>
      </c>
      <c r="P20" s="67">
        <f t="shared" si="4"/>
        <v>73690.5</v>
      </c>
      <c r="Q20" s="67">
        <v>5522</v>
      </c>
      <c r="R20" s="67">
        <v>71880.75</v>
      </c>
      <c r="S20" s="67">
        <f t="shared" si="5"/>
        <v>77402.75</v>
      </c>
      <c r="T20" s="67">
        <v>5282</v>
      </c>
      <c r="U20" s="67">
        <v>70979.5</v>
      </c>
      <c r="V20" s="67">
        <f t="shared" si="6"/>
        <v>76261.5</v>
      </c>
      <c r="W20" s="67">
        <v>6363</v>
      </c>
      <c r="X20" s="67">
        <v>65714.25</v>
      </c>
      <c r="Y20" s="67">
        <f t="shared" si="7"/>
        <v>72077.25</v>
      </c>
      <c r="Z20" s="67">
        <v>8792</v>
      </c>
      <c r="AA20" s="67">
        <v>71836.75</v>
      </c>
      <c r="AB20" s="67">
        <f t="shared" si="8"/>
        <v>80628.75</v>
      </c>
      <c r="AC20" s="73">
        <v>8731</v>
      </c>
      <c r="AD20" s="67">
        <v>74435</v>
      </c>
      <c r="AE20" s="71">
        <f t="shared" si="9"/>
        <v>83166</v>
      </c>
      <c r="AF20" s="74">
        <v>12052.477287798996</v>
      </c>
      <c r="AG20" s="67">
        <v>91430</v>
      </c>
      <c r="AH20" s="74">
        <f t="shared" si="10"/>
        <v>103482.477287799</v>
      </c>
      <c r="AI20" s="74">
        <v>16684.881743293528</v>
      </c>
      <c r="AJ20" s="67">
        <v>107630</v>
      </c>
      <c r="AK20" s="74">
        <f t="shared" si="11"/>
        <v>124314.88174329353</v>
      </c>
      <c r="AL20" s="67">
        <v>158216.37426900584</v>
      </c>
      <c r="AM20" s="67">
        <v>168585.22594015169</v>
      </c>
      <c r="AN20" s="67" t="s">
        <v>33</v>
      </c>
      <c r="AO20" s="67" t="s">
        <v>33</v>
      </c>
      <c r="AP20" s="67" t="s">
        <v>33</v>
      </c>
      <c r="AQ20" s="67" t="s">
        <v>33</v>
      </c>
      <c r="AR20" s="67" t="s">
        <v>33</v>
      </c>
      <c r="AS20" s="67" t="s">
        <v>33</v>
      </c>
      <c r="AT20" s="67" t="s">
        <v>33</v>
      </c>
      <c r="AU20" s="67" t="s">
        <v>33</v>
      </c>
      <c r="AV20" s="67" t="s">
        <v>33</v>
      </c>
      <c r="AW20" s="67" t="s">
        <v>33</v>
      </c>
      <c r="AX20" s="67" t="s">
        <v>33</v>
      </c>
      <c r="AY20" s="67" t="s">
        <v>33</v>
      </c>
      <c r="AZ20" s="67" t="s">
        <v>33</v>
      </c>
      <c r="BA20" s="67" t="s">
        <v>33</v>
      </c>
      <c r="BB20" s="67" t="s">
        <v>33</v>
      </c>
      <c r="BC20" s="67" t="s">
        <v>33</v>
      </c>
      <c r="BD20" s="67" t="s">
        <v>33</v>
      </c>
      <c r="BE20" s="67" t="s">
        <v>33</v>
      </c>
    </row>
    <row r="21" spans="1:57" ht="13.5" thickBot="1" x14ac:dyDescent="0.25">
      <c r="A21" s="45" t="s">
        <v>48</v>
      </c>
      <c r="B21" s="72">
        <v>9615</v>
      </c>
      <c r="C21" s="67">
        <v>140387.25</v>
      </c>
      <c r="D21" s="67">
        <f t="shared" si="0"/>
        <v>150002.25</v>
      </c>
      <c r="E21" s="67">
        <v>8855</v>
      </c>
      <c r="F21" s="67">
        <v>216634</v>
      </c>
      <c r="G21" s="67">
        <f t="shared" si="1"/>
        <v>225489</v>
      </c>
      <c r="H21" s="67">
        <v>8033</v>
      </c>
      <c r="I21" s="67">
        <v>252539.75</v>
      </c>
      <c r="J21" s="67">
        <f t="shared" si="2"/>
        <v>260572.75</v>
      </c>
      <c r="K21" s="67">
        <v>7596</v>
      </c>
      <c r="L21" s="67">
        <v>280082.75</v>
      </c>
      <c r="M21" s="67">
        <f t="shared" si="3"/>
        <v>287678.75</v>
      </c>
      <c r="N21" s="67">
        <v>7336</v>
      </c>
      <c r="O21" s="67">
        <v>306030.75</v>
      </c>
      <c r="P21" s="67">
        <f t="shared" si="4"/>
        <v>313366.75</v>
      </c>
      <c r="Q21" s="67">
        <v>8868</v>
      </c>
      <c r="R21" s="67">
        <v>335530.75</v>
      </c>
      <c r="S21" s="67">
        <f t="shared" si="5"/>
        <v>344398.75</v>
      </c>
      <c r="T21" s="67">
        <v>9869</v>
      </c>
      <c r="U21" s="67">
        <v>351119.25</v>
      </c>
      <c r="V21" s="67">
        <f t="shared" si="6"/>
        <v>360988.25</v>
      </c>
      <c r="W21" s="67">
        <v>13721</v>
      </c>
      <c r="X21" s="67">
        <v>388055.25</v>
      </c>
      <c r="Y21" s="67">
        <f t="shared" si="7"/>
        <v>401776.25</v>
      </c>
      <c r="Z21" s="67">
        <v>16186</v>
      </c>
      <c r="AA21" s="67">
        <v>436502</v>
      </c>
      <c r="AB21" s="67">
        <f t="shared" si="8"/>
        <v>452688</v>
      </c>
      <c r="AC21" s="75">
        <v>13894</v>
      </c>
      <c r="AD21" s="67">
        <v>448841</v>
      </c>
      <c r="AE21" s="71">
        <f t="shared" si="9"/>
        <v>462735</v>
      </c>
      <c r="AF21" s="67">
        <v>15150</v>
      </c>
      <c r="AG21" s="67">
        <v>531056</v>
      </c>
      <c r="AH21" s="67">
        <f t="shared" si="10"/>
        <v>546206</v>
      </c>
      <c r="AI21" s="74">
        <v>14602.632019975295</v>
      </c>
      <c r="AJ21" s="67">
        <v>511869</v>
      </c>
      <c r="AK21" s="74">
        <f t="shared" si="11"/>
        <v>526471.63201997534</v>
      </c>
      <c r="AL21" s="67">
        <v>915595.95959595963</v>
      </c>
      <c r="AM21" s="67">
        <v>956747.47474747477</v>
      </c>
      <c r="AN21" s="67" t="s">
        <v>33</v>
      </c>
      <c r="AO21" s="67" t="s">
        <v>33</v>
      </c>
      <c r="AP21" s="67" t="s">
        <v>33</v>
      </c>
      <c r="AQ21" s="67" t="s">
        <v>33</v>
      </c>
      <c r="AR21" s="67" t="s">
        <v>33</v>
      </c>
      <c r="AS21" s="67" t="s">
        <v>33</v>
      </c>
      <c r="AT21" s="67" t="s">
        <v>33</v>
      </c>
      <c r="AU21" s="67" t="s">
        <v>33</v>
      </c>
      <c r="AV21" s="67" t="s">
        <v>33</v>
      </c>
      <c r="AW21" s="67" t="s">
        <v>33</v>
      </c>
      <c r="AX21" s="67" t="s">
        <v>33</v>
      </c>
      <c r="AY21" s="71" t="s">
        <v>33</v>
      </c>
      <c r="AZ21" s="67" t="s">
        <v>33</v>
      </c>
      <c r="BA21" s="67" t="s">
        <v>33</v>
      </c>
      <c r="BB21" s="67" t="s">
        <v>33</v>
      </c>
      <c r="BC21" s="67" t="s">
        <v>33</v>
      </c>
      <c r="BD21" s="67" t="s">
        <v>33</v>
      </c>
      <c r="BE21" s="67" t="s">
        <v>33</v>
      </c>
    </row>
    <row r="22" spans="1:57" ht="13.5" thickBot="1" x14ac:dyDescent="0.25">
      <c r="A22" s="28" t="s">
        <v>49</v>
      </c>
      <c r="B22" s="65" t="s">
        <v>37</v>
      </c>
      <c r="C22" s="76">
        <v>1692</v>
      </c>
      <c r="D22" s="77">
        <f t="shared" si="0"/>
        <v>1692</v>
      </c>
      <c r="E22" s="76" t="s">
        <v>37</v>
      </c>
      <c r="F22" s="76">
        <v>2256</v>
      </c>
      <c r="G22" s="77">
        <f t="shared" si="1"/>
        <v>2256</v>
      </c>
      <c r="H22" s="76">
        <v>672</v>
      </c>
      <c r="I22" s="76">
        <v>2268</v>
      </c>
      <c r="J22" s="76">
        <f t="shared" si="2"/>
        <v>2940</v>
      </c>
      <c r="K22" s="76">
        <v>701</v>
      </c>
      <c r="L22" s="76">
        <v>2302.75</v>
      </c>
      <c r="M22" s="76">
        <f t="shared" si="3"/>
        <v>3003.75</v>
      </c>
      <c r="N22" s="76">
        <v>745</v>
      </c>
      <c r="O22" s="76">
        <v>2376</v>
      </c>
      <c r="P22" s="76">
        <f t="shared" si="4"/>
        <v>3121</v>
      </c>
      <c r="Q22" s="76">
        <v>767</v>
      </c>
      <c r="R22" s="76">
        <v>2430</v>
      </c>
      <c r="S22" s="76">
        <f t="shared" si="5"/>
        <v>3197</v>
      </c>
      <c r="T22" s="76">
        <v>780</v>
      </c>
      <c r="U22" s="76">
        <v>2455.25</v>
      </c>
      <c r="V22" s="76">
        <f t="shared" si="6"/>
        <v>3235.25</v>
      </c>
      <c r="W22" s="76">
        <v>786</v>
      </c>
      <c r="X22" s="76">
        <v>2484.75</v>
      </c>
      <c r="Y22" s="76">
        <f t="shared" si="7"/>
        <v>3270.75</v>
      </c>
      <c r="Z22" s="76">
        <v>796</v>
      </c>
      <c r="AA22" s="76">
        <v>2545.5</v>
      </c>
      <c r="AB22" s="76">
        <f t="shared" si="8"/>
        <v>3341.5</v>
      </c>
      <c r="AC22" s="78">
        <v>749.88956142828079</v>
      </c>
      <c r="AD22" s="76">
        <v>2591.5</v>
      </c>
      <c r="AE22" s="78">
        <f t="shared" si="9"/>
        <v>3341.389561428281</v>
      </c>
      <c r="AF22" s="76">
        <v>741</v>
      </c>
      <c r="AG22" s="76">
        <v>2601</v>
      </c>
      <c r="AH22" s="76">
        <f t="shared" si="10"/>
        <v>3342</v>
      </c>
      <c r="AI22" s="76">
        <v>759</v>
      </c>
      <c r="AJ22" s="76">
        <v>2613</v>
      </c>
      <c r="AK22" s="76">
        <f t="shared" si="11"/>
        <v>3372</v>
      </c>
      <c r="AL22" s="76">
        <v>3072</v>
      </c>
      <c r="AM22" s="76">
        <v>2958</v>
      </c>
      <c r="AN22" s="76">
        <v>2199</v>
      </c>
      <c r="AO22" s="79">
        <v>2441</v>
      </c>
      <c r="AP22" s="79">
        <v>2374</v>
      </c>
      <c r="AQ22" s="79">
        <v>2215</v>
      </c>
      <c r="AR22" s="76">
        <v>2189</v>
      </c>
      <c r="AS22" s="76">
        <v>2095</v>
      </c>
      <c r="AT22" s="76">
        <v>2094</v>
      </c>
      <c r="AU22" s="76">
        <v>2099</v>
      </c>
      <c r="AV22" s="80">
        <v>2147</v>
      </c>
      <c r="AW22" s="80">
        <v>2201</v>
      </c>
      <c r="AX22" s="80">
        <v>2183</v>
      </c>
      <c r="AY22" s="80">
        <v>2211</v>
      </c>
      <c r="AZ22" s="80">
        <v>2219</v>
      </c>
      <c r="BA22" s="80">
        <v>2184</v>
      </c>
      <c r="BB22" s="80">
        <v>2182</v>
      </c>
      <c r="BC22" s="80">
        <v>2221</v>
      </c>
      <c r="BD22" s="80">
        <v>2254</v>
      </c>
      <c r="BE22" s="81">
        <v>2272</v>
      </c>
    </row>
    <row r="23" spans="1:57" x14ac:dyDescent="0.2">
      <c r="A23" s="45" t="s">
        <v>50</v>
      </c>
      <c r="B23" s="38" t="s">
        <v>37</v>
      </c>
      <c r="C23" s="82" t="s">
        <v>51</v>
      </c>
      <c r="D23" s="83">
        <f t="shared" si="0"/>
        <v>0</v>
      </c>
      <c r="E23" s="67" t="s">
        <v>37</v>
      </c>
      <c r="F23" s="67">
        <v>428.25</v>
      </c>
      <c r="G23" s="83">
        <f t="shared" si="1"/>
        <v>428.25</v>
      </c>
      <c r="H23" s="67" t="s">
        <v>37</v>
      </c>
      <c r="I23" s="67">
        <v>590.5</v>
      </c>
      <c r="J23" s="83">
        <f>SUM(H23:I23)</f>
        <v>590.5</v>
      </c>
      <c r="K23" s="67">
        <v>266</v>
      </c>
      <c r="L23" s="67">
        <v>608.25</v>
      </c>
      <c r="M23" s="67">
        <f t="shared" si="3"/>
        <v>874.25</v>
      </c>
      <c r="N23" s="67">
        <v>298</v>
      </c>
      <c r="O23" s="67">
        <v>645</v>
      </c>
      <c r="P23" s="67">
        <f t="shared" si="4"/>
        <v>943</v>
      </c>
      <c r="Q23" s="67">
        <v>333</v>
      </c>
      <c r="R23" s="67">
        <v>672.5</v>
      </c>
      <c r="S23" s="67">
        <f t="shared" si="5"/>
        <v>1005.5</v>
      </c>
      <c r="T23" s="67">
        <v>338</v>
      </c>
      <c r="U23" s="67">
        <v>693.75</v>
      </c>
      <c r="V23" s="67">
        <f t="shared" si="6"/>
        <v>1031.75</v>
      </c>
      <c r="W23" s="67">
        <v>338</v>
      </c>
      <c r="X23" s="67">
        <v>711.75</v>
      </c>
      <c r="Y23" s="67">
        <f t="shared" si="7"/>
        <v>1049.75</v>
      </c>
      <c r="Z23" s="67">
        <v>340</v>
      </c>
      <c r="AA23" s="67">
        <v>777.5</v>
      </c>
      <c r="AB23" s="67">
        <f t="shared" si="8"/>
        <v>1117.5</v>
      </c>
      <c r="AC23" s="67" t="s">
        <v>37</v>
      </c>
      <c r="AD23" s="67">
        <v>808.5</v>
      </c>
      <c r="AE23" s="83">
        <f t="shared" si="9"/>
        <v>808.5</v>
      </c>
      <c r="AF23" s="84">
        <v>228</v>
      </c>
      <c r="AG23" s="67">
        <v>812</v>
      </c>
      <c r="AH23" s="71">
        <f t="shared" si="10"/>
        <v>1040</v>
      </c>
      <c r="AI23" s="84">
        <v>241</v>
      </c>
      <c r="AJ23" s="67">
        <v>816</v>
      </c>
      <c r="AK23" s="71">
        <f t="shared" si="11"/>
        <v>1057</v>
      </c>
      <c r="AL23" s="67">
        <v>920</v>
      </c>
      <c r="AM23" s="67">
        <v>902</v>
      </c>
      <c r="AN23" s="67">
        <v>807</v>
      </c>
      <c r="AO23" s="67">
        <v>848</v>
      </c>
      <c r="AP23" s="67">
        <v>865</v>
      </c>
      <c r="AQ23" s="67" t="s">
        <v>33</v>
      </c>
      <c r="AR23" s="67" t="s">
        <v>33</v>
      </c>
      <c r="AS23" s="67" t="s">
        <v>33</v>
      </c>
      <c r="AT23" s="67" t="s">
        <v>33</v>
      </c>
      <c r="AU23" s="67" t="s">
        <v>33</v>
      </c>
      <c r="AV23" s="67" t="s">
        <v>33</v>
      </c>
      <c r="AW23" s="67" t="s">
        <v>33</v>
      </c>
      <c r="AX23" s="67" t="s">
        <v>33</v>
      </c>
      <c r="AY23" s="67" t="s">
        <v>33</v>
      </c>
      <c r="AZ23" s="71" t="s">
        <v>33</v>
      </c>
      <c r="BA23" s="71" t="s">
        <v>33</v>
      </c>
      <c r="BB23" s="71" t="s">
        <v>33</v>
      </c>
      <c r="BC23" s="71" t="s">
        <v>33</v>
      </c>
      <c r="BD23" s="71" t="s">
        <v>33</v>
      </c>
      <c r="BE23" s="71" t="s">
        <v>33</v>
      </c>
    </row>
    <row r="24" spans="1:57" x14ac:dyDescent="0.2">
      <c r="A24" s="45" t="s">
        <v>52</v>
      </c>
      <c r="B24" s="38" t="s">
        <v>37</v>
      </c>
      <c r="C24" s="82" t="s">
        <v>51</v>
      </c>
      <c r="D24" s="83">
        <f t="shared" si="0"/>
        <v>0</v>
      </c>
      <c r="E24" s="38" t="s">
        <v>37</v>
      </c>
      <c r="F24" s="82" t="s">
        <v>51</v>
      </c>
      <c r="G24" s="83">
        <f t="shared" si="1"/>
        <v>0</v>
      </c>
      <c r="H24" s="67" t="s">
        <v>37</v>
      </c>
      <c r="I24" s="82" t="s">
        <v>51</v>
      </c>
      <c r="J24" s="83">
        <f t="shared" si="2"/>
        <v>0</v>
      </c>
      <c r="K24" s="85">
        <v>12233396</v>
      </c>
      <c r="L24" s="82" t="s">
        <v>51</v>
      </c>
      <c r="M24" s="71">
        <f t="shared" si="3"/>
        <v>12233396</v>
      </c>
      <c r="N24" s="85">
        <v>14223912</v>
      </c>
      <c r="O24" s="82" t="s">
        <v>51</v>
      </c>
      <c r="P24" s="71">
        <f t="shared" si="4"/>
        <v>14223912</v>
      </c>
      <c r="Q24" s="85">
        <v>16595670</v>
      </c>
      <c r="R24" s="82" t="s">
        <v>51</v>
      </c>
      <c r="S24" s="71">
        <f t="shared" si="5"/>
        <v>16595670</v>
      </c>
      <c r="T24" s="85">
        <v>17471792</v>
      </c>
      <c r="U24" s="82" t="s">
        <v>51</v>
      </c>
      <c r="V24" s="71">
        <f t="shared" si="6"/>
        <v>17471792</v>
      </c>
      <c r="W24" s="85">
        <v>18175824</v>
      </c>
      <c r="X24" s="82" t="s">
        <v>51</v>
      </c>
      <c r="Y24" s="71">
        <f t="shared" si="7"/>
        <v>18175824</v>
      </c>
      <c r="Z24" s="85">
        <v>18675640</v>
      </c>
      <c r="AA24" s="82" t="s">
        <v>51</v>
      </c>
      <c r="AB24" s="71">
        <f t="shared" si="8"/>
        <v>18675640</v>
      </c>
      <c r="AC24" s="67" t="s">
        <v>37</v>
      </c>
      <c r="AD24" s="82" t="s">
        <v>51</v>
      </c>
      <c r="AE24" s="83">
        <f t="shared" si="9"/>
        <v>0</v>
      </c>
      <c r="AF24" s="73">
        <v>13925529</v>
      </c>
      <c r="AG24" s="82" t="s">
        <v>51</v>
      </c>
      <c r="AH24" s="71">
        <f t="shared" si="10"/>
        <v>13925529</v>
      </c>
      <c r="AI24" s="73">
        <v>14326645</v>
      </c>
      <c r="AJ24" s="82" t="s">
        <v>51</v>
      </c>
      <c r="AK24" s="71">
        <f t="shared" si="11"/>
        <v>14326645</v>
      </c>
      <c r="AL24" s="82" t="s">
        <v>51</v>
      </c>
      <c r="AM24" s="82" t="s">
        <v>51</v>
      </c>
      <c r="AN24" s="82" t="s">
        <v>51</v>
      </c>
      <c r="AO24" s="82" t="s">
        <v>51</v>
      </c>
      <c r="AP24" s="82" t="s">
        <v>51</v>
      </c>
      <c r="AQ24" s="82" t="s">
        <v>51</v>
      </c>
      <c r="AR24" s="82" t="s">
        <v>51</v>
      </c>
      <c r="AS24" s="82" t="s">
        <v>51</v>
      </c>
      <c r="AT24" s="82" t="s">
        <v>51</v>
      </c>
      <c r="AU24" s="82" t="s">
        <v>51</v>
      </c>
      <c r="AV24" s="82" t="s">
        <v>51</v>
      </c>
      <c r="AW24" s="82" t="s">
        <v>51</v>
      </c>
      <c r="AX24" s="82" t="s">
        <v>51</v>
      </c>
      <c r="AY24" s="82" t="s">
        <v>51</v>
      </c>
      <c r="AZ24" s="86" t="s">
        <v>51</v>
      </c>
      <c r="BA24" s="86" t="s">
        <v>51</v>
      </c>
      <c r="BB24" s="86" t="s">
        <v>51</v>
      </c>
      <c r="BC24" s="86" t="s">
        <v>51</v>
      </c>
      <c r="BD24" s="86" t="s">
        <v>51</v>
      </c>
      <c r="BE24" s="86" t="s">
        <v>51</v>
      </c>
    </row>
    <row r="25" spans="1:57" x14ac:dyDescent="0.2">
      <c r="A25" s="45" t="s">
        <v>53</v>
      </c>
      <c r="B25" s="38" t="s">
        <v>37</v>
      </c>
      <c r="C25" s="82" t="s">
        <v>51</v>
      </c>
      <c r="D25" s="83">
        <f t="shared" si="0"/>
        <v>0</v>
      </c>
      <c r="E25" s="67" t="s">
        <v>37</v>
      </c>
      <c r="F25" s="67">
        <v>577.5</v>
      </c>
      <c r="G25" s="83">
        <f t="shared" si="1"/>
        <v>577.5</v>
      </c>
      <c r="H25" s="38">
        <v>415</v>
      </c>
      <c r="I25" s="67">
        <v>764.75</v>
      </c>
      <c r="J25" s="71">
        <f>SUM(H25:I25)</f>
        <v>1179.75</v>
      </c>
      <c r="K25" s="67">
        <v>173</v>
      </c>
      <c r="L25" s="67">
        <v>772</v>
      </c>
      <c r="M25" s="67">
        <f t="shared" si="3"/>
        <v>945</v>
      </c>
      <c r="N25" s="67">
        <v>171</v>
      </c>
      <c r="O25" s="67">
        <v>793.75</v>
      </c>
      <c r="P25" s="71">
        <f t="shared" si="4"/>
        <v>964.75</v>
      </c>
      <c r="Q25" s="67">
        <v>152</v>
      </c>
      <c r="R25" s="67">
        <v>818</v>
      </c>
      <c r="S25" s="71">
        <f t="shared" si="5"/>
        <v>970</v>
      </c>
      <c r="T25" s="67">
        <v>158</v>
      </c>
      <c r="U25" s="67">
        <v>824</v>
      </c>
      <c r="V25" s="71">
        <f t="shared" si="6"/>
        <v>982</v>
      </c>
      <c r="W25" s="67">
        <v>165</v>
      </c>
      <c r="X25" s="67">
        <v>833</v>
      </c>
      <c r="Y25" s="71">
        <f t="shared" si="7"/>
        <v>998</v>
      </c>
      <c r="Z25" s="67">
        <v>144</v>
      </c>
      <c r="AA25" s="67">
        <v>828.5</v>
      </c>
      <c r="AB25" s="71">
        <f t="shared" si="8"/>
        <v>972.5</v>
      </c>
      <c r="AC25" s="67" t="s">
        <v>37</v>
      </c>
      <c r="AD25" s="67">
        <v>835</v>
      </c>
      <c r="AE25" s="83">
        <f t="shared" si="9"/>
        <v>835</v>
      </c>
      <c r="AF25" s="84">
        <v>189</v>
      </c>
      <c r="AG25" s="67">
        <v>838</v>
      </c>
      <c r="AH25" s="71">
        <f t="shared" si="10"/>
        <v>1027</v>
      </c>
      <c r="AI25" s="84">
        <v>189</v>
      </c>
      <c r="AJ25" s="67">
        <v>833</v>
      </c>
      <c r="AK25" s="71">
        <f t="shared" si="11"/>
        <v>1022</v>
      </c>
      <c r="AL25" s="67">
        <v>914</v>
      </c>
      <c r="AM25" s="67">
        <v>759</v>
      </c>
      <c r="AN25" s="67">
        <v>472</v>
      </c>
      <c r="AO25" s="67">
        <v>525</v>
      </c>
      <c r="AP25" s="67">
        <v>867</v>
      </c>
      <c r="AQ25" s="67" t="s">
        <v>33</v>
      </c>
      <c r="AR25" s="67" t="s">
        <v>33</v>
      </c>
      <c r="AS25" s="67" t="s">
        <v>33</v>
      </c>
      <c r="AT25" s="67" t="s">
        <v>33</v>
      </c>
      <c r="AU25" s="67" t="s">
        <v>33</v>
      </c>
      <c r="AV25" s="67" t="s">
        <v>33</v>
      </c>
      <c r="AW25" s="67" t="s">
        <v>33</v>
      </c>
      <c r="AX25" s="67" t="s">
        <v>33</v>
      </c>
      <c r="AY25" s="67" t="s">
        <v>33</v>
      </c>
      <c r="AZ25" s="71" t="s">
        <v>33</v>
      </c>
      <c r="BA25" s="71" t="s">
        <v>33</v>
      </c>
      <c r="BB25" s="71" t="s">
        <v>33</v>
      </c>
      <c r="BC25" s="71" t="s">
        <v>33</v>
      </c>
      <c r="BD25" s="71" t="s">
        <v>33</v>
      </c>
      <c r="BE25" s="71" t="s">
        <v>33</v>
      </c>
    </row>
    <row r="26" spans="1:57" x14ac:dyDescent="0.2">
      <c r="A26" s="45" t="s">
        <v>54</v>
      </c>
      <c r="B26" s="38" t="s">
        <v>37</v>
      </c>
      <c r="C26" s="82" t="s">
        <v>51</v>
      </c>
      <c r="D26" s="83">
        <f t="shared" si="0"/>
        <v>0</v>
      </c>
      <c r="E26" s="38" t="s">
        <v>37</v>
      </c>
      <c r="F26" s="82" t="s">
        <v>51</v>
      </c>
      <c r="G26" s="83">
        <f t="shared" si="1"/>
        <v>0</v>
      </c>
      <c r="H26" s="71" t="s">
        <v>37</v>
      </c>
      <c r="I26" s="82" t="s">
        <v>51</v>
      </c>
      <c r="J26" s="83">
        <f t="shared" si="2"/>
        <v>0</v>
      </c>
      <c r="K26" s="85">
        <v>4224141</v>
      </c>
      <c r="L26" s="82" t="s">
        <v>51</v>
      </c>
      <c r="M26" s="71">
        <f t="shared" si="3"/>
        <v>4224141</v>
      </c>
      <c r="N26" s="85">
        <v>4425822</v>
      </c>
      <c r="O26" s="82" t="s">
        <v>51</v>
      </c>
      <c r="P26" s="71">
        <f t="shared" si="4"/>
        <v>4425822</v>
      </c>
      <c r="Q26" s="85">
        <v>4084544</v>
      </c>
      <c r="R26" s="82" t="s">
        <v>51</v>
      </c>
      <c r="S26" s="71">
        <f t="shared" si="5"/>
        <v>4084544</v>
      </c>
      <c r="T26" s="85">
        <v>4606016</v>
      </c>
      <c r="U26" s="82" t="s">
        <v>51</v>
      </c>
      <c r="V26" s="71">
        <f t="shared" si="6"/>
        <v>4606016</v>
      </c>
      <c r="W26" s="85">
        <v>5124570</v>
      </c>
      <c r="X26" s="82" t="s">
        <v>51</v>
      </c>
      <c r="Y26" s="71">
        <f t="shared" si="7"/>
        <v>5124570</v>
      </c>
      <c r="Z26" s="85">
        <v>4665024</v>
      </c>
      <c r="AA26" s="82" t="s">
        <v>51</v>
      </c>
      <c r="AB26" s="71">
        <f t="shared" si="8"/>
        <v>4665024</v>
      </c>
      <c r="AC26" s="67" t="s">
        <v>37</v>
      </c>
      <c r="AD26" s="82" t="s">
        <v>51</v>
      </c>
      <c r="AE26" s="83">
        <f t="shared" si="9"/>
        <v>0</v>
      </c>
      <c r="AF26" s="73">
        <v>7247523</v>
      </c>
      <c r="AG26" s="82" t="s">
        <v>51</v>
      </c>
      <c r="AH26" s="71">
        <f t="shared" si="10"/>
        <v>7247523</v>
      </c>
      <c r="AI26" s="73">
        <v>6967905</v>
      </c>
      <c r="AJ26" s="82" t="s">
        <v>51</v>
      </c>
      <c r="AK26" s="71">
        <f t="shared" si="11"/>
        <v>6967905</v>
      </c>
      <c r="AL26" s="82" t="s">
        <v>51</v>
      </c>
      <c r="AM26" s="82" t="s">
        <v>51</v>
      </c>
      <c r="AN26" s="82" t="s">
        <v>51</v>
      </c>
      <c r="AO26" s="82" t="s">
        <v>51</v>
      </c>
      <c r="AP26" s="82" t="s">
        <v>51</v>
      </c>
      <c r="AQ26" s="82" t="s">
        <v>51</v>
      </c>
      <c r="AR26" s="82" t="s">
        <v>51</v>
      </c>
      <c r="AS26" s="82" t="s">
        <v>51</v>
      </c>
      <c r="AT26" s="82" t="s">
        <v>51</v>
      </c>
      <c r="AU26" s="82" t="s">
        <v>51</v>
      </c>
      <c r="AV26" s="82" t="s">
        <v>51</v>
      </c>
      <c r="AW26" s="82" t="s">
        <v>51</v>
      </c>
      <c r="AX26" s="82" t="s">
        <v>51</v>
      </c>
      <c r="AY26" s="82" t="s">
        <v>51</v>
      </c>
      <c r="AZ26" s="86" t="s">
        <v>51</v>
      </c>
      <c r="BA26" s="86" t="s">
        <v>51</v>
      </c>
      <c r="BB26" s="86" t="s">
        <v>51</v>
      </c>
      <c r="BC26" s="86" t="s">
        <v>51</v>
      </c>
      <c r="BD26" s="86" t="s">
        <v>51</v>
      </c>
      <c r="BE26" s="86" t="s">
        <v>51</v>
      </c>
    </row>
    <row r="27" spans="1:57" x14ac:dyDescent="0.2">
      <c r="A27" s="87" t="s">
        <v>55</v>
      </c>
      <c r="B27" s="38" t="s">
        <v>37</v>
      </c>
      <c r="C27" s="82" t="s">
        <v>51</v>
      </c>
      <c r="D27" s="83">
        <f t="shared" si="0"/>
        <v>0</v>
      </c>
      <c r="E27" s="67" t="s">
        <v>37</v>
      </c>
      <c r="F27" s="67">
        <v>686.25</v>
      </c>
      <c r="G27" s="83">
        <f t="shared" si="1"/>
        <v>686.25</v>
      </c>
      <c r="H27" s="71">
        <v>257</v>
      </c>
      <c r="I27" s="67">
        <v>912.75</v>
      </c>
      <c r="J27" s="71">
        <f t="shared" si="2"/>
        <v>1169.75</v>
      </c>
      <c r="K27" s="67">
        <v>262</v>
      </c>
      <c r="L27" s="67">
        <v>922.5</v>
      </c>
      <c r="M27" s="67">
        <f t="shared" si="3"/>
        <v>1184.5</v>
      </c>
      <c r="N27" s="67">
        <v>276</v>
      </c>
      <c r="O27" s="67">
        <v>937.25</v>
      </c>
      <c r="P27" s="71">
        <f t="shared" si="4"/>
        <v>1213.25</v>
      </c>
      <c r="Q27" s="67">
        <v>282</v>
      </c>
      <c r="R27" s="67">
        <v>939.5</v>
      </c>
      <c r="S27" s="71">
        <f t="shared" si="5"/>
        <v>1221.5</v>
      </c>
      <c r="T27" s="67">
        <v>284</v>
      </c>
      <c r="U27" s="67">
        <v>937.5</v>
      </c>
      <c r="V27" s="71">
        <f t="shared" si="6"/>
        <v>1221.5</v>
      </c>
      <c r="W27" s="67">
        <v>283</v>
      </c>
      <c r="X27" s="67">
        <v>940</v>
      </c>
      <c r="Y27" s="71">
        <f t="shared" si="7"/>
        <v>1223</v>
      </c>
      <c r="Z27" s="67">
        <v>312</v>
      </c>
      <c r="AA27" s="67">
        <v>939.5</v>
      </c>
      <c r="AB27" s="71">
        <f t="shared" si="8"/>
        <v>1251.5</v>
      </c>
      <c r="AC27" s="67" t="s">
        <v>37</v>
      </c>
      <c r="AD27" s="67">
        <v>948</v>
      </c>
      <c r="AE27" s="83">
        <f t="shared" si="9"/>
        <v>948</v>
      </c>
      <c r="AF27" s="84">
        <v>342</v>
      </c>
      <c r="AG27" s="67">
        <v>951</v>
      </c>
      <c r="AH27" s="71">
        <f t="shared" si="10"/>
        <v>1293</v>
      </c>
      <c r="AI27" s="84">
        <v>311</v>
      </c>
      <c r="AJ27" s="67">
        <v>964</v>
      </c>
      <c r="AK27" s="71">
        <f t="shared" si="11"/>
        <v>1275</v>
      </c>
      <c r="AL27" s="67">
        <v>1238</v>
      </c>
      <c r="AM27" s="67">
        <v>1297</v>
      </c>
      <c r="AN27" s="67">
        <v>920</v>
      </c>
      <c r="AO27" s="67">
        <v>902</v>
      </c>
      <c r="AP27" s="67">
        <v>514</v>
      </c>
      <c r="AQ27" s="67" t="s">
        <v>33</v>
      </c>
      <c r="AR27" s="67" t="s">
        <v>33</v>
      </c>
      <c r="AS27" s="67" t="s">
        <v>33</v>
      </c>
      <c r="AT27" s="67" t="s">
        <v>33</v>
      </c>
      <c r="AU27" s="67" t="s">
        <v>33</v>
      </c>
      <c r="AV27" s="67" t="s">
        <v>33</v>
      </c>
      <c r="AW27" s="67" t="s">
        <v>33</v>
      </c>
      <c r="AX27" s="67" t="s">
        <v>33</v>
      </c>
      <c r="AY27" s="67" t="s">
        <v>33</v>
      </c>
      <c r="AZ27" s="71" t="s">
        <v>33</v>
      </c>
      <c r="BA27" s="71" t="s">
        <v>33</v>
      </c>
      <c r="BB27" s="71" t="s">
        <v>33</v>
      </c>
      <c r="BC27" s="71" t="s">
        <v>33</v>
      </c>
      <c r="BD27" s="71" t="s">
        <v>33</v>
      </c>
      <c r="BE27" s="71" t="s">
        <v>33</v>
      </c>
    </row>
    <row r="28" spans="1:57" x14ac:dyDescent="0.2">
      <c r="A28" s="87" t="s">
        <v>56</v>
      </c>
      <c r="B28" s="38" t="s">
        <v>37</v>
      </c>
      <c r="C28" s="82" t="s">
        <v>51</v>
      </c>
      <c r="D28" s="83">
        <f t="shared" si="0"/>
        <v>0</v>
      </c>
      <c r="E28" s="38" t="s">
        <v>37</v>
      </c>
      <c r="F28" s="82" t="s">
        <v>51</v>
      </c>
      <c r="G28" s="83">
        <f t="shared" si="1"/>
        <v>0</v>
      </c>
      <c r="H28" s="38" t="s">
        <v>37</v>
      </c>
      <c r="I28" s="82" t="s">
        <v>51</v>
      </c>
      <c r="J28" s="83">
        <f t="shared" si="2"/>
        <v>0</v>
      </c>
      <c r="K28" s="85">
        <v>6804463</v>
      </c>
      <c r="L28" s="82" t="s">
        <v>51</v>
      </c>
      <c r="M28" s="71">
        <f t="shared" si="3"/>
        <v>6804463</v>
      </c>
      <c r="N28" s="85">
        <v>6725666</v>
      </c>
      <c r="O28" s="82" t="s">
        <v>51</v>
      </c>
      <c r="P28" s="71">
        <f t="shared" si="4"/>
        <v>6725666</v>
      </c>
      <c r="Q28" s="85">
        <v>6843386</v>
      </c>
      <c r="R28" s="82" t="s">
        <v>51</v>
      </c>
      <c r="S28" s="71">
        <f t="shared" si="5"/>
        <v>6843386</v>
      </c>
      <c r="T28" s="85">
        <v>7915092</v>
      </c>
      <c r="U28" s="82" t="s">
        <v>51</v>
      </c>
      <c r="V28" s="71">
        <f t="shared" si="6"/>
        <v>7915092</v>
      </c>
      <c r="W28" s="85">
        <v>8918306</v>
      </c>
      <c r="X28" s="82" t="s">
        <v>51</v>
      </c>
      <c r="Y28" s="71">
        <f t="shared" si="7"/>
        <v>8918306</v>
      </c>
      <c r="Z28" s="85">
        <v>14805636</v>
      </c>
      <c r="AA28" s="82" t="s">
        <v>51</v>
      </c>
      <c r="AB28" s="71">
        <f t="shared" si="8"/>
        <v>14805636</v>
      </c>
      <c r="AC28" s="67" t="s">
        <v>37</v>
      </c>
      <c r="AD28" s="82" t="s">
        <v>51</v>
      </c>
      <c r="AE28" s="83">
        <f t="shared" si="9"/>
        <v>0</v>
      </c>
      <c r="AF28" s="73">
        <v>13882608</v>
      </c>
      <c r="AG28" s="82" t="s">
        <v>51</v>
      </c>
      <c r="AH28" s="71">
        <f t="shared" si="10"/>
        <v>13882608</v>
      </c>
      <c r="AI28" s="73">
        <v>12383894</v>
      </c>
      <c r="AJ28" s="82" t="s">
        <v>51</v>
      </c>
      <c r="AK28" s="71">
        <f t="shared" si="11"/>
        <v>12383894</v>
      </c>
      <c r="AL28" s="82" t="s">
        <v>51</v>
      </c>
      <c r="AM28" s="82" t="s">
        <v>51</v>
      </c>
      <c r="AN28" s="82" t="s">
        <v>51</v>
      </c>
      <c r="AO28" s="82" t="s">
        <v>51</v>
      </c>
      <c r="AP28" s="82" t="s">
        <v>51</v>
      </c>
      <c r="AQ28" s="82" t="s">
        <v>51</v>
      </c>
      <c r="AR28" s="82" t="s">
        <v>51</v>
      </c>
      <c r="AS28" s="82" t="s">
        <v>51</v>
      </c>
      <c r="AT28" s="82" t="s">
        <v>51</v>
      </c>
      <c r="AU28" s="82" t="s">
        <v>51</v>
      </c>
      <c r="AV28" s="82" t="s">
        <v>51</v>
      </c>
      <c r="AW28" s="82" t="s">
        <v>51</v>
      </c>
      <c r="AX28" s="82" t="s">
        <v>51</v>
      </c>
      <c r="AY28" s="82" t="s">
        <v>51</v>
      </c>
      <c r="AZ28" s="86" t="s">
        <v>51</v>
      </c>
      <c r="BA28" s="86" t="s">
        <v>51</v>
      </c>
      <c r="BB28" s="86" t="s">
        <v>51</v>
      </c>
      <c r="BC28" s="86" t="s">
        <v>51</v>
      </c>
      <c r="BD28" s="86" t="s">
        <v>51</v>
      </c>
      <c r="BE28" s="86" t="s">
        <v>51</v>
      </c>
    </row>
    <row r="29" spans="1:57" x14ac:dyDescent="0.2">
      <c r="A29" s="87" t="s">
        <v>57</v>
      </c>
      <c r="B29" s="38"/>
      <c r="C29" s="82"/>
      <c r="D29" s="83"/>
      <c r="E29" s="38"/>
      <c r="F29" s="82"/>
      <c r="G29" s="83"/>
      <c r="H29" s="38"/>
      <c r="I29" s="82"/>
      <c r="J29" s="83"/>
      <c r="K29" s="85"/>
      <c r="L29" s="82"/>
      <c r="M29" s="71"/>
      <c r="N29" s="85"/>
      <c r="O29" s="82"/>
      <c r="P29" s="71"/>
      <c r="Q29" s="85"/>
      <c r="R29" s="82"/>
      <c r="S29" s="71"/>
      <c r="T29" s="85"/>
      <c r="U29" s="82"/>
      <c r="V29" s="71"/>
      <c r="W29" s="85"/>
      <c r="X29" s="82"/>
      <c r="Y29" s="71"/>
      <c r="Z29" s="85"/>
      <c r="AA29" s="82"/>
      <c r="AB29" s="71"/>
      <c r="AC29" s="67"/>
      <c r="AD29" s="82"/>
      <c r="AE29" s="83"/>
      <c r="AF29" s="73"/>
      <c r="AG29" s="82"/>
      <c r="AH29" s="71"/>
      <c r="AI29" s="73"/>
      <c r="AJ29" s="82"/>
      <c r="AK29" s="71"/>
      <c r="AL29" s="82"/>
      <c r="AM29" s="82"/>
      <c r="AN29" s="67" t="s">
        <v>33</v>
      </c>
      <c r="AO29" s="88">
        <v>144817935.19</v>
      </c>
      <c r="AP29" s="88">
        <v>146153193.03999999</v>
      </c>
      <c r="AQ29" s="88">
        <v>151437728.49000001</v>
      </c>
      <c r="AR29" s="71">
        <v>149838460.18000001</v>
      </c>
      <c r="AS29" s="71">
        <v>141144120.96000001</v>
      </c>
      <c r="AT29" s="71">
        <v>147304961.44</v>
      </c>
      <c r="AU29" s="71">
        <v>151041845.83000001</v>
      </c>
      <c r="AV29" s="71">
        <v>164371179</v>
      </c>
      <c r="AW29" s="71">
        <v>172274463</v>
      </c>
      <c r="AX29" s="71">
        <v>175065693</v>
      </c>
      <c r="AY29" s="71">
        <v>183249056</v>
      </c>
      <c r="AZ29" s="71">
        <v>191836774.61000001</v>
      </c>
      <c r="BA29" s="71">
        <v>183418220.05000001</v>
      </c>
      <c r="BB29" s="71">
        <v>201762194</v>
      </c>
      <c r="BC29" s="71">
        <v>211064765</v>
      </c>
      <c r="BD29" s="71">
        <v>210164241</v>
      </c>
      <c r="BE29" s="71">
        <v>209762719</v>
      </c>
    </row>
    <row r="30" spans="1:57" x14ac:dyDescent="0.2">
      <c r="A30" s="87" t="s">
        <v>58</v>
      </c>
      <c r="B30" s="38" t="s">
        <v>37</v>
      </c>
      <c r="C30" s="82" t="s">
        <v>51</v>
      </c>
      <c r="D30" s="49">
        <f t="shared" si="0"/>
        <v>0</v>
      </c>
      <c r="E30" s="38" t="s">
        <v>37</v>
      </c>
      <c r="F30" s="39">
        <v>62040000</v>
      </c>
      <c r="G30" s="49">
        <f t="shared" si="1"/>
        <v>62040000</v>
      </c>
      <c r="H30" s="89">
        <v>20700292.225677896</v>
      </c>
      <c r="I30" s="39">
        <v>67586400.000000015</v>
      </c>
      <c r="J30" s="50">
        <f t="shared" si="2"/>
        <v>88286692.225677907</v>
      </c>
      <c r="K30" s="85">
        <v>23262000</v>
      </c>
      <c r="L30" s="39">
        <v>75530200</v>
      </c>
      <c r="M30" s="39">
        <f t="shared" si="3"/>
        <v>98792200</v>
      </c>
      <c r="N30" s="67">
        <f>N24+N26+N28</f>
        <v>25375400</v>
      </c>
      <c r="O30" s="39">
        <v>81496799.999999985</v>
      </c>
      <c r="P30" s="39">
        <f t="shared" si="4"/>
        <v>106872199.99999999</v>
      </c>
      <c r="Q30" s="67">
        <f>Q24+Q26+Q28</f>
        <v>27523600</v>
      </c>
      <c r="R30" s="39">
        <v>88938000</v>
      </c>
      <c r="S30" s="39">
        <f t="shared" si="5"/>
        <v>116461600</v>
      </c>
      <c r="T30" s="67">
        <f>T24+T26+T28</f>
        <v>29992900</v>
      </c>
      <c r="U30" s="39">
        <v>97227900.000000015</v>
      </c>
      <c r="V30" s="39">
        <f t="shared" si="6"/>
        <v>127220800.00000001</v>
      </c>
      <c r="W30" s="67">
        <f>W24+W26+W28</f>
        <v>32218700</v>
      </c>
      <c r="X30" s="39">
        <v>107092725</v>
      </c>
      <c r="Y30" s="39">
        <f t="shared" si="7"/>
        <v>139311425</v>
      </c>
      <c r="Z30" s="67">
        <f>Z24+Z26+Z28</f>
        <v>38146300</v>
      </c>
      <c r="AA30" s="39">
        <v>115820250</v>
      </c>
      <c r="AB30" s="39">
        <f t="shared" si="8"/>
        <v>153966550</v>
      </c>
      <c r="AC30" s="73">
        <v>35403128</v>
      </c>
      <c r="AD30" s="39">
        <v>119209000</v>
      </c>
      <c r="AE30" s="43">
        <f t="shared" si="9"/>
        <v>154612128</v>
      </c>
      <c r="AF30" s="73">
        <v>33678444</v>
      </c>
      <c r="AG30" s="39">
        <v>123027299.99999999</v>
      </c>
      <c r="AH30" s="43">
        <f t="shared" si="10"/>
        <v>156705744</v>
      </c>
      <c r="AI30" s="73">
        <v>35055659</v>
      </c>
      <c r="AJ30" s="39">
        <v>125946600</v>
      </c>
      <c r="AK30" s="43">
        <f t="shared" si="11"/>
        <v>161002259</v>
      </c>
      <c r="AL30" s="39">
        <v>155163000</v>
      </c>
      <c r="AM30" s="39">
        <v>153697680</v>
      </c>
      <c r="AN30" s="42">
        <v>131100000</v>
      </c>
      <c r="AO30" s="42">
        <v>116304800</v>
      </c>
      <c r="AP30" s="42">
        <v>118136600</v>
      </c>
      <c r="AQ30" s="42">
        <v>124852000</v>
      </c>
      <c r="AR30" s="42">
        <v>124479851.01000001</v>
      </c>
      <c r="AS30" s="42">
        <v>119901600.31</v>
      </c>
      <c r="AT30" s="42">
        <v>125270687.03999999</v>
      </c>
      <c r="AU30" s="42">
        <v>127568698</v>
      </c>
      <c r="AV30" s="42">
        <v>134012106</v>
      </c>
      <c r="AW30" s="42">
        <v>136519136</v>
      </c>
      <c r="AX30" s="42">
        <v>140506286</v>
      </c>
      <c r="AY30" s="42">
        <v>149887624</v>
      </c>
      <c r="AZ30" s="43">
        <v>155457795.16</v>
      </c>
      <c r="BA30" s="71">
        <v>147369897.43000001</v>
      </c>
      <c r="BB30" s="71">
        <f>170056498.58-7548288.17</f>
        <v>162508210.41000003</v>
      </c>
      <c r="BC30" s="71">
        <v>166198515</v>
      </c>
      <c r="BD30" s="71">
        <v>161060140</v>
      </c>
      <c r="BE30" s="71">
        <v>157566272</v>
      </c>
    </row>
    <row r="31" spans="1:57" x14ac:dyDescent="0.2">
      <c r="A31" s="90" t="s">
        <v>59</v>
      </c>
      <c r="B31" s="38"/>
      <c r="C31" s="82"/>
      <c r="D31" s="49"/>
      <c r="E31" s="38"/>
      <c r="F31" s="39"/>
      <c r="G31" s="49"/>
      <c r="H31" s="89"/>
      <c r="I31" s="39"/>
      <c r="J31" s="50"/>
      <c r="K31" s="85"/>
      <c r="L31" s="39"/>
      <c r="M31" s="39"/>
      <c r="N31" s="67"/>
      <c r="O31" s="39"/>
      <c r="P31" s="39"/>
      <c r="Q31" s="67"/>
      <c r="R31" s="39"/>
      <c r="S31" s="39"/>
      <c r="T31" s="67"/>
      <c r="U31" s="39"/>
      <c r="V31" s="39"/>
      <c r="W31" s="67"/>
      <c r="X31" s="39"/>
      <c r="Y31" s="39"/>
      <c r="Z31" s="67"/>
      <c r="AA31" s="39"/>
      <c r="AB31" s="39"/>
      <c r="AC31" s="73"/>
      <c r="AD31" s="39"/>
      <c r="AE31" s="43"/>
      <c r="AF31" s="73"/>
      <c r="AG31" s="39"/>
      <c r="AH31" s="43"/>
      <c r="AI31" s="73"/>
      <c r="AJ31" s="39"/>
      <c r="AK31" s="43"/>
      <c r="AL31" s="39"/>
      <c r="AM31" s="39"/>
      <c r="AN31" s="67" t="s">
        <v>33</v>
      </c>
      <c r="AO31" s="42">
        <v>26850808.307581194</v>
      </c>
      <c r="AP31" s="42">
        <v>26956582.25471</v>
      </c>
      <c r="AQ31" s="42">
        <v>25458625.402590804</v>
      </c>
      <c r="AR31" s="43">
        <v>27411752</v>
      </c>
      <c r="AS31" s="43">
        <v>29615227</v>
      </c>
      <c r="AT31" s="43">
        <v>31982555</v>
      </c>
      <c r="AU31" s="43">
        <v>33841982</v>
      </c>
      <c r="AV31" s="43">
        <v>26764542</v>
      </c>
      <c r="AW31" s="43">
        <v>27966000</v>
      </c>
      <c r="AX31" s="43">
        <v>26950200</v>
      </c>
      <c r="AY31" s="43">
        <v>31281200</v>
      </c>
      <c r="AZ31" s="43">
        <v>32878247.209999993</v>
      </c>
      <c r="BA31" s="71">
        <v>33911448.32</v>
      </c>
      <c r="BB31" s="71">
        <v>33445411</v>
      </c>
      <c r="BC31" s="71">
        <v>35445090</v>
      </c>
      <c r="BD31" s="71">
        <v>34591838</v>
      </c>
      <c r="BE31" s="71">
        <v>34861423</v>
      </c>
    </row>
    <row r="32" spans="1:57" x14ac:dyDescent="0.2">
      <c r="A32" s="90" t="s">
        <v>60</v>
      </c>
      <c r="B32" s="38" t="s">
        <v>37</v>
      </c>
      <c r="C32" s="39">
        <v>7477444.897846194</v>
      </c>
      <c r="D32" s="49">
        <f t="shared" si="0"/>
        <v>7477444.897846194</v>
      </c>
      <c r="E32" s="39" t="s">
        <v>37</v>
      </c>
      <c r="F32" s="39">
        <v>10933179.260903582</v>
      </c>
      <c r="G32" s="49">
        <f t="shared" si="1"/>
        <v>10933179.260903582</v>
      </c>
      <c r="H32" s="39">
        <v>3793300</v>
      </c>
      <c r="I32" s="39">
        <v>12341603.518033259</v>
      </c>
      <c r="J32" s="39">
        <f t="shared" si="2"/>
        <v>16134903.518033259</v>
      </c>
      <c r="K32" s="39">
        <v>4938400</v>
      </c>
      <c r="L32" s="39">
        <v>13931462.547312399</v>
      </c>
      <c r="M32" s="39">
        <f t="shared" si="3"/>
        <v>18869862.547312401</v>
      </c>
      <c r="N32" s="39">
        <v>3788000</v>
      </c>
      <c r="O32" s="39">
        <v>16888500</v>
      </c>
      <c r="P32" s="67">
        <f t="shared" si="4"/>
        <v>20676500</v>
      </c>
      <c r="Q32" s="39">
        <v>5633500</v>
      </c>
      <c r="R32" s="39">
        <v>19446599.999999996</v>
      </c>
      <c r="S32" s="67">
        <f t="shared" si="5"/>
        <v>25080099.999999996</v>
      </c>
      <c r="T32" s="39">
        <v>6542100</v>
      </c>
      <c r="U32" s="39">
        <v>22531550</v>
      </c>
      <c r="V32" s="67">
        <f t="shared" si="6"/>
        <v>29073650</v>
      </c>
      <c r="W32" s="39">
        <v>8815800</v>
      </c>
      <c r="X32" s="39">
        <v>25848825</v>
      </c>
      <c r="Y32" s="39">
        <f t="shared" si="7"/>
        <v>34664625</v>
      </c>
      <c r="Z32" s="39">
        <v>9858900</v>
      </c>
      <c r="AA32" s="39">
        <v>27813525</v>
      </c>
      <c r="AB32" s="39">
        <f t="shared" si="8"/>
        <v>37672425</v>
      </c>
      <c r="AC32" s="73">
        <v>9668900</v>
      </c>
      <c r="AD32" s="39">
        <v>29872024.999999996</v>
      </c>
      <c r="AE32" s="43">
        <f t="shared" si="9"/>
        <v>39540925</v>
      </c>
      <c r="AF32" s="73">
        <f>11070500-2731811</f>
        <v>8338689</v>
      </c>
      <c r="AG32" s="39">
        <v>30431699.999999996</v>
      </c>
      <c r="AH32" s="71">
        <f t="shared" si="10"/>
        <v>38770389</v>
      </c>
      <c r="AI32" s="73">
        <f>10677900-2606471</f>
        <v>8071429</v>
      </c>
      <c r="AJ32" s="39">
        <v>31878600</v>
      </c>
      <c r="AK32" s="43">
        <f t="shared" si="11"/>
        <v>39950029</v>
      </c>
      <c r="AL32" s="39">
        <v>36866000</v>
      </c>
      <c r="AM32" s="39">
        <v>33799000</v>
      </c>
      <c r="AN32" s="42">
        <v>16500000</v>
      </c>
      <c r="AO32" s="42">
        <v>21509600</v>
      </c>
      <c r="AP32" s="42">
        <v>21598100</v>
      </c>
      <c r="AQ32" s="42">
        <v>20396800</v>
      </c>
      <c r="AR32" s="42">
        <v>21962770.960000001</v>
      </c>
      <c r="AS32" s="42">
        <v>25831317.530000001</v>
      </c>
      <c r="AT32" s="42">
        <v>27798112.799999997</v>
      </c>
      <c r="AU32" s="42">
        <v>29447270.790000003</v>
      </c>
      <c r="AV32" s="43">
        <v>20872782</v>
      </c>
      <c r="AW32" s="43">
        <v>21833240</v>
      </c>
      <c r="AX32" s="43">
        <v>21276545</v>
      </c>
      <c r="AY32" s="44">
        <v>24624264</v>
      </c>
      <c r="AZ32" s="43">
        <v>26012953.959999993</v>
      </c>
      <c r="BA32" s="71">
        <v>27009969.390000001</v>
      </c>
      <c r="BB32" s="71">
        <v>24992718</v>
      </c>
      <c r="BC32" s="71">
        <v>26194325</v>
      </c>
      <c r="BD32" s="71">
        <v>24463096</v>
      </c>
      <c r="BE32" s="71">
        <v>23971858</v>
      </c>
    </row>
    <row r="33" spans="1:61" x14ac:dyDescent="0.2">
      <c r="A33" s="45" t="s">
        <v>61</v>
      </c>
      <c r="B33" s="38"/>
      <c r="C33" s="39"/>
      <c r="D33" s="49"/>
      <c r="E33" s="39"/>
      <c r="F33" s="39"/>
      <c r="G33" s="49"/>
      <c r="H33" s="39"/>
      <c r="I33" s="39"/>
      <c r="J33" s="39"/>
      <c r="K33" s="39"/>
      <c r="L33" s="39"/>
      <c r="M33" s="39"/>
      <c r="N33" s="39"/>
      <c r="O33" s="39"/>
      <c r="P33" s="67"/>
      <c r="Q33" s="39"/>
      <c r="R33" s="39"/>
      <c r="S33" s="67"/>
      <c r="T33" s="39"/>
      <c r="U33" s="39"/>
      <c r="V33" s="67"/>
      <c r="W33" s="39"/>
      <c r="X33" s="39"/>
      <c r="Y33" s="39"/>
      <c r="Z33" s="39"/>
      <c r="AA33" s="39"/>
      <c r="AB33" s="39"/>
      <c r="AC33" s="73"/>
      <c r="AD33" s="39"/>
      <c r="AE33" s="43"/>
      <c r="AF33" s="73"/>
      <c r="AG33" s="39"/>
      <c r="AH33" s="71"/>
      <c r="AI33" s="73"/>
      <c r="AJ33" s="39"/>
      <c r="AK33" s="43"/>
      <c r="AL33" s="39"/>
      <c r="AM33" s="39"/>
      <c r="AN33" s="67" t="s">
        <v>33</v>
      </c>
      <c r="AO33" s="42">
        <v>9861707.5924188029</v>
      </c>
      <c r="AP33" s="42">
        <v>5491638.7052900018</v>
      </c>
      <c r="AQ33" s="42">
        <v>5991204.5974091953</v>
      </c>
      <c r="AR33" s="43">
        <v>11490933</v>
      </c>
      <c r="AS33" s="43">
        <v>19948019</v>
      </c>
      <c r="AT33" s="43">
        <v>22911022</v>
      </c>
      <c r="AU33" s="43">
        <v>27491365</v>
      </c>
      <c r="AV33" s="43">
        <v>29600000</v>
      </c>
      <c r="AW33" s="43">
        <v>23400000</v>
      </c>
      <c r="AX33" s="43">
        <v>25968800</v>
      </c>
      <c r="AY33" s="43">
        <v>39579800</v>
      </c>
      <c r="AZ33" s="43">
        <v>48300534.010000005</v>
      </c>
      <c r="BA33" s="71">
        <v>49979909.18</v>
      </c>
      <c r="BB33" s="71">
        <v>43048945</v>
      </c>
      <c r="BC33" s="71">
        <v>31042447</v>
      </c>
      <c r="BD33" s="71">
        <v>33347545</v>
      </c>
      <c r="BE33" s="71">
        <v>28636644</v>
      </c>
    </row>
    <row r="34" spans="1:61" ht="23.25" thickBot="1" x14ac:dyDescent="0.25">
      <c r="A34" s="51" t="s">
        <v>62</v>
      </c>
      <c r="B34" s="38" t="s">
        <v>37</v>
      </c>
      <c r="C34" s="39">
        <v>1054938.9843682095</v>
      </c>
      <c r="D34" s="49">
        <f t="shared" si="0"/>
        <v>1054938.9843682095</v>
      </c>
      <c r="E34" s="39" t="s">
        <v>37</v>
      </c>
      <c r="F34" s="39">
        <v>1560874.7820576604</v>
      </c>
      <c r="G34" s="49">
        <f t="shared" si="1"/>
        <v>1560874.7820576604</v>
      </c>
      <c r="H34" s="39" t="s">
        <v>63</v>
      </c>
      <c r="I34" s="39">
        <v>1789159.5888116413</v>
      </c>
      <c r="J34" s="43">
        <f t="shared" si="2"/>
        <v>1789159.5888116413</v>
      </c>
      <c r="K34" s="39" t="s">
        <v>63</v>
      </c>
      <c r="L34" s="39">
        <v>2112100.75</v>
      </c>
      <c r="M34" s="43">
        <f t="shared" si="3"/>
        <v>2112100.75</v>
      </c>
      <c r="N34" s="39" t="s">
        <v>63</v>
      </c>
      <c r="O34" s="39">
        <v>2802719.4375</v>
      </c>
      <c r="P34" s="43">
        <f t="shared" si="4"/>
        <v>2802719.4375</v>
      </c>
      <c r="Q34" s="39" t="s">
        <v>63</v>
      </c>
      <c r="R34" s="39">
        <v>3840367.1875</v>
      </c>
      <c r="S34" s="43">
        <f t="shared" si="5"/>
        <v>3840367.1875</v>
      </c>
      <c r="T34" s="39" t="s">
        <v>63</v>
      </c>
      <c r="U34" s="39">
        <v>4737730.875</v>
      </c>
      <c r="V34" s="43">
        <f t="shared" si="6"/>
        <v>4737730.875</v>
      </c>
      <c r="W34" s="39" t="s">
        <v>63</v>
      </c>
      <c r="X34" s="39">
        <v>5527478.125</v>
      </c>
      <c r="Y34" s="43">
        <f t="shared" si="7"/>
        <v>5527478.125</v>
      </c>
      <c r="Z34" s="39" t="s">
        <v>63</v>
      </c>
      <c r="AA34" s="39">
        <v>4658529.5625</v>
      </c>
      <c r="AB34" s="43">
        <f t="shared" si="8"/>
        <v>4658529.5625</v>
      </c>
      <c r="AC34" s="91" t="s">
        <v>63</v>
      </c>
      <c r="AD34" s="39">
        <v>4508071.125</v>
      </c>
      <c r="AE34" s="49">
        <f t="shared" si="9"/>
        <v>4508071.125</v>
      </c>
      <c r="AF34" s="73">
        <v>2731811</v>
      </c>
      <c r="AG34" s="39">
        <v>4576083</v>
      </c>
      <c r="AH34" s="43">
        <f t="shared" si="10"/>
        <v>7307894</v>
      </c>
      <c r="AI34" s="73">
        <v>2606471</v>
      </c>
      <c r="AJ34" s="39">
        <v>5129000</v>
      </c>
      <c r="AK34" s="43">
        <f t="shared" si="11"/>
        <v>7735471</v>
      </c>
      <c r="AL34" s="39">
        <v>7374596.5999999996</v>
      </c>
      <c r="AM34" s="39">
        <v>5897000</v>
      </c>
      <c r="AN34" s="92">
        <v>-102000</v>
      </c>
      <c r="AO34" s="92">
        <v>7900000</v>
      </c>
      <c r="AP34" s="92">
        <v>4400000</v>
      </c>
      <c r="AQ34" s="92">
        <v>4800000</v>
      </c>
      <c r="AR34" s="92">
        <v>9192746.4000000004</v>
      </c>
      <c r="AS34" s="92">
        <v>17354776.530000001</v>
      </c>
      <c r="AT34" s="92">
        <v>19932589.140000001</v>
      </c>
      <c r="AU34" s="92">
        <v>23917487.550000001</v>
      </c>
      <c r="AV34" s="92">
        <v>23084061</v>
      </c>
      <c r="AW34" s="92">
        <v>18240600</v>
      </c>
      <c r="AX34" s="92">
        <v>20489400</v>
      </c>
      <c r="AY34" s="93">
        <v>33494486</v>
      </c>
      <c r="AZ34" s="94">
        <v>40157964.660000004</v>
      </c>
      <c r="BA34" s="71">
        <v>41779275.57</v>
      </c>
      <c r="BB34" s="71">
        <v>33654832</v>
      </c>
      <c r="BC34" s="71">
        <v>23621706</v>
      </c>
      <c r="BD34" s="71">
        <v>24400787</v>
      </c>
      <c r="BE34" s="71">
        <v>19948927</v>
      </c>
      <c r="BI34" s="95"/>
    </row>
    <row r="35" spans="1:61" ht="13.5" thickBot="1" x14ac:dyDescent="0.25">
      <c r="A35" s="57" t="s">
        <v>64</v>
      </c>
      <c r="B35" s="96">
        <f>SUM(B30:B34)</f>
        <v>0</v>
      </c>
      <c r="C35" s="96">
        <f>SUM(C30:C34)</f>
        <v>8532383.8822144028</v>
      </c>
      <c r="D35" s="47">
        <f t="shared" ref="D35:AM35" si="13">SUM(D30:D34)</f>
        <v>8532383.8822144028</v>
      </c>
      <c r="E35" s="96">
        <f t="shared" si="13"/>
        <v>0</v>
      </c>
      <c r="F35" s="96">
        <f t="shared" si="13"/>
        <v>74534054.04296124</v>
      </c>
      <c r="G35" s="47">
        <f t="shared" si="13"/>
        <v>74534054.04296124</v>
      </c>
      <c r="H35" s="96">
        <f t="shared" si="13"/>
        <v>24493592.225677896</v>
      </c>
      <c r="I35" s="96">
        <f t="shared" si="13"/>
        <v>81717163.106844902</v>
      </c>
      <c r="J35" s="97">
        <f t="shared" si="13"/>
        <v>106210755.33252281</v>
      </c>
      <c r="K35" s="43">
        <f t="shared" si="13"/>
        <v>28200400</v>
      </c>
      <c r="L35" s="43">
        <f t="shared" si="13"/>
        <v>91573763.297312394</v>
      </c>
      <c r="M35" s="43">
        <f t="shared" si="13"/>
        <v>119774163.29731241</v>
      </c>
      <c r="N35" s="43">
        <f t="shared" si="13"/>
        <v>29163400</v>
      </c>
      <c r="O35" s="43">
        <f t="shared" si="13"/>
        <v>101188019.43749999</v>
      </c>
      <c r="P35" s="43">
        <f t="shared" si="13"/>
        <v>130351419.43749999</v>
      </c>
      <c r="Q35" s="43">
        <f t="shared" si="13"/>
        <v>33157100</v>
      </c>
      <c r="R35" s="43">
        <f t="shared" si="13"/>
        <v>112224967.1875</v>
      </c>
      <c r="S35" s="43">
        <f t="shared" si="13"/>
        <v>145382067.1875</v>
      </c>
      <c r="T35" s="43">
        <f t="shared" si="13"/>
        <v>36535000</v>
      </c>
      <c r="U35" s="43">
        <f t="shared" si="13"/>
        <v>124497180.87500001</v>
      </c>
      <c r="V35" s="43">
        <f t="shared" si="13"/>
        <v>161032180.875</v>
      </c>
      <c r="W35" s="43">
        <f t="shared" si="13"/>
        <v>41034500</v>
      </c>
      <c r="X35" s="43">
        <f t="shared" si="13"/>
        <v>138469028.125</v>
      </c>
      <c r="Y35" s="43">
        <f t="shared" si="13"/>
        <v>179503528.125</v>
      </c>
      <c r="Z35" s="43">
        <f t="shared" si="13"/>
        <v>48005200</v>
      </c>
      <c r="AA35" s="43">
        <f t="shared" si="13"/>
        <v>148292304.5625</v>
      </c>
      <c r="AB35" s="43">
        <f t="shared" si="13"/>
        <v>196297504.5625</v>
      </c>
      <c r="AC35" s="43">
        <f t="shared" si="13"/>
        <v>45072028</v>
      </c>
      <c r="AD35" s="43">
        <f t="shared" si="13"/>
        <v>153589096.125</v>
      </c>
      <c r="AE35" s="98">
        <f t="shared" si="13"/>
        <v>198661124.125</v>
      </c>
      <c r="AF35" s="98">
        <f t="shared" si="13"/>
        <v>44748944</v>
      </c>
      <c r="AG35" s="98">
        <f t="shared" si="13"/>
        <v>158035082.99999997</v>
      </c>
      <c r="AH35" s="98">
        <f t="shared" si="13"/>
        <v>202784027</v>
      </c>
      <c r="AI35" s="98">
        <f t="shared" si="13"/>
        <v>45733559</v>
      </c>
      <c r="AJ35" s="98">
        <f t="shared" si="13"/>
        <v>162954200</v>
      </c>
      <c r="AK35" s="98">
        <f t="shared" si="13"/>
        <v>208687759</v>
      </c>
      <c r="AL35" s="43">
        <f t="shared" si="13"/>
        <v>199403596.59999999</v>
      </c>
      <c r="AM35" s="43">
        <f t="shared" si="13"/>
        <v>193393680</v>
      </c>
      <c r="AN35" s="99">
        <f t="shared" ref="AN35:AY35" si="14">AN30+AN32+AN34</f>
        <v>147498000</v>
      </c>
      <c r="AO35" s="99">
        <f t="shared" si="14"/>
        <v>145714400</v>
      </c>
      <c r="AP35" s="99">
        <f t="shared" si="14"/>
        <v>144134700</v>
      </c>
      <c r="AQ35" s="99">
        <f t="shared" si="14"/>
        <v>150048800</v>
      </c>
      <c r="AR35" s="99">
        <f t="shared" si="14"/>
        <v>155635368.37</v>
      </c>
      <c r="AS35" s="99">
        <f t="shared" si="14"/>
        <v>163087694.37</v>
      </c>
      <c r="AT35" s="99">
        <f t="shared" si="14"/>
        <v>173001388.97999996</v>
      </c>
      <c r="AU35" s="99">
        <f t="shared" si="14"/>
        <v>180933456.34</v>
      </c>
      <c r="AV35" s="99">
        <f t="shared" si="14"/>
        <v>177968949</v>
      </c>
      <c r="AW35" s="99">
        <f t="shared" si="14"/>
        <v>176592976</v>
      </c>
      <c r="AX35" s="99">
        <f t="shared" si="14"/>
        <v>182272231</v>
      </c>
      <c r="AY35" s="99">
        <f t="shared" si="14"/>
        <v>208006374</v>
      </c>
      <c r="AZ35" s="99">
        <f>AZ30+AZ32+AZ34</f>
        <v>221628713.78</v>
      </c>
      <c r="BA35" s="99">
        <f>BA30+BA32+BA34</f>
        <v>216159142.38999999</v>
      </c>
      <c r="BB35" s="99">
        <f t="shared" ref="BB35:BD35" si="15">BB30+BB32+BB34</f>
        <v>221155760.41000003</v>
      </c>
      <c r="BC35" s="99">
        <f t="shared" si="15"/>
        <v>216014546</v>
      </c>
      <c r="BD35" s="99">
        <f t="shared" si="15"/>
        <v>209924023</v>
      </c>
      <c r="BE35" s="99">
        <v>201487057</v>
      </c>
    </row>
    <row r="36" spans="1:61" ht="13.5" thickBot="1" x14ac:dyDescent="0.25">
      <c r="A36" s="57" t="s">
        <v>65</v>
      </c>
      <c r="B36" s="96"/>
      <c r="C36" s="96"/>
      <c r="D36" s="47"/>
      <c r="E36" s="96"/>
      <c r="F36" s="96"/>
      <c r="G36" s="47"/>
      <c r="H36" s="96"/>
      <c r="I36" s="96"/>
      <c r="J36" s="97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98"/>
      <c r="AF36" s="98"/>
      <c r="AG36" s="98"/>
      <c r="AH36" s="98"/>
      <c r="AI36" s="98"/>
      <c r="AJ36" s="98"/>
      <c r="AK36" s="98"/>
      <c r="AL36" s="43"/>
      <c r="AM36" s="43"/>
      <c r="AN36" s="99"/>
      <c r="AO36" s="99">
        <f t="shared" ref="AO36:AY36" si="16">AO29+AO31+AO33</f>
        <v>181530451.08999997</v>
      </c>
      <c r="AP36" s="99">
        <f t="shared" si="16"/>
        <v>178601413.99999997</v>
      </c>
      <c r="AQ36" s="99">
        <f t="shared" si="16"/>
        <v>182887558.49000001</v>
      </c>
      <c r="AR36" s="99">
        <f t="shared" si="16"/>
        <v>188741145.18000001</v>
      </c>
      <c r="AS36" s="99">
        <f t="shared" si="16"/>
        <v>190707366.96000001</v>
      </c>
      <c r="AT36" s="99">
        <f t="shared" si="16"/>
        <v>202198538.44</v>
      </c>
      <c r="AU36" s="99">
        <f t="shared" si="16"/>
        <v>212375192.83000001</v>
      </c>
      <c r="AV36" s="99">
        <f t="shared" si="16"/>
        <v>220735721</v>
      </c>
      <c r="AW36" s="99">
        <f t="shared" si="16"/>
        <v>223640463</v>
      </c>
      <c r="AX36" s="99">
        <f t="shared" si="16"/>
        <v>227984693</v>
      </c>
      <c r="AY36" s="99">
        <f t="shared" si="16"/>
        <v>254110056</v>
      </c>
      <c r="AZ36" s="99">
        <f>AZ29+AZ31+AZ33</f>
        <v>273015555.82999998</v>
      </c>
      <c r="BA36" s="99">
        <f>BA29+BA31+BA33</f>
        <v>267309577.55000001</v>
      </c>
      <c r="BB36" s="99">
        <f t="shared" ref="BB36:BD36" si="17">BB29+BB31+BB33</f>
        <v>278256550</v>
      </c>
      <c r="BC36" s="99">
        <f t="shared" si="17"/>
        <v>277552302</v>
      </c>
      <c r="BD36" s="99">
        <f t="shared" si="17"/>
        <v>278103624</v>
      </c>
      <c r="BE36" s="99">
        <v>273260786</v>
      </c>
    </row>
    <row r="37" spans="1:61" ht="13.5" thickBot="1" x14ac:dyDescent="0.25">
      <c r="A37" s="57" t="s">
        <v>66</v>
      </c>
      <c r="B37" s="96"/>
      <c r="C37" s="96"/>
      <c r="D37" s="47"/>
      <c r="E37" s="96"/>
      <c r="F37" s="96"/>
      <c r="G37" s="47"/>
      <c r="H37" s="96"/>
      <c r="I37" s="96"/>
      <c r="J37" s="97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98"/>
      <c r="AF37" s="98"/>
      <c r="AG37" s="98"/>
      <c r="AH37" s="98"/>
      <c r="AI37" s="98"/>
      <c r="AJ37" s="98"/>
      <c r="AK37" s="98"/>
      <c r="AL37" s="43"/>
      <c r="AM37" s="43"/>
      <c r="AN37" s="99"/>
      <c r="AO37" s="99">
        <f t="shared" ref="AO37:BD37" si="18">AO36/AO22</f>
        <v>74367.24747644407</v>
      </c>
      <c r="AP37" s="99">
        <f t="shared" si="18"/>
        <v>75232.272114574545</v>
      </c>
      <c r="AQ37" s="99">
        <f t="shared" si="18"/>
        <v>82567.746496613996</v>
      </c>
      <c r="AR37" s="99">
        <f t="shared" si="18"/>
        <v>86222.542338967571</v>
      </c>
      <c r="AS37" s="99">
        <f t="shared" si="18"/>
        <v>91029.769431980909</v>
      </c>
      <c r="AT37" s="99">
        <f t="shared" si="18"/>
        <v>96560.90660936007</v>
      </c>
      <c r="AU37" s="99">
        <f t="shared" si="18"/>
        <v>101179.22478799429</v>
      </c>
      <c r="AV37" s="100">
        <f t="shared" si="18"/>
        <v>102811.23474615742</v>
      </c>
      <c r="AW37" s="100">
        <f t="shared" si="18"/>
        <v>101608.57019536574</v>
      </c>
      <c r="AX37" s="100">
        <f t="shared" si="18"/>
        <v>104436.41456710949</v>
      </c>
      <c r="AY37" s="100">
        <f t="shared" si="18"/>
        <v>114929.92130257802</v>
      </c>
      <c r="AZ37" s="100">
        <f t="shared" si="18"/>
        <v>123035.40145561063</v>
      </c>
      <c r="BA37" s="100">
        <f t="shared" si="18"/>
        <v>122394.49521520147</v>
      </c>
      <c r="BB37" s="100">
        <f t="shared" si="18"/>
        <v>127523.62511457379</v>
      </c>
      <c r="BC37" s="100">
        <f t="shared" si="18"/>
        <v>124967.26789734354</v>
      </c>
      <c r="BD37" s="100">
        <f t="shared" si="18"/>
        <v>123382.264418811</v>
      </c>
      <c r="BE37" s="100">
        <v>120273.23327464789</v>
      </c>
    </row>
    <row r="38" spans="1:61" ht="13.5" thickBot="1" x14ac:dyDescent="0.25">
      <c r="A38" s="28" t="s">
        <v>67</v>
      </c>
      <c r="B38" s="101">
        <v>409503500</v>
      </c>
      <c r="C38" s="101"/>
      <c r="D38" s="101">
        <f t="shared" si="0"/>
        <v>409503500</v>
      </c>
      <c r="E38" s="101">
        <v>423009000</v>
      </c>
      <c r="F38" s="101"/>
      <c r="G38" s="101">
        <f t="shared" si="1"/>
        <v>423009000</v>
      </c>
      <c r="H38" s="101">
        <v>513011000</v>
      </c>
      <c r="I38" s="101"/>
      <c r="J38" s="101">
        <f t="shared" si="2"/>
        <v>513011000</v>
      </c>
      <c r="K38" s="101">
        <v>493587500</v>
      </c>
      <c r="L38" s="101"/>
      <c r="M38" s="101">
        <f t="shared" si="3"/>
        <v>493587500</v>
      </c>
      <c r="N38" s="101">
        <v>528306800</v>
      </c>
      <c r="O38" s="101"/>
      <c r="P38" s="101">
        <f t="shared" si="4"/>
        <v>528306800</v>
      </c>
      <c r="Q38" s="101">
        <v>583611500</v>
      </c>
      <c r="R38" s="101"/>
      <c r="S38" s="101">
        <f t="shared" si="5"/>
        <v>583611500</v>
      </c>
      <c r="T38" s="101">
        <v>627543500</v>
      </c>
      <c r="U38" s="101"/>
      <c r="V38" s="101">
        <f t="shared" si="6"/>
        <v>627543500</v>
      </c>
      <c r="W38" s="101">
        <v>671038000</v>
      </c>
      <c r="X38" s="101"/>
      <c r="Y38" s="101">
        <f t="shared" si="7"/>
        <v>671038000</v>
      </c>
      <c r="Z38" s="101">
        <v>745968200</v>
      </c>
      <c r="AA38" s="101"/>
      <c r="AB38" s="101">
        <f t="shared" si="8"/>
        <v>745968200</v>
      </c>
      <c r="AC38" s="101">
        <v>805588000</v>
      </c>
      <c r="AD38" s="101"/>
      <c r="AE38" s="101">
        <f t="shared" si="9"/>
        <v>805588000</v>
      </c>
      <c r="AF38" s="101">
        <v>875331000</v>
      </c>
      <c r="AG38" s="101"/>
      <c r="AH38" s="101">
        <f t="shared" si="10"/>
        <v>875331000</v>
      </c>
      <c r="AI38" s="101">
        <v>953436077.67999995</v>
      </c>
      <c r="AJ38" s="101"/>
      <c r="AK38" s="101">
        <f t="shared" si="11"/>
        <v>953436077.67999995</v>
      </c>
      <c r="AL38" s="101"/>
      <c r="AM38" s="101"/>
      <c r="AN38" s="101">
        <f xml:space="preserve"> AN39+AN40+AN41+AN42+AN46+AN47+AN48+AN54</f>
        <v>4096293902.8099995</v>
      </c>
      <c r="AO38" s="101">
        <f t="shared" ref="AO38:BD38" si="19" xml:space="preserve"> AO39+AO40+AO41+AO42+AO46+AO47+AO48+AO54</f>
        <v>4252987957.8900003</v>
      </c>
      <c r="AP38" s="101">
        <f t="shared" si="19"/>
        <v>4436583678.6300001</v>
      </c>
      <c r="AQ38" s="101">
        <f t="shared" si="19"/>
        <v>4578411098.8900003</v>
      </c>
      <c r="AR38" s="101">
        <f t="shared" si="19"/>
        <v>4685298004.2599993</v>
      </c>
      <c r="AS38" s="101">
        <f t="shared" si="19"/>
        <v>4786443972.6199999</v>
      </c>
      <c r="AT38" s="101">
        <f t="shared" si="19"/>
        <v>4916697223.8500004</v>
      </c>
      <c r="AU38" s="101">
        <f t="shared" si="19"/>
        <v>5243339864.6200008</v>
      </c>
      <c r="AV38" s="101">
        <f t="shared" si="19"/>
        <v>5461700485.5200005</v>
      </c>
      <c r="AW38" s="101">
        <f t="shared" si="19"/>
        <v>5836801051.6000004</v>
      </c>
      <c r="AX38" s="101">
        <f t="shared" si="19"/>
        <v>6084012433.25</v>
      </c>
      <c r="AY38" s="101">
        <f t="shared" si="19"/>
        <v>6227669098.3699989</v>
      </c>
      <c r="AZ38" s="101">
        <f t="shared" si="19"/>
        <v>6471688518.46</v>
      </c>
      <c r="BA38" s="101">
        <f t="shared" si="19"/>
        <v>6645381075.4400005</v>
      </c>
      <c r="BB38" s="101">
        <f t="shared" si="19"/>
        <v>6897946252.6400003</v>
      </c>
      <c r="BC38" s="101">
        <f t="shared" si="19"/>
        <v>7228382170.4599991</v>
      </c>
      <c r="BD38" s="101">
        <f t="shared" si="19"/>
        <v>7873964265.6899996</v>
      </c>
      <c r="BE38" s="101">
        <f xml:space="preserve"> BE39+BE40+BE41+BE42+BE46+BE47+BE48+BE54+BE51</f>
        <v>8683773953.5900021</v>
      </c>
    </row>
    <row r="39" spans="1:61" x14ac:dyDescent="0.2">
      <c r="A39" s="31" t="s">
        <v>68</v>
      </c>
      <c r="B39" s="85">
        <v>9544900</v>
      </c>
      <c r="C39" s="39">
        <v>215850.1225</v>
      </c>
      <c r="D39" s="39">
        <f t="shared" si="0"/>
        <v>9760750.1225000005</v>
      </c>
      <c r="E39" s="39">
        <v>9563300</v>
      </c>
      <c r="F39" s="39">
        <v>215850</v>
      </c>
      <c r="G39" s="39">
        <f t="shared" si="1"/>
        <v>9779150</v>
      </c>
      <c r="H39" s="102">
        <f>0.5*(E39+K39)</f>
        <v>9578750</v>
      </c>
      <c r="I39" s="39">
        <v>215850</v>
      </c>
      <c r="J39" s="50">
        <f t="shared" si="2"/>
        <v>9794600</v>
      </c>
      <c r="K39" s="39">
        <v>9594200</v>
      </c>
      <c r="L39" s="39">
        <v>215850</v>
      </c>
      <c r="M39" s="39">
        <f t="shared" si="3"/>
        <v>9810050</v>
      </c>
      <c r="N39" s="39">
        <v>9608200</v>
      </c>
      <c r="O39" s="39">
        <v>215850</v>
      </c>
      <c r="P39" s="39">
        <f t="shared" si="4"/>
        <v>9824050</v>
      </c>
      <c r="Q39" s="39">
        <v>9612500</v>
      </c>
      <c r="R39" s="39">
        <v>215850</v>
      </c>
      <c r="S39" s="39">
        <f t="shared" si="5"/>
        <v>9828350</v>
      </c>
      <c r="T39" s="39">
        <v>9619700</v>
      </c>
      <c r="U39" s="39">
        <v>215850</v>
      </c>
      <c r="V39" s="39">
        <f t="shared" si="6"/>
        <v>9835550</v>
      </c>
      <c r="W39" s="39">
        <v>9621700</v>
      </c>
      <c r="X39" s="39">
        <v>215850</v>
      </c>
      <c r="Y39" s="39">
        <f t="shared" si="7"/>
        <v>9837550</v>
      </c>
      <c r="Z39" s="39">
        <v>9621700</v>
      </c>
      <c r="AA39" s="39">
        <v>215850</v>
      </c>
      <c r="AB39" s="39">
        <f t="shared" si="8"/>
        <v>9837550</v>
      </c>
      <c r="AC39" s="50">
        <f>0.5*(Z39+AI39)</f>
        <v>9887415.8900000006</v>
      </c>
      <c r="AD39" s="39">
        <v>232101</v>
      </c>
      <c r="AE39" s="50">
        <f t="shared" si="9"/>
        <v>10119516.890000001</v>
      </c>
      <c r="AF39" s="50">
        <f>0.5*(Z39+AI39)</f>
        <v>9887415.8900000006</v>
      </c>
      <c r="AG39" s="43">
        <v>237518</v>
      </c>
      <c r="AH39" s="50">
        <f t="shared" si="10"/>
        <v>10124933.890000001</v>
      </c>
      <c r="AI39" s="39">
        <v>10153131.779999999</v>
      </c>
      <c r="AJ39" s="39">
        <v>237592</v>
      </c>
      <c r="AK39" s="39">
        <f t="shared" si="11"/>
        <v>10390723.779999999</v>
      </c>
      <c r="AL39" s="39">
        <v>10390724.470000001</v>
      </c>
      <c r="AM39" s="39">
        <v>10423220.470000001</v>
      </c>
      <c r="AN39" s="39">
        <v>10423220.220000001</v>
      </c>
      <c r="AO39" s="39">
        <v>11081883.609999999</v>
      </c>
      <c r="AP39" s="39">
        <v>11265883.609999999</v>
      </c>
      <c r="AQ39" s="39">
        <v>11468883.609999999</v>
      </c>
      <c r="AR39" s="39">
        <v>11457417.34</v>
      </c>
      <c r="AS39" s="39">
        <v>11460685.52</v>
      </c>
      <c r="AT39" s="39">
        <v>11472152.149999999</v>
      </c>
      <c r="AU39" s="39">
        <v>11472152.149999999</v>
      </c>
      <c r="AV39" s="39">
        <v>11472152.149999999</v>
      </c>
      <c r="AW39" s="39">
        <v>11472152.149999999</v>
      </c>
      <c r="AX39" s="39">
        <v>7691696.4000000004</v>
      </c>
      <c r="AY39" s="39">
        <v>7691696.4000000004</v>
      </c>
      <c r="AZ39" s="39">
        <v>7691696</v>
      </c>
      <c r="BA39" s="39">
        <v>7691696</v>
      </c>
      <c r="BB39" s="39">
        <v>7615503.8600000003</v>
      </c>
      <c r="BC39" s="39">
        <v>7593759.4900000002</v>
      </c>
      <c r="BD39" s="39">
        <v>7572843.9000000004</v>
      </c>
      <c r="BE39" s="43">
        <v>7542856.6900000004</v>
      </c>
    </row>
    <row r="40" spans="1:61" x14ac:dyDescent="0.2">
      <c r="A40" s="103" t="s">
        <v>69</v>
      </c>
      <c r="B40" s="48" t="s">
        <v>33</v>
      </c>
      <c r="C40" s="39">
        <v>8044078</v>
      </c>
      <c r="D40" s="40">
        <f>SUM(B40:C40)</f>
        <v>8044078</v>
      </c>
      <c r="E40" s="39" t="s">
        <v>33</v>
      </c>
      <c r="F40" s="39">
        <v>8505566.5</v>
      </c>
      <c r="G40" s="41">
        <f t="shared" si="1"/>
        <v>8505566.5</v>
      </c>
      <c r="H40" s="39" t="s">
        <v>33</v>
      </c>
      <c r="I40" s="39">
        <v>6949574.25</v>
      </c>
      <c r="J40" s="41">
        <f t="shared" si="2"/>
        <v>6949574.25</v>
      </c>
      <c r="K40" s="39" t="s">
        <v>33</v>
      </c>
      <c r="L40" s="39">
        <v>6358838.25</v>
      </c>
      <c r="M40" s="41">
        <f t="shared" si="3"/>
        <v>6358838.25</v>
      </c>
      <c r="N40" s="39" t="s">
        <v>33</v>
      </c>
      <c r="O40" s="39">
        <v>6348534.5</v>
      </c>
      <c r="P40" s="41">
        <f t="shared" si="4"/>
        <v>6348534.5</v>
      </c>
      <c r="Q40" s="39" t="s">
        <v>33</v>
      </c>
      <c r="R40" s="39">
        <v>3920133</v>
      </c>
      <c r="S40" s="41">
        <f t="shared" si="5"/>
        <v>3920133</v>
      </c>
      <c r="T40" s="39" t="s">
        <v>33</v>
      </c>
      <c r="U40" s="39">
        <v>3098717.25</v>
      </c>
      <c r="V40" s="41">
        <f t="shared" si="6"/>
        <v>3098717.25</v>
      </c>
      <c r="W40" s="39" t="s">
        <v>33</v>
      </c>
      <c r="X40" s="39">
        <v>1519797.25</v>
      </c>
      <c r="Y40" s="41">
        <f t="shared" si="7"/>
        <v>1519797.25</v>
      </c>
      <c r="Z40" s="39" t="s">
        <v>33</v>
      </c>
      <c r="AA40" s="39">
        <v>1029596</v>
      </c>
      <c r="AB40" s="41">
        <f t="shared" si="8"/>
        <v>1029596</v>
      </c>
      <c r="AC40" s="39" t="s">
        <v>33</v>
      </c>
      <c r="AD40" s="39">
        <v>1352875.25</v>
      </c>
      <c r="AE40" s="41">
        <f t="shared" si="9"/>
        <v>1352875.25</v>
      </c>
      <c r="AF40" s="39" t="s">
        <v>33</v>
      </c>
      <c r="AG40" s="39">
        <v>1456879</v>
      </c>
      <c r="AH40" s="41">
        <f t="shared" si="10"/>
        <v>1456879</v>
      </c>
      <c r="AI40" s="39" t="s">
        <v>33</v>
      </c>
      <c r="AJ40" s="39">
        <v>1441238</v>
      </c>
      <c r="AK40" s="41">
        <f t="shared" si="11"/>
        <v>1441238</v>
      </c>
      <c r="AL40" s="39">
        <v>1450728.49</v>
      </c>
      <c r="AM40" s="39">
        <v>1453651.43</v>
      </c>
      <c r="AN40" s="39">
        <v>1452585.35</v>
      </c>
      <c r="AO40" s="39">
        <v>1424556.15</v>
      </c>
      <c r="AP40" s="39">
        <v>1424556</v>
      </c>
      <c r="AQ40" s="39">
        <v>1394556.15</v>
      </c>
      <c r="AR40" s="39">
        <v>1394743.12</v>
      </c>
      <c r="AS40" s="39">
        <v>0</v>
      </c>
      <c r="AT40" s="39">
        <v>0</v>
      </c>
      <c r="AU40" s="39">
        <v>0</v>
      </c>
      <c r="AV40" s="39">
        <v>0</v>
      </c>
      <c r="AW40" s="39">
        <v>0</v>
      </c>
      <c r="AX40" s="39">
        <v>0</v>
      </c>
      <c r="AY40" s="39">
        <v>0</v>
      </c>
      <c r="AZ40" s="39">
        <v>0</v>
      </c>
      <c r="BA40" s="39">
        <v>0</v>
      </c>
      <c r="BB40" s="104">
        <v>0</v>
      </c>
      <c r="BC40" s="104">
        <v>0</v>
      </c>
      <c r="BD40" s="104">
        <v>0</v>
      </c>
      <c r="BE40" s="99">
        <v>0</v>
      </c>
    </row>
    <row r="41" spans="1:61" x14ac:dyDescent="0.2">
      <c r="A41" s="103" t="s">
        <v>70</v>
      </c>
      <c r="B41" s="85">
        <v>6320500</v>
      </c>
      <c r="C41" s="39" t="s">
        <v>33</v>
      </c>
      <c r="D41" s="41">
        <f t="shared" si="0"/>
        <v>6320500</v>
      </c>
      <c r="E41" s="39">
        <v>6416400</v>
      </c>
      <c r="F41" s="39" t="s">
        <v>33</v>
      </c>
      <c r="G41" s="41">
        <f t="shared" si="1"/>
        <v>6416400</v>
      </c>
      <c r="H41" s="39">
        <v>6419600</v>
      </c>
      <c r="I41" s="39" t="s">
        <v>33</v>
      </c>
      <c r="J41" s="41">
        <f t="shared" si="2"/>
        <v>6419600</v>
      </c>
      <c r="K41" s="39">
        <v>6429200</v>
      </c>
      <c r="L41" s="39" t="s">
        <v>33</v>
      </c>
      <c r="M41" s="41">
        <f t="shared" si="3"/>
        <v>6429200</v>
      </c>
      <c r="N41" s="39">
        <v>6429200</v>
      </c>
      <c r="O41" s="39" t="s">
        <v>33</v>
      </c>
      <c r="P41" s="41">
        <f t="shared" si="4"/>
        <v>6429200</v>
      </c>
      <c r="Q41" s="39">
        <v>6429200</v>
      </c>
      <c r="R41" s="39" t="s">
        <v>33</v>
      </c>
      <c r="S41" s="41">
        <f t="shared" si="5"/>
        <v>6429200</v>
      </c>
      <c r="T41" s="39">
        <v>6502900</v>
      </c>
      <c r="U41" s="39" t="s">
        <v>33</v>
      </c>
      <c r="V41" s="41">
        <f t="shared" si="6"/>
        <v>6502900</v>
      </c>
      <c r="W41" s="39">
        <v>6502900</v>
      </c>
      <c r="X41" s="39" t="s">
        <v>33</v>
      </c>
      <c r="Y41" s="41">
        <f t="shared" si="7"/>
        <v>6502900</v>
      </c>
      <c r="Z41" s="39">
        <v>6502900</v>
      </c>
      <c r="AA41" s="39" t="s">
        <v>33</v>
      </c>
      <c r="AB41" s="41">
        <f t="shared" si="8"/>
        <v>6502900</v>
      </c>
      <c r="AC41" s="39">
        <v>6503000</v>
      </c>
      <c r="AD41" s="39" t="s">
        <v>33</v>
      </c>
      <c r="AE41" s="41">
        <f t="shared" si="9"/>
        <v>6503000</v>
      </c>
      <c r="AF41" s="39">
        <v>6503000</v>
      </c>
      <c r="AG41" s="39" t="s">
        <v>33</v>
      </c>
      <c r="AH41" s="41">
        <f t="shared" si="10"/>
        <v>6503000</v>
      </c>
      <c r="AI41" s="39">
        <v>6502481.3700000001</v>
      </c>
      <c r="AJ41" s="39" t="s">
        <v>33</v>
      </c>
      <c r="AK41" s="41">
        <f t="shared" si="11"/>
        <v>6502481.3700000001</v>
      </c>
      <c r="AL41" s="39">
        <v>6502481</v>
      </c>
      <c r="AM41" s="39">
        <v>7973075</v>
      </c>
      <c r="AN41" s="39">
        <v>10041189.43</v>
      </c>
      <c r="AO41" s="39">
        <v>10177021.74</v>
      </c>
      <c r="AP41" s="39">
        <v>10926021.74</v>
      </c>
      <c r="AQ41" s="39">
        <v>12163021.74</v>
      </c>
      <c r="AR41" s="39">
        <v>12195908.43</v>
      </c>
      <c r="AS41" s="39">
        <v>12242617.82</v>
      </c>
      <c r="AT41" s="39">
        <v>12424346.48</v>
      </c>
      <c r="AU41" s="39">
        <v>14502816.949999999</v>
      </c>
      <c r="AV41" s="39">
        <v>14721045.65</v>
      </c>
      <c r="AW41" s="39">
        <v>14745985.189999999</v>
      </c>
      <c r="AX41" s="39">
        <v>15771527.470000001</v>
      </c>
      <c r="AY41" s="39">
        <v>17255907.640000001</v>
      </c>
      <c r="AZ41" s="39">
        <v>17891676.110000003</v>
      </c>
      <c r="BA41" s="39">
        <v>19248168.430000003</v>
      </c>
      <c r="BB41" s="39">
        <f>22389362.32+1141500.16</f>
        <v>23530862.48</v>
      </c>
      <c r="BC41" s="39">
        <f>24360581+1257718</f>
        <v>25618299</v>
      </c>
      <c r="BD41" s="39">
        <f>24807700.64+1535926.85</f>
        <v>26343627.490000002</v>
      </c>
      <c r="BE41" s="99">
        <f>26237364.12+1554057.85</f>
        <v>27791421.970000003</v>
      </c>
    </row>
    <row r="42" spans="1:61" x14ac:dyDescent="0.2">
      <c r="A42" s="103" t="s">
        <v>71</v>
      </c>
      <c r="B42" s="38" t="s">
        <v>33</v>
      </c>
      <c r="C42" s="39">
        <v>102445713</v>
      </c>
      <c r="D42" s="41">
        <f t="shared" si="0"/>
        <v>102445713</v>
      </c>
      <c r="E42" s="39" t="s">
        <v>33</v>
      </c>
      <c r="F42" s="39">
        <v>109217482.5</v>
      </c>
      <c r="G42" s="41">
        <f t="shared" si="1"/>
        <v>109217482.5</v>
      </c>
      <c r="H42" s="39" t="s">
        <v>33</v>
      </c>
      <c r="I42" s="39">
        <v>116714697.25</v>
      </c>
      <c r="J42" s="41">
        <f t="shared" si="2"/>
        <v>116714697.25</v>
      </c>
      <c r="K42" s="39" t="s">
        <v>33</v>
      </c>
      <c r="L42" s="39">
        <v>166371689.5</v>
      </c>
      <c r="M42" s="41">
        <f t="shared" si="3"/>
        <v>166371689.5</v>
      </c>
      <c r="N42" s="39" t="s">
        <v>33</v>
      </c>
      <c r="O42" s="39">
        <v>191714708.5</v>
      </c>
      <c r="P42" s="41">
        <f t="shared" si="4"/>
        <v>191714708.5</v>
      </c>
      <c r="Q42" s="39">
        <v>17179500</v>
      </c>
      <c r="R42" s="39">
        <v>247254946.25</v>
      </c>
      <c r="S42" s="39">
        <f t="shared" si="5"/>
        <v>264434446.25</v>
      </c>
      <c r="T42" s="39">
        <v>17586400</v>
      </c>
      <c r="U42" s="39">
        <v>279897797.25</v>
      </c>
      <c r="V42" s="39">
        <f t="shared" si="6"/>
        <v>297484197.25</v>
      </c>
      <c r="W42" s="39">
        <v>17715300</v>
      </c>
      <c r="X42" s="39">
        <v>333425697</v>
      </c>
      <c r="Y42" s="39">
        <f t="shared" si="7"/>
        <v>351140997</v>
      </c>
      <c r="Z42" s="39">
        <v>17879300</v>
      </c>
      <c r="AA42" s="39">
        <v>371474827.75</v>
      </c>
      <c r="AB42" s="39">
        <f t="shared" si="8"/>
        <v>389354127.75</v>
      </c>
      <c r="AC42" s="39">
        <v>17879000</v>
      </c>
      <c r="AD42" s="39">
        <v>396799538.75</v>
      </c>
      <c r="AE42" s="39">
        <f t="shared" si="9"/>
        <v>414678538.75</v>
      </c>
      <c r="AF42" s="39">
        <v>17879000</v>
      </c>
      <c r="AG42" s="39">
        <v>409060060</v>
      </c>
      <c r="AH42" s="39">
        <f t="shared" si="10"/>
        <v>426939060</v>
      </c>
      <c r="AI42" s="39">
        <v>19359311.469999999</v>
      </c>
      <c r="AJ42" s="39">
        <v>415575653</v>
      </c>
      <c r="AK42" s="39">
        <f t="shared" si="11"/>
        <v>434934964.47000003</v>
      </c>
      <c r="AL42" s="39">
        <v>467796538.80000001</v>
      </c>
      <c r="AM42" s="39">
        <v>473731019.08999997</v>
      </c>
      <c r="AN42" s="39">
        <v>490387565.84999996</v>
      </c>
      <c r="AO42" s="39">
        <v>538127959.34000003</v>
      </c>
      <c r="AP42" s="39">
        <v>562158959.34000003</v>
      </c>
      <c r="AQ42" s="39">
        <v>571033959.34000003</v>
      </c>
      <c r="AR42" s="39">
        <v>574880267.95999992</v>
      </c>
      <c r="AS42" s="39">
        <v>577283824.08000004</v>
      </c>
      <c r="AT42" s="39">
        <v>584274327.95000005</v>
      </c>
      <c r="AU42" s="39">
        <v>639423492.40999997</v>
      </c>
      <c r="AV42" s="39">
        <v>646449203.54999995</v>
      </c>
      <c r="AW42" s="39">
        <v>697608642.10000002</v>
      </c>
      <c r="AX42" s="39">
        <v>784115711.50999999</v>
      </c>
      <c r="AY42" s="39">
        <v>789711188.66999996</v>
      </c>
      <c r="AZ42" s="39">
        <v>840665425.35000002</v>
      </c>
      <c r="BA42" s="39">
        <v>847007037.17999995</v>
      </c>
      <c r="BB42" s="39">
        <f>848691483.72-810799+10899184.72</f>
        <v>858779869.44000006</v>
      </c>
      <c r="BC42" s="39">
        <f>858413694-810799+12243668</f>
        <v>869846563</v>
      </c>
      <c r="BD42" s="39">
        <f>916046073.47-810799+12593846.61</f>
        <v>927829121.08000004</v>
      </c>
      <c r="BE42" s="99">
        <f>950698041.25-810799+12666293.22</f>
        <v>962553535.47000003</v>
      </c>
    </row>
    <row r="43" spans="1:61" x14ac:dyDescent="0.2">
      <c r="A43" s="103" t="s">
        <v>72</v>
      </c>
      <c r="B43" s="38"/>
      <c r="C43" s="39"/>
      <c r="D43" s="41"/>
      <c r="E43" s="39"/>
      <c r="F43" s="39"/>
      <c r="G43" s="41"/>
      <c r="H43" s="39"/>
      <c r="I43" s="39"/>
      <c r="J43" s="41"/>
      <c r="K43" s="39"/>
      <c r="L43" s="39"/>
      <c r="M43" s="41"/>
      <c r="N43" s="39"/>
      <c r="O43" s="39"/>
      <c r="P43" s="41"/>
      <c r="Q43" s="39"/>
      <c r="R43" s="39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  <c r="AF43" s="39"/>
      <c r="AG43" s="39"/>
      <c r="AH43" s="39"/>
      <c r="AI43" s="39"/>
      <c r="AJ43" s="39"/>
      <c r="AK43" s="39"/>
      <c r="AL43" s="39"/>
      <c r="AM43" s="39"/>
      <c r="AN43" s="39"/>
      <c r="AO43" s="39"/>
      <c r="AP43" s="39"/>
      <c r="AQ43" s="39"/>
      <c r="AR43" s="39"/>
      <c r="AS43" s="39"/>
      <c r="AT43" s="39"/>
      <c r="AU43" s="39"/>
      <c r="AV43" s="42">
        <v>174957008</v>
      </c>
      <c r="AW43" s="42">
        <v>221806814.81</v>
      </c>
      <c r="AX43" s="42">
        <v>303485699.49000001</v>
      </c>
      <c r="AY43" s="42">
        <v>305645488.63</v>
      </c>
      <c r="AZ43" s="39">
        <v>323112433.04000002</v>
      </c>
      <c r="BA43" s="39">
        <v>322783767.62</v>
      </c>
      <c r="BB43" s="39">
        <f>328990591.2-305346.91</f>
        <v>328685244.28999996</v>
      </c>
      <c r="BC43" s="39">
        <f>337024254.45-305346.91</f>
        <v>336718907.53999996</v>
      </c>
      <c r="BD43" s="39">
        <f>391326148.79-305346.91</f>
        <v>391020801.88</v>
      </c>
      <c r="BE43" s="99">
        <f>395303832.78-305346.91</f>
        <v>394998485.86999995</v>
      </c>
    </row>
    <row r="44" spans="1:61" x14ac:dyDescent="0.2">
      <c r="A44" s="103" t="s">
        <v>73</v>
      </c>
      <c r="B44" s="38"/>
      <c r="C44" s="39"/>
      <c r="D44" s="41"/>
      <c r="E44" s="39"/>
      <c r="F44" s="39"/>
      <c r="G44" s="41"/>
      <c r="H44" s="39"/>
      <c r="I44" s="39"/>
      <c r="J44" s="41"/>
      <c r="K44" s="39"/>
      <c r="L44" s="39"/>
      <c r="M44" s="41"/>
      <c r="N44" s="39"/>
      <c r="O44" s="39"/>
      <c r="P44" s="41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39"/>
      <c r="AH44" s="39"/>
      <c r="AI44" s="39"/>
      <c r="AJ44" s="39"/>
      <c r="AK44" s="39"/>
      <c r="AL44" s="39"/>
      <c r="AM44" s="39"/>
      <c r="AN44" s="105">
        <v>0.27</v>
      </c>
      <c r="AO44" s="105">
        <v>0.27</v>
      </c>
      <c r="AP44" s="105">
        <v>0.27</v>
      </c>
      <c r="AQ44" s="105">
        <v>0.27</v>
      </c>
      <c r="AR44" s="105">
        <v>0.27</v>
      </c>
      <c r="AS44" s="105">
        <v>0.27</v>
      </c>
      <c r="AT44" s="105">
        <v>0.27</v>
      </c>
      <c r="AU44" s="105">
        <v>0.27</v>
      </c>
      <c r="AV44" s="106">
        <f t="shared" ref="AV44:BE44" si="20">AV43/AV42</f>
        <v>0.27064308694204753</v>
      </c>
      <c r="AW44" s="106">
        <f t="shared" si="20"/>
        <v>0.31795307773467157</v>
      </c>
      <c r="AX44" s="106">
        <f t="shared" si="20"/>
        <v>0.38704198249715799</v>
      </c>
      <c r="AY44" s="106">
        <f t="shared" si="20"/>
        <v>0.38703451719451504</v>
      </c>
      <c r="AZ44" s="106">
        <f t="shared" si="20"/>
        <v>0.38435318415227604</v>
      </c>
      <c r="BA44" s="106">
        <f t="shared" si="20"/>
        <v>0.38108746852289055</v>
      </c>
      <c r="BB44" s="106">
        <f t="shared" si="20"/>
        <v>0.38273515249528567</v>
      </c>
      <c r="BC44" s="106">
        <f t="shared" si="20"/>
        <v>0.38710149796844107</v>
      </c>
      <c r="BD44" s="106">
        <f t="shared" si="20"/>
        <v>0.42143622461951707</v>
      </c>
      <c r="BE44" s="106">
        <f t="shared" si="20"/>
        <v>0.41036521223427669</v>
      </c>
    </row>
    <row r="45" spans="1:61" x14ac:dyDescent="0.2">
      <c r="A45" s="103" t="s">
        <v>74</v>
      </c>
      <c r="B45" s="38"/>
      <c r="C45" s="39"/>
      <c r="D45" s="41"/>
      <c r="E45" s="39"/>
      <c r="F45" s="39"/>
      <c r="G45" s="41"/>
      <c r="H45" s="39"/>
      <c r="I45" s="39"/>
      <c r="J45" s="41"/>
      <c r="K45" s="39"/>
      <c r="L45" s="39"/>
      <c r="M45" s="41"/>
      <c r="N45" s="39"/>
      <c r="O45" s="39"/>
      <c r="P45" s="41"/>
      <c r="Q45" s="39"/>
      <c r="R45" s="39"/>
      <c r="S45" s="39"/>
      <c r="T45" s="39"/>
      <c r="U45" s="39"/>
      <c r="V45" s="39"/>
      <c r="W45" s="39"/>
      <c r="X45" s="39"/>
      <c r="Y45" s="39"/>
      <c r="Z45" s="39"/>
      <c r="AA45" s="39"/>
      <c r="AB45" s="39"/>
      <c r="AC45" s="39"/>
      <c r="AD45" s="39"/>
      <c r="AE45" s="39"/>
      <c r="AF45" s="39"/>
      <c r="AG45" s="39"/>
      <c r="AH45" s="39"/>
      <c r="AI45" s="39"/>
      <c r="AJ45" s="39"/>
      <c r="AK45" s="39"/>
      <c r="AL45" s="39"/>
      <c r="AM45" s="39"/>
      <c r="AN45" s="107">
        <f t="shared" ref="AN45:AT45" si="21">AN44*AN42</f>
        <v>132404642.77949999</v>
      </c>
      <c r="AO45" s="107">
        <f t="shared" si="21"/>
        <v>145294549.02180001</v>
      </c>
      <c r="AP45" s="107">
        <f t="shared" si="21"/>
        <v>151782919.02180001</v>
      </c>
      <c r="AQ45" s="107">
        <f t="shared" si="21"/>
        <v>154179169.02180001</v>
      </c>
      <c r="AR45" s="107">
        <f t="shared" si="21"/>
        <v>155217672.34919998</v>
      </c>
      <c r="AS45" s="107">
        <f t="shared" si="21"/>
        <v>155866632.50160003</v>
      </c>
      <c r="AT45" s="107">
        <f t="shared" si="21"/>
        <v>157754068.54650003</v>
      </c>
      <c r="AU45" s="107">
        <f>AU44*AU42</f>
        <v>172644342.95070001</v>
      </c>
      <c r="AV45" s="106"/>
      <c r="AW45" s="106"/>
      <c r="AX45" s="106"/>
      <c r="AY45" s="106"/>
      <c r="AZ45" s="108"/>
      <c r="BE45" s="99"/>
    </row>
    <row r="46" spans="1:61" x14ac:dyDescent="0.2">
      <c r="A46" s="103" t="s">
        <v>75</v>
      </c>
      <c r="B46" s="38" t="s">
        <v>33</v>
      </c>
      <c r="C46" s="39">
        <v>266620085</v>
      </c>
      <c r="D46" s="41">
        <f t="shared" si="0"/>
        <v>266620085</v>
      </c>
      <c r="E46" s="39" t="s">
        <v>33</v>
      </c>
      <c r="F46" s="39">
        <v>287736510.25</v>
      </c>
      <c r="G46" s="41">
        <f t="shared" si="1"/>
        <v>287736510.25</v>
      </c>
      <c r="H46" s="39" t="s">
        <v>33</v>
      </c>
      <c r="I46" s="39">
        <v>298021716</v>
      </c>
      <c r="J46" s="41">
        <f t="shared" si="2"/>
        <v>298021716</v>
      </c>
      <c r="K46" s="39" t="s">
        <v>33</v>
      </c>
      <c r="L46" s="39">
        <v>368381557</v>
      </c>
      <c r="M46" s="41">
        <f t="shared" si="3"/>
        <v>368381557</v>
      </c>
      <c r="N46" s="39" t="s">
        <v>33</v>
      </c>
      <c r="O46" s="39">
        <v>436493677.5</v>
      </c>
      <c r="P46" s="41">
        <f t="shared" si="4"/>
        <v>436493677.5</v>
      </c>
      <c r="Q46" s="39" t="s">
        <v>33</v>
      </c>
      <c r="R46" s="39">
        <v>535194417.25</v>
      </c>
      <c r="S46" s="41">
        <f t="shared" si="5"/>
        <v>535194417.25</v>
      </c>
      <c r="T46" s="39" t="s">
        <v>33</v>
      </c>
      <c r="U46" s="39">
        <v>656096986</v>
      </c>
      <c r="V46" s="41">
        <f t="shared" si="6"/>
        <v>656096986</v>
      </c>
      <c r="W46" s="39" t="s">
        <v>33</v>
      </c>
      <c r="X46" s="39">
        <v>699804655.75</v>
      </c>
      <c r="Y46" s="41">
        <f t="shared" si="7"/>
        <v>699804655.75</v>
      </c>
      <c r="Z46" s="39" t="s">
        <v>33</v>
      </c>
      <c r="AA46" s="39">
        <v>735418318.5</v>
      </c>
      <c r="AB46" s="41">
        <f t="shared" si="8"/>
        <v>735418318.5</v>
      </c>
      <c r="AC46" s="39" t="s">
        <v>33</v>
      </c>
      <c r="AD46" s="39">
        <v>783055205</v>
      </c>
      <c r="AE46" s="41">
        <f t="shared" si="9"/>
        <v>783055205</v>
      </c>
      <c r="AF46" s="39" t="s">
        <v>33</v>
      </c>
      <c r="AG46" s="39">
        <v>835778185</v>
      </c>
      <c r="AH46" s="41">
        <f t="shared" si="10"/>
        <v>835778185</v>
      </c>
      <c r="AI46" s="39" t="s">
        <v>33</v>
      </c>
      <c r="AJ46" s="39">
        <v>887419731</v>
      </c>
      <c r="AK46" s="41">
        <f t="shared" si="11"/>
        <v>887419731</v>
      </c>
      <c r="AL46" s="39">
        <v>899116422.42000008</v>
      </c>
      <c r="AM46" s="39">
        <v>917374848.56000006</v>
      </c>
      <c r="AN46" s="39">
        <v>978968520.25999987</v>
      </c>
      <c r="AO46" s="39">
        <v>995149807.90999997</v>
      </c>
      <c r="AP46" s="39">
        <v>1045951807.91</v>
      </c>
      <c r="AQ46" s="39">
        <v>1106308807.9100001</v>
      </c>
      <c r="AR46" s="39">
        <v>1105423120.8299999</v>
      </c>
      <c r="AS46" s="39">
        <v>1122963915.1899998</v>
      </c>
      <c r="AT46" s="39">
        <v>1130377317.4599998</v>
      </c>
      <c r="AU46" s="39">
        <v>1265822399.0200002</v>
      </c>
      <c r="AV46" s="39">
        <v>1364615102.3500001</v>
      </c>
      <c r="AW46" s="39">
        <v>1544645601.4599998</v>
      </c>
      <c r="AX46" s="39">
        <v>1586432560.72</v>
      </c>
      <c r="AY46" s="39">
        <v>1608013048.45</v>
      </c>
      <c r="AZ46" s="39">
        <v>1679559170.71</v>
      </c>
      <c r="BA46" s="39">
        <v>1691905852.54</v>
      </c>
      <c r="BB46" s="39">
        <f>1736899892.63-8570670.96+35629725</f>
        <v>1763958946.6700001</v>
      </c>
      <c r="BC46" s="39">
        <f>1848476246-8589496.96+62233773</f>
        <v>1902120522.04</v>
      </c>
      <c r="BD46" s="39">
        <f>2214377589.13-9583267.01+89149626.66-1425</f>
        <v>2293942523.7799997</v>
      </c>
      <c r="BE46" s="99">
        <f>2742563557.09-10285615.66+110898287.09+2108415.71</f>
        <v>2845284644.2300005</v>
      </c>
    </row>
    <row r="47" spans="1:61" x14ac:dyDescent="0.2">
      <c r="A47" s="103" t="s">
        <v>76</v>
      </c>
      <c r="B47" s="85">
        <v>372237600</v>
      </c>
      <c r="C47" s="39">
        <v>552904671.75</v>
      </c>
      <c r="D47" s="39">
        <f t="shared" si="0"/>
        <v>925142271.75</v>
      </c>
      <c r="E47" s="39">
        <v>403503100</v>
      </c>
      <c r="F47" s="39">
        <v>588448725.25</v>
      </c>
      <c r="G47" s="39">
        <f t="shared" si="1"/>
        <v>991951825.25</v>
      </c>
      <c r="H47" s="39">
        <v>435722800</v>
      </c>
      <c r="I47" s="39">
        <v>627324184.5</v>
      </c>
      <c r="J47" s="39">
        <f t="shared" si="2"/>
        <v>1063046984.5</v>
      </c>
      <c r="K47" s="39">
        <v>458736400</v>
      </c>
      <c r="L47" s="39">
        <v>671578603.75</v>
      </c>
      <c r="M47" s="39">
        <f t="shared" si="3"/>
        <v>1130315003.75</v>
      </c>
      <c r="N47" s="39">
        <v>483691300</v>
      </c>
      <c r="O47" s="39">
        <v>720825682</v>
      </c>
      <c r="P47" s="39">
        <f t="shared" si="4"/>
        <v>1204516982</v>
      </c>
      <c r="Q47" s="39">
        <v>509551200</v>
      </c>
      <c r="R47" s="39">
        <v>774094332</v>
      </c>
      <c r="S47" s="39">
        <f t="shared" si="5"/>
        <v>1283645532</v>
      </c>
      <c r="T47" s="39">
        <v>534893600</v>
      </c>
      <c r="U47" s="39">
        <v>832600663.5</v>
      </c>
      <c r="V47" s="39">
        <f t="shared" si="6"/>
        <v>1367494263.5</v>
      </c>
      <c r="W47" s="39">
        <v>571670800</v>
      </c>
      <c r="X47" s="39">
        <v>898647970</v>
      </c>
      <c r="Y47" s="39">
        <f t="shared" si="7"/>
        <v>1470318770</v>
      </c>
      <c r="Z47" s="39">
        <v>625765700</v>
      </c>
      <c r="AA47" s="39">
        <v>977625856.75</v>
      </c>
      <c r="AB47" s="39">
        <f t="shared" si="8"/>
        <v>1603391556.75</v>
      </c>
      <c r="AC47" s="39">
        <v>676364000</v>
      </c>
      <c r="AD47" s="39">
        <v>1079108226.25</v>
      </c>
      <c r="AE47" s="39">
        <f t="shared" si="9"/>
        <v>1755472226.25</v>
      </c>
      <c r="AF47" s="39">
        <v>727517000</v>
      </c>
      <c r="AG47" s="39">
        <v>1197017813</v>
      </c>
      <c r="AH47" s="39">
        <f t="shared" si="10"/>
        <v>1924534813</v>
      </c>
      <c r="AI47" s="39">
        <v>796410376.05999994</v>
      </c>
      <c r="AJ47" s="39">
        <v>1276774932</v>
      </c>
      <c r="AK47" s="39">
        <f t="shared" si="11"/>
        <v>2073185308.0599999</v>
      </c>
      <c r="AL47" s="39">
        <v>2224279437.8699999</v>
      </c>
      <c r="AM47" s="39">
        <v>2384916402.1900001</v>
      </c>
      <c r="AN47" s="39">
        <v>2493140274.9499998</v>
      </c>
      <c r="AO47" s="42">
        <v>2599400991.3400002</v>
      </c>
      <c r="AP47" s="42">
        <v>2700473712.23</v>
      </c>
      <c r="AQ47" s="39">
        <v>2806591132.3400002</v>
      </c>
      <c r="AR47" s="39">
        <v>2753707198.0899997</v>
      </c>
      <c r="AS47" s="39">
        <v>2845384191.7700005</v>
      </c>
      <c r="AT47" s="39">
        <v>2952843290.6300001</v>
      </c>
      <c r="AU47" s="39">
        <v>3073398911.75</v>
      </c>
      <c r="AV47" s="39">
        <v>3161508374.3499999</v>
      </c>
      <c r="AW47" s="39">
        <v>3299078429.2900004</v>
      </c>
      <c r="AX47" s="39">
        <v>3440392837.4200001</v>
      </c>
      <c r="AY47" s="39">
        <v>3549212776.2199998</v>
      </c>
      <c r="AZ47" s="39">
        <v>3671884386.4000001</v>
      </c>
      <c r="BA47" s="39">
        <v>3814635278.9400001</v>
      </c>
      <c r="BB47" s="39">
        <f>3893568714.62-76286191.99+103531233.76+49616596.18</f>
        <v>3970430352.5700002</v>
      </c>
      <c r="BC47" s="39">
        <f>4036297134.35-87889599.03+128816173.69+57709568.48</f>
        <v>4134933277.4899998</v>
      </c>
      <c r="BD47" s="39">
        <f>4188288703.97-106138916.06+150825688.58+75231490.44</f>
        <v>4308206966.9299994</v>
      </c>
      <c r="BE47" s="99">
        <f>4380945642.26-132255621.12+177312785.3+99430298.27+7865189.5</f>
        <v>4533298294.210001</v>
      </c>
    </row>
    <row r="48" spans="1:61" x14ac:dyDescent="0.2">
      <c r="A48" s="45" t="s">
        <v>77</v>
      </c>
      <c r="B48" s="85">
        <v>56126500</v>
      </c>
      <c r="C48" s="39">
        <v>148745274</v>
      </c>
      <c r="D48" s="39">
        <f t="shared" si="0"/>
        <v>204871774</v>
      </c>
      <c r="E48" s="39">
        <v>62658300</v>
      </c>
      <c r="F48" s="39">
        <v>170197951</v>
      </c>
      <c r="G48" s="39">
        <f t="shared" si="1"/>
        <v>232856251</v>
      </c>
      <c r="H48" s="39">
        <v>70868600</v>
      </c>
      <c r="I48" s="39">
        <v>194767404.75</v>
      </c>
      <c r="J48" s="39">
        <f t="shared" si="2"/>
        <v>265636004.75</v>
      </c>
      <c r="K48" s="39">
        <v>81088600</v>
      </c>
      <c r="L48" s="39">
        <v>220859329</v>
      </c>
      <c r="M48" s="39">
        <f t="shared" si="3"/>
        <v>301947929</v>
      </c>
      <c r="N48" s="39">
        <v>90742200</v>
      </c>
      <c r="O48" s="39">
        <v>257769945.25</v>
      </c>
      <c r="P48" s="39">
        <f t="shared" si="4"/>
        <v>348512145.25</v>
      </c>
      <c r="Q48" s="39">
        <v>102497000</v>
      </c>
      <c r="R48" s="39">
        <v>286901517.75</v>
      </c>
      <c r="S48" s="39">
        <f t="shared" si="5"/>
        <v>389398517.75</v>
      </c>
      <c r="T48" s="39">
        <v>122853100</v>
      </c>
      <c r="U48" s="39">
        <v>325266573.25</v>
      </c>
      <c r="V48" s="39">
        <f t="shared" si="6"/>
        <v>448119673.25</v>
      </c>
      <c r="W48" s="39">
        <v>128823400</v>
      </c>
      <c r="X48" s="39">
        <v>363973520.25</v>
      </c>
      <c r="Y48" s="39">
        <f>SUM(W48:X48)</f>
        <v>492796920.25</v>
      </c>
      <c r="Z48" s="39">
        <v>150155900</v>
      </c>
      <c r="AA48" s="39">
        <v>396783090.25</v>
      </c>
      <c r="AB48" s="39">
        <f t="shared" si="8"/>
        <v>546938990.25</v>
      </c>
      <c r="AC48" s="39">
        <v>171839000</v>
      </c>
      <c r="AD48" s="39">
        <v>447526787.25</v>
      </c>
      <c r="AE48" s="39">
        <f t="shared" si="9"/>
        <v>619365787.25</v>
      </c>
      <c r="AF48" s="39">
        <v>190345000</v>
      </c>
      <c r="AG48" s="39">
        <v>503638366</v>
      </c>
      <c r="AH48" s="39">
        <f t="shared" si="10"/>
        <v>693983366</v>
      </c>
      <c r="AI48" s="39">
        <v>195605409.59999999</v>
      </c>
      <c r="AJ48" s="39">
        <v>563401081</v>
      </c>
      <c r="AK48" s="39">
        <f t="shared" si="11"/>
        <v>759006490.60000002</v>
      </c>
      <c r="AL48" s="39">
        <v>792961229.42900002</v>
      </c>
      <c r="AM48" s="39">
        <v>849398685.68900001</v>
      </c>
      <c r="AN48" s="39">
        <v>258850947.42999995</v>
      </c>
      <c r="AO48" s="39">
        <v>250857000</v>
      </c>
      <c r="AP48" s="39">
        <v>262717000</v>
      </c>
      <c r="AQ48" s="39">
        <v>231700000</v>
      </c>
      <c r="AR48" s="39">
        <v>230246713.69</v>
      </c>
      <c r="AS48" s="39">
        <v>218145749.23999998</v>
      </c>
      <c r="AT48" s="39">
        <v>226342800.18000001</v>
      </c>
      <c r="AU48" s="39">
        <v>238720092.34000003</v>
      </c>
      <c r="AV48" s="39">
        <v>262934607.47</v>
      </c>
      <c r="AW48" s="39">
        <v>269250241.40999997</v>
      </c>
      <c r="AX48" s="39">
        <v>249608099.72999999</v>
      </c>
      <c r="AY48" s="39">
        <v>255784480.99000001</v>
      </c>
      <c r="AZ48" s="39">
        <v>253996163.88999999</v>
      </c>
      <c r="BA48" s="39">
        <v>264893042.34999999</v>
      </c>
      <c r="BB48" s="39">
        <f>257314668.83+16316048.79</f>
        <v>273630717.62</v>
      </c>
      <c r="BC48" s="39">
        <f>265458458.9+22811290.54</f>
        <v>288269749.44</v>
      </c>
      <c r="BD48" s="39">
        <f>281000960.95+29068221.56</f>
        <v>310069182.50999999</v>
      </c>
      <c r="BE48" s="99">
        <f>265045560.06+35002386.96</f>
        <v>300047947.01999998</v>
      </c>
    </row>
    <row r="49" spans="1:57" x14ac:dyDescent="0.2">
      <c r="A49" s="45" t="s">
        <v>78</v>
      </c>
      <c r="B49" s="85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39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39"/>
      <c r="AI49" s="39"/>
      <c r="AJ49" s="39"/>
      <c r="AK49" s="39"/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42">
        <v>8687688</v>
      </c>
      <c r="AW49" s="42">
        <v>8849191</v>
      </c>
      <c r="AX49" s="42">
        <v>8137424</v>
      </c>
      <c r="AY49" s="42">
        <v>8259911</v>
      </c>
      <c r="AZ49" s="39">
        <v>8185085</v>
      </c>
      <c r="BA49" s="107">
        <v>12368268.710000001</v>
      </c>
      <c r="BB49" s="107">
        <v>12818901.689999999</v>
      </c>
      <c r="BC49" s="107">
        <v>13294422.550000001</v>
      </c>
      <c r="BD49" s="107">
        <v>14199487.279999999</v>
      </c>
      <c r="BE49" s="109">
        <v>10271748.640000001</v>
      </c>
    </row>
    <row r="50" spans="1:57" x14ac:dyDescent="0.2">
      <c r="A50" s="103" t="s">
        <v>73</v>
      </c>
      <c r="B50" s="85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  <c r="V50" s="39"/>
      <c r="W50" s="39"/>
      <c r="X50" s="39"/>
      <c r="Y50" s="39"/>
      <c r="Z50" s="39"/>
      <c r="AA50" s="39"/>
      <c r="AB50" s="39"/>
      <c r="AC50" s="39"/>
      <c r="AD50" s="39"/>
      <c r="AE50" s="39"/>
      <c r="AF50" s="39"/>
      <c r="AG50" s="39"/>
      <c r="AH50" s="39"/>
      <c r="AI50" s="39"/>
      <c r="AJ50" s="39"/>
      <c r="AK50" s="39"/>
      <c r="AL50" s="39"/>
      <c r="AM50" s="39"/>
      <c r="AN50" s="105">
        <v>3.3000000000000002E-2</v>
      </c>
      <c r="AO50" s="105">
        <v>3.3000000000000002E-2</v>
      </c>
      <c r="AP50" s="105">
        <v>3.3000000000000002E-2</v>
      </c>
      <c r="AQ50" s="105">
        <v>3.3000000000000002E-2</v>
      </c>
      <c r="AR50" s="105">
        <v>3.3000000000000002E-2</v>
      </c>
      <c r="AS50" s="105">
        <v>3.3000000000000002E-2</v>
      </c>
      <c r="AT50" s="105">
        <v>3.3000000000000002E-2</v>
      </c>
      <c r="AU50" s="105">
        <v>3.3000000000000002E-2</v>
      </c>
      <c r="AV50" s="106">
        <f t="shared" ref="AV50:BE50" si="22">AV49/AV48</f>
        <v>3.3041249623221386E-2</v>
      </c>
      <c r="AW50" s="106">
        <f t="shared" si="22"/>
        <v>3.2866046669666388E-2</v>
      </c>
      <c r="AX50" s="106">
        <f t="shared" si="22"/>
        <v>3.2600801050936316E-2</v>
      </c>
      <c r="AY50" s="106">
        <f t="shared" si="22"/>
        <v>3.2292463436524609E-2</v>
      </c>
      <c r="AZ50" s="106">
        <f t="shared" si="22"/>
        <v>3.2225230785551451E-2</v>
      </c>
      <c r="BA50" s="110">
        <f t="shared" si="22"/>
        <v>4.6691557468912133E-2</v>
      </c>
      <c r="BB50" s="110">
        <f t="shared" si="22"/>
        <v>4.6847451198085262E-2</v>
      </c>
      <c r="BC50" s="110">
        <f t="shared" si="22"/>
        <v>4.611799391308341E-2</v>
      </c>
      <c r="BD50" s="110">
        <f t="shared" si="22"/>
        <v>4.5794577729575091E-2</v>
      </c>
      <c r="BE50" s="110">
        <f t="shared" si="22"/>
        <v>3.4233690788476975E-2</v>
      </c>
    </row>
    <row r="51" spans="1:57" x14ac:dyDescent="0.2">
      <c r="A51" s="103" t="s">
        <v>79</v>
      </c>
      <c r="B51" s="85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  <c r="V51" s="39"/>
      <c r="W51" s="39"/>
      <c r="X51" s="39"/>
      <c r="Y51" s="39"/>
      <c r="Z51" s="39"/>
      <c r="AA51" s="39"/>
      <c r="AB51" s="39"/>
      <c r="AC51" s="39"/>
      <c r="AD51" s="39"/>
      <c r="AE51" s="39"/>
      <c r="AF51" s="39"/>
      <c r="AG51" s="39"/>
      <c r="AH51" s="39"/>
      <c r="AI51" s="39"/>
      <c r="AJ51" s="39"/>
      <c r="AK51" s="39"/>
      <c r="AL51" s="39"/>
      <c r="AM51" s="39"/>
      <c r="AN51" s="105"/>
      <c r="AO51" s="105"/>
      <c r="AP51" s="105"/>
      <c r="AQ51" s="105"/>
      <c r="AR51" s="105"/>
      <c r="AS51" s="105"/>
      <c r="AT51" s="105"/>
      <c r="AU51" s="105"/>
      <c r="AV51" s="106"/>
      <c r="AW51" s="106"/>
      <c r="AX51" s="106"/>
      <c r="AY51" s="106"/>
      <c r="AZ51" s="106"/>
      <c r="BA51" s="110"/>
      <c r="BB51" s="111">
        <v>6752209.7999999998</v>
      </c>
      <c r="BC51" s="111">
        <v>6806016.2999999998</v>
      </c>
      <c r="BD51" s="111">
        <v>7071240.2999999998</v>
      </c>
      <c r="BE51" s="112">
        <v>7255254</v>
      </c>
    </row>
    <row r="52" spans="1:57" x14ac:dyDescent="0.2">
      <c r="A52" s="103" t="s">
        <v>80</v>
      </c>
      <c r="B52" s="85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39"/>
      <c r="AG52" s="39"/>
      <c r="AH52" s="39"/>
      <c r="AI52" s="39"/>
      <c r="AJ52" s="39"/>
      <c r="AK52" s="39"/>
      <c r="AL52" s="39"/>
      <c r="AM52" s="39"/>
      <c r="AN52" s="113">
        <f t="shared" ref="AN52:AT52" si="23">AN50*AN48</f>
        <v>8542081.2651899979</v>
      </c>
      <c r="AO52" s="113">
        <f t="shared" si="23"/>
        <v>8278281</v>
      </c>
      <c r="AP52" s="113">
        <f t="shared" si="23"/>
        <v>8669661</v>
      </c>
      <c r="AQ52" s="113">
        <f t="shared" si="23"/>
        <v>7646100</v>
      </c>
      <c r="AR52" s="113">
        <f t="shared" si="23"/>
        <v>7598141.5517700007</v>
      </c>
      <c r="AS52" s="113">
        <f t="shared" si="23"/>
        <v>7198809.7249199999</v>
      </c>
      <c r="AT52" s="113">
        <f t="shared" si="23"/>
        <v>7469312.4059400009</v>
      </c>
      <c r="AU52" s="113">
        <f>AU50*AU48</f>
        <v>7877763.0472200019</v>
      </c>
      <c r="AV52" s="106"/>
      <c r="AW52" s="106"/>
      <c r="AX52" s="106"/>
      <c r="AY52" s="106"/>
      <c r="AZ52" s="108"/>
      <c r="BE52" s="114"/>
    </row>
    <row r="53" spans="1:57" x14ac:dyDescent="0.2">
      <c r="A53" s="45" t="s">
        <v>81</v>
      </c>
      <c r="B53" s="43">
        <v>3383600</v>
      </c>
      <c r="C53" s="115" t="s">
        <v>33</v>
      </c>
      <c r="D53" s="41">
        <f t="shared" si="0"/>
        <v>3383600</v>
      </c>
      <c r="E53" s="43">
        <v>4072200</v>
      </c>
      <c r="F53" s="115" t="s">
        <v>33</v>
      </c>
      <c r="G53" s="41">
        <f t="shared" si="1"/>
        <v>4072200</v>
      </c>
      <c r="H53" s="116">
        <f>AVERAGE(E53,K53)</f>
        <v>4575500</v>
      </c>
      <c r="I53" s="115" t="s">
        <v>33</v>
      </c>
      <c r="J53" s="41">
        <f t="shared" si="2"/>
        <v>4575500</v>
      </c>
      <c r="K53" s="43">
        <v>5078800</v>
      </c>
      <c r="L53" s="115" t="s">
        <v>33</v>
      </c>
      <c r="M53" s="41">
        <f t="shared" si="3"/>
        <v>5078800</v>
      </c>
      <c r="N53" s="43">
        <v>5453100</v>
      </c>
      <c r="O53" s="115" t="s">
        <v>33</v>
      </c>
      <c r="P53" s="41">
        <f t="shared" si="4"/>
        <v>5453100</v>
      </c>
      <c r="Q53" s="43">
        <v>6090500</v>
      </c>
      <c r="R53" s="115" t="s">
        <v>33</v>
      </c>
      <c r="S53" s="41">
        <f t="shared" si="5"/>
        <v>6090500</v>
      </c>
      <c r="T53" s="43">
        <v>7831200</v>
      </c>
      <c r="U53" s="115" t="s">
        <v>33</v>
      </c>
      <c r="V53" s="41">
        <f t="shared" si="6"/>
        <v>7831200</v>
      </c>
      <c r="W53" s="43">
        <v>8536400</v>
      </c>
      <c r="X53" s="115" t="s">
        <v>33</v>
      </c>
      <c r="Y53" s="41">
        <f>SUM(W53:X53)</f>
        <v>8536400</v>
      </c>
      <c r="Z53" s="43">
        <v>8422900</v>
      </c>
      <c r="AA53" s="115" t="s">
        <v>33</v>
      </c>
      <c r="AB53" s="41">
        <f t="shared" si="8"/>
        <v>8422900</v>
      </c>
      <c r="AC53" s="43">
        <v>6703000</v>
      </c>
      <c r="AD53" s="115" t="s">
        <v>33</v>
      </c>
      <c r="AE53" s="41">
        <f t="shared" si="9"/>
        <v>6703000</v>
      </c>
      <c r="AF53" s="43">
        <v>7235000</v>
      </c>
      <c r="AG53" s="115" t="s">
        <v>33</v>
      </c>
      <c r="AH53" s="41">
        <f t="shared" si="10"/>
        <v>7235000</v>
      </c>
      <c r="AI53" s="117" t="s">
        <v>33</v>
      </c>
      <c r="AJ53" s="115" t="s">
        <v>33</v>
      </c>
      <c r="AK53" s="41">
        <f t="shared" si="11"/>
        <v>0</v>
      </c>
      <c r="AL53" s="115" t="s">
        <v>33</v>
      </c>
      <c r="AM53" s="115" t="s">
        <v>33</v>
      </c>
      <c r="AN53" s="115" t="s">
        <v>33</v>
      </c>
      <c r="AO53" s="115" t="s">
        <v>33</v>
      </c>
      <c r="AP53" s="115" t="s">
        <v>33</v>
      </c>
      <c r="AQ53" s="115" t="s">
        <v>33</v>
      </c>
      <c r="AR53" s="115" t="s">
        <v>33</v>
      </c>
      <c r="AS53" s="115" t="s">
        <v>33</v>
      </c>
      <c r="AT53" s="115" t="s">
        <v>33</v>
      </c>
      <c r="AU53" s="115" t="s">
        <v>33</v>
      </c>
      <c r="AV53" s="115" t="s">
        <v>33</v>
      </c>
      <c r="AW53" s="115" t="s">
        <v>33</v>
      </c>
      <c r="AX53" s="115" t="s">
        <v>33</v>
      </c>
      <c r="AY53" s="115" t="s">
        <v>33</v>
      </c>
      <c r="AZ53" s="115" t="s">
        <v>33</v>
      </c>
      <c r="BA53" s="115" t="s">
        <v>33</v>
      </c>
      <c r="BB53" s="115" t="s">
        <v>33</v>
      </c>
      <c r="BC53" s="115" t="s">
        <v>33</v>
      </c>
      <c r="BD53" s="115" t="s">
        <v>33</v>
      </c>
      <c r="BE53" s="115" t="s">
        <v>33</v>
      </c>
    </row>
    <row r="54" spans="1:57" ht="13.5" thickBot="1" x14ac:dyDescent="0.25">
      <c r="A54" s="51" t="s">
        <v>82</v>
      </c>
      <c r="B54" s="85">
        <v>-38109600</v>
      </c>
      <c r="C54" s="39">
        <v>-30297381.75</v>
      </c>
      <c r="D54" s="39">
        <f t="shared" si="0"/>
        <v>-68406981.75</v>
      </c>
      <c r="E54" s="39">
        <v>-63204300</v>
      </c>
      <c r="F54" s="39">
        <v>-31871944.25</v>
      </c>
      <c r="G54" s="39">
        <f t="shared" si="1"/>
        <v>-95076244.25</v>
      </c>
      <c r="H54" s="39" t="s">
        <v>37</v>
      </c>
      <c r="I54" s="39">
        <v>-32801879.5</v>
      </c>
      <c r="J54" s="49">
        <f t="shared" si="2"/>
        <v>-32801879.5</v>
      </c>
      <c r="K54" s="39">
        <v>-67339700</v>
      </c>
      <c r="L54" s="39">
        <v>-33372996</v>
      </c>
      <c r="M54" s="39">
        <f t="shared" si="3"/>
        <v>-100712696</v>
      </c>
      <c r="N54" s="39">
        <v>-67617200</v>
      </c>
      <c r="O54" s="39">
        <v>-33997172.5</v>
      </c>
      <c r="P54" s="39">
        <f t="shared" si="4"/>
        <v>-101614372.5</v>
      </c>
      <c r="Q54" s="39">
        <v>-67748400</v>
      </c>
      <c r="R54" s="39">
        <v>-34996471</v>
      </c>
      <c r="S54" s="39">
        <f t="shared" si="5"/>
        <v>-102744871</v>
      </c>
      <c r="T54" s="39">
        <v>-71743400</v>
      </c>
      <c r="U54" s="39">
        <v>-36149355.5</v>
      </c>
      <c r="V54" s="39">
        <f t="shared" si="6"/>
        <v>-107892755.5</v>
      </c>
      <c r="W54" s="39">
        <v>-71832500</v>
      </c>
      <c r="X54" s="39">
        <v>-37225854.25</v>
      </c>
      <c r="Y54" s="39">
        <f t="shared" si="7"/>
        <v>-109058354.25</v>
      </c>
      <c r="Z54" s="39">
        <v>-72380200</v>
      </c>
      <c r="AA54" s="39">
        <v>-39309488.25</v>
      </c>
      <c r="AB54" s="39">
        <f t="shared" si="8"/>
        <v>-111689688.25</v>
      </c>
      <c r="AC54" s="39">
        <v>-73700000</v>
      </c>
      <c r="AD54" s="39">
        <v>-42210972</v>
      </c>
      <c r="AE54" s="39">
        <f t="shared" si="9"/>
        <v>-115910972</v>
      </c>
      <c r="AF54" s="39">
        <v>-74148000</v>
      </c>
      <c r="AG54" s="39">
        <v>-49352319</v>
      </c>
      <c r="AH54" s="39">
        <f t="shared" si="10"/>
        <v>-123500319</v>
      </c>
      <c r="AI54" s="39">
        <v>-74594632.599999994</v>
      </c>
      <c r="AJ54" s="39">
        <v>-53799543.100000001</v>
      </c>
      <c r="AK54" s="39">
        <f t="shared" si="11"/>
        <v>-128394175.69999999</v>
      </c>
      <c r="AL54" s="39">
        <v>-133817265.69</v>
      </c>
      <c r="AM54" s="39">
        <v>-139944986.06</v>
      </c>
      <c r="AN54" s="39">
        <v>-146970400.67999998</v>
      </c>
      <c r="AO54" s="39">
        <v>-153231262.19999999</v>
      </c>
      <c r="AP54" s="39">
        <v>-158334262.19999999</v>
      </c>
      <c r="AQ54" s="39">
        <v>-162249262.19999999</v>
      </c>
      <c r="AR54" s="39">
        <v>-4007365.1999999834</v>
      </c>
      <c r="AS54" s="39">
        <v>-1037011</v>
      </c>
      <c r="AT54" s="39">
        <v>-1037011</v>
      </c>
      <c r="AU54" s="39">
        <v>0</v>
      </c>
      <c r="AV54" s="39">
        <v>0</v>
      </c>
      <c r="AW54" s="39">
        <v>0</v>
      </c>
      <c r="AX54" s="39">
        <v>0</v>
      </c>
      <c r="AY54" s="39">
        <v>0</v>
      </c>
      <c r="AZ54" s="39">
        <v>0</v>
      </c>
      <c r="BA54" s="39">
        <v>0</v>
      </c>
      <c r="BB54" s="39">
        <v>0</v>
      </c>
      <c r="BC54" s="39">
        <v>0</v>
      </c>
      <c r="BD54" s="39">
        <v>0</v>
      </c>
      <c r="BE54" s="53">
        <v>0</v>
      </c>
    </row>
    <row r="55" spans="1:57" ht="13.5" thickBot="1" x14ac:dyDescent="0.25">
      <c r="A55" s="28" t="s">
        <v>83</v>
      </c>
      <c r="B55" s="101">
        <f t="shared" ref="B55:AM55" si="24">SUM(B56:B70)</f>
        <v>77068100</v>
      </c>
      <c r="C55" s="118">
        <f t="shared" si="24"/>
        <v>232367620.08000004</v>
      </c>
      <c r="D55" s="101">
        <f t="shared" si="24"/>
        <v>309435720.08000004</v>
      </c>
      <c r="E55" s="101">
        <f t="shared" si="24"/>
        <v>86440900</v>
      </c>
      <c r="F55" s="118">
        <f t="shared" si="24"/>
        <v>262684053.19500005</v>
      </c>
      <c r="G55" s="101">
        <f t="shared" si="24"/>
        <v>349124953.19500005</v>
      </c>
      <c r="H55" s="101">
        <f t="shared" si="24"/>
        <v>105999150</v>
      </c>
      <c r="I55" s="118">
        <f t="shared" si="24"/>
        <v>297014276.77250004</v>
      </c>
      <c r="J55" s="101">
        <f t="shared" si="24"/>
        <v>403013426.77250004</v>
      </c>
      <c r="K55" s="101">
        <f t="shared" si="24"/>
        <v>118858000</v>
      </c>
      <c r="L55" s="118">
        <f t="shared" si="24"/>
        <v>335921203.14250004</v>
      </c>
      <c r="M55" s="101">
        <f t="shared" si="24"/>
        <v>454779203.14250004</v>
      </c>
      <c r="N55" s="101">
        <f t="shared" si="24"/>
        <v>130643300</v>
      </c>
      <c r="O55" s="118">
        <f t="shared" si="24"/>
        <v>379303731.98250008</v>
      </c>
      <c r="P55" s="101">
        <f t="shared" si="24"/>
        <v>509947031.98250008</v>
      </c>
      <c r="Q55" s="101">
        <f t="shared" si="24"/>
        <v>142641600</v>
      </c>
      <c r="R55" s="118">
        <f t="shared" si="24"/>
        <v>420747632.17000008</v>
      </c>
      <c r="S55" s="101">
        <f t="shared" si="24"/>
        <v>563389232.17000008</v>
      </c>
      <c r="T55" s="101">
        <f t="shared" si="24"/>
        <v>160066200</v>
      </c>
      <c r="U55" s="118">
        <f t="shared" si="24"/>
        <v>475543358.82250005</v>
      </c>
      <c r="V55" s="101">
        <f t="shared" si="24"/>
        <v>635609558.82249999</v>
      </c>
      <c r="W55" s="101">
        <f t="shared" si="24"/>
        <v>172028900</v>
      </c>
      <c r="X55" s="118">
        <f t="shared" si="24"/>
        <v>520968096.7700001</v>
      </c>
      <c r="Y55" s="101">
        <f t="shared" si="24"/>
        <v>692996996.7700001</v>
      </c>
      <c r="Z55" s="101">
        <f t="shared" si="24"/>
        <v>188341000</v>
      </c>
      <c r="AA55" s="118">
        <f t="shared" si="24"/>
        <v>566085419.45000017</v>
      </c>
      <c r="AB55" s="101">
        <f t="shared" si="24"/>
        <v>754426419.45000017</v>
      </c>
      <c r="AC55" s="101">
        <f t="shared" si="24"/>
        <v>205643146.93000001</v>
      </c>
      <c r="AD55" s="118">
        <f t="shared" si="24"/>
        <v>637844559.9325</v>
      </c>
      <c r="AE55" s="101">
        <f t="shared" si="24"/>
        <v>843487706.86250007</v>
      </c>
      <c r="AF55" s="101">
        <f t="shared" si="24"/>
        <v>224998146.93000001</v>
      </c>
      <c r="AG55" s="118">
        <f t="shared" si="24"/>
        <v>724436669.1500001</v>
      </c>
      <c r="AH55" s="101">
        <f t="shared" si="24"/>
        <v>949434816.08000016</v>
      </c>
      <c r="AI55" s="101">
        <f t="shared" si="24"/>
        <v>248020944.33999997</v>
      </c>
      <c r="AJ55" s="118">
        <f t="shared" si="24"/>
        <v>814403412.87000024</v>
      </c>
      <c r="AK55" s="101">
        <f t="shared" si="24"/>
        <v>1062424357.2100003</v>
      </c>
      <c r="AL55" s="101">
        <f t="shared" si="24"/>
        <v>1158608492.3499999</v>
      </c>
      <c r="AM55" s="101">
        <f t="shared" si="24"/>
        <v>1294429648.48</v>
      </c>
      <c r="AN55" s="101">
        <f>AN56+AN57+AN58+AN59+AN64+AN65+AN66+AN71</f>
        <v>1186254618.5700002</v>
      </c>
      <c r="AO55" s="101">
        <f t="shared" ref="AO55:BD55" si="25">AO56+AO57+AO58+AO59+AO64+AO65+AO66+AO71</f>
        <v>1283555605.3600001</v>
      </c>
      <c r="AP55" s="101">
        <f t="shared" si="25"/>
        <v>1404238605.3600001</v>
      </c>
      <c r="AQ55" s="101">
        <f t="shared" si="25"/>
        <v>1499515105.3600001</v>
      </c>
      <c r="AR55" s="101">
        <f t="shared" si="25"/>
        <v>1629373841.2290001</v>
      </c>
      <c r="AS55" s="101">
        <f t="shared" si="25"/>
        <v>1745903884.5000002</v>
      </c>
      <c r="AT55" s="101">
        <f t="shared" si="25"/>
        <v>1853549928.3400002</v>
      </c>
      <c r="AU55" s="101">
        <f t="shared" si="25"/>
        <v>1983222869.77</v>
      </c>
      <c r="AV55" s="101">
        <f t="shared" si="25"/>
        <v>2110962627.7200003</v>
      </c>
      <c r="AW55" s="101">
        <f t="shared" si="25"/>
        <v>2250893922.2600002</v>
      </c>
      <c r="AX55" s="101">
        <f t="shared" si="25"/>
        <v>2351288006.6700001</v>
      </c>
      <c r="AY55" s="101">
        <f t="shared" si="25"/>
        <v>2483774770.3600001</v>
      </c>
      <c r="AZ55" s="101">
        <f t="shared" si="25"/>
        <v>2626354058.3400002</v>
      </c>
      <c r="BA55" s="101">
        <f t="shared" si="25"/>
        <v>2767862130.4899998</v>
      </c>
      <c r="BB55" s="101">
        <f t="shared" si="25"/>
        <v>2878695361.04</v>
      </c>
      <c r="BC55" s="101">
        <f t="shared" si="25"/>
        <v>3026434146.4400001</v>
      </c>
      <c r="BD55" s="101">
        <f t="shared" si="25"/>
        <v>3191750481.71</v>
      </c>
      <c r="BE55" s="101">
        <f>BE56+BE57+BE58+BE59+BE64+BE65+BE66+BE71</f>
        <v>3366941640.6999998</v>
      </c>
    </row>
    <row r="56" spans="1:57" x14ac:dyDescent="0.2">
      <c r="A56" s="31" t="s">
        <v>84</v>
      </c>
      <c r="B56" s="85">
        <v>4838700</v>
      </c>
      <c r="C56" s="39">
        <v>110392.32000000001</v>
      </c>
      <c r="D56" s="39">
        <f t="shared" si="0"/>
        <v>4949092.32</v>
      </c>
      <c r="E56" s="39">
        <v>5145900</v>
      </c>
      <c r="F56" s="39">
        <v>115788.32</v>
      </c>
      <c r="G56" s="39">
        <f t="shared" si="1"/>
        <v>5261688.32</v>
      </c>
      <c r="H56" s="102">
        <f>0.5*(E56+K56)</f>
        <v>5461350</v>
      </c>
      <c r="I56" s="39">
        <v>121184.32000000001</v>
      </c>
      <c r="J56" s="50">
        <f t="shared" si="2"/>
        <v>5582534.3200000003</v>
      </c>
      <c r="K56" s="39">
        <v>5776800</v>
      </c>
      <c r="L56" s="39">
        <v>126580.32</v>
      </c>
      <c r="M56" s="39">
        <f t="shared" si="3"/>
        <v>5903380.3200000003</v>
      </c>
      <c r="N56" s="39">
        <v>5923000</v>
      </c>
      <c r="O56" s="39">
        <v>133644.32</v>
      </c>
      <c r="P56" s="39">
        <f t="shared" si="4"/>
        <v>6056644.3200000003</v>
      </c>
      <c r="Q56" s="39">
        <v>6084400</v>
      </c>
      <c r="R56" s="39">
        <v>141264.32000000001</v>
      </c>
      <c r="S56" s="39">
        <f t="shared" si="5"/>
        <v>6225664.3200000003</v>
      </c>
      <c r="T56" s="39">
        <v>6241300</v>
      </c>
      <c r="U56" s="39">
        <v>148884.32</v>
      </c>
      <c r="V56" s="39">
        <f t="shared" si="6"/>
        <v>6390184.3200000003</v>
      </c>
      <c r="W56" s="39">
        <v>6307800</v>
      </c>
      <c r="X56" s="39">
        <v>156504.32000000001</v>
      </c>
      <c r="Y56" s="39">
        <f t="shared" si="7"/>
        <v>6464304.3200000003</v>
      </c>
      <c r="Z56" s="39">
        <v>6519500</v>
      </c>
      <c r="AA56" s="39">
        <v>160388.57</v>
      </c>
      <c r="AB56" s="39">
        <f t="shared" si="8"/>
        <v>6679888.5700000003</v>
      </c>
      <c r="AC56" s="50">
        <f>0.5*(Z56+AI56)</f>
        <v>6825146.9299999997</v>
      </c>
      <c r="AD56" s="39">
        <v>166217.07999999999</v>
      </c>
      <c r="AE56" s="50">
        <f t="shared" si="9"/>
        <v>6991364.0099999998</v>
      </c>
      <c r="AF56" s="50">
        <f>0.5*(Z56+AI56)</f>
        <v>6825146.9299999997</v>
      </c>
      <c r="AG56" s="39">
        <v>173355.32</v>
      </c>
      <c r="AH56" s="102">
        <f t="shared" si="10"/>
        <v>6998502.25</v>
      </c>
      <c r="AI56" s="39">
        <v>7130793.8600000003</v>
      </c>
      <c r="AJ56" s="39">
        <v>180577.32</v>
      </c>
      <c r="AK56" s="39">
        <f t="shared" si="11"/>
        <v>7311371.1800000006</v>
      </c>
      <c r="AL56" s="39">
        <v>7465325.1299999999</v>
      </c>
      <c r="AM56" s="39">
        <v>7424256</v>
      </c>
      <c r="AN56" s="39">
        <v>7490623.0599999996</v>
      </c>
      <c r="AO56" s="39">
        <v>7654388.9299999997</v>
      </c>
      <c r="AP56" s="39">
        <v>7830388.9299999997</v>
      </c>
      <c r="AQ56" s="39">
        <v>8015388.9299999997</v>
      </c>
      <c r="AR56" s="39">
        <v>8201174.5599999996</v>
      </c>
      <c r="AS56" s="39">
        <v>8246503.7399999993</v>
      </c>
      <c r="AT56" s="39">
        <v>8470773.3699999992</v>
      </c>
      <c r="AU56" s="39">
        <v>8695332.3699999992</v>
      </c>
      <c r="AV56" s="39">
        <v>8919871.3699999992</v>
      </c>
      <c r="AW56" s="39">
        <v>9143974.3699999992</v>
      </c>
      <c r="AX56" s="39">
        <v>5568364.6199999992</v>
      </c>
      <c r="AY56" s="39">
        <v>5749487.6200000001</v>
      </c>
      <c r="AZ56" s="39">
        <v>5934354.6200000001</v>
      </c>
      <c r="BA56" s="39">
        <v>6119222</v>
      </c>
      <c r="BB56" s="39">
        <v>6240295.8600000003</v>
      </c>
      <c r="BC56" s="39">
        <v>6404358.4900000002</v>
      </c>
      <c r="BD56" s="39">
        <v>6568474.9000000004</v>
      </c>
      <c r="BE56" s="99">
        <v>6722133.6900000004</v>
      </c>
    </row>
    <row r="57" spans="1:57" x14ac:dyDescent="0.2">
      <c r="A57" s="45" t="s">
        <v>85</v>
      </c>
      <c r="B57" s="38" t="s">
        <v>33</v>
      </c>
      <c r="C57" s="39">
        <v>2122805.415</v>
      </c>
      <c r="D57" s="41">
        <f t="shared" si="0"/>
        <v>2122805.415</v>
      </c>
      <c r="E57" s="39" t="s">
        <v>33</v>
      </c>
      <c r="F57" s="39">
        <v>2352685.2774999999</v>
      </c>
      <c r="G57" s="41">
        <f t="shared" si="1"/>
        <v>2352685.2774999999</v>
      </c>
      <c r="H57" s="39" t="s">
        <v>33</v>
      </c>
      <c r="I57" s="39">
        <v>2208136.6925000004</v>
      </c>
      <c r="J57" s="41">
        <f t="shared" si="2"/>
        <v>2208136.6925000004</v>
      </c>
      <c r="K57" s="39" t="s">
        <v>33</v>
      </c>
      <c r="L57" s="39">
        <v>2265015.77</v>
      </c>
      <c r="M57" s="41">
        <f t="shared" si="3"/>
        <v>2265015.77</v>
      </c>
      <c r="N57" s="39" t="s">
        <v>33</v>
      </c>
      <c r="O57" s="39">
        <v>2475931.7675000001</v>
      </c>
      <c r="P57" s="41">
        <f t="shared" si="4"/>
        <v>2475931.7675000001</v>
      </c>
      <c r="Q57" s="39" t="s">
        <v>33</v>
      </c>
      <c r="R57" s="39">
        <v>1078963.9624999999</v>
      </c>
      <c r="S57" s="41">
        <f t="shared" si="5"/>
        <v>1078963.9624999999</v>
      </c>
      <c r="T57" s="39" t="s">
        <v>33</v>
      </c>
      <c r="U57" s="39">
        <v>273179.66500000004</v>
      </c>
      <c r="V57" s="41">
        <f t="shared" si="6"/>
        <v>273179.66500000004</v>
      </c>
      <c r="W57" s="39" t="s">
        <v>33</v>
      </c>
      <c r="X57" s="39">
        <v>172699.87</v>
      </c>
      <c r="Y57" s="41">
        <f t="shared" si="7"/>
        <v>172699.87</v>
      </c>
      <c r="Z57" s="39" t="s">
        <v>33</v>
      </c>
      <c r="AA57" s="39">
        <v>252871.3</v>
      </c>
      <c r="AB57" s="41">
        <f t="shared" si="8"/>
        <v>252871.3</v>
      </c>
      <c r="AC57" s="39" t="s">
        <v>33</v>
      </c>
      <c r="AD57" s="39">
        <v>320109.45</v>
      </c>
      <c r="AE57" s="41">
        <f t="shared" si="9"/>
        <v>320109.45</v>
      </c>
      <c r="AF57" s="39" t="s">
        <v>33</v>
      </c>
      <c r="AG57" s="39">
        <v>379123.8</v>
      </c>
      <c r="AH57" s="41">
        <f t="shared" si="10"/>
        <v>379123.8</v>
      </c>
      <c r="AI57" s="39" t="s">
        <v>33</v>
      </c>
      <c r="AJ57" s="39">
        <v>434740.62</v>
      </c>
      <c r="AK57" s="41">
        <f t="shared" si="11"/>
        <v>434740.62</v>
      </c>
      <c r="AL57" s="39">
        <v>494631.72</v>
      </c>
      <c r="AM57" s="39">
        <v>554691.63</v>
      </c>
      <c r="AN57" s="39">
        <v>749501.29</v>
      </c>
      <c r="AO57" s="39">
        <v>654354.96</v>
      </c>
      <c r="AP57" s="39">
        <v>704354.96</v>
      </c>
      <c r="AQ57" s="39">
        <v>730854.96</v>
      </c>
      <c r="AR57" s="39">
        <v>781386.68</v>
      </c>
      <c r="AS57" s="39">
        <v>0</v>
      </c>
      <c r="AT57" s="39">
        <v>0</v>
      </c>
      <c r="AU57" s="39">
        <v>0</v>
      </c>
      <c r="AV57" s="39">
        <v>0</v>
      </c>
      <c r="AW57" s="39">
        <v>0</v>
      </c>
      <c r="AX57" s="39">
        <v>0</v>
      </c>
      <c r="AY57" s="39">
        <v>0</v>
      </c>
      <c r="AZ57" s="39">
        <v>0</v>
      </c>
      <c r="BA57" s="39">
        <v>0</v>
      </c>
      <c r="BB57" s="39">
        <v>0</v>
      </c>
      <c r="BC57" s="39">
        <v>0</v>
      </c>
      <c r="BD57" s="39">
        <v>0</v>
      </c>
      <c r="BE57" s="99"/>
    </row>
    <row r="58" spans="1:57" x14ac:dyDescent="0.2">
      <c r="A58" s="45" t="s">
        <v>70</v>
      </c>
      <c r="B58" s="85">
        <v>2123100</v>
      </c>
      <c r="C58" s="119" t="s">
        <v>33</v>
      </c>
      <c r="D58" s="41">
        <f t="shared" si="0"/>
        <v>2123100</v>
      </c>
      <c r="E58" s="39">
        <v>2311600</v>
      </c>
      <c r="F58" s="119" t="s">
        <v>33</v>
      </c>
      <c r="G58" s="41">
        <f t="shared" si="1"/>
        <v>2311600</v>
      </c>
      <c r="H58" s="39">
        <v>2502900</v>
      </c>
      <c r="I58" s="119" t="s">
        <v>33</v>
      </c>
      <c r="J58" s="41">
        <f t="shared" si="2"/>
        <v>2502900</v>
      </c>
      <c r="K58" s="39">
        <v>2716500</v>
      </c>
      <c r="L58" s="119" t="s">
        <v>33</v>
      </c>
      <c r="M58" s="41">
        <f t="shared" si="3"/>
        <v>2716500</v>
      </c>
      <c r="N58" s="39">
        <v>2930500</v>
      </c>
      <c r="O58" s="119" t="s">
        <v>33</v>
      </c>
      <c r="P58" s="41">
        <f t="shared" si="4"/>
        <v>2930500</v>
      </c>
      <c r="Q58" s="39">
        <v>3144400</v>
      </c>
      <c r="R58" s="119" t="s">
        <v>33</v>
      </c>
      <c r="S58" s="41">
        <f t="shared" si="5"/>
        <v>3144400</v>
      </c>
      <c r="T58" s="39">
        <v>3370600</v>
      </c>
      <c r="U58" s="119" t="s">
        <v>33</v>
      </c>
      <c r="V58" s="41">
        <f t="shared" si="6"/>
        <v>3370600</v>
      </c>
      <c r="W58" s="39">
        <v>3597200</v>
      </c>
      <c r="X58" s="119" t="s">
        <v>33</v>
      </c>
      <c r="Y58" s="41">
        <f t="shared" si="7"/>
        <v>3597200</v>
      </c>
      <c r="Z58" s="39">
        <v>3823800</v>
      </c>
      <c r="AA58" s="119" t="s">
        <v>33</v>
      </c>
      <c r="AB58" s="41">
        <f t="shared" si="8"/>
        <v>3823800</v>
      </c>
      <c r="AC58" s="39">
        <v>4050000</v>
      </c>
      <c r="AD58" s="119" t="s">
        <v>33</v>
      </c>
      <c r="AE58" s="41">
        <f t="shared" si="9"/>
        <v>4050000</v>
      </c>
      <c r="AF58" s="39">
        <v>4324000</v>
      </c>
      <c r="AG58" s="119" t="s">
        <v>33</v>
      </c>
      <c r="AH58" s="41">
        <f t="shared" si="10"/>
        <v>4324000</v>
      </c>
      <c r="AI58" s="39">
        <v>4597758.7300000004</v>
      </c>
      <c r="AJ58" s="119" t="s">
        <v>33</v>
      </c>
      <c r="AK58" s="41">
        <f t="shared" si="11"/>
        <v>4597758.7300000004</v>
      </c>
      <c r="AL58" s="39">
        <v>4871450</v>
      </c>
      <c r="AM58" s="39">
        <v>5145142</v>
      </c>
      <c r="AN58" s="39">
        <v>2935187.55</v>
      </c>
      <c r="AO58" s="39">
        <v>3325950.89</v>
      </c>
      <c r="AP58" s="39">
        <v>3733950.89</v>
      </c>
      <c r="AQ58" s="39">
        <v>4177950.89</v>
      </c>
      <c r="AR58" s="39">
        <v>4644998.7300000004</v>
      </c>
      <c r="AS58" s="39">
        <v>11781479.120000001</v>
      </c>
      <c r="AT58" s="39">
        <v>12182293.780000001</v>
      </c>
      <c r="AU58" s="39">
        <v>12330097.25</v>
      </c>
      <c r="AV58" s="39">
        <v>12812351.949999999</v>
      </c>
      <c r="AW58" s="39">
        <v>13295451.49</v>
      </c>
      <c r="AX58" s="39">
        <v>14600710.77</v>
      </c>
      <c r="AY58" s="39">
        <v>14987522.939999999</v>
      </c>
      <c r="AZ58" s="39">
        <v>15426776.41</v>
      </c>
      <c r="BA58" s="39">
        <v>15926668.76</v>
      </c>
      <c r="BB58" s="39">
        <f>10885572.62+75710.16</f>
        <v>10961282.779999999</v>
      </c>
      <c r="BC58" s="39">
        <f>11433676.37+115693.25</f>
        <v>11549369.619999999</v>
      </c>
      <c r="BD58" s="39">
        <f>12230785.94+162255.85</f>
        <v>12393041.789999999</v>
      </c>
      <c r="BE58" s="99">
        <f>13053995.42+213751.85</f>
        <v>13267747.27</v>
      </c>
    </row>
    <row r="59" spans="1:57" x14ac:dyDescent="0.2">
      <c r="A59" s="45" t="s">
        <v>86</v>
      </c>
      <c r="B59" s="38" t="s">
        <v>33</v>
      </c>
      <c r="C59" s="39">
        <v>16415511.960000001</v>
      </c>
      <c r="D59" s="41">
        <f t="shared" si="0"/>
        <v>16415511.960000001</v>
      </c>
      <c r="E59" s="39" t="s">
        <v>33</v>
      </c>
      <c r="F59" s="39">
        <v>18593394.502500001</v>
      </c>
      <c r="G59" s="41">
        <f t="shared" si="1"/>
        <v>18593394.502500001</v>
      </c>
      <c r="H59" s="39" t="s">
        <v>33</v>
      </c>
      <c r="I59" s="39">
        <v>20836431.375</v>
      </c>
      <c r="J59" s="41">
        <f t="shared" si="2"/>
        <v>20836431.375</v>
      </c>
      <c r="K59" s="39" t="s">
        <v>33</v>
      </c>
      <c r="L59" s="39">
        <v>23826913.800000004</v>
      </c>
      <c r="M59" s="41">
        <f t="shared" si="3"/>
        <v>23826913.800000004</v>
      </c>
      <c r="N59" s="39" t="s">
        <v>33</v>
      </c>
      <c r="O59" s="39">
        <v>27949053.965000007</v>
      </c>
      <c r="P59" s="41">
        <f t="shared" si="4"/>
        <v>27949053.965000007</v>
      </c>
      <c r="Q59" s="39">
        <v>125100</v>
      </c>
      <c r="R59" s="39">
        <v>32314373.985000007</v>
      </c>
      <c r="S59" s="39">
        <f t="shared" si="5"/>
        <v>32439473.985000007</v>
      </c>
      <c r="T59" s="39">
        <v>471200</v>
      </c>
      <c r="U59" s="39">
        <v>38034466.642500006</v>
      </c>
      <c r="V59" s="39">
        <f t="shared" si="6"/>
        <v>38505666.642500006</v>
      </c>
      <c r="W59" s="39">
        <v>853000</v>
      </c>
      <c r="X59" s="39">
        <v>44981248.20000001</v>
      </c>
      <c r="Y59" s="39">
        <f t="shared" si="7"/>
        <v>45834248.20000001</v>
      </c>
      <c r="Z59" s="39">
        <v>1214100</v>
      </c>
      <c r="AA59" s="39">
        <v>54205550.032500014</v>
      </c>
      <c r="AB59" s="39">
        <f t="shared" si="8"/>
        <v>55419650.032500014</v>
      </c>
      <c r="AC59" s="39">
        <v>1581000</v>
      </c>
      <c r="AD59" s="39">
        <v>63919956.387500003</v>
      </c>
      <c r="AE59" s="39">
        <f t="shared" si="9"/>
        <v>65500956.387500003</v>
      </c>
      <c r="AF59" s="39">
        <v>2013000</v>
      </c>
      <c r="AG59" s="39">
        <v>73991435.850000024</v>
      </c>
      <c r="AH59" s="39">
        <f t="shared" si="10"/>
        <v>76004435.850000024</v>
      </c>
      <c r="AI59" s="39">
        <v>2445389.29</v>
      </c>
      <c r="AJ59" s="39">
        <v>85137589.850000039</v>
      </c>
      <c r="AK59" s="39">
        <f t="shared" si="11"/>
        <v>87582979.140000045</v>
      </c>
      <c r="AL59" s="39">
        <v>99274074.109999999</v>
      </c>
      <c r="AM59" s="39">
        <v>110460275.42</v>
      </c>
      <c r="AN59" s="39">
        <v>124012275.95999999</v>
      </c>
      <c r="AO59" s="39">
        <v>137213895.90000001</v>
      </c>
      <c r="AP59" s="39">
        <v>152856895.90000001</v>
      </c>
      <c r="AQ59" s="39">
        <v>169132895.90000001</v>
      </c>
      <c r="AR59" s="39">
        <v>187995974.89999998</v>
      </c>
      <c r="AS59" s="39">
        <v>202811274.47</v>
      </c>
      <c r="AT59" s="39">
        <v>218487569.33999997</v>
      </c>
      <c r="AU59" s="39">
        <v>234203159.05000001</v>
      </c>
      <c r="AV59" s="39">
        <v>249126339.94999999</v>
      </c>
      <c r="AW59" s="39">
        <v>264733278.5</v>
      </c>
      <c r="AX59" s="39">
        <v>275336108.83999997</v>
      </c>
      <c r="AY59" s="39">
        <v>283654485.48000002</v>
      </c>
      <c r="AZ59" s="39">
        <v>304300620.49000001</v>
      </c>
      <c r="BA59" s="39">
        <v>318595878.58999997</v>
      </c>
      <c r="BB59" s="39">
        <f>342211040.15-74403+723946.24</f>
        <v>342860583.38999999</v>
      </c>
      <c r="BC59" s="39">
        <f>361825459.48-97979+1054534.12</f>
        <v>362782014.60000002</v>
      </c>
      <c r="BD59" s="39">
        <f>384428225.9-121555+1409326.64+7606584.97</f>
        <v>393322582.50999999</v>
      </c>
      <c r="BE59" s="99">
        <f>409114000.81-145131+1770158.24</f>
        <v>410739028.05000001</v>
      </c>
    </row>
    <row r="60" spans="1:57" x14ac:dyDescent="0.2">
      <c r="A60" s="103" t="s">
        <v>72</v>
      </c>
      <c r="B60" s="38"/>
      <c r="C60" s="39"/>
      <c r="D60" s="41"/>
      <c r="E60" s="39"/>
      <c r="F60" s="39"/>
      <c r="G60" s="41"/>
      <c r="H60" s="39"/>
      <c r="I60" s="39"/>
      <c r="J60" s="41"/>
      <c r="K60" s="39"/>
      <c r="L60" s="39"/>
      <c r="M60" s="41"/>
      <c r="N60" s="39"/>
      <c r="O60" s="39"/>
      <c r="P60" s="41"/>
      <c r="Q60" s="39"/>
      <c r="R60" s="39"/>
      <c r="S60" s="39"/>
      <c r="T60" s="39"/>
      <c r="U60" s="39"/>
      <c r="V60" s="39"/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39"/>
      <c r="AI60" s="39"/>
      <c r="AJ60" s="39"/>
      <c r="AK60" s="39"/>
      <c r="AL60" s="39"/>
      <c r="AM60" s="39"/>
      <c r="AN60" s="39"/>
      <c r="AO60" s="39"/>
      <c r="AP60" s="39"/>
      <c r="AQ60" s="39"/>
      <c r="AR60" s="39"/>
      <c r="AS60" s="39"/>
      <c r="AT60" s="39"/>
      <c r="AU60" s="39"/>
      <c r="AV60" s="42">
        <v>54386531</v>
      </c>
      <c r="AW60" s="42">
        <v>58515210.810000002</v>
      </c>
      <c r="AX60" s="42">
        <v>64226046.419999994</v>
      </c>
      <c r="AY60" s="42">
        <v>69653375.040000007</v>
      </c>
      <c r="AZ60" s="39">
        <v>77279970.629999995</v>
      </c>
      <c r="BA60" s="39">
        <v>83204797.75999999</v>
      </c>
      <c r="BB60" s="39">
        <f>91108408.72-25957.91</f>
        <v>91082450.810000002</v>
      </c>
      <c r="BC60" s="39">
        <f>99963745-33813.91</f>
        <v>99929931.090000004</v>
      </c>
      <c r="BD60" s="39">
        <f>109563482.5-41669.91+7606584.97</f>
        <v>117128397.56</v>
      </c>
      <c r="BE60" s="99">
        <f>125906975.52-49525.91</f>
        <v>125857449.61</v>
      </c>
    </row>
    <row r="61" spans="1:57" x14ac:dyDescent="0.2">
      <c r="A61" s="103" t="s">
        <v>73</v>
      </c>
      <c r="B61" s="38"/>
      <c r="C61" s="39"/>
      <c r="D61" s="41"/>
      <c r="E61" s="39"/>
      <c r="F61" s="39"/>
      <c r="G61" s="41"/>
      <c r="H61" s="39"/>
      <c r="I61" s="39"/>
      <c r="J61" s="41"/>
      <c r="K61" s="39"/>
      <c r="L61" s="39"/>
      <c r="M61" s="41"/>
      <c r="N61" s="39"/>
      <c r="O61" s="39"/>
      <c r="P61" s="41"/>
      <c r="Q61" s="39"/>
      <c r="R61" s="39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/>
      <c r="AO61" s="39"/>
      <c r="AP61" s="39"/>
      <c r="AQ61" s="39"/>
      <c r="AR61" s="39"/>
      <c r="AS61" s="39"/>
      <c r="AT61" s="39"/>
      <c r="AU61" s="39"/>
      <c r="AV61" s="106">
        <f t="shared" ref="AV61:BE61" si="26">AV60/AV59</f>
        <v>0.21830903553159195</v>
      </c>
      <c r="AW61" s="106">
        <f t="shared" si="26"/>
        <v>0.22103458674161361</v>
      </c>
      <c r="AX61" s="106">
        <f t="shared" si="26"/>
        <v>0.23326416099430775</v>
      </c>
      <c r="AY61" s="106">
        <f t="shared" si="26"/>
        <v>0.24555710769788319</v>
      </c>
      <c r="AZ61" s="106">
        <f t="shared" si="26"/>
        <v>0.25395929362733449</v>
      </c>
      <c r="BA61" s="106">
        <f t="shared" si="26"/>
        <v>0.26116093569143745</v>
      </c>
      <c r="BB61" s="106">
        <f t="shared" si="26"/>
        <v>0.26565448238298878</v>
      </c>
      <c r="BC61" s="106">
        <f t="shared" si="26"/>
        <v>0.27545447973814741</v>
      </c>
      <c r="BD61" s="106">
        <f t="shared" si="26"/>
        <v>0.29779220102883891</v>
      </c>
      <c r="BE61" s="106">
        <f t="shared" si="26"/>
        <v>0.30641707024412385</v>
      </c>
    </row>
    <row r="62" spans="1:57" x14ac:dyDescent="0.2">
      <c r="A62" s="103" t="s">
        <v>87</v>
      </c>
      <c r="B62" s="38"/>
      <c r="C62" s="39"/>
      <c r="D62" s="41"/>
      <c r="E62" s="39"/>
      <c r="F62" s="39"/>
      <c r="G62" s="41"/>
      <c r="H62" s="39"/>
      <c r="I62" s="39"/>
      <c r="J62" s="41"/>
      <c r="K62" s="39"/>
      <c r="L62" s="39"/>
      <c r="M62" s="41"/>
      <c r="N62" s="39"/>
      <c r="O62" s="39"/>
      <c r="P62" s="41"/>
      <c r="Q62" s="39"/>
      <c r="R62" s="39"/>
      <c r="S62" s="39"/>
      <c r="T62" s="39"/>
      <c r="U62" s="39"/>
      <c r="V62" s="39"/>
      <c r="W62" s="39"/>
      <c r="X62" s="39"/>
      <c r="Y62" s="39"/>
      <c r="Z62" s="39"/>
      <c r="AA62" s="39"/>
      <c r="AB62" s="39"/>
      <c r="AC62" s="39"/>
      <c r="AD62" s="39"/>
      <c r="AE62" s="39"/>
      <c r="AF62" s="39"/>
      <c r="AG62" s="39"/>
      <c r="AH62" s="39"/>
      <c r="AI62" s="39"/>
      <c r="AJ62" s="39"/>
      <c r="AK62" s="39"/>
      <c r="AL62" s="39"/>
      <c r="AM62" s="39"/>
      <c r="AN62" s="39"/>
      <c r="AO62" s="39"/>
      <c r="AP62" s="39"/>
      <c r="AQ62" s="39"/>
      <c r="AR62" s="39"/>
      <c r="AS62" s="39"/>
      <c r="AT62" s="39"/>
      <c r="AU62" s="39"/>
      <c r="AV62" s="120">
        <f t="shared" ref="AV62:BD62" si="27">AV44*AV59</f>
        <v>67424321.682641938</v>
      </c>
      <c r="AW62" s="120">
        <f t="shared" si="27"/>
        <v>84172760.677864954</v>
      </c>
      <c r="AX62" s="120">
        <f t="shared" si="27"/>
        <v>106566633.41848686</v>
      </c>
      <c r="AY62" s="120">
        <f t="shared" si="27"/>
        <v>109784076.83781038</v>
      </c>
      <c r="AZ62" s="39">
        <f t="shared" si="27"/>
        <v>116958912.42484483</v>
      </c>
      <c r="BA62" s="39">
        <f t="shared" si="27"/>
        <v>121412896.85368927</v>
      </c>
      <c r="BB62" s="39">
        <f t="shared" si="27"/>
        <v>131224797.66839425</v>
      </c>
      <c r="BC62" s="39">
        <f t="shared" si="27"/>
        <v>140433461.28766885</v>
      </c>
      <c r="BD62" s="39">
        <f t="shared" si="27"/>
        <v>165760384.2306129</v>
      </c>
      <c r="BE62" s="39">
        <f>BE44*BE59</f>
        <v>168553008.4186388</v>
      </c>
    </row>
    <row r="63" spans="1:57" x14ac:dyDescent="0.2">
      <c r="A63" s="103" t="s">
        <v>74</v>
      </c>
      <c r="B63" s="38"/>
      <c r="C63" s="39"/>
      <c r="D63" s="41"/>
      <c r="E63" s="39"/>
      <c r="F63" s="39"/>
      <c r="G63" s="41"/>
      <c r="H63" s="39"/>
      <c r="I63" s="39"/>
      <c r="J63" s="41"/>
      <c r="K63" s="39"/>
      <c r="L63" s="39"/>
      <c r="M63" s="41"/>
      <c r="N63" s="39"/>
      <c r="O63" s="39"/>
      <c r="P63" s="41"/>
      <c r="Q63" s="39"/>
      <c r="R63" s="39"/>
      <c r="S63" s="39"/>
      <c r="T63" s="39"/>
      <c r="U63" s="39"/>
      <c r="V63" s="39"/>
      <c r="W63" s="39"/>
      <c r="X63" s="39"/>
      <c r="Y63" s="39"/>
      <c r="Z63" s="39"/>
      <c r="AA63" s="39"/>
      <c r="AB63" s="39"/>
      <c r="AC63" s="39"/>
      <c r="AD63" s="39"/>
      <c r="AE63" s="39"/>
      <c r="AF63" s="39"/>
      <c r="AG63" s="39"/>
      <c r="AH63" s="39"/>
      <c r="AI63" s="39"/>
      <c r="AJ63" s="39"/>
      <c r="AK63" s="39"/>
      <c r="AL63" s="39"/>
      <c r="AM63" s="39"/>
      <c r="AN63" s="107">
        <f t="shared" ref="AN63:AU63" si="28">AN44*AN59</f>
        <v>33483314.509199999</v>
      </c>
      <c r="AO63" s="107">
        <f t="shared" si="28"/>
        <v>37047751.893000007</v>
      </c>
      <c r="AP63" s="107">
        <f t="shared" si="28"/>
        <v>41271361.893000007</v>
      </c>
      <c r="AQ63" s="107">
        <f t="shared" si="28"/>
        <v>45665881.893000007</v>
      </c>
      <c r="AR63" s="107">
        <f t="shared" si="28"/>
        <v>50758913.222999997</v>
      </c>
      <c r="AS63" s="107">
        <f t="shared" si="28"/>
        <v>54759044.106900007</v>
      </c>
      <c r="AT63" s="107">
        <f t="shared" si="28"/>
        <v>58991643.721799999</v>
      </c>
      <c r="AU63" s="107">
        <f t="shared" si="28"/>
        <v>63234852.943500005</v>
      </c>
      <c r="AV63" s="120"/>
      <c r="AW63" s="120"/>
      <c r="AX63" s="120"/>
      <c r="AY63" s="120"/>
      <c r="BE63" s="114"/>
    </row>
    <row r="64" spans="1:57" x14ac:dyDescent="0.2">
      <c r="A64" s="45" t="s">
        <v>88</v>
      </c>
      <c r="B64" s="38" t="s">
        <v>33</v>
      </c>
      <c r="C64" s="39">
        <v>54183132.732500024</v>
      </c>
      <c r="D64" s="41">
        <f t="shared" si="0"/>
        <v>54183132.732500024</v>
      </c>
      <c r="E64" s="39" t="s">
        <v>33</v>
      </c>
      <c r="F64" s="39">
        <v>58808806.942500025</v>
      </c>
      <c r="G64" s="41">
        <f t="shared" si="1"/>
        <v>58808806.942500025</v>
      </c>
      <c r="H64" s="39" t="s">
        <v>33</v>
      </c>
      <c r="I64" s="39">
        <v>63917811.56500002</v>
      </c>
      <c r="J64" s="41">
        <f t="shared" si="2"/>
        <v>63917811.56500002</v>
      </c>
      <c r="K64" s="39" t="s">
        <v>33</v>
      </c>
      <c r="L64" s="39">
        <v>70145210.885000035</v>
      </c>
      <c r="M64" s="41">
        <f t="shared" si="3"/>
        <v>70145210.885000035</v>
      </c>
      <c r="N64" s="39" t="s">
        <v>33</v>
      </c>
      <c r="O64" s="39">
        <v>76485647.892500028</v>
      </c>
      <c r="P64" s="41">
        <f t="shared" si="4"/>
        <v>76485647.892500028</v>
      </c>
      <c r="Q64" s="39" t="s">
        <v>33</v>
      </c>
      <c r="R64" s="39">
        <v>86774748.967500031</v>
      </c>
      <c r="S64" s="41">
        <f t="shared" si="5"/>
        <v>86774748.967500031</v>
      </c>
      <c r="T64" s="39" t="s">
        <v>33</v>
      </c>
      <c r="U64" s="39">
        <v>100612681.37250003</v>
      </c>
      <c r="V64" s="41">
        <f t="shared" si="6"/>
        <v>100612681.37250003</v>
      </c>
      <c r="W64" s="39" t="s">
        <v>33</v>
      </c>
      <c r="X64" s="39">
        <v>116319213.25750004</v>
      </c>
      <c r="Y64" s="41">
        <f t="shared" si="7"/>
        <v>116319213.25750004</v>
      </c>
      <c r="Z64" s="39" t="s">
        <v>33</v>
      </c>
      <c r="AA64" s="39">
        <v>144995791.43500003</v>
      </c>
      <c r="AB64" s="41">
        <f t="shared" si="8"/>
        <v>144995791.43500003</v>
      </c>
      <c r="AC64" s="39" t="s">
        <v>33</v>
      </c>
      <c r="AD64" s="39">
        <v>167968233.12</v>
      </c>
      <c r="AE64" s="41">
        <f t="shared" si="9"/>
        <v>167968233.12</v>
      </c>
      <c r="AF64" s="39" t="s">
        <v>33</v>
      </c>
      <c r="AG64" s="39">
        <v>187963880.31</v>
      </c>
      <c r="AH64" s="41">
        <f t="shared" si="10"/>
        <v>187963880.31</v>
      </c>
      <c r="AI64" s="39" t="s">
        <v>33</v>
      </c>
      <c r="AJ64" s="39">
        <v>205980661.67000002</v>
      </c>
      <c r="AK64" s="41">
        <f t="shared" si="11"/>
        <v>205980661.67000002</v>
      </c>
      <c r="AL64" s="39">
        <v>229765540.81</v>
      </c>
      <c r="AM64" s="39">
        <v>253939028.38</v>
      </c>
      <c r="AN64" s="39">
        <v>274026217.65999997</v>
      </c>
      <c r="AO64" s="39">
        <v>299661899.80000001</v>
      </c>
      <c r="AP64" s="39">
        <v>325117899.80000001</v>
      </c>
      <c r="AQ64" s="39">
        <v>350900899.80000001</v>
      </c>
      <c r="AR64" s="39">
        <v>373092258.27999997</v>
      </c>
      <c r="AS64" s="39">
        <v>394440257.61000007</v>
      </c>
      <c r="AT64" s="39">
        <v>416138354.13</v>
      </c>
      <c r="AU64" s="39">
        <v>445367735.59000003</v>
      </c>
      <c r="AV64" s="39">
        <v>478871144.9000001</v>
      </c>
      <c r="AW64" s="39">
        <v>516825817.07999998</v>
      </c>
      <c r="AX64" s="39">
        <v>540241996.64999998</v>
      </c>
      <c r="AY64" s="39">
        <v>581696881.79999995</v>
      </c>
      <c r="AZ64" s="39">
        <v>623688497.12999988</v>
      </c>
      <c r="BA64" s="39">
        <v>665650451.63</v>
      </c>
      <c r="BB64" s="39">
        <f>705146449.06-456818.96+1632198.16</f>
        <v>706321828.25999987</v>
      </c>
      <c r="BC64" s="39">
        <f>737671292.91-647406.96+2855464.04</f>
        <v>739879349.98999989</v>
      </c>
      <c r="BD64" s="39">
        <f>786953676.33-825131.01+4747715.67</f>
        <v>790876260.99000001</v>
      </c>
      <c r="BE64" s="99">
        <f>841301526.08-1052607.66+7248266.09</f>
        <v>847497184.51000011</v>
      </c>
    </row>
    <row r="65" spans="1:57" x14ac:dyDescent="0.2">
      <c r="A65" s="45" t="s">
        <v>89</v>
      </c>
      <c r="B65" s="85">
        <v>48952100</v>
      </c>
      <c r="C65" s="39">
        <v>106270407.44500002</v>
      </c>
      <c r="D65" s="39">
        <f t="shared" si="0"/>
        <v>155222507.44500002</v>
      </c>
      <c r="E65" s="39">
        <v>55767200</v>
      </c>
      <c r="F65" s="39">
        <v>119740899.49250001</v>
      </c>
      <c r="G65" s="39">
        <f t="shared" si="1"/>
        <v>175508099.49250001</v>
      </c>
      <c r="H65" s="39">
        <v>69658400</v>
      </c>
      <c r="I65" s="39">
        <v>135009517.43750003</v>
      </c>
      <c r="J65" s="39">
        <f t="shared" si="2"/>
        <v>204667917.43750003</v>
      </c>
      <c r="K65" s="39">
        <v>79968300</v>
      </c>
      <c r="L65" s="39">
        <v>151055194.25250003</v>
      </c>
      <c r="M65" s="39">
        <f t="shared" si="3"/>
        <v>231023494.25250003</v>
      </c>
      <c r="N65" s="39">
        <v>89044000</v>
      </c>
      <c r="O65" s="39">
        <v>170218565.71500003</v>
      </c>
      <c r="P65" s="39">
        <f t="shared" si="4"/>
        <v>259262565.71500003</v>
      </c>
      <c r="Q65" s="39">
        <v>98906300</v>
      </c>
      <c r="R65" s="39">
        <v>191055974.28500003</v>
      </c>
      <c r="S65" s="39">
        <f t="shared" si="5"/>
        <v>289962274.28500003</v>
      </c>
      <c r="T65" s="39">
        <v>110532300</v>
      </c>
      <c r="U65" s="39">
        <v>214183006.89250001</v>
      </c>
      <c r="V65" s="39">
        <f t="shared" si="6"/>
        <v>324715306.89250004</v>
      </c>
      <c r="W65" s="39">
        <v>123872000</v>
      </c>
      <c r="X65" s="39">
        <v>236988949.09000003</v>
      </c>
      <c r="Y65" s="39">
        <f t="shared" si="7"/>
        <v>360860949.09000003</v>
      </c>
      <c r="Z65" s="39">
        <v>136692000</v>
      </c>
      <c r="AA65" s="39">
        <v>275769965.42250007</v>
      </c>
      <c r="AB65" s="39">
        <f t="shared" si="8"/>
        <v>412461965.42250007</v>
      </c>
      <c r="AC65" s="39">
        <v>150135000</v>
      </c>
      <c r="AD65" s="39">
        <v>309032010.68000001</v>
      </c>
      <c r="AE65" s="39">
        <f t="shared" si="9"/>
        <v>459167010.68000001</v>
      </c>
      <c r="AF65" s="39">
        <v>162325000</v>
      </c>
      <c r="AG65" s="39">
        <v>340146293.87000012</v>
      </c>
      <c r="AH65" s="39">
        <f t="shared" si="10"/>
        <v>502471293.87000012</v>
      </c>
      <c r="AI65" s="39">
        <v>187022705.00999999</v>
      </c>
      <c r="AJ65" s="39">
        <v>372851012.96000016</v>
      </c>
      <c r="AK65" s="39">
        <f t="shared" si="11"/>
        <v>559873717.97000015</v>
      </c>
      <c r="AL65" s="39">
        <v>616319361.75</v>
      </c>
      <c r="AM65" s="39">
        <v>679018202.77999997</v>
      </c>
      <c r="AN65" s="39">
        <v>704026392.12000012</v>
      </c>
      <c r="AO65" s="39">
        <v>770309546.16999996</v>
      </c>
      <c r="AP65" s="39">
        <v>840012546.16999996</v>
      </c>
      <c r="AQ65" s="39">
        <v>911656546.16999996</v>
      </c>
      <c r="AR65" s="39">
        <v>952117449.30000007</v>
      </c>
      <c r="AS65" s="39">
        <v>1026502951.6700001</v>
      </c>
      <c r="AT65" s="39">
        <v>1102162417.8200002</v>
      </c>
      <c r="AU65" s="39">
        <v>1179342555.3799999</v>
      </c>
      <c r="AV65" s="39">
        <v>1250411052.2900002</v>
      </c>
      <c r="AW65" s="39">
        <v>1328856135.6200001</v>
      </c>
      <c r="AX65" s="39">
        <v>1405810493.2700002</v>
      </c>
      <c r="AY65" s="39">
        <v>1485857716.74</v>
      </c>
      <c r="AZ65" s="39">
        <v>1575992083.0800002</v>
      </c>
      <c r="BA65" s="39">
        <v>1664372579.4099998</v>
      </c>
      <c r="BB65" s="39">
        <f>1699396477-3712769+6012933.76+2539973.16</f>
        <v>1704236614.9200001</v>
      </c>
      <c r="BC65" s="39">
        <f>1779478756.55-5878912.03+9332280.7+4073167.46</f>
        <v>1787005292.6800001</v>
      </c>
      <c r="BD65" s="39">
        <f>1858698500.44-8578810.06+13327559.59+5972292.42</f>
        <v>1869419542.3900001</v>
      </c>
      <c r="BE65" s="99">
        <f>1955131912.1-11888535.12+18015637.3+8467421.26</f>
        <v>1969726435.54</v>
      </c>
    </row>
    <row r="66" spans="1:57" x14ac:dyDescent="0.2">
      <c r="A66" s="45" t="s">
        <v>90</v>
      </c>
      <c r="B66" s="85">
        <v>19490800</v>
      </c>
      <c r="C66" s="39">
        <v>53265370.207499996</v>
      </c>
      <c r="D66" s="39">
        <f t="shared" si="0"/>
        <v>72756170.207499996</v>
      </c>
      <c r="E66" s="39">
        <v>21463700</v>
      </c>
      <c r="F66" s="39">
        <v>63072478.660000011</v>
      </c>
      <c r="G66" s="39">
        <f t="shared" si="1"/>
        <v>84536178.660000011</v>
      </c>
      <c r="H66" s="39">
        <v>26301500</v>
      </c>
      <c r="I66" s="39">
        <v>74921195.382499993</v>
      </c>
      <c r="J66" s="39">
        <f t="shared" si="2"/>
        <v>101222695.38249999</v>
      </c>
      <c r="K66" s="39">
        <v>27998900</v>
      </c>
      <c r="L66" s="39">
        <v>88502288.114999995</v>
      </c>
      <c r="M66" s="39">
        <f t="shared" si="3"/>
        <v>116501188.11499999</v>
      </c>
      <c r="N66" s="39">
        <v>30143700</v>
      </c>
      <c r="O66" s="39">
        <v>102040888.32249999</v>
      </c>
      <c r="P66" s="39">
        <f t="shared" si="4"/>
        <v>132184588.32249999</v>
      </c>
      <c r="Q66" s="39">
        <v>31534400</v>
      </c>
      <c r="R66" s="39">
        <v>109382306.65000001</v>
      </c>
      <c r="S66" s="39">
        <f t="shared" si="5"/>
        <v>140916706.65000001</v>
      </c>
      <c r="T66" s="39">
        <v>36361900</v>
      </c>
      <c r="U66" s="39">
        <v>122291139.93000001</v>
      </c>
      <c r="V66" s="39">
        <f t="shared" si="6"/>
        <v>158653039.93000001</v>
      </c>
      <c r="W66" s="39">
        <v>33967100</v>
      </c>
      <c r="X66" s="39">
        <v>122349482.03250003</v>
      </c>
      <c r="Y66" s="39">
        <f t="shared" si="7"/>
        <v>156316582.03250003</v>
      </c>
      <c r="Z66" s="39">
        <v>35876000</v>
      </c>
      <c r="AA66" s="39">
        <v>90700852.690000042</v>
      </c>
      <c r="AB66" s="39">
        <f t="shared" si="8"/>
        <v>126576852.69000004</v>
      </c>
      <c r="AC66" s="39">
        <v>38908000</v>
      </c>
      <c r="AD66" s="39">
        <v>96438033.215000004</v>
      </c>
      <c r="AE66" s="39">
        <f t="shared" si="9"/>
        <v>135346033.215</v>
      </c>
      <c r="AF66" s="39">
        <v>45181000</v>
      </c>
      <c r="AG66" s="39">
        <v>121782580.00000004</v>
      </c>
      <c r="AH66" s="39">
        <f t="shared" si="10"/>
        <v>166963580.00000006</v>
      </c>
      <c r="AI66" s="39">
        <v>46824297.450000003</v>
      </c>
      <c r="AJ66" s="39">
        <v>149818830.45000005</v>
      </c>
      <c r="AK66" s="39">
        <f t="shared" si="11"/>
        <v>196643127.90000004</v>
      </c>
      <c r="AL66" s="39">
        <v>200418108.83000001</v>
      </c>
      <c r="AM66" s="39">
        <v>237888052.27000001</v>
      </c>
      <c r="AN66" s="39">
        <v>99823043.620000035</v>
      </c>
      <c r="AO66" s="39">
        <v>95313240.299999997</v>
      </c>
      <c r="AP66" s="39">
        <v>108471240.3</v>
      </c>
      <c r="AQ66" s="39">
        <v>93414240.299999997</v>
      </c>
      <c r="AR66" s="39">
        <v>104469192.98</v>
      </c>
      <c r="AS66" s="39">
        <v>102956693.89</v>
      </c>
      <c r="AT66" s="39">
        <v>96969928.900000006</v>
      </c>
      <c r="AU66" s="43">
        <v>103283990.13</v>
      </c>
      <c r="AV66" s="43">
        <v>110821867.25999999</v>
      </c>
      <c r="AW66" s="43">
        <v>118039265.19999999</v>
      </c>
      <c r="AX66" s="43">
        <v>109730332.52</v>
      </c>
      <c r="AY66" s="43">
        <v>111828675.77999999</v>
      </c>
      <c r="AZ66" s="39">
        <v>101011726.60999998</v>
      </c>
      <c r="BA66" s="39">
        <v>97197330.100000009</v>
      </c>
      <c r="BB66" s="39">
        <f>104291046.04+3783709.79</f>
        <v>108074755.83000001</v>
      </c>
      <c r="BC66" s="39">
        <f>113076864.52+5736896.54</f>
        <v>118813761.06</v>
      </c>
      <c r="BD66" s="39">
        <f>110842885.57+8327693.56</f>
        <v>119170579.13</v>
      </c>
      <c r="BE66" s="99">
        <f>107461069.68+11528041.96</f>
        <v>118989111.64000002</v>
      </c>
    </row>
    <row r="67" spans="1:57" x14ac:dyDescent="0.2">
      <c r="A67" s="45" t="s">
        <v>91</v>
      </c>
      <c r="B67" s="85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39"/>
      <c r="X67" s="39"/>
      <c r="Y67" s="39"/>
      <c r="Z67" s="39"/>
      <c r="AA67" s="39"/>
      <c r="AB67" s="39"/>
      <c r="AC67" s="39"/>
      <c r="AD67" s="39"/>
      <c r="AE67" s="39"/>
      <c r="AF67" s="39"/>
      <c r="AG67" s="39"/>
      <c r="AH67" s="39"/>
      <c r="AI67" s="39"/>
      <c r="AJ67" s="39"/>
      <c r="AK67" s="39"/>
      <c r="AL67" s="39"/>
      <c r="AM67" s="39"/>
      <c r="AN67" s="39"/>
      <c r="AO67" s="39"/>
      <c r="AP67" s="39"/>
      <c r="AQ67" s="39"/>
      <c r="AR67" s="39"/>
      <c r="AS67" s="39"/>
      <c r="AT67" s="39"/>
      <c r="AU67" s="43"/>
      <c r="AV67" s="42">
        <v>3231606</v>
      </c>
      <c r="AW67" s="42">
        <v>3701754</v>
      </c>
      <c r="AX67" s="42">
        <v>3359270</v>
      </c>
      <c r="AY67" s="42">
        <v>3451272</v>
      </c>
      <c r="AZ67" s="39">
        <v>3117457</v>
      </c>
      <c r="BA67" s="39">
        <v>3631959.71</v>
      </c>
      <c r="BB67" s="39">
        <v>5243205.95</v>
      </c>
      <c r="BC67" s="39">
        <v>6656896.3600000003</v>
      </c>
      <c r="BD67" s="39">
        <v>7754092.1900000004</v>
      </c>
      <c r="BE67" s="99">
        <v>4830746.82</v>
      </c>
    </row>
    <row r="68" spans="1:57" x14ac:dyDescent="0.2">
      <c r="A68" s="103" t="s">
        <v>73</v>
      </c>
      <c r="B68" s="85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39"/>
      <c r="X68" s="39"/>
      <c r="Y68" s="39"/>
      <c r="Z68" s="39"/>
      <c r="AA68" s="39"/>
      <c r="AB68" s="39"/>
      <c r="AC68" s="39"/>
      <c r="AD68" s="39"/>
      <c r="AE68" s="39"/>
      <c r="AF68" s="39"/>
      <c r="AG68" s="39"/>
      <c r="AH68" s="39"/>
      <c r="AI68" s="39"/>
      <c r="AJ68" s="39"/>
      <c r="AK68" s="39"/>
      <c r="AL68" s="39"/>
      <c r="AM68" s="39"/>
      <c r="AN68" s="121">
        <v>0.03</v>
      </c>
      <c r="AO68" s="121">
        <v>0.03</v>
      </c>
      <c r="AP68" s="121">
        <v>0.03</v>
      </c>
      <c r="AQ68" s="121">
        <v>0.03</v>
      </c>
      <c r="AR68" s="121">
        <v>0.03</v>
      </c>
      <c r="AS68" s="121">
        <v>0.03</v>
      </c>
      <c r="AT68" s="121">
        <v>0.03</v>
      </c>
      <c r="AU68" s="121">
        <v>0.03</v>
      </c>
      <c r="AV68" s="106">
        <f t="shared" ref="AV68:BE68" si="29">AV67/AV66</f>
        <v>2.9160364104119502E-2</v>
      </c>
      <c r="AW68" s="106">
        <f t="shared" si="29"/>
        <v>3.136036126392288E-2</v>
      </c>
      <c r="AX68" s="106">
        <f t="shared" si="29"/>
        <v>3.0613868771314647E-2</v>
      </c>
      <c r="AY68" s="106">
        <f t="shared" si="29"/>
        <v>3.0862137782885588E-2</v>
      </c>
      <c r="AZ68" s="106">
        <f t="shared" si="29"/>
        <v>3.0862327619013072E-2</v>
      </c>
      <c r="BA68" s="110">
        <f t="shared" si="29"/>
        <v>3.7366867034961893E-2</v>
      </c>
      <c r="BB68" s="110">
        <f t="shared" si="29"/>
        <v>4.8514622214344723E-2</v>
      </c>
      <c r="BC68" s="110">
        <f t="shared" si="29"/>
        <v>5.6027991207502646E-2</v>
      </c>
      <c r="BD68" s="110">
        <f t="shared" si="29"/>
        <v>6.5067168814722881E-2</v>
      </c>
      <c r="BE68" s="110">
        <f t="shared" si="29"/>
        <v>4.0598225782333436E-2</v>
      </c>
    </row>
    <row r="69" spans="1:57" x14ac:dyDescent="0.2">
      <c r="A69" s="103" t="s">
        <v>92</v>
      </c>
      <c r="B69" s="85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39"/>
      <c r="X69" s="39"/>
      <c r="Y69" s="39"/>
      <c r="Z69" s="39"/>
      <c r="AA69" s="39"/>
      <c r="AB69" s="39"/>
      <c r="AC69" s="39"/>
      <c r="AD69" s="39"/>
      <c r="AE69" s="39"/>
      <c r="AF69" s="39"/>
      <c r="AG69" s="39"/>
      <c r="AH69" s="39"/>
      <c r="AI69" s="39"/>
      <c r="AJ69" s="39"/>
      <c r="AK69" s="39"/>
      <c r="AL69" s="39"/>
      <c r="AM69" s="39"/>
      <c r="AN69" s="122">
        <f t="shared" ref="AN69:AT69" si="30">AN68*AN66</f>
        <v>2994691.308600001</v>
      </c>
      <c r="AO69" s="122">
        <f t="shared" si="30"/>
        <v>2859397.2089999998</v>
      </c>
      <c r="AP69" s="122">
        <f t="shared" si="30"/>
        <v>3254137.2089999998</v>
      </c>
      <c r="AQ69" s="122">
        <f t="shared" si="30"/>
        <v>2802427.2089999998</v>
      </c>
      <c r="AR69" s="122">
        <f t="shared" si="30"/>
        <v>3134075.7894000001</v>
      </c>
      <c r="AS69" s="122">
        <f t="shared" si="30"/>
        <v>3088700.8166999999</v>
      </c>
      <c r="AT69" s="122">
        <f t="shared" si="30"/>
        <v>2909097.8670000001</v>
      </c>
      <c r="AU69" s="122">
        <f>AU68*AU66</f>
        <v>3098519.7038999996</v>
      </c>
      <c r="AV69" s="106"/>
      <c r="AW69" s="106"/>
      <c r="AX69" s="106"/>
      <c r="AY69" s="106"/>
      <c r="BE69" s="114"/>
    </row>
    <row r="70" spans="1:57" x14ac:dyDescent="0.2">
      <c r="A70" s="45" t="s">
        <v>93</v>
      </c>
      <c r="B70" s="73">
        <v>1663400</v>
      </c>
      <c r="C70" s="115" t="s">
        <v>33</v>
      </c>
      <c r="D70" s="41">
        <f t="shared" si="0"/>
        <v>1663400</v>
      </c>
      <c r="E70" s="35">
        <v>1752500</v>
      </c>
      <c r="F70" s="115" t="s">
        <v>33</v>
      </c>
      <c r="G70" s="41">
        <f t="shared" si="1"/>
        <v>1752500</v>
      </c>
      <c r="H70" s="116">
        <f>AVERAGE(E70,K70)</f>
        <v>2075000</v>
      </c>
      <c r="I70" s="115" t="s">
        <v>33</v>
      </c>
      <c r="J70" s="41">
        <f>SUM(H70:I70)</f>
        <v>2075000</v>
      </c>
      <c r="K70" s="73">
        <v>2397500</v>
      </c>
      <c r="L70" s="115" t="s">
        <v>33</v>
      </c>
      <c r="M70" s="41">
        <f t="shared" si="3"/>
        <v>2397500</v>
      </c>
      <c r="N70" s="73">
        <v>2602100</v>
      </c>
      <c r="O70" s="115" t="s">
        <v>33</v>
      </c>
      <c r="P70" s="41">
        <f t="shared" si="4"/>
        <v>2602100</v>
      </c>
      <c r="Q70" s="35">
        <v>2847000</v>
      </c>
      <c r="R70" s="115" t="s">
        <v>33</v>
      </c>
      <c r="S70" s="41">
        <f t="shared" si="5"/>
        <v>2847000</v>
      </c>
      <c r="T70" s="35">
        <v>3088900</v>
      </c>
      <c r="U70" s="115" t="s">
        <v>33</v>
      </c>
      <c r="V70" s="41">
        <f t="shared" si="6"/>
        <v>3088900</v>
      </c>
      <c r="W70" s="73">
        <v>3431800</v>
      </c>
      <c r="X70" s="115" t="s">
        <v>33</v>
      </c>
      <c r="Y70" s="41">
        <f t="shared" si="7"/>
        <v>3431800</v>
      </c>
      <c r="Z70" s="73">
        <v>4215600</v>
      </c>
      <c r="AA70" s="115" t="s">
        <v>33</v>
      </c>
      <c r="AB70" s="41">
        <f t="shared" si="8"/>
        <v>4215600</v>
      </c>
      <c r="AC70" s="73">
        <v>4144000</v>
      </c>
      <c r="AD70" s="115" t="s">
        <v>33</v>
      </c>
      <c r="AE70" s="41">
        <f t="shared" si="9"/>
        <v>4144000</v>
      </c>
      <c r="AF70" s="35">
        <v>4330000</v>
      </c>
      <c r="AG70" s="115" t="s">
        <v>33</v>
      </c>
      <c r="AH70" s="41">
        <f t="shared" si="10"/>
        <v>4330000</v>
      </c>
      <c r="AI70" s="117" t="s">
        <v>33</v>
      </c>
      <c r="AJ70" s="115" t="s">
        <v>33</v>
      </c>
      <c r="AK70" s="41">
        <f t="shared" si="11"/>
        <v>0</v>
      </c>
      <c r="AL70" s="115" t="s">
        <v>33</v>
      </c>
      <c r="AM70" s="115" t="s">
        <v>33</v>
      </c>
      <c r="AN70" s="115" t="s">
        <v>33</v>
      </c>
      <c r="AO70" s="115" t="s">
        <v>33</v>
      </c>
      <c r="AP70" s="115" t="s">
        <v>33</v>
      </c>
      <c r="AQ70" s="115" t="s">
        <v>33</v>
      </c>
      <c r="AR70" s="115" t="s">
        <v>33</v>
      </c>
      <c r="AS70" s="115" t="s">
        <v>33</v>
      </c>
      <c r="AT70" s="115" t="s">
        <v>33</v>
      </c>
      <c r="AU70" s="115" t="s">
        <v>33</v>
      </c>
      <c r="AV70" s="115" t="s">
        <v>33</v>
      </c>
      <c r="AW70" s="115" t="s">
        <v>33</v>
      </c>
      <c r="AX70" s="115" t="s">
        <v>33</v>
      </c>
      <c r="AY70" s="115" t="s">
        <v>33</v>
      </c>
      <c r="AZ70" s="115" t="s">
        <v>33</v>
      </c>
      <c r="BA70" s="115" t="s">
        <v>33</v>
      </c>
      <c r="BB70" s="115" t="s">
        <v>33</v>
      </c>
      <c r="BC70" s="115" t="s">
        <v>33</v>
      </c>
      <c r="BD70" s="115" t="s">
        <v>33</v>
      </c>
      <c r="BE70" s="115" t="s">
        <v>33</v>
      </c>
    </row>
    <row r="71" spans="1:57" ht="13.5" thickBot="1" x14ac:dyDescent="0.25">
      <c r="A71" s="51" t="s">
        <v>94</v>
      </c>
      <c r="B71" s="38" t="s">
        <v>37</v>
      </c>
      <c r="C71" s="39">
        <v>-2451743.5</v>
      </c>
      <c r="D71" s="49">
        <f t="shared" si="0"/>
        <v>-2451743.5</v>
      </c>
      <c r="E71" s="39" t="s">
        <v>37</v>
      </c>
      <c r="F71" s="39">
        <v>-3023701.5</v>
      </c>
      <c r="G71" s="49">
        <f t="shared" si="1"/>
        <v>-3023701.5</v>
      </c>
      <c r="H71" s="39" t="s">
        <v>37</v>
      </c>
      <c r="I71" s="39">
        <v>-3618700.5</v>
      </c>
      <c r="J71" s="49">
        <f t="shared" si="2"/>
        <v>-3618700.5</v>
      </c>
      <c r="K71" s="39" t="s">
        <v>37</v>
      </c>
      <c r="L71" s="39">
        <v>-4227509.5</v>
      </c>
      <c r="M71" s="49">
        <f t="shared" si="3"/>
        <v>-4227509.5</v>
      </c>
      <c r="N71" s="39" t="s">
        <v>37</v>
      </c>
      <c r="O71" s="39">
        <v>-4900579.25</v>
      </c>
      <c r="P71" s="49">
        <f t="shared" si="4"/>
        <v>-4900579.25</v>
      </c>
      <c r="Q71" s="39" t="s">
        <v>37</v>
      </c>
      <c r="R71" s="39">
        <v>-5607763.75</v>
      </c>
      <c r="S71" s="49">
        <f t="shared" si="5"/>
        <v>-5607763.75</v>
      </c>
      <c r="T71" s="39" t="s">
        <v>37</v>
      </c>
      <c r="U71" s="39">
        <v>-6337008.25</v>
      </c>
      <c r="V71" s="49">
        <f t="shared" si="6"/>
        <v>-6337008.25</v>
      </c>
      <c r="W71" s="39" t="s">
        <v>37</v>
      </c>
      <c r="X71" s="39">
        <v>-7089104.25</v>
      </c>
      <c r="Y71" s="49">
        <f t="shared" si="7"/>
        <v>-7089104.25</v>
      </c>
      <c r="Z71" s="39" t="s">
        <v>37</v>
      </c>
      <c r="AA71" s="39">
        <v>-7620846.25</v>
      </c>
      <c r="AB71" s="49">
        <f t="shared" si="8"/>
        <v>-7620846.25</v>
      </c>
      <c r="AC71" s="39" t="s">
        <v>37</v>
      </c>
      <c r="AD71" s="39">
        <v>-8549364.875</v>
      </c>
      <c r="AE71" s="49">
        <f t="shared" si="9"/>
        <v>-8549364.875</v>
      </c>
      <c r="AF71" s="39" t="s">
        <v>37</v>
      </c>
      <c r="AG71" s="39">
        <v>-9730800.5</v>
      </c>
      <c r="AH71" s="49">
        <f t="shared" si="10"/>
        <v>-9730800.5</v>
      </c>
      <c r="AI71" s="39">
        <v>-21522872.219999999</v>
      </c>
      <c r="AJ71" s="39">
        <v>-11082089.5</v>
      </c>
      <c r="AK71" s="39">
        <f t="shared" si="11"/>
        <v>-32604961.719999999</v>
      </c>
      <c r="AL71" s="39">
        <v>-35656639.490000002</v>
      </c>
      <c r="AM71" s="39">
        <v>-38829240.219999999</v>
      </c>
      <c r="AN71" s="39">
        <v>-26808622.689999998</v>
      </c>
      <c r="AO71" s="39">
        <v>-30577671.59</v>
      </c>
      <c r="AP71" s="39">
        <v>-34488671.590000004</v>
      </c>
      <c r="AQ71" s="39">
        <v>-38513671.590000004</v>
      </c>
      <c r="AR71" s="39">
        <v>-1928594.2010000004</v>
      </c>
      <c r="AS71" s="39">
        <v>-835276</v>
      </c>
      <c r="AT71" s="39">
        <v>-861409</v>
      </c>
      <c r="AU71" s="39">
        <v>0</v>
      </c>
      <c r="AV71" s="39"/>
      <c r="AW71" s="39"/>
      <c r="AX71" s="39"/>
      <c r="AY71" s="39"/>
      <c r="AZ71" s="39"/>
      <c r="BE71" s="114"/>
    </row>
    <row r="72" spans="1:57" ht="13.5" thickBot="1" x14ac:dyDescent="0.25">
      <c r="A72" s="123"/>
      <c r="B72" s="101"/>
      <c r="C72" s="101"/>
      <c r="D72" s="101">
        <f t="shared" si="0"/>
        <v>0</v>
      </c>
      <c r="E72" s="101"/>
      <c r="F72" s="101"/>
      <c r="G72" s="101">
        <f t="shared" si="1"/>
        <v>0</v>
      </c>
      <c r="H72" s="101"/>
      <c r="I72" s="101"/>
      <c r="J72" s="101">
        <f t="shared" si="2"/>
        <v>0</v>
      </c>
      <c r="K72" s="101"/>
      <c r="L72" s="101"/>
      <c r="M72" s="101">
        <f t="shared" si="3"/>
        <v>0</v>
      </c>
      <c r="N72" s="101"/>
      <c r="O72" s="101"/>
      <c r="P72" s="101">
        <f t="shared" si="4"/>
        <v>0</v>
      </c>
      <c r="Q72" s="101"/>
      <c r="R72" s="101"/>
      <c r="S72" s="101">
        <f t="shared" si="5"/>
        <v>0</v>
      </c>
      <c r="T72" s="101"/>
      <c r="U72" s="101"/>
      <c r="V72" s="101">
        <f t="shared" si="6"/>
        <v>0</v>
      </c>
      <c r="W72" s="101"/>
      <c r="X72" s="101"/>
      <c r="Y72" s="101">
        <f t="shared" si="7"/>
        <v>0</v>
      </c>
      <c r="Z72" s="101"/>
      <c r="AA72" s="101"/>
      <c r="AB72" s="101">
        <f t="shared" si="8"/>
        <v>0</v>
      </c>
      <c r="AC72" s="101"/>
      <c r="AD72" s="101"/>
      <c r="AE72" s="101">
        <f t="shared" si="9"/>
        <v>0</v>
      </c>
      <c r="AF72" s="101"/>
      <c r="AG72" s="101"/>
      <c r="AH72" s="101">
        <f t="shared" si="10"/>
        <v>0</v>
      </c>
      <c r="AI72" s="101"/>
      <c r="AJ72" s="101"/>
      <c r="AK72" s="101">
        <f t="shared" si="11"/>
        <v>0</v>
      </c>
      <c r="AL72" s="101"/>
      <c r="AM72" s="101"/>
      <c r="AN72" s="101"/>
      <c r="AO72" s="101"/>
      <c r="AP72" s="101"/>
      <c r="AQ72" s="101"/>
      <c r="AR72" s="101"/>
      <c r="AS72" s="101"/>
      <c r="AT72" s="101"/>
      <c r="AU72" s="101"/>
      <c r="AV72" s="101"/>
      <c r="AW72" s="101"/>
      <c r="AX72" s="101"/>
      <c r="AY72" s="101"/>
      <c r="AZ72" s="101"/>
      <c r="BA72" s="101"/>
      <c r="BB72" s="101"/>
      <c r="BC72" s="101"/>
      <c r="BD72" s="101"/>
      <c r="BE72" s="101"/>
    </row>
    <row r="73" spans="1:57" x14ac:dyDescent="0.2">
      <c r="A73" s="123" t="s">
        <v>95</v>
      </c>
      <c r="B73" s="124"/>
      <c r="C73" s="124"/>
      <c r="D73" s="124"/>
      <c r="E73" s="124"/>
      <c r="F73" s="124"/>
      <c r="G73" s="124"/>
      <c r="H73" s="124"/>
      <c r="I73" s="124"/>
      <c r="J73" s="124"/>
      <c r="K73" s="124"/>
      <c r="L73" s="124"/>
      <c r="M73" s="124"/>
      <c r="N73" s="124"/>
      <c r="O73" s="124"/>
      <c r="P73" s="124"/>
      <c r="Q73" s="124"/>
      <c r="R73" s="124"/>
      <c r="S73" s="124"/>
      <c r="T73" s="124"/>
      <c r="U73" s="124"/>
      <c r="V73" s="124"/>
      <c r="W73" s="124"/>
      <c r="X73" s="124"/>
      <c r="Y73" s="124"/>
      <c r="Z73" s="124"/>
      <c r="AA73" s="124"/>
      <c r="AB73" s="124"/>
      <c r="AC73" s="124"/>
      <c r="AD73" s="124"/>
      <c r="AE73" s="124"/>
      <c r="AF73" s="124"/>
      <c r="AG73" s="124"/>
      <c r="AH73" s="124"/>
      <c r="AI73" s="124"/>
      <c r="AJ73" s="124"/>
      <c r="AK73" s="124"/>
      <c r="AL73" s="124"/>
      <c r="AM73" s="124"/>
      <c r="AN73" s="124"/>
      <c r="AO73" s="124"/>
      <c r="AP73" s="124"/>
      <c r="AQ73" s="124"/>
      <c r="AR73" s="124"/>
      <c r="AS73" s="124"/>
      <c r="AT73" s="124"/>
      <c r="AU73" s="124"/>
      <c r="AV73" s="124">
        <f t="shared" ref="AV73:BD73" si="31">AV43 +AV49-AV60-AV67</f>
        <v>126026559</v>
      </c>
      <c r="AW73" s="124">
        <f t="shared" si="31"/>
        <v>168439041</v>
      </c>
      <c r="AX73" s="124">
        <f t="shared" si="31"/>
        <v>244037807.07000002</v>
      </c>
      <c r="AY73" s="124">
        <f t="shared" si="31"/>
        <v>240800752.58999997</v>
      </c>
      <c r="AZ73" s="124">
        <f t="shared" si="31"/>
        <v>250900090.41000003</v>
      </c>
      <c r="BA73" s="124">
        <f t="shared" si="31"/>
        <v>248315278.85999998</v>
      </c>
      <c r="BB73" s="124">
        <f t="shared" si="31"/>
        <v>245178489.21999997</v>
      </c>
      <c r="BC73" s="124">
        <f t="shared" si="31"/>
        <v>243426502.63999996</v>
      </c>
      <c r="BD73" s="124">
        <f t="shared" si="31"/>
        <v>280337799.40999997</v>
      </c>
      <c r="BE73" s="124">
        <f>BE43 +BE49-BE60-BE67</f>
        <v>274582038.07999992</v>
      </c>
    </row>
    <row r="74" spans="1:57" x14ac:dyDescent="0.2">
      <c r="A74" s="123" t="s">
        <v>96</v>
      </c>
      <c r="B74" s="124"/>
      <c r="C74" s="124"/>
      <c r="D74" s="124"/>
      <c r="E74" s="124"/>
      <c r="F74" s="124"/>
      <c r="G74" s="124"/>
      <c r="H74" s="124"/>
      <c r="I74" s="124"/>
      <c r="J74" s="124"/>
      <c r="K74" s="124"/>
      <c r="L74" s="124"/>
      <c r="M74" s="124"/>
      <c r="N74" s="124"/>
      <c r="O74" s="124"/>
      <c r="P74" s="124"/>
      <c r="Q74" s="124"/>
      <c r="R74" s="124"/>
      <c r="S74" s="124"/>
      <c r="T74" s="124"/>
      <c r="U74" s="124"/>
      <c r="V74" s="124"/>
      <c r="W74" s="124"/>
      <c r="X74" s="124"/>
      <c r="Y74" s="124"/>
      <c r="Z74" s="124"/>
      <c r="AA74" s="124"/>
      <c r="AB74" s="124"/>
      <c r="AC74" s="124"/>
      <c r="AD74" s="124"/>
      <c r="AE74" s="124"/>
      <c r="AF74" s="124"/>
      <c r="AG74" s="124"/>
      <c r="AH74" s="124"/>
      <c r="AI74" s="124"/>
      <c r="AJ74" s="124"/>
      <c r="AK74" s="124"/>
      <c r="AL74" s="124"/>
      <c r="AM74" s="124"/>
      <c r="AN74" s="124"/>
      <c r="AO74" s="124"/>
      <c r="AP74" s="124"/>
      <c r="AQ74" s="124"/>
      <c r="AR74" s="124"/>
      <c r="AS74" s="124"/>
      <c r="AT74" s="124"/>
      <c r="AU74" s="124"/>
      <c r="AV74" s="124">
        <f t="shared" ref="AV74:BD74" si="32">AV43+AV49-AV62-AV67</f>
        <v>112988768.31735806</v>
      </c>
      <c r="AW74" s="124">
        <f t="shared" si="32"/>
        <v>142781491.13213503</v>
      </c>
      <c r="AX74" s="124">
        <f t="shared" si="32"/>
        <v>201697220.07151315</v>
      </c>
      <c r="AY74" s="124">
        <f t="shared" si="32"/>
        <v>200670050.7921896</v>
      </c>
      <c r="AZ74" s="124">
        <f t="shared" si="32"/>
        <v>211221148.61515519</v>
      </c>
      <c r="BA74" s="124">
        <f t="shared" si="32"/>
        <v>210107179.76631072</v>
      </c>
      <c r="BB74" s="124">
        <f t="shared" si="32"/>
        <v>205036142.3616057</v>
      </c>
      <c r="BC74" s="124">
        <f t="shared" si="32"/>
        <v>202922972.44233111</v>
      </c>
      <c r="BD74" s="124">
        <f t="shared" si="32"/>
        <v>231705812.73938707</v>
      </c>
      <c r="BE74" s="124">
        <f>BE43+BE49-BE62-BE67</f>
        <v>231886479.27136114</v>
      </c>
    </row>
    <row r="75" spans="1:57" x14ac:dyDescent="0.2">
      <c r="A75" s="123" t="s">
        <v>97</v>
      </c>
      <c r="B75" s="124"/>
      <c r="C75" s="124"/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  <c r="R75" s="124"/>
      <c r="S75" s="124"/>
      <c r="T75" s="124"/>
      <c r="U75" s="124"/>
      <c r="V75" s="124"/>
      <c r="W75" s="124"/>
      <c r="X75" s="124"/>
      <c r="Y75" s="124"/>
      <c r="Z75" s="124"/>
      <c r="AA75" s="124"/>
      <c r="AB75" s="124"/>
      <c r="AC75" s="124"/>
      <c r="AD75" s="124"/>
      <c r="AE75" s="124"/>
      <c r="AF75" s="124"/>
      <c r="AG75" s="124"/>
      <c r="AH75" s="124"/>
      <c r="AI75" s="124"/>
      <c r="AJ75" s="124"/>
      <c r="AK75" s="124"/>
      <c r="AL75" s="124"/>
      <c r="AM75" s="124"/>
      <c r="AN75" s="125">
        <f t="shared" ref="AN75:AU75" si="33">AN45+AN52-AN63-AN69</f>
        <v>104468718.22688997</v>
      </c>
      <c r="AO75" s="125">
        <f t="shared" si="33"/>
        <v>113665680.9198</v>
      </c>
      <c r="AP75" s="125">
        <f t="shared" si="33"/>
        <v>115927080.9198</v>
      </c>
      <c r="AQ75" s="125">
        <f t="shared" si="33"/>
        <v>113356959.9198</v>
      </c>
      <c r="AR75" s="125">
        <f t="shared" si="33"/>
        <v>108922824.88857</v>
      </c>
      <c r="AS75" s="125">
        <f t="shared" si="33"/>
        <v>105217697.30292003</v>
      </c>
      <c r="AT75" s="125">
        <f t="shared" si="33"/>
        <v>103322639.36364003</v>
      </c>
      <c r="AU75" s="125">
        <f t="shared" si="33"/>
        <v>114188733.35052</v>
      </c>
      <c r="AV75" s="124"/>
      <c r="AW75" s="124"/>
      <c r="AX75" s="124"/>
      <c r="AY75" s="124"/>
      <c r="BE75" s="114"/>
    </row>
    <row r="76" spans="1:57" x14ac:dyDescent="0.2">
      <c r="A76" s="123" t="s">
        <v>98</v>
      </c>
      <c r="B76" s="124"/>
      <c r="C76" s="124"/>
      <c r="D76" s="124"/>
      <c r="E76" s="124"/>
      <c r="F76" s="124"/>
      <c r="G76" s="124"/>
      <c r="H76" s="124"/>
      <c r="I76" s="124"/>
      <c r="J76" s="124"/>
      <c r="K76" s="124"/>
      <c r="L76" s="124"/>
      <c r="M76" s="124"/>
      <c r="N76" s="124"/>
      <c r="O76" s="124"/>
      <c r="P76" s="124"/>
      <c r="Q76" s="124"/>
      <c r="R76" s="124"/>
      <c r="S76" s="124"/>
      <c r="T76" s="124"/>
      <c r="U76" s="124"/>
      <c r="V76" s="124"/>
      <c r="W76" s="124"/>
      <c r="X76" s="124"/>
      <c r="Y76" s="124"/>
      <c r="Z76" s="124"/>
      <c r="AA76" s="124"/>
      <c r="AB76" s="124"/>
      <c r="AC76" s="124"/>
      <c r="AD76" s="124"/>
      <c r="AE76" s="124"/>
      <c r="AF76" s="124"/>
      <c r="AG76" s="124"/>
      <c r="AH76" s="124"/>
      <c r="AI76" s="124"/>
      <c r="AJ76" s="124"/>
      <c r="AK76" s="124"/>
      <c r="AL76" s="124"/>
      <c r="AM76" s="124"/>
      <c r="AN76" s="124">
        <f>AN75</f>
        <v>104468718.22688997</v>
      </c>
      <c r="AO76" s="124">
        <f t="shared" ref="AO76:AU76" si="34">AO75</f>
        <v>113665680.9198</v>
      </c>
      <c r="AP76" s="124">
        <f t="shared" si="34"/>
        <v>115927080.9198</v>
      </c>
      <c r="AQ76" s="124">
        <f t="shared" si="34"/>
        <v>113356959.9198</v>
      </c>
      <c r="AR76" s="124">
        <f t="shared" si="34"/>
        <v>108922824.88857</v>
      </c>
      <c r="AS76" s="124">
        <f t="shared" si="34"/>
        <v>105217697.30292003</v>
      </c>
      <c r="AT76" s="124">
        <f t="shared" si="34"/>
        <v>103322639.36364003</v>
      </c>
      <c r="AU76" s="124">
        <f t="shared" si="34"/>
        <v>114188733.35052</v>
      </c>
      <c r="AV76" s="124">
        <f t="shared" ref="AV76:BD76" si="35">AV74</f>
        <v>112988768.31735806</v>
      </c>
      <c r="AW76" s="124">
        <f t="shared" si="35"/>
        <v>142781491.13213503</v>
      </c>
      <c r="AX76" s="124">
        <f t="shared" si="35"/>
        <v>201697220.07151315</v>
      </c>
      <c r="AY76" s="124">
        <f t="shared" si="35"/>
        <v>200670050.7921896</v>
      </c>
      <c r="AZ76" s="124">
        <f t="shared" si="35"/>
        <v>211221148.61515519</v>
      </c>
      <c r="BA76" s="124">
        <f t="shared" si="35"/>
        <v>210107179.76631072</v>
      </c>
      <c r="BB76" s="124">
        <f t="shared" si="35"/>
        <v>205036142.3616057</v>
      </c>
      <c r="BC76" s="124">
        <f t="shared" si="35"/>
        <v>202922972.44233111</v>
      </c>
      <c r="BD76" s="124">
        <f t="shared" si="35"/>
        <v>231705812.73938707</v>
      </c>
      <c r="BE76" s="124">
        <f>BE74</f>
        <v>231886479.27136114</v>
      </c>
    </row>
    <row r="77" spans="1:57" x14ac:dyDescent="0.2">
      <c r="A77" s="123"/>
      <c r="B77" s="124"/>
      <c r="C77" s="124"/>
      <c r="D77" s="124"/>
      <c r="E77" s="124"/>
      <c r="F77" s="124"/>
      <c r="G77" s="124"/>
      <c r="H77" s="124"/>
      <c r="I77" s="124"/>
      <c r="J77" s="124"/>
      <c r="K77" s="124"/>
      <c r="L77" s="124"/>
      <c r="M77" s="124"/>
      <c r="N77" s="124"/>
      <c r="O77" s="124"/>
      <c r="P77" s="124"/>
      <c r="Q77" s="124"/>
      <c r="R77" s="124"/>
      <c r="S77" s="124"/>
      <c r="T77" s="124"/>
      <c r="U77" s="124"/>
      <c r="V77" s="124"/>
      <c r="W77" s="124"/>
      <c r="X77" s="124"/>
      <c r="Y77" s="124"/>
      <c r="Z77" s="124"/>
      <c r="AA77" s="124"/>
      <c r="AB77" s="124"/>
      <c r="AC77" s="124"/>
      <c r="AD77" s="124"/>
      <c r="AE77" s="124"/>
      <c r="AF77" s="124"/>
      <c r="AG77" s="124"/>
      <c r="AH77" s="124"/>
      <c r="AI77" s="124"/>
      <c r="AJ77" s="124"/>
      <c r="AK77" s="124"/>
      <c r="AL77" s="124"/>
      <c r="AM77" s="124"/>
      <c r="AN77" s="124"/>
      <c r="AO77" s="124"/>
      <c r="AP77" s="124"/>
      <c r="AQ77" s="124"/>
      <c r="AR77" s="124"/>
      <c r="AS77" s="124"/>
      <c r="AT77" s="124"/>
      <c r="AU77" s="124"/>
      <c r="AV77" s="124"/>
      <c r="AW77" s="124"/>
      <c r="AX77" s="124"/>
      <c r="AY77" s="124"/>
    </row>
    <row r="78" spans="1:57" x14ac:dyDescent="0.2">
      <c r="A78" s="45" t="s">
        <v>99</v>
      </c>
      <c r="B78" s="73">
        <v>85690800</v>
      </c>
      <c r="C78" s="39">
        <v>98819112</v>
      </c>
      <c r="D78" s="43">
        <f>SUM(B78:C78)</f>
        <v>184509912</v>
      </c>
      <c r="E78" s="35">
        <v>41481100</v>
      </c>
      <c r="F78" s="39">
        <v>92571684.25</v>
      </c>
      <c r="G78" s="43">
        <f>SUM(B78:F78)</f>
        <v>503072608.25</v>
      </c>
      <c r="H78" s="116">
        <f>AVERAGE(B78,E78,K78,N78,Q78,T78,W78,Z78,AC78,AF78)</f>
        <v>62876100</v>
      </c>
      <c r="I78" s="39">
        <v>87400390.5</v>
      </c>
      <c r="J78" s="50">
        <f t="shared" si="2"/>
        <v>150276490.5</v>
      </c>
      <c r="K78" s="73">
        <f>546254200-513011000</f>
        <v>33243200</v>
      </c>
      <c r="L78" s="43">
        <v>199504405</v>
      </c>
      <c r="M78" s="43">
        <f t="shared" si="3"/>
        <v>232747605</v>
      </c>
      <c r="N78" s="73">
        <v>46038100</v>
      </c>
      <c r="O78" s="43">
        <v>207424293</v>
      </c>
      <c r="P78" s="43">
        <f t="shared" si="4"/>
        <v>253462393</v>
      </c>
      <c r="Q78" s="35">
        <v>59464900</v>
      </c>
      <c r="R78" s="43">
        <v>264207532.5</v>
      </c>
      <c r="S78" s="43">
        <f t="shared" si="5"/>
        <v>323672432.5</v>
      </c>
      <c r="T78" s="73">
        <v>52590000</v>
      </c>
      <c r="U78" s="43">
        <v>269912452.5</v>
      </c>
      <c r="V78" s="43">
        <f t="shared" si="6"/>
        <v>322502452.5</v>
      </c>
      <c r="W78" s="43">
        <v>60745000</v>
      </c>
      <c r="X78" s="39">
        <v>243564568</v>
      </c>
      <c r="Y78" s="43">
        <f t="shared" si="7"/>
        <v>304309568</v>
      </c>
      <c r="Z78" s="43">
        <v>83818900</v>
      </c>
      <c r="AA78" s="39">
        <v>230410902.5</v>
      </c>
      <c r="AB78" s="43">
        <f t="shared" si="8"/>
        <v>314229802.5</v>
      </c>
      <c r="AC78" s="73">
        <v>83000000</v>
      </c>
      <c r="AD78" s="43">
        <v>251016171.25</v>
      </c>
      <c r="AE78" s="43">
        <f t="shared" si="9"/>
        <v>334016171.25</v>
      </c>
      <c r="AF78" s="35">
        <v>82689000</v>
      </c>
      <c r="AG78" s="43">
        <v>256093780</v>
      </c>
      <c r="AH78" s="43">
        <f t="shared" si="10"/>
        <v>338782780</v>
      </c>
      <c r="AI78" s="126">
        <f>AVERAGE(Z78,AC78,AF78)</f>
        <v>83169300</v>
      </c>
      <c r="AJ78" s="39">
        <v>224849301</v>
      </c>
      <c r="AK78" s="97">
        <f t="shared" si="11"/>
        <v>308018601</v>
      </c>
      <c r="AL78" s="39">
        <v>178277082</v>
      </c>
      <c r="AM78" s="39">
        <v>226327815</v>
      </c>
      <c r="AN78" s="39">
        <v>220112093</v>
      </c>
      <c r="AO78" s="39">
        <v>209989021</v>
      </c>
      <c r="AP78" s="42">
        <v>214001616</v>
      </c>
      <c r="AQ78" s="39">
        <v>207912000</v>
      </c>
      <c r="AR78" s="39">
        <v>135179458.66999999</v>
      </c>
      <c r="AS78" s="39">
        <v>141856881.12</v>
      </c>
      <c r="AT78" s="39">
        <v>178546018.19</v>
      </c>
      <c r="AU78" s="39">
        <v>358415312.73000008</v>
      </c>
      <c r="AV78" s="39">
        <v>265125433.56</v>
      </c>
      <c r="AW78" s="39">
        <v>417823786.56999999</v>
      </c>
      <c r="AX78" s="39">
        <v>331921316.97000003</v>
      </c>
      <c r="AY78" s="39">
        <v>206956601.75</v>
      </c>
      <c r="AZ78" s="39">
        <v>301800843.89999998</v>
      </c>
      <c r="BA78" s="39">
        <v>244059087</v>
      </c>
      <c r="BB78" s="39">
        <v>346997333.72000003</v>
      </c>
      <c r="BC78" s="39">
        <v>388577566.75999999</v>
      </c>
      <c r="BD78" s="39">
        <v>664276448</v>
      </c>
      <c r="BE78" s="43">
        <v>862107287.33000004</v>
      </c>
    </row>
    <row r="79" spans="1:57" x14ac:dyDescent="0.2">
      <c r="A79" s="103" t="s">
        <v>100</v>
      </c>
      <c r="B79" s="85">
        <v>4848400</v>
      </c>
      <c r="C79" s="39">
        <v>10479025.484999999</v>
      </c>
      <c r="D79" s="39">
        <f t="shared" si="0"/>
        <v>15327425.484999999</v>
      </c>
      <c r="E79" s="39">
        <v>5314800</v>
      </c>
      <c r="F79" s="39">
        <v>14763684.697500002</v>
      </c>
      <c r="G79" s="39">
        <f t="shared" si="1"/>
        <v>20078484.697500002</v>
      </c>
      <c r="H79" s="39">
        <v>5882000</v>
      </c>
      <c r="I79" s="39">
        <v>15830166.0175</v>
      </c>
      <c r="J79" s="39">
        <f t="shared" si="2"/>
        <v>21712166.017499998</v>
      </c>
      <c r="K79" s="43">
        <v>6477500</v>
      </c>
      <c r="L79" s="43">
        <v>17231737.914999995</v>
      </c>
      <c r="M79" s="43">
        <f t="shared" si="3"/>
        <v>23709237.914999995</v>
      </c>
      <c r="N79" s="43">
        <v>6408000</v>
      </c>
      <c r="O79" s="43">
        <v>19388364.012499996</v>
      </c>
      <c r="P79" s="43">
        <f t="shared" si="4"/>
        <v>25796364.012499996</v>
      </c>
      <c r="Q79" s="43">
        <v>7695400</v>
      </c>
      <c r="R79" s="43">
        <v>21363209.227499999</v>
      </c>
      <c r="S79" s="43">
        <f t="shared" si="5"/>
        <v>29058609.227499999</v>
      </c>
      <c r="T79" s="43">
        <v>8128000</v>
      </c>
      <c r="U79" s="43">
        <v>23870430.054999996</v>
      </c>
      <c r="V79" s="43">
        <f t="shared" si="6"/>
        <v>31998430.054999996</v>
      </c>
      <c r="W79" s="43">
        <v>9089500</v>
      </c>
      <c r="X79" s="39">
        <v>25473105.967329901</v>
      </c>
      <c r="Y79" s="39">
        <f t="shared" si="7"/>
        <v>34562605.967329904</v>
      </c>
      <c r="Z79" s="39">
        <v>9573200</v>
      </c>
      <c r="AA79" s="39">
        <v>26203820.215426914</v>
      </c>
      <c r="AB79" s="39">
        <f t="shared" si="8"/>
        <v>35777020.215426914</v>
      </c>
      <c r="AC79" s="73">
        <v>9668580</v>
      </c>
      <c r="AD79" s="43">
        <v>6586278.787661205</v>
      </c>
      <c r="AE79" s="43">
        <f t="shared" si="9"/>
        <v>16254858.787661206</v>
      </c>
      <c r="AF79" s="43">
        <v>9940241</v>
      </c>
      <c r="AG79" s="43">
        <v>28155183.641962491</v>
      </c>
      <c r="AH79" s="43">
        <f t="shared" si="10"/>
        <v>38095424.641962491</v>
      </c>
      <c r="AI79" s="73">
        <v>10200000</v>
      </c>
      <c r="AJ79" s="43">
        <v>29216762.172261886</v>
      </c>
      <c r="AK79" s="43">
        <f t="shared" si="11"/>
        <v>39416762.172261886</v>
      </c>
      <c r="AL79" s="39">
        <v>36786000</v>
      </c>
      <c r="AM79" s="39">
        <v>49550000</v>
      </c>
      <c r="AN79" s="42">
        <v>54271000</v>
      </c>
      <c r="AO79" s="42">
        <v>53970000</v>
      </c>
      <c r="AP79" s="42">
        <v>55373000</v>
      </c>
      <c r="AQ79" s="42">
        <v>59462000</v>
      </c>
      <c r="AR79" s="43">
        <v>58021000</v>
      </c>
      <c r="AS79" s="43">
        <v>59418695</v>
      </c>
      <c r="AT79" s="43">
        <v>61592518</v>
      </c>
      <c r="AU79" s="43">
        <v>62681000</v>
      </c>
      <c r="AV79" s="43">
        <v>65439000</v>
      </c>
      <c r="AW79" s="44">
        <v>64492000</v>
      </c>
      <c r="AX79" s="44">
        <v>66638000</v>
      </c>
      <c r="AY79" s="44">
        <v>65130000</v>
      </c>
      <c r="AZ79" s="44">
        <v>60699000</v>
      </c>
      <c r="BA79" s="44">
        <v>61407000</v>
      </c>
      <c r="BB79" s="43">
        <v>63845000</v>
      </c>
      <c r="BC79" s="43">
        <v>64324000</v>
      </c>
      <c r="BD79" s="43">
        <v>65848000</v>
      </c>
      <c r="BE79" s="43">
        <v>69564000</v>
      </c>
    </row>
    <row r="80" spans="1:57" x14ac:dyDescent="0.2">
      <c r="A80" s="103" t="s">
        <v>101</v>
      </c>
      <c r="B80" s="85">
        <v>6509200</v>
      </c>
      <c r="C80" s="39">
        <v>15144750</v>
      </c>
      <c r="D80" s="39">
        <f t="shared" si="0"/>
        <v>21653950</v>
      </c>
      <c r="E80" s="39">
        <v>6324100</v>
      </c>
      <c r="F80" s="39">
        <v>55341750</v>
      </c>
      <c r="G80" s="39">
        <f t="shared" si="1"/>
        <v>61665850</v>
      </c>
      <c r="H80" s="39">
        <v>12598700</v>
      </c>
      <c r="I80" s="39">
        <v>48722000</v>
      </c>
      <c r="J80" s="39">
        <f t="shared" si="2"/>
        <v>61320700</v>
      </c>
      <c r="K80" s="39">
        <v>13950500</v>
      </c>
      <c r="L80" s="39">
        <v>30534250</v>
      </c>
      <c r="M80" s="39">
        <f t="shared" si="3"/>
        <v>44484750</v>
      </c>
      <c r="N80" s="39">
        <v>11425000</v>
      </c>
      <c r="O80" s="39">
        <v>25864000</v>
      </c>
      <c r="P80" s="39">
        <f t="shared" si="4"/>
        <v>37289000</v>
      </c>
      <c r="Q80" s="39">
        <v>8985700</v>
      </c>
      <c r="R80" s="39">
        <v>17193500</v>
      </c>
      <c r="S80" s="39">
        <f t="shared" si="5"/>
        <v>26179200</v>
      </c>
      <c r="T80" s="39">
        <v>8320800</v>
      </c>
      <c r="U80" s="39">
        <v>26369750</v>
      </c>
      <c r="V80" s="39">
        <f t="shared" si="6"/>
        <v>34690550</v>
      </c>
      <c r="W80" s="39">
        <v>16358800</v>
      </c>
      <c r="X80" s="39">
        <v>40534250</v>
      </c>
      <c r="Y80" s="39">
        <f t="shared" si="7"/>
        <v>56893050</v>
      </c>
      <c r="Z80" s="39">
        <v>12990700</v>
      </c>
      <c r="AA80" s="39">
        <v>56253000</v>
      </c>
      <c r="AB80" s="39">
        <f t="shared" si="8"/>
        <v>69243700</v>
      </c>
      <c r="AC80" s="39">
        <v>13200000</v>
      </c>
      <c r="AD80" s="39">
        <v>15090750</v>
      </c>
      <c r="AE80" s="39">
        <f t="shared" si="9"/>
        <v>28290750</v>
      </c>
      <c r="AF80" s="39">
        <v>13881000</v>
      </c>
      <c r="AG80" s="39">
        <v>48919000</v>
      </c>
      <c r="AH80" s="39">
        <f t="shared" si="10"/>
        <v>62800000</v>
      </c>
      <c r="AI80" s="73">
        <v>23500000</v>
      </c>
      <c r="AJ80" s="43">
        <v>71039000</v>
      </c>
      <c r="AK80" s="43">
        <f t="shared" si="11"/>
        <v>94539000</v>
      </c>
      <c r="AL80" s="43">
        <v>105700000</v>
      </c>
      <c r="AM80" s="43">
        <v>76600000</v>
      </c>
      <c r="AN80" s="127">
        <v>40000000</v>
      </c>
      <c r="AO80" s="127">
        <v>57000000</v>
      </c>
      <c r="AP80" s="127">
        <v>42000000</v>
      </c>
      <c r="AQ80" s="127">
        <v>63000000</v>
      </c>
      <c r="AR80" s="128">
        <v>56000000</v>
      </c>
      <c r="AS80" s="128">
        <v>40000000</v>
      </c>
      <c r="AT80" s="128">
        <v>50000000</v>
      </c>
      <c r="AU80" s="128">
        <v>36838000</v>
      </c>
      <c r="AV80" s="129">
        <v>20322000</v>
      </c>
      <c r="AW80" s="129">
        <v>31300000</v>
      </c>
      <c r="AX80" s="129">
        <v>28767000</v>
      </c>
      <c r="AY80" s="129">
        <v>25035000</v>
      </c>
      <c r="AZ80" s="44">
        <v>25197000</v>
      </c>
      <c r="BA80" s="44">
        <v>24091000</v>
      </c>
      <c r="BB80" s="43">
        <v>25815000</v>
      </c>
      <c r="BC80" s="43">
        <v>24006000</v>
      </c>
      <c r="BD80" s="43">
        <v>15684000</v>
      </c>
      <c r="BE80" s="43">
        <v>4398000</v>
      </c>
    </row>
    <row r="81" spans="1:57" ht="34.5" thickBot="1" x14ac:dyDescent="0.25">
      <c r="A81" s="51" t="s">
        <v>102</v>
      </c>
      <c r="B81" s="130">
        <v>0.1323</v>
      </c>
      <c r="C81" s="43"/>
      <c r="D81" s="130">
        <f>AVERAGE(B81:C81)</f>
        <v>0.1323</v>
      </c>
      <c r="E81" s="130">
        <v>0.12740000000000001</v>
      </c>
      <c r="F81" s="131">
        <v>0.12655</v>
      </c>
      <c r="G81" s="130">
        <f>AVERAGE(E81:F81)</f>
        <v>0.126975</v>
      </c>
      <c r="H81" s="130">
        <v>0.1227</v>
      </c>
      <c r="I81" s="131">
        <v>0.1258</v>
      </c>
      <c r="J81" s="130">
        <f>AVERAGE(H81:I81)</f>
        <v>0.12425</v>
      </c>
      <c r="K81" s="130">
        <v>0.1212</v>
      </c>
      <c r="L81" s="131">
        <v>0.121</v>
      </c>
      <c r="M81" s="130">
        <f>AVERAGE(K81:L81)</f>
        <v>0.1211</v>
      </c>
      <c r="N81" s="130">
        <v>0.1212</v>
      </c>
      <c r="O81" s="131">
        <v>0.12</v>
      </c>
      <c r="P81" s="130">
        <f>AVERAGE(N81:O81)</f>
        <v>0.1206</v>
      </c>
      <c r="Q81" s="130">
        <v>0.1212</v>
      </c>
      <c r="R81" s="131">
        <v>0.11899999999999999</v>
      </c>
      <c r="S81" s="130">
        <f>AVERAGE(Q81:R81)</f>
        <v>0.1201</v>
      </c>
      <c r="T81" s="130">
        <v>0.12189999999999999</v>
      </c>
      <c r="U81" s="131">
        <v>0.1183</v>
      </c>
      <c r="V81" s="130">
        <f>AVERAGE(T81:U81)</f>
        <v>0.1201</v>
      </c>
      <c r="W81" s="130">
        <v>0.11840000000000001</v>
      </c>
      <c r="X81" s="131">
        <v>0.114375</v>
      </c>
      <c r="Y81" s="130">
        <f>AVERAGE(W81:X81)</f>
        <v>0.1163875</v>
      </c>
      <c r="Z81" s="130">
        <v>0.1104</v>
      </c>
      <c r="AA81" s="132">
        <v>0.11055000000000001</v>
      </c>
      <c r="AB81" s="133">
        <f>AVERAGE(Z81:AA81)</f>
        <v>0.110475</v>
      </c>
      <c r="AC81" s="130">
        <v>0.1081</v>
      </c>
      <c r="AD81" s="132">
        <v>0.106475</v>
      </c>
      <c r="AE81" s="133">
        <f>AVERAGE(AC81:AD81)</f>
        <v>0.10728750000000001</v>
      </c>
      <c r="AF81" s="130">
        <v>0.1076</v>
      </c>
      <c r="AG81" s="132">
        <v>0.1048</v>
      </c>
      <c r="AH81" s="133">
        <f>AVERAGE(AF81:AG81)</f>
        <v>0.1062</v>
      </c>
      <c r="AI81" s="130">
        <v>0.1076</v>
      </c>
      <c r="AJ81" s="132">
        <v>0.1048</v>
      </c>
      <c r="AK81" s="133">
        <f>AVERAGE(AI81:AJ81)</f>
        <v>0.1062</v>
      </c>
      <c r="AL81" s="134" t="s">
        <v>103</v>
      </c>
      <c r="AM81" s="134">
        <v>9.5600000000000004E-2</v>
      </c>
      <c r="AN81" s="135">
        <v>9.3299999999999994E-2</v>
      </c>
      <c r="AO81" s="135">
        <v>9.3299999999999994E-2</v>
      </c>
      <c r="AP81" s="135">
        <v>9.3299999999999994E-2</v>
      </c>
      <c r="AQ81" s="136">
        <v>9.3299999999999994E-2</v>
      </c>
      <c r="AR81" s="135">
        <v>9.9500000000000005E-2</v>
      </c>
      <c r="AS81" s="135">
        <v>9.6199999999999994E-2</v>
      </c>
      <c r="AT81" s="135">
        <v>9.6299999999999997E-2</v>
      </c>
      <c r="AU81" s="135">
        <v>8.8900000000000007E-2</v>
      </c>
      <c r="AV81" s="135">
        <v>8.5400000000000004E-2</v>
      </c>
      <c r="AW81" s="135">
        <v>8.5400000000000004E-2</v>
      </c>
      <c r="AX81" s="135">
        <v>8.5400000000000004E-2</v>
      </c>
      <c r="AY81" s="135">
        <v>8.5400000000000004E-2</v>
      </c>
      <c r="AZ81" s="135">
        <v>8.5400000000000004E-2</v>
      </c>
      <c r="BA81" s="135">
        <v>8.5400000000000004E-2</v>
      </c>
      <c r="BB81" s="135">
        <v>8.9300000000000004E-2</v>
      </c>
      <c r="BC81" s="135">
        <v>8.9300000000000004E-2</v>
      </c>
      <c r="BD81" s="135">
        <v>8.9300000000000004E-2</v>
      </c>
      <c r="BE81" s="135">
        <v>8.9300000000000004E-2</v>
      </c>
    </row>
    <row r="82" spans="1:57" ht="13.5" thickBot="1" x14ac:dyDescent="0.25">
      <c r="A82" s="137" t="s">
        <v>104</v>
      </c>
      <c r="B82" s="138">
        <v>33679300</v>
      </c>
      <c r="C82" s="138">
        <v>105094500</v>
      </c>
      <c r="D82" s="138">
        <f>SUM(B82:C82)</f>
        <v>138773800</v>
      </c>
      <c r="E82" s="138">
        <v>35468500</v>
      </c>
      <c r="F82" s="138">
        <v>118449750</v>
      </c>
      <c r="G82" s="138">
        <f>SUM(E82:F82)</f>
        <v>153918250</v>
      </c>
      <c r="H82" s="138">
        <v>38313200</v>
      </c>
      <c r="I82" s="138">
        <v>128423500</v>
      </c>
      <c r="J82" s="138">
        <f>SUM(H82:I82)</f>
        <v>166736700</v>
      </c>
      <c r="K82" s="138">
        <v>44226100</v>
      </c>
      <c r="L82" s="138">
        <v>138054750</v>
      </c>
      <c r="M82" s="138">
        <f>SUM(K82:L82)</f>
        <v>182280850</v>
      </c>
      <c r="N82" s="138">
        <v>44289900</v>
      </c>
      <c r="O82" s="138">
        <v>148396750</v>
      </c>
      <c r="P82" s="138">
        <f>SUM(N82:O82)</f>
        <v>192686650</v>
      </c>
      <c r="Q82" s="138">
        <v>47207200</v>
      </c>
      <c r="R82" s="138">
        <v>154502250</v>
      </c>
      <c r="S82" s="138">
        <f>SUM(Q82:R82)</f>
        <v>201709450</v>
      </c>
      <c r="T82" s="138">
        <v>52605200</v>
      </c>
      <c r="U82" s="138">
        <v>167544000</v>
      </c>
      <c r="V82" s="138">
        <f>SUM(T82:U82)</f>
        <v>220149200</v>
      </c>
      <c r="W82" s="138">
        <v>57933600</v>
      </c>
      <c r="X82" s="138">
        <v>183439750</v>
      </c>
      <c r="Y82" s="138">
        <f>SUM(W82:X82)</f>
        <v>241373350</v>
      </c>
      <c r="Z82" s="138">
        <v>64003800</v>
      </c>
      <c r="AA82" s="56">
        <v>197773000</v>
      </c>
      <c r="AB82" s="138">
        <f>SUM(Z82:AA82)</f>
        <v>261776800</v>
      </c>
      <c r="AC82" s="138">
        <v>65597294</v>
      </c>
      <c r="AD82" s="56">
        <v>204389750</v>
      </c>
      <c r="AE82" s="138">
        <f>SUM(AC82:AD82)</f>
        <v>269987044</v>
      </c>
      <c r="AF82" s="138">
        <v>68790000</v>
      </c>
      <c r="AG82" s="56">
        <v>205445000</v>
      </c>
      <c r="AH82" s="138">
        <f>SUM(AF82:AG82)</f>
        <v>274235000</v>
      </c>
      <c r="AI82" s="138">
        <v>73840921</v>
      </c>
      <c r="AJ82" s="56">
        <v>216394000</v>
      </c>
      <c r="AK82" s="138">
        <f>SUM(AI82:AJ82)</f>
        <v>290234921</v>
      </c>
      <c r="AL82" s="53">
        <v>309943000</v>
      </c>
      <c r="AM82" s="53">
        <v>293037000</v>
      </c>
      <c r="AN82" s="139"/>
      <c r="AO82" s="139"/>
      <c r="AP82" s="139"/>
      <c r="AQ82" s="139"/>
      <c r="AR82" s="139"/>
      <c r="AS82" s="139"/>
      <c r="AT82" s="139"/>
      <c r="AU82" s="139"/>
      <c r="AV82" s="139"/>
      <c r="AW82" s="139"/>
      <c r="AX82" s="139"/>
      <c r="AY82" s="139"/>
      <c r="AZ82" s="139"/>
      <c r="BA82" s="139"/>
      <c r="BB82" s="139"/>
      <c r="BC82" s="139"/>
      <c r="BD82" s="139"/>
      <c r="BE82" s="139"/>
    </row>
    <row r="83" spans="1:57" s="171" customFormat="1" ht="13.5" thickBot="1" x14ac:dyDescent="0.25">
      <c r="A83" s="169" t="s">
        <v>105</v>
      </c>
      <c r="B83" s="170">
        <v>33679300</v>
      </c>
      <c r="C83" s="170">
        <v>105094500</v>
      </c>
      <c r="D83" s="170">
        <f t="shared" si="0"/>
        <v>138773800</v>
      </c>
      <c r="E83" s="170">
        <v>35468500</v>
      </c>
      <c r="F83" s="170">
        <v>118449750</v>
      </c>
      <c r="G83" s="170">
        <f t="shared" si="1"/>
        <v>153918250</v>
      </c>
      <c r="H83" s="170">
        <v>38313200</v>
      </c>
      <c r="I83" s="170">
        <v>128423500</v>
      </c>
      <c r="J83" s="170">
        <f t="shared" si="2"/>
        <v>166736700</v>
      </c>
      <c r="K83" s="170">
        <v>44226100</v>
      </c>
      <c r="L83" s="170">
        <v>138054750</v>
      </c>
      <c r="M83" s="170">
        <f t="shared" si="3"/>
        <v>182280850</v>
      </c>
      <c r="N83" s="170">
        <v>44289900</v>
      </c>
      <c r="O83" s="170">
        <v>148396750</v>
      </c>
      <c r="P83" s="170">
        <f t="shared" si="4"/>
        <v>192686650</v>
      </c>
      <c r="Q83" s="170">
        <v>47207200</v>
      </c>
      <c r="R83" s="170">
        <v>154502250</v>
      </c>
      <c r="S83" s="170">
        <f t="shared" si="5"/>
        <v>201709450</v>
      </c>
      <c r="T83" s="170">
        <v>52605200</v>
      </c>
      <c r="U83" s="170">
        <v>167544000</v>
      </c>
      <c r="V83" s="170">
        <f t="shared" si="6"/>
        <v>220149200</v>
      </c>
      <c r="W83" s="170">
        <v>57933600</v>
      </c>
      <c r="X83" s="170">
        <v>183439750</v>
      </c>
      <c r="Y83" s="170">
        <f t="shared" si="7"/>
        <v>241373350</v>
      </c>
      <c r="Z83" s="170">
        <v>64003800</v>
      </c>
      <c r="AA83" s="143">
        <v>197773000</v>
      </c>
      <c r="AB83" s="170">
        <f t="shared" si="8"/>
        <v>261776800</v>
      </c>
      <c r="AC83" s="170">
        <v>65597294</v>
      </c>
      <c r="AD83" s="143">
        <v>204389750</v>
      </c>
      <c r="AE83" s="170">
        <f t="shared" si="9"/>
        <v>269987044</v>
      </c>
      <c r="AF83" s="170">
        <v>68790000</v>
      </c>
      <c r="AG83" s="143">
        <v>205445000</v>
      </c>
      <c r="AH83" s="170">
        <f t="shared" si="10"/>
        <v>274235000</v>
      </c>
      <c r="AI83" s="170">
        <v>73840921</v>
      </c>
      <c r="AJ83" s="143">
        <v>216394000</v>
      </c>
      <c r="AK83" s="170">
        <f t="shared" si="11"/>
        <v>290234921</v>
      </c>
      <c r="AL83" s="143">
        <v>309943000</v>
      </c>
      <c r="AM83" s="143">
        <v>293037000</v>
      </c>
      <c r="AN83" s="143">
        <v>267455400</v>
      </c>
      <c r="AO83" s="143">
        <v>270560800</v>
      </c>
      <c r="AP83" s="143">
        <v>276535800</v>
      </c>
      <c r="AQ83" s="143">
        <v>301653300</v>
      </c>
      <c r="AR83" s="143">
        <v>281787557.99000001</v>
      </c>
      <c r="AS83" s="143">
        <v>298622621.22000003</v>
      </c>
      <c r="AT83" s="143">
        <v>303505898.32999998</v>
      </c>
      <c r="AU83" s="143">
        <v>310755899</v>
      </c>
      <c r="AV83" s="143">
        <v>327429352</v>
      </c>
      <c r="AW83" s="143">
        <v>335115276</v>
      </c>
      <c r="AX83" s="143">
        <v>335484023</v>
      </c>
      <c r="AY83" s="143">
        <v>363409519</v>
      </c>
      <c r="AZ83" s="143">
        <v>378370930</v>
      </c>
      <c r="BA83" s="143">
        <v>380113853</v>
      </c>
      <c r="BB83" s="143">
        <v>397275053</v>
      </c>
      <c r="BC83" s="143">
        <v>396931727</v>
      </c>
      <c r="BD83" s="143">
        <v>399069687</v>
      </c>
      <c r="BE83" s="170">
        <v>414495501</v>
      </c>
    </row>
    <row r="84" spans="1:57" ht="13.5" thickBot="1" x14ac:dyDescent="0.25">
      <c r="A84" s="137" t="s">
        <v>106</v>
      </c>
      <c r="B84" s="43"/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39"/>
      <c r="AM84" s="39"/>
      <c r="AN84" s="139"/>
      <c r="AO84" s="139"/>
      <c r="AP84" s="139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140"/>
    </row>
    <row r="85" spans="1:57" ht="13.5" thickBot="1" x14ac:dyDescent="0.25">
      <c r="A85" s="137" t="s">
        <v>107</v>
      </c>
      <c r="B85" s="43"/>
      <c r="C85" s="43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39"/>
      <c r="AM85" s="39"/>
      <c r="AN85" s="139"/>
      <c r="AO85" s="139"/>
      <c r="AP85" s="139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141"/>
    </row>
    <row r="86" spans="1:57" s="144" customFormat="1" ht="13.5" thickBot="1" x14ac:dyDescent="0.25">
      <c r="A86" s="142" t="s">
        <v>108</v>
      </c>
      <c r="B86" s="43"/>
      <c r="C86" s="43"/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39"/>
      <c r="AM86" s="39"/>
      <c r="AN86" s="53"/>
      <c r="AO86" s="53"/>
      <c r="AP86" s="53"/>
      <c r="AQ86" s="53"/>
      <c r="AR86" s="56">
        <v>35891593</v>
      </c>
      <c r="AS86" s="56">
        <v>34361527.380000003</v>
      </c>
      <c r="AT86" s="56">
        <v>38941262.479999997</v>
      </c>
      <c r="AU86" s="56">
        <v>32563599</v>
      </c>
      <c r="AV86" s="56">
        <v>46046452.170000002</v>
      </c>
      <c r="AW86" s="56">
        <v>44957330</v>
      </c>
      <c r="AX86" s="56">
        <v>38612532</v>
      </c>
      <c r="AY86" s="56">
        <v>38384504</v>
      </c>
      <c r="AZ86" s="56">
        <v>31096722</v>
      </c>
      <c r="BA86" s="56">
        <v>22924948</v>
      </c>
      <c r="BB86" s="143">
        <v>27641924.899999999</v>
      </c>
      <c r="BC86" s="143">
        <v>19650693.239999998</v>
      </c>
      <c r="BD86" s="143">
        <v>22745169.050000001</v>
      </c>
      <c r="BE86" s="143">
        <v>13280418</v>
      </c>
    </row>
    <row r="87" spans="1:57" s="144" customFormat="1" ht="13.5" thickBot="1" x14ac:dyDescent="0.25">
      <c r="A87" s="142"/>
      <c r="B87" s="43"/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  <c r="AM87" s="43"/>
      <c r="AN87" s="43"/>
      <c r="AO87" s="43"/>
      <c r="AP87" s="43"/>
      <c r="AQ87" s="43"/>
      <c r="AR87" s="43"/>
      <c r="AS87" s="43"/>
      <c r="AT87" s="43"/>
      <c r="AU87" s="43"/>
      <c r="AV87" s="43"/>
      <c r="AW87" s="43"/>
      <c r="AX87" s="43"/>
      <c r="AY87" s="43"/>
      <c r="AZ87" s="43"/>
      <c r="BA87" s="43"/>
      <c r="BB87" s="43"/>
      <c r="BC87" s="43"/>
      <c r="BD87" s="43"/>
      <c r="BE87" s="43"/>
    </row>
    <row r="88" spans="1:57" s="144" customFormat="1" ht="13.5" thickBot="1" x14ac:dyDescent="0.25">
      <c r="A88" s="142"/>
      <c r="B88" s="43"/>
      <c r="C88" s="43"/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39"/>
      <c r="AM88" s="39"/>
      <c r="AN88" s="53"/>
      <c r="AO88" s="53"/>
      <c r="AP88" s="53"/>
      <c r="AQ88" s="53"/>
      <c r="AR88" s="56"/>
      <c r="AS88" s="56"/>
      <c r="AT88" s="56"/>
      <c r="AU88" s="56"/>
      <c r="AV88" s="56"/>
      <c r="AW88" s="56"/>
      <c r="AX88" s="56"/>
      <c r="AY88" s="56"/>
      <c r="AZ88" s="56"/>
      <c r="BA88" s="56"/>
      <c r="BB88" s="56"/>
      <c r="BC88" s="56"/>
      <c r="BD88" s="56"/>
    </row>
    <row r="89" spans="1:57" ht="13.5" thickBot="1" x14ac:dyDescent="0.25">
      <c r="A89" s="145" t="s">
        <v>109</v>
      </c>
      <c r="B89" s="146"/>
      <c r="C89" s="146"/>
      <c r="D89" s="146"/>
      <c r="E89" s="146"/>
      <c r="F89" s="146"/>
      <c r="G89" s="146"/>
      <c r="H89" s="146"/>
      <c r="I89" s="146"/>
      <c r="J89" s="146"/>
      <c r="K89" s="146"/>
      <c r="L89" s="146"/>
      <c r="M89" s="146"/>
      <c r="N89" s="146"/>
      <c r="O89" s="146"/>
      <c r="P89" s="146"/>
      <c r="Q89" s="146"/>
      <c r="R89" s="146"/>
      <c r="S89" s="146"/>
      <c r="T89" s="146"/>
      <c r="U89" s="146"/>
      <c r="V89" s="146"/>
      <c r="W89" s="146"/>
      <c r="X89" s="146"/>
      <c r="Y89" s="146"/>
      <c r="Z89" s="146"/>
      <c r="AA89" s="146"/>
      <c r="AB89" s="146"/>
      <c r="AC89" s="146"/>
      <c r="AD89" s="146"/>
      <c r="AE89" s="146"/>
      <c r="AF89" s="146"/>
      <c r="AG89" s="146"/>
      <c r="AH89" s="146"/>
      <c r="AI89" s="146"/>
      <c r="AJ89" s="146"/>
      <c r="AK89" s="146"/>
      <c r="AL89" s="147"/>
      <c r="AM89" s="147"/>
      <c r="AN89" s="148"/>
      <c r="AO89" s="149">
        <v>97</v>
      </c>
      <c r="AP89" s="149">
        <v>81</v>
      </c>
      <c r="AQ89" s="149">
        <v>95</v>
      </c>
      <c r="AR89" s="149">
        <v>108</v>
      </c>
      <c r="AS89" s="149">
        <v>119</v>
      </c>
      <c r="AT89" s="149">
        <v>104</v>
      </c>
      <c r="AU89" s="149">
        <v>75</v>
      </c>
      <c r="AV89" s="149">
        <v>129</v>
      </c>
      <c r="AW89" s="149">
        <v>132</v>
      </c>
      <c r="AX89" s="149">
        <v>123</v>
      </c>
      <c r="AY89" s="149">
        <v>152</v>
      </c>
      <c r="AZ89" s="149">
        <v>147</v>
      </c>
      <c r="BA89" s="149">
        <v>119</v>
      </c>
      <c r="BB89" s="150">
        <v>136</v>
      </c>
      <c r="BC89" s="150">
        <v>99</v>
      </c>
      <c r="BD89" s="150">
        <v>117</v>
      </c>
      <c r="BE89" s="150">
        <v>73</v>
      </c>
    </row>
    <row r="90" spans="1:57" ht="13.5" thickBot="1" x14ac:dyDescent="0.25">
      <c r="A90" s="145"/>
      <c r="B90" s="146"/>
      <c r="C90" s="146"/>
      <c r="D90" s="146"/>
      <c r="E90" s="146"/>
      <c r="F90" s="146"/>
      <c r="G90" s="146"/>
      <c r="H90" s="146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7"/>
      <c r="AM90" s="147"/>
      <c r="AN90" s="147"/>
      <c r="AO90" s="67"/>
      <c r="AP90" s="67"/>
      <c r="AQ90" s="67"/>
      <c r="AR90" s="67"/>
      <c r="AS90" s="67"/>
      <c r="AT90" s="67"/>
      <c r="AU90" s="67"/>
      <c r="AV90" s="67"/>
      <c r="AW90" s="67"/>
      <c r="AX90" s="67"/>
      <c r="AY90" s="67"/>
    </row>
    <row r="91" spans="1:57" ht="13.5" thickBot="1" x14ac:dyDescent="0.25">
      <c r="A91" s="145"/>
      <c r="B91" s="43"/>
      <c r="C91" s="43"/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3"/>
      <c r="R91" s="43"/>
      <c r="S91" s="43"/>
      <c r="T91" s="43"/>
      <c r="U91" s="43"/>
      <c r="V91" s="43"/>
      <c r="W91" s="43"/>
      <c r="X91" s="43"/>
      <c r="Y91" s="43"/>
      <c r="Z91" s="43"/>
      <c r="AA91" s="43"/>
      <c r="AB91" s="43"/>
      <c r="AC91" s="43"/>
      <c r="AD91" s="43"/>
      <c r="AE91" s="43"/>
      <c r="AF91" s="43"/>
      <c r="AG91" s="43"/>
      <c r="AH91" s="43"/>
      <c r="AI91" s="43"/>
      <c r="AJ91" s="43"/>
      <c r="AK91" s="43"/>
      <c r="AL91" s="39"/>
      <c r="AM91" s="39"/>
      <c r="AN91" s="39"/>
      <c r="AO91" s="39"/>
      <c r="AP91" s="39"/>
      <c r="AQ91" s="39"/>
      <c r="AR91" s="43"/>
      <c r="AS91" s="43"/>
      <c r="AT91" s="43"/>
      <c r="AU91" s="39"/>
      <c r="AV91" s="39"/>
      <c r="AW91" s="39"/>
      <c r="AX91" s="39"/>
      <c r="AY91" s="39"/>
    </row>
    <row r="92" spans="1:57" x14ac:dyDescent="0.2">
      <c r="A92" s="151"/>
      <c r="B92" s="43"/>
      <c r="C92" s="43"/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43"/>
      <c r="R92" s="43"/>
      <c r="S92" s="43"/>
      <c r="T92" s="43"/>
      <c r="U92" s="43"/>
      <c r="V92" s="43"/>
      <c r="W92" s="43"/>
      <c r="X92" s="43"/>
      <c r="Y92" s="43"/>
      <c r="Z92" s="43"/>
      <c r="AA92" s="43"/>
      <c r="AB92" s="43"/>
      <c r="AC92" s="43"/>
      <c r="AD92" s="43"/>
      <c r="AE92" s="43"/>
      <c r="AF92" s="43"/>
      <c r="AG92" s="43"/>
      <c r="AH92" s="43"/>
      <c r="AI92" s="43"/>
      <c r="AJ92" s="43"/>
      <c r="AK92" s="43"/>
      <c r="AL92" s="39"/>
      <c r="AM92" s="39"/>
      <c r="AN92" s="39"/>
      <c r="AO92" s="39"/>
      <c r="AP92" s="39"/>
      <c r="AQ92" s="39"/>
      <c r="AR92" s="43"/>
      <c r="AS92" s="43"/>
      <c r="AT92" s="43"/>
      <c r="AU92" s="39"/>
      <c r="AV92" s="39"/>
      <c r="AW92" s="39"/>
      <c r="AX92" s="39"/>
      <c r="AY92" s="39"/>
    </row>
    <row r="94" spans="1:57" x14ac:dyDescent="0.2">
      <c r="A94" s="152" t="s">
        <v>110</v>
      </c>
      <c r="B94" s="153"/>
      <c r="C94" s="154">
        <f t="shared" ref="C94:AQ94" si="36">C83-C35</f>
        <v>96562116.117785603</v>
      </c>
      <c r="D94" s="155">
        <f t="shared" si="36"/>
        <v>130241416.1177856</v>
      </c>
      <c r="E94" s="153">
        <f t="shared" si="36"/>
        <v>35468500</v>
      </c>
      <c r="F94" s="153">
        <f t="shared" si="36"/>
        <v>43915695.95703876</v>
      </c>
      <c r="G94" s="155">
        <f t="shared" si="36"/>
        <v>79384195.95703876</v>
      </c>
      <c r="H94" s="153">
        <f t="shared" si="36"/>
        <v>13819607.774322104</v>
      </c>
      <c r="I94" s="153">
        <f t="shared" si="36"/>
        <v>46706336.893155098</v>
      </c>
      <c r="J94" s="153">
        <f t="shared" si="36"/>
        <v>60525944.66747719</v>
      </c>
      <c r="K94" s="153">
        <f t="shared" si="36"/>
        <v>16025700</v>
      </c>
      <c r="L94" s="153">
        <f t="shared" si="36"/>
        <v>46480986.702687606</v>
      </c>
      <c r="M94" s="153">
        <f t="shared" si="36"/>
        <v>62506686.702687591</v>
      </c>
      <c r="N94" s="153">
        <f t="shared" si="36"/>
        <v>15126500</v>
      </c>
      <c r="O94" s="153">
        <f t="shared" si="36"/>
        <v>47208730.562500015</v>
      </c>
      <c r="P94" s="153">
        <f t="shared" si="36"/>
        <v>62335230.562500015</v>
      </c>
      <c r="Q94" s="153">
        <f t="shared" si="36"/>
        <v>14050100</v>
      </c>
      <c r="R94" s="153">
        <f t="shared" si="36"/>
        <v>42277282.8125</v>
      </c>
      <c r="S94" s="153">
        <f t="shared" si="36"/>
        <v>56327382.8125</v>
      </c>
      <c r="T94" s="153">
        <f t="shared" si="36"/>
        <v>16070200</v>
      </c>
      <c r="U94" s="153">
        <f t="shared" si="36"/>
        <v>43046819.124999985</v>
      </c>
      <c r="V94" s="153">
        <f t="shared" si="36"/>
        <v>59117019.125</v>
      </c>
      <c r="W94" s="153">
        <f t="shared" si="36"/>
        <v>16899100</v>
      </c>
      <c r="X94" s="153">
        <f t="shared" si="36"/>
        <v>44970721.875</v>
      </c>
      <c r="Y94" s="153">
        <f t="shared" si="36"/>
        <v>61869821.875</v>
      </c>
      <c r="Z94" s="153">
        <f t="shared" si="36"/>
        <v>15998600</v>
      </c>
      <c r="AA94" s="153">
        <f t="shared" si="36"/>
        <v>49480695.4375</v>
      </c>
      <c r="AB94" s="153">
        <f t="shared" si="36"/>
        <v>65479295.4375</v>
      </c>
      <c r="AC94" s="153">
        <f t="shared" si="36"/>
        <v>20525266</v>
      </c>
      <c r="AD94" s="153">
        <f t="shared" si="36"/>
        <v>50800653.875</v>
      </c>
      <c r="AE94" s="153">
        <f t="shared" si="36"/>
        <v>71325919.875</v>
      </c>
      <c r="AF94" s="153">
        <f t="shared" si="36"/>
        <v>24041056</v>
      </c>
      <c r="AG94" s="153">
        <f t="shared" si="36"/>
        <v>47409917.00000003</v>
      </c>
      <c r="AH94" s="153">
        <f t="shared" si="36"/>
        <v>71450973</v>
      </c>
      <c r="AI94" s="153">
        <f t="shared" si="36"/>
        <v>28107362</v>
      </c>
      <c r="AJ94" s="153">
        <f t="shared" si="36"/>
        <v>53439800</v>
      </c>
      <c r="AK94" s="153">
        <f t="shared" si="36"/>
        <v>81547162</v>
      </c>
      <c r="AL94" s="153">
        <f t="shared" si="36"/>
        <v>110539403.40000001</v>
      </c>
      <c r="AM94" s="153">
        <f t="shared" si="36"/>
        <v>99643320</v>
      </c>
      <c r="AN94" s="153">
        <f t="shared" si="36"/>
        <v>119957400</v>
      </c>
      <c r="AO94" s="153">
        <f t="shared" si="36"/>
        <v>124846400</v>
      </c>
      <c r="AP94" s="153">
        <f t="shared" si="36"/>
        <v>132401100</v>
      </c>
      <c r="AQ94" s="153">
        <f t="shared" si="36"/>
        <v>151604500</v>
      </c>
    </row>
    <row r="95" spans="1:57" x14ac:dyDescent="0.2">
      <c r="A95" s="152" t="s">
        <v>111</v>
      </c>
      <c r="B95" s="153"/>
      <c r="C95" s="154"/>
      <c r="D95" s="155"/>
      <c r="E95" s="153"/>
      <c r="F95" s="153"/>
      <c r="G95" s="155"/>
      <c r="H95" s="153"/>
      <c r="I95" s="153"/>
      <c r="J95" s="153"/>
      <c r="K95" s="153"/>
      <c r="L95" s="153"/>
      <c r="M95" s="153"/>
      <c r="N95" s="153"/>
      <c r="O95" s="153"/>
      <c r="P95" s="153"/>
      <c r="Q95" s="153"/>
      <c r="R95" s="153"/>
      <c r="S95" s="153"/>
      <c r="T95" s="153"/>
      <c r="U95" s="153"/>
      <c r="V95" s="153"/>
      <c r="W95" s="153"/>
      <c r="X95" s="153"/>
      <c r="Y95" s="153"/>
      <c r="Z95" s="153"/>
      <c r="AA95" s="153"/>
      <c r="AB95" s="153"/>
      <c r="AC95" s="153"/>
      <c r="AD95" s="153"/>
      <c r="AE95" s="153"/>
      <c r="AF95" s="153"/>
      <c r="AG95" s="153"/>
      <c r="AH95" s="153"/>
      <c r="AI95" s="153"/>
      <c r="AJ95" s="153"/>
      <c r="AK95" s="153"/>
      <c r="AL95" s="153"/>
      <c r="AM95" s="153"/>
      <c r="AN95" s="153"/>
      <c r="AO95" s="153"/>
      <c r="AP95" s="153"/>
      <c r="AQ95" s="153"/>
    </row>
    <row r="96" spans="1:57" x14ac:dyDescent="0.2">
      <c r="A96" s="152" t="s">
        <v>112</v>
      </c>
      <c r="B96" s="153"/>
      <c r="C96" s="154"/>
      <c r="D96" s="155"/>
      <c r="E96" s="153"/>
      <c r="F96" s="153"/>
      <c r="G96" s="155"/>
      <c r="H96" s="153"/>
      <c r="I96" s="153"/>
      <c r="J96" s="153"/>
      <c r="K96" s="153"/>
      <c r="L96" s="153"/>
      <c r="M96" s="153"/>
      <c r="N96" s="153"/>
      <c r="O96" s="153"/>
      <c r="P96" s="153"/>
      <c r="Q96" s="153"/>
      <c r="R96" s="153"/>
      <c r="S96" s="153"/>
      <c r="T96" s="153"/>
      <c r="U96" s="153"/>
      <c r="V96" s="153"/>
      <c r="W96" s="153"/>
      <c r="X96" s="153"/>
      <c r="Y96" s="153"/>
      <c r="Z96" s="153"/>
      <c r="AA96" s="153"/>
      <c r="AB96" s="153"/>
      <c r="AC96" s="153"/>
      <c r="AD96" s="153"/>
      <c r="AE96" s="153"/>
      <c r="AF96" s="153"/>
      <c r="AG96" s="153"/>
      <c r="AH96" s="153"/>
      <c r="AI96" s="153"/>
      <c r="AJ96" s="153"/>
      <c r="AK96" s="153"/>
      <c r="AL96" s="153"/>
      <c r="AM96" s="153"/>
      <c r="AN96" s="153"/>
      <c r="AO96" s="153"/>
      <c r="AP96" s="153"/>
      <c r="AQ96" s="153"/>
    </row>
    <row r="98" spans="1:56" x14ac:dyDescent="0.2">
      <c r="A98" s="156" t="s">
        <v>113</v>
      </c>
      <c r="B98" s="95"/>
    </row>
    <row r="99" spans="1:56" x14ac:dyDescent="0.2">
      <c r="A99" s="157" t="s">
        <v>114</v>
      </c>
      <c r="B99" s="95"/>
    </row>
    <row r="100" spans="1:56" x14ac:dyDescent="0.2">
      <c r="A100" s="158" t="s">
        <v>115</v>
      </c>
      <c r="B100" s="95"/>
    </row>
    <row r="101" spans="1:56" x14ac:dyDescent="0.2">
      <c r="A101" s="159" t="s">
        <v>116</v>
      </c>
      <c r="B101" s="95"/>
    </row>
    <row r="102" spans="1:56" x14ac:dyDescent="0.2">
      <c r="A102" s="160" t="s">
        <v>117</v>
      </c>
      <c r="B102" s="95"/>
    </row>
    <row r="103" spans="1:56" x14ac:dyDescent="0.2">
      <c r="A103" s="161" t="s">
        <v>118</v>
      </c>
      <c r="B103" s="23" t="s">
        <v>119</v>
      </c>
    </row>
    <row r="104" spans="1:56" x14ac:dyDescent="0.2">
      <c r="A104" s="162" t="s">
        <v>120</v>
      </c>
      <c r="B104" s="163" t="s">
        <v>119</v>
      </c>
    </row>
    <row r="105" spans="1:56" x14ac:dyDescent="0.2">
      <c r="A105" s="164" t="s">
        <v>121</v>
      </c>
      <c r="B105" s="165"/>
      <c r="C105" s="166"/>
      <c r="D105" s="166"/>
      <c r="E105" s="166"/>
      <c r="F105" s="166"/>
      <c r="G105" s="166"/>
      <c r="H105" s="166"/>
      <c r="I105" s="166"/>
      <c r="J105" s="166"/>
      <c r="K105" s="166"/>
      <c r="L105" s="166"/>
      <c r="M105" s="166"/>
      <c r="N105" s="166"/>
      <c r="O105" s="166"/>
      <c r="P105" s="166"/>
      <c r="Q105" s="166"/>
      <c r="R105" s="166"/>
      <c r="S105" s="166"/>
      <c r="T105" s="166"/>
      <c r="U105" s="166"/>
      <c r="V105" s="166"/>
      <c r="W105" s="166"/>
      <c r="X105" s="166"/>
      <c r="Y105" s="166"/>
      <c r="Z105" s="166"/>
      <c r="AA105" s="166"/>
      <c r="AB105" s="166"/>
      <c r="AC105" s="166"/>
      <c r="AD105" s="166"/>
      <c r="AE105" s="166"/>
      <c r="AF105" s="166"/>
      <c r="AG105" s="166"/>
      <c r="AH105" s="166"/>
      <c r="AI105" s="166"/>
      <c r="AJ105" s="166"/>
      <c r="AK105" s="166"/>
      <c r="AL105" s="166"/>
      <c r="AM105" s="166"/>
      <c r="AN105" s="166"/>
      <c r="AO105" s="166"/>
      <c r="AP105" s="166"/>
      <c r="AQ105" s="166"/>
    </row>
    <row r="108" spans="1:56" ht="13.5" thickBot="1" x14ac:dyDescent="0.25"/>
    <row r="109" spans="1:56" ht="13.5" thickBot="1" x14ac:dyDescent="0.25">
      <c r="A109" s="28" t="s">
        <v>122</v>
      </c>
      <c r="B109" s="65" t="s">
        <v>37</v>
      </c>
      <c r="C109" s="76">
        <v>1692</v>
      </c>
      <c r="D109" s="77">
        <f t="shared" ref="D109:D125" si="37">SUM(B109:C109)</f>
        <v>1692</v>
      </c>
      <c r="E109" s="76" t="s">
        <v>37</v>
      </c>
      <c r="F109" s="76">
        <v>2256</v>
      </c>
      <c r="G109" s="77">
        <f t="shared" ref="G109:G125" si="38">SUM(E109:F109)</f>
        <v>2256</v>
      </c>
      <c r="H109" s="76">
        <v>672</v>
      </c>
      <c r="I109" s="76">
        <v>2268</v>
      </c>
      <c r="J109" s="76">
        <f t="shared" ref="J109:J125" si="39">SUM(H109:I109)</f>
        <v>2940</v>
      </c>
      <c r="K109" s="76">
        <v>701</v>
      </c>
      <c r="L109" s="76">
        <v>2302.75</v>
      </c>
      <c r="M109" s="76">
        <f t="shared" ref="M109:M125" si="40">SUM(K109:L109)</f>
        <v>3003.75</v>
      </c>
      <c r="N109" s="76">
        <v>745</v>
      </c>
      <c r="O109" s="76">
        <v>2376</v>
      </c>
      <c r="P109" s="76">
        <f t="shared" ref="P109:P125" si="41">SUM(N109:O109)</f>
        <v>3121</v>
      </c>
      <c r="Q109" s="76">
        <v>767</v>
      </c>
      <c r="R109" s="76">
        <v>2430</v>
      </c>
      <c r="S109" s="76">
        <f t="shared" ref="S109:S125" si="42">SUM(Q109:R109)</f>
        <v>3197</v>
      </c>
      <c r="T109" s="76">
        <v>780</v>
      </c>
      <c r="U109" s="76">
        <v>2455.25</v>
      </c>
      <c r="V109" s="76">
        <f t="shared" ref="V109:V125" si="43">SUM(T109:U109)</f>
        <v>3235.25</v>
      </c>
      <c r="W109" s="76">
        <v>786</v>
      </c>
      <c r="X109" s="76">
        <v>2484.75</v>
      </c>
      <c r="Y109" s="76">
        <f t="shared" ref="Y109:Y125" si="44">SUM(W109:X109)</f>
        <v>3270.75</v>
      </c>
      <c r="Z109" s="76">
        <v>796</v>
      </c>
      <c r="AA109" s="76">
        <v>2545.5</v>
      </c>
      <c r="AB109" s="76">
        <f t="shared" ref="AB109:AB125" si="45">SUM(Z109:AA109)</f>
        <v>3341.5</v>
      </c>
      <c r="AC109" s="78">
        <v>749.88956142828079</v>
      </c>
      <c r="AD109" s="76">
        <v>2591.5</v>
      </c>
      <c r="AE109" s="78">
        <f t="shared" ref="AE109:AE125" si="46">SUM(AC109:AD109)</f>
        <v>3341.389561428281</v>
      </c>
      <c r="AF109" s="76">
        <v>741</v>
      </c>
      <c r="AG109" s="76">
        <v>2601</v>
      </c>
      <c r="AH109" s="76">
        <f t="shared" ref="AH109:AH125" si="47">SUM(AF109:AG109)</f>
        <v>3342</v>
      </c>
      <c r="AI109" s="76">
        <v>759</v>
      </c>
      <c r="AJ109" s="76">
        <v>2613</v>
      </c>
      <c r="AK109" s="76">
        <f t="shared" ref="AK109:AK125" si="48">SUM(AI109:AJ109)</f>
        <v>3372</v>
      </c>
      <c r="AL109" s="76">
        <v>3072</v>
      </c>
      <c r="AM109" s="76">
        <v>2958</v>
      </c>
      <c r="AN109" s="76">
        <v>2199</v>
      </c>
      <c r="AO109" s="79" t="e">
        <v>#REF!</v>
      </c>
      <c r="AP109" s="79" t="e">
        <v>#REF!</v>
      </c>
      <c r="AQ109" s="79" t="e">
        <v>#REF!</v>
      </c>
      <c r="AR109" s="76" t="e">
        <v>#REF!</v>
      </c>
      <c r="AS109" s="76" t="e">
        <v>#REF!</v>
      </c>
      <c r="AT109" s="76" t="e">
        <v>#REF!</v>
      </c>
      <c r="AU109" s="76" t="e">
        <v>#REF!</v>
      </c>
      <c r="AV109" s="76">
        <v>2176</v>
      </c>
      <c r="AW109" s="76">
        <v>2200</v>
      </c>
      <c r="AX109" s="76">
        <v>2224</v>
      </c>
      <c r="AY109" s="76">
        <v>2238</v>
      </c>
      <c r="AZ109" s="76">
        <v>2268</v>
      </c>
      <c r="BA109" s="76">
        <v>2247.2600000000002</v>
      </c>
      <c r="BB109" s="76">
        <v>2181</v>
      </c>
      <c r="BC109" s="76">
        <v>2220</v>
      </c>
      <c r="BD109" s="167">
        <v>2253</v>
      </c>
    </row>
    <row r="110" spans="1:56" x14ac:dyDescent="0.2">
      <c r="A110" s="45" t="s">
        <v>50</v>
      </c>
      <c r="B110" s="38" t="s">
        <v>37</v>
      </c>
      <c r="C110" s="82" t="s">
        <v>51</v>
      </c>
      <c r="D110" s="83">
        <f t="shared" si="37"/>
        <v>0</v>
      </c>
      <c r="E110" s="67" t="s">
        <v>37</v>
      </c>
      <c r="F110" s="67">
        <v>428.25</v>
      </c>
      <c r="G110" s="83">
        <f t="shared" si="38"/>
        <v>428.25</v>
      </c>
      <c r="H110" s="67" t="s">
        <v>37</v>
      </c>
      <c r="I110" s="67">
        <v>590.5</v>
      </c>
      <c r="J110" s="83">
        <f>SUM(H110:I110)</f>
        <v>590.5</v>
      </c>
      <c r="K110" s="67">
        <v>266</v>
      </c>
      <c r="L110" s="67">
        <v>608.25</v>
      </c>
      <c r="M110" s="67">
        <f t="shared" si="40"/>
        <v>874.25</v>
      </c>
      <c r="N110" s="67">
        <v>298</v>
      </c>
      <c r="O110" s="67">
        <v>645</v>
      </c>
      <c r="P110" s="67">
        <f t="shared" si="41"/>
        <v>943</v>
      </c>
      <c r="Q110" s="67">
        <v>333</v>
      </c>
      <c r="R110" s="67">
        <v>672.5</v>
      </c>
      <c r="S110" s="67">
        <f t="shared" si="42"/>
        <v>1005.5</v>
      </c>
      <c r="T110" s="67">
        <v>338</v>
      </c>
      <c r="U110" s="67">
        <v>693.75</v>
      </c>
      <c r="V110" s="67">
        <f t="shared" si="43"/>
        <v>1031.75</v>
      </c>
      <c r="W110" s="67">
        <v>338</v>
      </c>
      <c r="X110" s="67">
        <v>711.75</v>
      </c>
      <c r="Y110" s="67">
        <f t="shared" si="44"/>
        <v>1049.75</v>
      </c>
      <c r="Z110" s="67">
        <v>340</v>
      </c>
      <c r="AA110" s="67">
        <v>777.5</v>
      </c>
      <c r="AB110" s="67">
        <f t="shared" si="45"/>
        <v>1117.5</v>
      </c>
      <c r="AC110" s="67" t="s">
        <v>37</v>
      </c>
      <c r="AD110" s="67">
        <v>808.5</v>
      </c>
      <c r="AE110" s="83">
        <f t="shared" si="46"/>
        <v>808.5</v>
      </c>
      <c r="AF110" s="84">
        <v>228</v>
      </c>
      <c r="AG110" s="67">
        <v>812</v>
      </c>
      <c r="AH110" s="71">
        <f t="shared" si="47"/>
        <v>1040</v>
      </c>
      <c r="AI110" s="84">
        <v>241</v>
      </c>
      <c r="AJ110" s="67">
        <v>816</v>
      </c>
      <c r="AK110" s="71">
        <f t="shared" si="48"/>
        <v>1057</v>
      </c>
      <c r="AL110" s="67">
        <v>920</v>
      </c>
      <c r="AM110" s="67">
        <v>902</v>
      </c>
      <c r="AN110" s="67">
        <v>807</v>
      </c>
      <c r="AO110" s="67">
        <v>848</v>
      </c>
      <c r="AP110" s="67">
        <v>865</v>
      </c>
      <c r="AQ110" s="67" t="s">
        <v>33</v>
      </c>
      <c r="AR110" s="67" t="s">
        <v>33</v>
      </c>
      <c r="AS110" s="67" t="s">
        <v>33</v>
      </c>
      <c r="AT110" s="67" t="s">
        <v>33</v>
      </c>
      <c r="AU110" s="67" t="s">
        <v>33</v>
      </c>
      <c r="AV110" s="67" t="s">
        <v>33</v>
      </c>
      <c r="AW110" s="67" t="s">
        <v>33</v>
      </c>
      <c r="AX110" s="67" t="s">
        <v>33</v>
      </c>
      <c r="AY110" s="67" t="s">
        <v>33</v>
      </c>
      <c r="AZ110" s="71" t="s">
        <v>33</v>
      </c>
      <c r="BA110" s="71" t="s">
        <v>33</v>
      </c>
      <c r="BB110" s="71" t="s">
        <v>33</v>
      </c>
      <c r="BC110" s="71" t="s">
        <v>33</v>
      </c>
      <c r="BD110" s="71" t="s">
        <v>33</v>
      </c>
    </row>
    <row r="111" spans="1:56" x14ac:dyDescent="0.2">
      <c r="A111" s="45" t="s">
        <v>52</v>
      </c>
      <c r="B111" s="38" t="s">
        <v>37</v>
      </c>
      <c r="C111" s="82" t="s">
        <v>51</v>
      </c>
      <c r="D111" s="83">
        <f t="shared" si="37"/>
        <v>0</v>
      </c>
      <c r="E111" s="38" t="s">
        <v>37</v>
      </c>
      <c r="F111" s="82" t="s">
        <v>51</v>
      </c>
      <c r="G111" s="83">
        <f t="shared" si="38"/>
        <v>0</v>
      </c>
      <c r="H111" s="67" t="s">
        <v>37</v>
      </c>
      <c r="I111" s="82" t="s">
        <v>51</v>
      </c>
      <c r="J111" s="83">
        <f t="shared" si="39"/>
        <v>0</v>
      </c>
      <c r="K111" s="85">
        <v>12233396</v>
      </c>
      <c r="L111" s="82" t="s">
        <v>51</v>
      </c>
      <c r="M111" s="71">
        <f t="shared" si="40"/>
        <v>12233396</v>
      </c>
      <c r="N111" s="85">
        <v>14223912</v>
      </c>
      <c r="O111" s="82" t="s">
        <v>51</v>
      </c>
      <c r="P111" s="71">
        <f t="shared" si="41"/>
        <v>14223912</v>
      </c>
      <c r="Q111" s="85">
        <v>16595670</v>
      </c>
      <c r="R111" s="82" t="s">
        <v>51</v>
      </c>
      <c r="S111" s="71">
        <f t="shared" si="42"/>
        <v>16595670</v>
      </c>
      <c r="T111" s="85">
        <v>17471792</v>
      </c>
      <c r="U111" s="82" t="s">
        <v>51</v>
      </c>
      <c r="V111" s="71">
        <f t="shared" si="43"/>
        <v>17471792</v>
      </c>
      <c r="W111" s="85">
        <v>18175824</v>
      </c>
      <c r="X111" s="82" t="s">
        <v>51</v>
      </c>
      <c r="Y111" s="71">
        <f t="shared" si="44"/>
        <v>18175824</v>
      </c>
      <c r="Z111" s="85">
        <v>18675640</v>
      </c>
      <c r="AA111" s="82" t="s">
        <v>51</v>
      </c>
      <c r="AB111" s="71">
        <f t="shared" si="45"/>
        <v>18675640</v>
      </c>
      <c r="AC111" s="67" t="s">
        <v>37</v>
      </c>
      <c r="AD111" s="82" t="s">
        <v>51</v>
      </c>
      <c r="AE111" s="83">
        <f t="shared" si="46"/>
        <v>0</v>
      </c>
      <c r="AF111" s="73">
        <v>13925529</v>
      </c>
      <c r="AG111" s="82" t="s">
        <v>51</v>
      </c>
      <c r="AH111" s="71">
        <f t="shared" si="47"/>
        <v>13925529</v>
      </c>
      <c r="AI111" s="73">
        <v>14326645</v>
      </c>
      <c r="AJ111" s="82" t="s">
        <v>51</v>
      </c>
      <c r="AK111" s="71">
        <f t="shared" si="48"/>
        <v>14326645</v>
      </c>
      <c r="AL111" s="82" t="s">
        <v>51</v>
      </c>
      <c r="AM111" s="82" t="s">
        <v>51</v>
      </c>
      <c r="AN111" s="82" t="s">
        <v>51</v>
      </c>
      <c r="AO111" s="82" t="s">
        <v>51</v>
      </c>
      <c r="AP111" s="82" t="s">
        <v>51</v>
      </c>
      <c r="AQ111" s="82" t="s">
        <v>51</v>
      </c>
      <c r="AR111" s="82" t="s">
        <v>51</v>
      </c>
      <c r="AS111" s="82" t="s">
        <v>51</v>
      </c>
      <c r="AT111" s="82" t="s">
        <v>51</v>
      </c>
      <c r="AU111" s="82" t="s">
        <v>51</v>
      </c>
      <c r="AV111" s="82" t="s">
        <v>51</v>
      </c>
      <c r="AW111" s="82" t="s">
        <v>51</v>
      </c>
      <c r="AX111" s="82" t="s">
        <v>51</v>
      </c>
      <c r="AY111" s="82" t="s">
        <v>51</v>
      </c>
      <c r="AZ111" s="86" t="s">
        <v>51</v>
      </c>
      <c r="BA111" s="86" t="s">
        <v>51</v>
      </c>
      <c r="BB111" s="86" t="s">
        <v>51</v>
      </c>
      <c r="BC111" s="86" t="s">
        <v>51</v>
      </c>
      <c r="BD111" s="86" t="s">
        <v>51</v>
      </c>
    </row>
    <row r="112" spans="1:56" x14ac:dyDescent="0.2">
      <c r="A112" s="45" t="s">
        <v>53</v>
      </c>
      <c r="B112" s="38" t="s">
        <v>37</v>
      </c>
      <c r="C112" s="82" t="s">
        <v>51</v>
      </c>
      <c r="D112" s="83">
        <f t="shared" si="37"/>
        <v>0</v>
      </c>
      <c r="E112" s="67" t="s">
        <v>37</v>
      </c>
      <c r="F112" s="67">
        <v>577.5</v>
      </c>
      <c r="G112" s="83">
        <f t="shared" si="38"/>
        <v>577.5</v>
      </c>
      <c r="H112" s="38">
        <v>415</v>
      </c>
      <c r="I112" s="67">
        <v>764.75</v>
      </c>
      <c r="J112" s="71">
        <f>SUM(H112:I112)</f>
        <v>1179.75</v>
      </c>
      <c r="K112" s="67">
        <v>173</v>
      </c>
      <c r="L112" s="67">
        <v>772</v>
      </c>
      <c r="M112" s="67">
        <f t="shared" si="40"/>
        <v>945</v>
      </c>
      <c r="N112" s="67">
        <v>171</v>
      </c>
      <c r="O112" s="67">
        <v>793.75</v>
      </c>
      <c r="P112" s="71">
        <f t="shared" si="41"/>
        <v>964.75</v>
      </c>
      <c r="Q112" s="67">
        <v>152</v>
      </c>
      <c r="R112" s="67">
        <v>818</v>
      </c>
      <c r="S112" s="71">
        <f t="shared" si="42"/>
        <v>970</v>
      </c>
      <c r="T112" s="67">
        <v>158</v>
      </c>
      <c r="U112" s="67">
        <v>824</v>
      </c>
      <c r="V112" s="71">
        <f t="shared" si="43"/>
        <v>982</v>
      </c>
      <c r="W112" s="67">
        <v>165</v>
      </c>
      <c r="X112" s="67">
        <v>833</v>
      </c>
      <c r="Y112" s="71">
        <f t="shared" si="44"/>
        <v>998</v>
      </c>
      <c r="Z112" s="67">
        <v>144</v>
      </c>
      <c r="AA112" s="67">
        <v>828.5</v>
      </c>
      <c r="AB112" s="71">
        <f t="shared" si="45"/>
        <v>972.5</v>
      </c>
      <c r="AC112" s="67" t="s">
        <v>37</v>
      </c>
      <c r="AD112" s="67">
        <v>835</v>
      </c>
      <c r="AE112" s="83">
        <f t="shared" si="46"/>
        <v>835</v>
      </c>
      <c r="AF112" s="84">
        <v>189</v>
      </c>
      <c r="AG112" s="67">
        <v>838</v>
      </c>
      <c r="AH112" s="71">
        <f t="shared" si="47"/>
        <v>1027</v>
      </c>
      <c r="AI112" s="84">
        <v>189</v>
      </c>
      <c r="AJ112" s="67">
        <v>833</v>
      </c>
      <c r="AK112" s="71">
        <f t="shared" si="48"/>
        <v>1022</v>
      </c>
      <c r="AL112" s="67">
        <v>914</v>
      </c>
      <c r="AM112" s="67">
        <v>759</v>
      </c>
      <c r="AN112" s="67">
        <v>472</v>
      </c>
      <c r="AO112" s="67">
        <v>525</v>
      </c>
      <c r="AP112" s="67">
        <v>867</v>
      </c>
      <c r="AQ112" s="67" t="s">
        <v>33</v>
      </c>
      <c r="AR112" s="67" t="s">
        <v>33</v>
      </c>
      <c r="AS112" s="67" t="s">
        <v>33</v>
      </c>
      <c r="AT112" s="67" t="s">
        <v>33</v>
      </c>
      <c r="AU112" s="67" t="s">
        <v>33</v>
      </c>
      <c r="AV112" s="67" t="s">
        <v>33</v>
      </c>
      <c r="AW112" s="67" t="s">
        <v>33</v>
      </c>
      <c r="AX112" s="67" t="s">
        <v>33</v>
      </c>
      <c r="AY112" s="67" t="s">
        <v>33</v>
      </c>
      <c r="AZ112" s="71" t="s">
        <v>33</v>
      </c>
      <c r="BA112" s="71" t="s">
        <v>33</v>
      </c>
      <c r="BB112" s="71" t="s">
        <v>33</v>
      </c>
      <c r="BC112" s="71" t="s">
        <v>33</v>
      </c>
      <c r="BD112" s="71" t="s">
        <v>33</v>
      </c>
    </row>
    <row r="113" spans="1:56" x14ac:dyDescent="0.2">
      <c r="A113" s="45" t="s">
        <v>54</v>
      </c>
      <c r="B113" s="38" t="s">
        <v>37</v>
      </c>
      <c r="C113" s="82" t="s">
        <v>51</v>
      </c>
      <c r="D113" s="83">
        <f t="shared" si="37"/>
        <v>0</v>
      </c>
      <c r="E113" s="38" t="s">
        <v>37</v>
      </c>
      <c r="F113" s="82" t="s">
        <v>51</v>
      </c>
      <c r="G113" s="83">
        <f t="shared" si="38"/>
        <v>0</v>
      </c>
      <c r="H113" s="71" t="s">
        <v>37</v>
      </c>
      <c r="I113" s="82" t="s">
        <v>51</v>
      </c>
      <c r="J113" s="83">
        <f t="shared" si="39"/>
        <v>0</v>
      </c>
      <c r="K113" s="85">
        <v>4224141</v>
      </c>
      <c r="L113" s="82" t="s">
        <v>51</v>
      </c>
      <c r="M113" s="71">
        <f t="shared" si="40"/>
        <v>4224141</v>
      </c>
      <c r="N113" s="85">
        <v>4425822</v>
      </c>
      <c r="O113" s="82" t="s">
        <v>51</v>
      </c>
      <c r="P113" s="71">
        <f t="shared" si="41"/>
        <v>4425822</v>
      </c>
      <c r="Q113" s="85">
        <v>4084544</v>
      </c>
      <c r="R113" s="82" t="s">
        <v>51</v>
      </c>
      <c r="S113" s="71">
        <f t="shared" si="42"/>
        <v>4084544</v>
      </c>
      <c r="T113" s="85">
        <v>4606016</v>
      </c>
      <c r="U113" s="82" t="s">
        <v>51</v>
      </c>
      <c r="V113" s="71">
        <f t="shared" si="43"/>
        <v>4606016</v>
      </c>
      <c r="W113" s="85">
        <v>5124570</v>
      </c>
      <c r="X113" s="82" t="s">
        <v>51</v>
      </c>
      <c r="Y113" s="71">
        <f t="shared" si="44"/>
        <v>5124570</v>
      </c>
      <c r="Z113" s="85">
        <v>4665024</v>
      </c>
      <c r="AA113" s="82" t="s">
        <v>51</v>
      </c>
      <c r="AB113" s="71">
        <f t="shared" si="45"/>
        <v>4665024</v>
      </c>
      <c r="AC113" s="67" t="s">
        <v>37</v>
      </c>
      <c r="AD113" s="82" t="s">
        <v>51</v>
      </c>
      <c r="AE113" s="83">
        <f t="shared" si="46"/>
        <v>0</v>
      </c>
      <c r="AF113" s="73">
        <v>7247523</v>
      </c>
      <c r="AG113" s="82" t="s">
        <v>51</v>
      </c>
      <c r="AH113" s="71">
        <f t="shared" si="47"/>
        <v>7247523</v>
      </c>
      <c r="AI113" s="73">
        <v>6967905</v>
      </c>
      <c r="AJ113" s="82" t="s">
        <v>51</v>
      </c>
      <c r="AK113" s="71">
        <f t="shared" si="48"/>
        <v>6967905</v>
      </c>
      <c r="AL113" s="82" t="s">
        <v>51</v>
      </c>
      <c r="AM113" s="82" t="s">
        <v>51</v>
      </c>
      <c r="AN113" s="82" t="s">
        <v>51</v>
      </c>
      <c r="AO113" s="82" t="s">
        <v>51</v>
      </c>
      <c r="AP113" s="82" t="s">
        <v>51</v>
      </c>
      <c r="AQ113" s="82" t="s">
        <v>51</v>
      </c>
      <c r="AR113" s="82" t="s">
        <v>51</v>
      </c>
      <c r="AS113" s="82" t="s">
        <v>51</v>
      </c>
      <c r="AT113" s="82" t="s">
        <v>51</v>
      </c>
      <c r="AU113" s="82" t="s">
        <v>51</v>
      </c>
      <c r="AV113" s="82" t="s">
        <v>51</v>
      </c>
      <c r="AW113" s="82" t="s">
        <v>51</v>
      </c>
      <c r="AX113" s="82" t="s">
        <v>51</v>
      </c>
      <c r="AY113" s="82" t="s">
        <v>51</v>
      </c>
      <c r="AZ113" s="86" t="s">
        <v>51</v>
      </c>
      <c r="BA113" s="86" t="s">
        <v>51</v>
      </c>
      <c r="BB113" s="86" t="s">
        <v>51</v>
      </c>
      <c r="BC113" s="86" t="s">
        <v>51</v>
      </c>
      <c r="BD113" s="86" t="s">
        <v>51</v>
      </c>
    </row>
    <row r="114" spans="1:56" x14ac:dyDescent="0.2">
      <c r="A114" s="87" t="s">
        <v>55</v>
      </c>
      <c r="B114" s="38" t="s">
        <v>37</v>
      </c>
      <c r="C114" s="82" t="s">
        <v>51</v>
      </c>
      <c r="D114" s="83">
        <f t="shared" si="37"/>
        <v>0</v>
      </c>
      <c r="E114" s="67" t="s">
        <v>37</v>
      </c>
      <c r="F114" s="67">
        <v>686.25</v>
      </c>
      <c r="G114" s="83">
        <f t="shared" si="38"/>
        <v>686.25</v>
      </c>
      <c r="H114" s="71">
        <v>257</v>
      </c>
      <c r="I114" s="67">
        <v>912.75</v>
      </c>
      <c r="J114" s="71">
        <f t="shared" si="39"/>
        <v>1169.75</v>
      </c>
      <c r="K114" s="67">
        <v>262</v>
      </c>
      <c r="L114" s="67">
        <v>922.5</v>
      </c>
      <c r="M114" s="67">
        <f t="shared" si="40"/>
        <v>1184.5</v>
      </c>
      <c r="N114" s="67">
        <v>276</v>
      </c>
      <c r="O114" s="67">
        <v>937.25</v>
      </c>
      <c r="P114" s="71">
        <f t="shared" si="41"/>
        <v>1213.25</v>
      </c>
      <c r="Q114" s="67">
        <v>282</v>
      </c>
      <c r="R114" s="67">
        <v>939.5</v>
      </c>
      <c r="S114" s="71">
        <f t="shared" si="42"/>
        <v>1221.5</v>
      </c>
      <c r="T114" s="67">
        <v>284</v>
      </c>
      <c r="U114" s="67">
        <v>937.5</v>
      </c>
      <c r="V114" s="71">
        <f t="shared" si="43"/>
        <v>1221.5</v>
      </c>
      <c r="W114" s="67">
        <v>283</v>
      </c>
      <c r="X114" s="67">
        <v>940</v>
      </c>
      <c r="Y114" s="71">
        <f t="shared" si="44"/>
        <v>1223</v>
      </c>
      <c r="Z114" s="67">
        <v>312</v>
      </c>
      <c r="AA114" s="67">
        <v>939.5</v>
      </c>
      <c r="AB114" s="71">
        <f t="shared" si="45"/>
        <v>1251.5</v>
      </c>
      <c r="AC114" s="67" t="s">
        <v>37</v>
      </c>
      <c r="AD114" s="67">
        <v>948</v>
      </c>
      <c r="AE114" s="83">
        <f t="shared" si="46"/>
        <v>948</v>
      </c>
      <c r="AF114" s="84">
        <v>342</v>
      </c>
      <c r="AG114" s="67">
        <v>951</v>
      </c>
      <c r="AH114" s="71">
        <f t="shared" si="47"/>
        <v>1293</v>
      </c>
      <c r="AI114" s="84">
        <v>311</v>
      </c>
      <c r="AJ114" s="67">
        <v>964</v>
      </c>
      <c r="AK114" s="71">
        <f t="shared" si="48"/>
        <v>1275</v>
      </c>
      <c r="AL114" s="67">
        <v>1238</v>
      </c>
      <c r="AM114" s="67">
        <v>1297</v>
      </c>
      <c r="AN114" s="67">
        <v>920</v>
      </c>
      <c r="AO114" s="67">
        <v>902</v>
      </c>
      <c r="AP114" s="67">
        <v>514</v>
      </c>
      <c r="AQ114" s="67" t="s">
        <v>33</v>
      </c>
      <c r="AR114" s="67" t="s">
        <v>33</v>
      </c>
      <c r="AS114" s="67" t="s">
        <v>33</v>
      </c>
      <c r="AT114" s="67" t="s">
        <v>33</v>
      </c>
      <c r="AU114" s="67" t="s">
        <v>33</v>
      </c>
      <c r="AV114" s="67" t="s">
        <v>33</v>
      </c>
      <c r="AW114" s="67" t="s">
        <v>33</v>
      </c>
      <c r="AX114" s="67" t="s">
        <v>33</v>
      </c>
      <c r="AY114" s="67" t="s">
        <v>33</v>
      </c>
      <c r="AZ114" s="71" t="s">
        <v>33</v>
      </c>
      <c r="BA114" s="71" t="s">
        <v>33</v>
      </c>
      <c r="BB114" s="71" t="s">
        <v>33</v>
      </c>
      <c r="BC114" s="71" t="s">
        <v>33</v>
      </c>
      <c r="BD114" s="71" t="s">
        <v>33</v>
      </c>
    </row>
    <row r="115" spans="1:56" x14ac:dyDescent="0.2">
      <c r="A115" s="87" t="s">
        <v>56</v>
      </c>
      <c r="B115" s="38" t="s">
        <v>37</v>
      </c>
      <c r="C115" s="82" t="s">
        <v>51</v>
      </c>
      <c r="D115" s="83">
        <f t="shared" si="37"/>
        <v>0</v>
      </c>
      <c r="E115" s="38" t="s">
        <v>37</v>
      </c>
      <c r="F115" s="82" t="s">
        <v>51</v>
      </c>
      <c r="G115" s="83">
        <f t="shared" si="38"/>
        <v>0</v>
      </c>
      <c r="H115" s="38" t="s">
        <v>37</v>
      </c>
      <c r="I115" s="82" t="s">
        <v>51</v>
      </c>
      <c r="J115" s="83">
        <f t="shared" si="39"/>
        <v>0</v>
      </c>
      <c r="K115" s="85">
        <v>6804463</v>
      </c>
      <c r="L115" s="82" t="s">
        <v>51</v>
      </c>
      <c r="M115" s="71">
        <f t="shared" si="40"/>
        <v>6804463</v>
      </c>
      <c r="N115" s="85">
        <v>6725666</v>
      </c>
      <c r="O115" s="82" t="s">
        <v>51</v>
      </c>
      <c r="P115" s="71">
        <f t="shared" si="41"/>
        <v>6725666</v>
      </c>
      <c r="Q115" s="85">
        <v>6843386</v>
      </c>
      <c r="R115" s="82" t="s">
        <v>51</v>
      </c>
      <c r="S115" s="71">
        <f t="shared" si="42"/>
        <v>6843386</v>
      </c>
      <c r="T115" s="85">
        <v>7915092</v>
      </c>
      <c r="U115" s="82" t="s">
        <v>51</v>
      </c>
      <c r="V115" s="71">
        <f t="shared" si="43"/>
        <v>7915092</v>
      </c>
      <c r="W115" s="85">
        <v>8918306</v>
      </c>
      <c r="X115" s="82" t="s">
        <v>51</v>
      </c>
      <c r="Y115" s="71">
        <f t="shared" si="44"/>
        <v>8918306</v>
      </c>
      <c r="Z115" s="85">
        <v>14805636</v>
      </c>
      <c r="AA115" s="82" t="s">
        <v>51</v>
      </c>
      <c r="AB115" s="71">
        <f t="shared" si="45"/>
        <v>14805636</v>
      </c>
      <c r="AC115" s="67" t="s">
        <v>37</v>
      </c>
      <c r="AD115" s="82" t="s">
        <v>51</v>
      </c>
      <c r="AE115" s="83">
        <f t="shared" si="46"/>
        <v>0</v>
      </c>
      <c r="AF115" s="73">
        <v>13882608</v>
      </c>
      <c r="AG115" s="82" t="s">
        <v>51</v>
      </c>
      <c r="AH115" s="71">
        <f t="shared" si="47"/>
        <v>13882608</v>
      </c>
      <c r="AI115" s="73">
        <v>12383894</v>
      </c>
      <c r="AJ115" s="82" t="s">
        <v>51</v>
      </c>
      <c r="AK115" s="71">
        <f t="shared" si="48"/>
        <v>12383894</v>
      </c>
      <c r="AL115" s="82" t="s">
        <v>51</v>
      </c>
      <c r="AM115" s="82" t="s">
        <v>51</v>
      </c>
      <c r="AN115" s="82" t="s">
        <v>51</v>
      </c>
      <c r="AO115" s="82" t="s">
        <v>51</v>
      </c>
      <c r="AP115" s="82" t="s">
        <v>51</v>
      </c>
      <c r="AQ115" s="82" t="s">
        <v>51</v>
      </c>
      <c r="AR115" s="82" t="s">
        <v>51</v>
      </c>
      <c r="AS115" s="82" t="s">
        <v>51</v>
      </c>
      <c r="AT115" s="82" t="s">
        <v>51</v>
      </c>
      <c r="AU115" s="82" t="s">
        <v>51</v>
      </c>
      <c r="AV115" s="82" t="s">
        <v>51</v>
      </c>
      <c r="AW115" s="82" t="s">
        <v>51</v>
      </c>
      <c r="AX115" s="82" t="s">
        <v>51</v>
      </c>
      <c r="AY115" s="82" t="s">
        <v>51</v>
      </c>
      <c r="AZ115" s="86" t="s">
        <v>51</v>
      </c>
      <c r="BA115" s="86" t="s">
        <v>51</v>
      </c>
      <c r="BB115" s="86" t="s">
        <v>51</v>
      </c>
      <c r="BC115" s="86" t="s">
        <v>51</v>
      </c>
      <c r="BD115" s="86" t="s">
        <v>51</v>
      </c>
    </row>
    <row r="116" spans="1:56" x14ac:dyDescent="0.2">
      <c r="A116" s="87" t="s">
        <v>57</v>
      </c>
      <c r="B116" s="38"/>
      <c r="C116" s="82"/>
      <c r="D116" s="83"/>
      <c r="E116" s="38"/>
      <c r="F116" s="82"/>
      <c r="G116" s="83"/>
      <c r="H116" s="38"/>
      <c r="I116" s="82"/>
      <c r="J116" s="83"/>
      <c r="K116" s="85"/>
      <c r="L116" s="82"/>
      <c r="M116" s="71"/>
      <c r="N116" s="85"/>
      <c r="O116" s="82"/>
      <c r="P116" s="71"/>
      <c r="Q116" s="85"/>
      <c r="R116" s="82"/>
      <c r="S116" s="71"/>
      <c r="T116" s="85"/>
      <c r="U116" s="82"/>
      <c r="V116" s="71"/>
      <c r="W116" s="85"/>
      <c r="X116" s="82"/>
      <c r="Y116" s="71"/>
      <c r="Z116" s="85"/>
      <c r="AA116" s="82"/>
      <c r="AB116" s="71"/>
      <c r="AC116" s="67"/>
      <c r="AD116" s="82"/>
      <c r="AE116" s="83"/>
      <c r="AF116" s="73"/>
      <c r="AG116" s="82"/>
      <c r="AH116" s="71"/>
      <c r="AI116" s="73"/>
      <c r="AJ116" s="82"/>
      <c r="AK116" s="71"/>
      <c r="AL116" s="82"/>
      <c r="AM116" s="82"/>
      <c r="AN116" s="67" t="s">
        <v>33</v>
      </c>
      <c r="AO116" s="88" t="e">
        <v>#REF!</v>
      </c>
      <c r="AP116" s="88" t="e">
        <v>#REF!</v>
      </c>
      <c r="AQ116" s="88" t="e">
        <v>#REF!</v>
      </c>
      <c r="AR116" s="71" t="e">
        <v>#REF!</v>
      </c>
      <c r="AS116" s="71" t="e">
        <v>#REF!</v>
      </c>
      <c r="AT116" s="71" t="e">
        <v>#REF!</v>
      </c>
      <c r="AU116" s="71" t="e">
        <v>#REF!</v>
      </c>
      <c r="AV116" s="71">
        <v>164371179</v>
      </c>
      <c r="AW116" s="71">
        <v>172274463</v>
      </c>
      <c r="AX116" s="71">
        <v>175065693</v>
      </c>
      <c r="AY116" s="71">
        <v>183249056</v>
      </c>
      <c r="AZ116" s="71">
        <v>191836774.61000001</v>
      </c>
      <c r="BA116" s="71">
        <v>183418220.05000001</v>
      </c>
      <c r="BB116" s="71">
        <v>201762194</v>
      </c>
      <c r="BC116" s="71">
        <v>211064765</v>
      </c>
      <c r="BD116" s="71">
        <v>210164241</v>
      </c>
    </row>
    <row r="117" spans="1:56" x14ac:dyDescent="0.2">
      <c r="A117" s="87" t="s">
        <v>58</v>
      </c>
      <c r="B117" s="38" t="s">
        <v>37</v>
      </c>
      <c r="C117" s="82" t="s">
        <v>51</v>
      </c>
      <c r="D117" s="49">
        <f t="shared" si="37"/>
        <v>0</v>
      </c>
      <c r="E117" s="38" t="s">
        <v>37</v>
      </c>
      <c r="F117" s="39">
        <v>62040000</v>
      </c>
      <c r="G117" s="49">
        <f t="shared" si="38"/>
        <v>62040000</v>
      </c>
      <c r="H117" s="89">
        <v>20700292.225677896</v>
      </c>
      <c r="I117" s="39">
        <v>67586400.000000015</v>
      </c>
      <c r="J117" s="50">
        <f t="shared" si="39"/>
        <v>88286692.225677907</v>
      </c>
      <c r="K117" s="85">
        <v>23262000</v>
      </c>
      <c r="L117" s="39">
        <v>75530200</v>
      </c>
      <c r="M117" s="39">
        <f t="shared" si="40"/>
        <v>98792200</v>
      </c>
      <c r="N117" s="67">
        <f>N111+N113+N115</f>
        <v>25375400</v>
      </c>
      <c r="O117" s="39">
        <v>81496799.999999985</v>
      </c>
      <c r="P117" s="39">
        <f t="shared" si="41"/>
        <v>106872199.99999999</v>
      </c>
      <c r="Q117" s="67">
        <f>Q111+Q113+Q115</f>
        <v>27523600</v>
      </c>
      <c r="R117" s="39">
        <v>88938000</v>
      </c>
      <c r="S117" s="39">
        <f t="shared" si="42"/>
        <v>116461600</v>
      </c>
      <c r="T117" s="67">
        <f>T111+T113+T115</f>
        <v>29992900</v>
      </c>
      <c r="U117" s="39">
        <v>97227900.000000015</v>
      </c>
      <c r="V117" s="39">
        <f t="shared" si="43"/>
        <v>127220800.00000001</v>
      </c>
      <c r="W117" s="67">
        <f>W111+W113+W115</f>
        <v>32218700</v>
      </c>
      <c r="X117" s="39">
        <v>107092725</v>
      </c>
      <c r="Y117" s="39">
        <f t="shared" si="44"/>
        <v>139311425</v>
      </c>
      <c r="Z117" s="67">
        <f>Z111+Z113+Z115</f>
        <v>38146300</v>
      </c>
      <c r="AA117" s="39">
        <v>115820250</v>
      </c>
      <c r="AB117" s="39">
        <f t="shared" si="45"/>
        <v>153966550</v>
      </c>
      <c r="AC117" s="73">
        <v>35403128</v>
      </c>
      <c r="AD117" s="39">
        <v>119209000</v>
      </c>
      <c r="AE117" s="43">
        <f t="shared" si="46"/>
        <v>154612128</v>
      </c>
      <c r="AF117" s="73">
        <v>33678444</v>
      </c>
      <c r="AG117" s="39">
        <v>123027299.99999999</v>
      </c>
      <c r="AH117" s="43">
        <f t="shared" si="47"/>
        <v>156705744</v>
      </c>
      <c r="AI117" s="73">
        <v>35055659</v>
      </c>
      <c r="AJ117" s="39">
        <v>125946600</v>
      </c>
      <c r="AK117" s="43">
        <f t="shared" si="48"/>
        <v>161002259</v>
      </c>
      <c r="AL117" s="39">
        <v>155163000</v>
      </c>
      <c r="AM117" s="39">
        <v>153697680</v>
      </c>
      <c r="AN117" s="42">
        <v>131100000</v>
      </c>
      <c r="AO117" s="42">
        <v>116304800</v>
      </c>
      <c r="AP117" s="42">
        <v>118136600</v>
      </c>
      <c r="AQ117" s="42">
        <v>124852000</v>
      </c>
      <c r="AR117" s="42" t="e">
        <v>#REF!</v>
      </c>
      <c r="AS117" s="42" t="e">
        <v>#REF!</v>
      </c>
      <c r="AT117" s="42" t="e">
        <v>#REF!</v>
      </c>
      <c r="AU117" s="42" t="e">
        <v>#REF!</v>
      </c>
      <c r="AV117" s="42">
        <v>134012106</v>
      </c>
      <c r="AW117" s="42">
        <v>136519136</v>
      </c>
      <c r="AX117" s="42">
        <v>140506286</v>
      </c>
      <c r="AY117" s="42">
        <v>149887624</v>
      </c>
      <c r="AZ117" s="43">
        <v>155457795.16</v>
      </c>
      <c r="BA117" s="71">
        <v>147369897.43000001</v>
      </c>
      <c r="BB117" s="71">
        <f>170056498.58-7548288.17</f>
        <v>162508210.41000003</v>
      </c>
      <c r="BC117" s="71">
        <v>166198515</v>
      </c>
      <c r="BD117" s="71">
        <v>161060140</v>
      </c>
    </row>
    <row r="118" spans="1:56" x14ac:dyDescent="0.2">
      <c r="A118" s="90" t="s">
        <v>59</v>
      </c>
      <c r="B118" s="38"/>
      <c r="C118" s="82"/>
      <c r="D118" s="49"/>
      <c r="E118" s="38"/>
      <c r="F118" s="39"/>
      <c r="G118" s="49"/>
      <c r="H118" s="89"/>
      <c r="I118" s="39"/>
      <c r="J118" s="50"/>
      <c r="K118" s="85"/>
      <c r="L118" s="39"/>
      <c r="M118" s="39"/>
      <c r="N118" s="67"/>
      <c r="O118" s="39"/>
      <c r="P118" s="39"/>
      <c r="Q118" s="67"/>
      <c r="R118" s="39"/>
      <c r="S118" s="39"/>
      <c r="T118" s="67"/>
      <c r="U118" s="39"/>
      <c r="V118" s="39"/>
      <c r="W118" s="67"/>
      <c r="X118" s="39"/>
      <c r="Y118" s="39"/>
      <c r="Z118" s="67"/>
      <c r="AA118" s="39"/>
      <c r="AB118" s="39"/>
      <c r="AC118" s="73"/>
      <c r="AD118" s="39"/>
      <c r="AE118" s="43"/>
      <c r="AF118" s="73"/>
      <c r="AG118" s="39"/>
      <c r="AH118" s="43"/>
      <c r="AI118" s="73"/>
      <c r="AJ118" s="39"/>
      <c r="AK118" s="43"/>
      <c r="AL118" s="39"/>
      <c r="AM118" s="39"/>
      <c r="AN118" s="67" t="s">
        <v>33</v>
      </c>
      <c r="AO118" s="42" t="e">
        <v>#REF!</v>
      </c>
      <c r="AP118" s="42" t="e">
        <v>#REF!</v>
      </c>
      <c r="AQ118" s="42" t="e">
        <v>#REF!</v>
      </c>
      <c r="AR118" s="43" t="e">
        <v>#REF!</v>
      </c>
      <c r="AS118" s="43" t="e">
        <v>#REF!</v>
      </c>
      <c r="AT118" s="43" t="e">
        <v>#REF!</v>
      </c>
      <c r="AU118" s="43" t="e">
        <v>#REF!</v>
      </c>
      <c r="AV118" s="43">
        <v>26764542</v>
      </c>
      <c r="AW118" s="43">
        <v>27966000</v>
      </c>
      <c r="AX118" s="43">
        <v>26950200</v>
      </c>
      <c r="AY118" s="43">
        <v>31281200</v>
      </c>
      <c r="AZ118" s="43">
        <v>32878247.209999993</v>
      </c>
      <c r="BA118" s="71">
        <v>33911448.32</v>
      </c>
      <c r="BB118" s="71">
        <v>33445411</v>
      </c>
      <c r="BC118" s="71">
        <v>35445090</v>
      </c>
      <c r="BD118" s="71">
        <v>34591838</v>
      </c>
    </row>
    <row r="119" spans="1:56" x14ac:dyDescent="0.2">
      <c r="A119" s="90" t="s">
        <v>123</v>
      </c>
      <c r="B119" s="38" t="s">
        <v>37</v>
      </c>
      <c r="C119" s="39">
        <v>7477444.897846194</v>
      </c>
      <c r="D119" s="49">
        <f t="shared" si="37"/>
        <v>7477444.897846194</v>
      </c>
      <c r="E119" s="39" t="s">
        <v>37</v>
      </c>
      <c r="F119" s="39">
        <v>10933179.260903582</v>
      </c>
      <c r="G119" s="49">
        <f t="shared" si="38"/>
        <v>10933179.260903582</v>
      </c>
      <c r="H119" s="39">
        <v>3793300</v>
      </c>
      <c r="I119" s="39">
        <v>12341603.518033259</v>
      </c>
      <c r="J119" s="39">
        <f t="shared" si="39"/>
        <v>16134903.518033259</v>
      </c>
      <c r="K119" s="39">
        <v>4938400</v>
      </c>
      <c r="L119" s="39">
        <v>13931462.547312399</v>
      </c>
      <c r="M119" s="39">
        <f t="shared" si="40"/>
        <v>18869862.547312401</v>
      </c>
      <c r="N119" s="39">
        <v>3788000</v>
      </c>
      <c r="O119" s="39">
        <v>16888500</v>
      </c>
      <c r="P119" s="67">
        <f t="shared" si="41"/>
        <v>20676500</v>
      </c>
      <c r="Q119" s="39">
        <v>5633500</v>
      </c>
      <c r="R119" s="39">
        <v>19446599.999999996</v>
      </c>
      <c r="S119" s="67">
        <f t="shared" si="42"/>
        <v>25080099.999999996</v>
      </c>
      <c r="T119" s="39">
        <v>6542100</v>
      </c>
      <c r="U119" s="39">
        <v>22531550</v>
      </c>
      <c r="V119" s="67">
        <f t="shared" si="43"/>
        <v>29073650</v>
      </c>
      <c r="W119" s="39">
        <v>8815800</v>
      </c>
      <c r="X119" s="39">
        <v>25848825</v>
      </c>
      <c r="Y119" s="39">
        <f t="shared" si="44"/>
        <v>34664625</v>
      </c>
      <c r="Z119" s="39">
        <v>9858900</v>
      </c>
      <c r="AA119" s="39">
        <v>27813525</v>
      </c>
      <c r="AB119" s="39">
        <f t="shared" si="45"/>
        <v>37672425</v>
      </c>
      <c r="AC119" s="73">
        <v>9668900</v>
      </c>
      <c r="AD119" s="39">
        <v>29872024.999999996</v>
      </c>
      <c r="AE119" s="43">
        <f t="shared" si="46"/>
        <v>39540925</v>
      </c>
      <c r="AF119" s="73">
        <f>11070500-2731811</f>
        <v>8338689</v>
      </c>
      <c r="AG119" s="39">
        <v>30431699.999999996</v>
      </c>
      <c r="AH119" s="71">
        <f t="shared" si="47"/>
        <v>38770389</v>
      </c>
      <c r="AI119" s="73">
        <f>10677900-2606471</f>
        <v>8071429</v>
      </c>
      <c r="AJ119" s="39">
        <v>31878600</v>
      </c>
      <c r="AK119" s="43">
        <f t="shared" si="48"/>
        <v>39950029</v>
      </c>
      <c r="AL119" s="39">
        <v>36866000</v>
      </c>
      <c r="AM119" s="39">
        <v>33799000</v>
      </c>
      <c r="AN119" s="42" t="e">
        <v>#REF!</v>
      </c>
      <c r="AO119" s="42" t="e">
        <v>#REF!</v>
      </c>
      <c r="AP119" s="42" t="e">
        <v>#REF!</v>
      </c>
      <c r="AQ119" s="42" t="e">
        <v>#REF!</v>
      </c>
      <c r="AR119" s="42" t="e">
        <v>#REF!</v>
      </c>
      <c r="AS119" s="42" t="e">
        <v>#REF!</v>
      </c>
      <c r="AT119" s="42" t="e">
        <v>#REF!</v>
      </c>
      <c r="AU119" s="42" t="e">
        <v>#REF!</v>
      </c>
      <c r="AV119" s="43">
        <v>20872782</v>
      </c>
      <c r="AW119" s="43">
        <v>21833240</v>
      </c>
      <c r="AX119" s="43">
        <v>21276545</v>
      </c>
      <c r="AY119" s="44">
        <v>24560750</v>
      </c>
      <c r="AZ119" s="43">
        <v>26012953.959999993</v>
      </c>
      <c r="BA119" s="71">
        <v>27009969.390000001</v>
      </c>
      <c r="BB119" s="71">
        <v>24992718</v>
      </c>
      <c r="BC119" s="71">
        <v>26194325</v>
      </c>
      <c r="BD119" s="71">
        <v>24463096</v>
      </c>
    </row>
    <row r="120" spans="1:56" x14ac:dyDescent="0.2">
      <c r="A120" s="45" t="s">
        <v>61</v>
      </c>
      <c r="B120" s="38"/>
      <c r="C120" s="39"/>
      <c r="D120" s="49"/>
      <c r="E120" s="39"/>
      <c r="F120" s="39"/>
      <c r="G120" s="49"/>
      <c r="H120" s="39"/>
      <c r="I120" s="39"/>
      <c r="J120" s="39"/>
      <c r="K120" s="39"/>
      <c r="L120" s="39"/>
      <c r="M120" s="39"/>
      <c r="N120" s="39"/>
      <c r="O120" s="39"/>
      <c r="P120" s="67"/>
      <c r="Q120" s="39"/>
      <c r="R120" s="39"/>
      <c r="S120" s="67"/>
      <c r="T120" s="39"/>
      <c r="U120" s="39"/>
      <c r="V120" s="67"/>
      <c r="W120" s="39"/>
      <c r="X120" s="39"/>
      <c r="Y120" s="39"/>
      <c r="Z120" s="39"/>
      <c r="AA120" s="39"/>
      <c r="AB120" s="39"/>
      <c r="AC120" s="73"/>
      <c r="AD120" s="39"/>
      <c r="AE120" s="43"/>
      <c r="AF120" s="73"/>
      <c r="AG120" s="39"/>
      <c r="AH120" s="71"/>
      <c r="AI120" s="73"/>
      <c r="AJ120" s="39"/>
      <c r="AK120" s="43"/>
      <c r="AL120" s="39"/>
      <c r="AM120" s="39"/>
      <c r="AN120" s="67" t="s">
        <v>33</v>
      </c>
      <c r="AO120" s="42" t="e">
        <v>#REF!</v>
      </c>
      <c r="AP120" s="42" t="e">
        <v>#REF!</v>
      </c>
      <c r="AQ120" s="42" t="e">
        <v>#REF!</v>
      </c>
      <c r="AR120" s="43" t="e">
        <v>#REF!</v>
      </c>
      <c r="AS120" s="43" t="e">
        <v>#REF!</v>
      </c>
      <c r="AT120" s="43" t="e">
        <v>#REF!</v>
      </c>
      <c r="AU120" s="43" t="e">
        <v>#REF!</v>
      </c>
      <c r="AV120" s="43">
        <v>29600000</v>
      </c>
      <c r="AW120" s="43">
        <v>23400000</v>
      </c>
      <c r="AX120" s="43">
        <v>25968800</v>
      </c>
      <c r="AY120" s="43">
        <v>39579800</v>
      </c>
      <c r="AZ120" s="43">
        <v>48300534.010000005</v>
      </c>
      <c r="BA120" s="71">
        <v>49979909.18</v>
      </c>
      <c r="BB120" s="71">
        <v>43048945</v>
      </c>
      <c r="BC120" s="71">
        <v>31042447</v>
      </c>
      <c r="BD120" s="71">
        <v>33347545</v>
      </c>
    </row>
    <row r="121" spans="1:56" ht="23.25" thickBot="1" x14ac:dyDescent="0.25">
      <c r="A121" s="51" t="s">
        <v>62</v>
      </c>
      <c r="B121" s="38" t="s">
        <v>37</v>
      </c>
      <c r="C121" s="39">
        <v>1054938.9843682095</v>
      </c>
      <c r="D121" s="49">
        <f t="shared" si="37"/>
        <v>1054938.9843682095</v>
      </c>
      <c r="E121" s="39" t="s">
        <v>37</v>
      </c>
      <c r="F121" s="39">
        <v>1560874.7820576604</v>
      </c>
      <c r="G121" s="49">
        <f t="shared" si="38"/>
        <v>1560874.7820576604</v>
      </c>
      <c r="H121" s="39" t="s">
        <v>63</v>
      </c>
      <c r="I121" s="39">
        <v>1789159.5888116413</v>
      </c>
      <c r="J121" s="43">
        <f t="shared" si="39"/>
        <v>1789159.5888116413</v>
      </c>
      <c r="K121" s="39" t="s">
        <v>63</v>
      </c>
      <c r="L121" s="39">
        <v>2112100.75</v>
      </c>
      <c r="M121" s="43">
        <f t="shared" si="40"/>
        <v>2112100.75</v>
      </c>
      <c r="N121" s="39" t="s">
        <v>63</v>
      </c>
      <c r="O121" s="39">
        <v>2802719.4375</v>
      </c>
      <c r="P121" s="43">
        <f t="shared" si="41"/>
        <v>2802719.4375</v>
      </c>
      <c r="Q121" s="39" t="s">
        <v>63</v>
      </c>
      <c r="R121" s="39">
        <v>3840367.1875</v>
      </c>
      <c r="S121" s="43">
        <f t="shared" si="42"/>
        <v>3840367.1875</v>
      </c>
      <c r="T121" s="39" t="s">
        <v>63</v>
      </c>
      <c r="U121" s="39">
        <v>4737730.875</v>
      </c>
      <c r="V121" s="43">
        <f t="shared" si="43"/>
        <v>4737730.875</v>
      </c>
      <c r="W121" s="39" t="s">
        <v>63</v>
      </c>
      <c r="X121" s="39">
        <v>5527478.125</v>
      </c>
      <c r="Y121" s="43">
        <f t="shared" si="44"/>
        <v>5527478.125</v>
      </c>
      <c r="Z121" s="39" t="s">
        <v>63</v>
      </c>
      <c r="AA121" s="39">
        <v>4658529.5625</v>
      </c>
      <c r="AB121" s="43">
        <f t="shared" si="45"/>
        <v>4658529.5625</v>
      </c>
      <c r="AC121" s="91" t="s">
        <v>63</v>
      </c>
      <c r="AD121" s="39">
        <v>4508071.125</v>
      </c>
      <c r="AE121" s="49">
        <f t="shared" si="46"/>
        <v>4508071.125</v>
      </c>
      <c r="AF121" s="73">
        <v>2731811</v>
      </c>
      <c r="AG121" s="39">
        <v>4576083</v>
      </c>
      <c r="AH121" s="43">
        <f t="shared" si="47"/>
        <v>7307894</v>
      </c>
      <c r="AI121" s="73">
        <v>2606471</v>
      </c>
      <c r="AJ121" s="39">
        <v>5129000</v>
      </c>
      <c r="AK121" s="43">
        <f t="shared" si="48"/>
        <v>7735471</v>
      </c>
      <c r="AL121" s="39">
        <v>7374596.5999999996</v>
      </c>
      <c r="AM121" s="39">
        <v>5897000</v>
      </c>
      <c r="AN121" s="92" t="e">
        <v>#REF!</v>
      </c>
      <c r="AO121" s="92" t="e">
        <v>#REF!</v>
      </c>
      <c r="AP121" s="92" t="e">
        <v>#REF!</v>
      </c>
      <c r="AQ121" s="92" t="e">
        <v>#REF!</v>
      </c>
      <c r="AR121" s="92" t="e">
        <v>#REF!</v>
      </c>
      <c r="AS121" s="92" t="e">
        <v>#REF!</v>
      </c>
      <c r="AT121" s="92" t="e">
        <v>#REF!</v>
      </c>
      <c r="AU121" s="92" t="e">
        <v>#REF!</v>
      </c>
      <c r="AV121" s="92">
        <v>23084061</v>
      </c>
      <c r="AW121" s="92">
        <v>18240600</v>
      </c>
      <c r="AX121" s="92">
        <v>20489400</v>
      </c>
      <c r="AY121" s="92">
        <v>33558000</v>
      </c>
      <c r="AZ121" s="94">
        <v>40157964.660000004</v>
      </c>
      <c r="BA121" s="71">
        <v>41779275.57</v>
      </c>
      <c r="BB121" s="71">
        <v>33654832</v>
      </c>
      <c r="BC121" s="71">
        <v>23621706</v>
      </c>
      <c r="BD121" s="71">
        <v>24400787</v>
      </c>
    </row>
    <row r="122" spans="1:56" ht="13.5" thickBot="1" x14ac:dyDescent="0.25">
      <c r="A122" s="57" t="s">
        <v>64</v>
      </c>
      <c r="B122" s="96">
        <f>SUM(B117:B121)</f>
        <v>0</v>
      </c>
      <c r="C122" s="96">
        <f>SUM(C117:C121)</f>
        <v>8532383.8822144028</v>
      </c>
      <c r="D122" s="47">
        <f t="shared" ref="D122:AM122" si="49">SUM(D117:D121)</f>
        <v>8532383.8822144028</v>
      </c>
      <c r="E122" s="96">
        <f t="shared" si="49"/>
        <v>0</v>
      </c>
      <c r="F122" s="96">
        <f t="shared" si="49"/>
        <v>74534054.04296124</v>
      </c>
      <c r="G122" s="47">
        <f t="shared" si="49"/>
        <v>74534054.04296124</v>
      </c>
      <c r="H122" s="96">
        <f t="shared" si="49"/>
        <v>24493592.225677896</v>
      </c>
      <c r="I122" s="96">
        <f t="shared" si="49"/>
        <v>81717163.106844902</v>
      </c>
      <c r="J122" s="97">
        <f t="shared" si="49"/>
        <v>106210755.33252281</v>
      </c>
      <c r="K122" s="43">
        <f t="shared" si="49"/>
        <v>28200400</v>
      </c>
      <c r="L122" s="43">
        <f t="shared" si="49"/>
        <v>91573763.297312394</v>
      </c>
      <c r="M122" s="43">
        <f t="shared" si="49"/>
        <v>119774163.29731241</v>
      </c>
      <c r="N122" s="43">
        <f t="shared" si="49"/>
        <v>29163400</v>
      </c>
      <c r="O122" s="43">
        <f t="shared" si="49"/>
        <v>101188019.43749999</v>
      </c>
      <c r="P122" s="43">
        <f t="shared" si="49"/>
        <v>130351419.43749999</v>
      </c>
      <c r="Q122" s="43">
        <f t="shared" si="49"/>
        <v>33157100</v>
      </c>
      <c r="R122" s="43">
        <f t="shared" si="49"/>
        <v>112224967.1875</v>
      </c>
      <c r="S122" s="43">
        <f t="shared" si="49"/>
        <v>145382067.1875</v>
      </c>
      <c r="T122" s="43">
        <f t="shared" si="49"/>
        <v>36535000</v>
      </c>
      <c r="U122" s="43">
        <f t="shared" si="49"/>
        <v>124497180.87500001</v>
      </c>
      <c r="V122" s="43">
        <f t="shared" si="49"/>
        <v>161032180.875</v>
      </c>
      <c r="W122" s="43">
        <f t="shared" si="49"/>
        <v>41034500</v>
      </c>
      <c r="X122" s="43">
        <f t="shared" si="49"/>
        <v>138469028.125</v>
      </c>
      <c r="Y122" s="43">
        <f t="shared" si="49"/>
        <v>179503528.125</v>
      </c>
      <c r="Z122" s="43">
        <f t="shared" si="49"/>
        <v>48005200</v>
      </c>
      <c r="AA122" s="43">
        <f t="shared" si="49"/>
        <v>148292304.5625</v>
      </c>
      <c r="AB122" s="43">
        <f t="shared" si="49"/>
        <v>196297504.5625</v>
      </c>
      <c r="AC122" s="43">
        <f t="shared" si="49"/>
        <v>45072028</v>
      </c>
      <c r="AD122" s="43">
        <f t="shared" si="49"/>
        <v>153589096.125</v>
      </c>
      <c r="AE122" s="98">
        <f t="shared" si="49"/>
        <v>198661124.125</v>
      </c>
      <c r="AF122" s="98">
        <f t="shared" si="49"/>
        <v>44748944</v>
      </c>
      <c r="AG122" s="98">
        <f t="shared" si="49"/>
        <v>158035082.99999997</v>
      </c>
      <c r="AH122" s="98">
        <f t="shared" si="49"/>
        <v>202784027</v>
      </c>
      <c r="AI122" s="98">
        <f t="shared" si="49"/>
        <v>45733559</v>
      </c>
      <c r="AJ122" s="98">
        <f t="shared" si="49"/>
        <v>162954200</v>
      </c>
      <c r="AK122" s="98">
        <f t="shared" si="49"/>
        <v>208687759</v>
      </c>
      <c r="AL122" s="43">
        <f t="shared" si="49"/>
        <v>199403596.59999999</v>
      </c>
      <c r="AM122" s="43">
        <f t="shared" si="49"/>
        <v>193393680</v>
      </c>
      <c r="AN122" s="99" t="e">
        <f t="shared" ref="AN122:AU122" si="50">AN117+AN119+AN121</f>
        <v>#REF!</v>
      </c>
      <c r="AO122" s="99" t="e">
        <f t="shared" si="50"/>
        <v>#REF!</v>
      </c>
      <c r="AP122" s="99" t="e">
        <f t="shared" si="50"/>
        <v>#REF!</v>
      </c>
      <c r="AQ122" s="99" t="e">
        <f t="shared" si="50"/>
        <v>#REF!</v>
      </c>
      <c r="AR122" s="99" t="e">
        <f t="shared" si="50"/>
        <v>#REF!</v>
      </c>
      <c r="AS122" s="99" t="e">
        <f t="shared" si="50"/>
        <v>#REF!</v>
      </c>
      <c r="AT122" s="99" t="e">
        <f t="shared" si="50"/>
        <v>#REF!</v>
      </c>
      <c r="AU122" s="99" t="e">
        <f t="shared" si="50"/>
        <v>#REF!</v>
      </c>
      <c r="AV122" s="99">
        <v>177968949</v>
      </c>
      <c r="AW122" s="99">
        <v>176592976</v>
      </c>
      <c r="AX122" s="99">
        <v>182272231</v>
      </c>
      <c r="AY122" s="99">
        <v>208006374</v>
      </c>
      <c r="AZ122" s="99">
        <f>AZ117+AZ119+AZ121</f>
        <v>221628713.78</v>
      </c>
      <c r="BA122" s="99">
        <f>BA117+BA119+BA121</f>
        <v>216159142.38999999</v>
      </c>
      <c r="BB122" s="99">
        <f t="shared" ref="BB122:BD122" si="51">BB117+BB119+BB121</f>
        <v>221155760.41000003</v>
      </c>
      <c r="BC122" s="99">
        <f t="shared" si="51"/>
        <v>216014546</v>
      </c>
      <c r="BD122" s="99">
        <f t="shared" si="51"/>
        <v>209924023</v>
      </c>
    </row>
    <row r="123" spans="1:56" ht="13.5" thickBot="1" x14ac:dyDescent="0.25">
      <c r="A123" s="57" t="s">
        <v>65</v>
      </c>
      <c r="B123" s="96"/>
      <c r="C123" s="96"/>
      <c r="D123" s="47"/>
      <c r="E123" s="96"/>
      <c r="F123" s="96"/>
      <c r="G123" s="47"/>
      <c r="H123" s="96"/>
      <c r="I123" s="96"/>
      <c r="J123" s="97"/>
      <c r="K123" s="43"/>
      <c r="L123" s="43"/>
      <c r="M123" s="43"/>
      <c r="N123" s="43"/>
      <c r="O123" s="43"/>
      <c r="P123" s="43"/>
      <c r="Q123" s="43"/>
      <c r="R123" s="43"/>
      <c r="S123" s="43"/>
      <c r="T123" s="43"/>
      <c r="U123" s="43"/>
      <c r="V123" s="43"/>
      <c r="W123" s="43"/>
      <c r="X123" s="43"/>
      <c r="Y123" s="43"/>
      <c r="Z123" s="43"/>
      <c r="AA123" s="43"/>
      <c r="AB123" s="43"/>
      <c r="AC123" s="43"/>
      <c r="AD123" s="43"/>
      <c r="AE123" s="98"/>
      <c r="AF123" s="98"/>
      <c r="AG123" s="98"/>
      <c r="AH123" s="98"/>
      <c r="AI123" s="98"/>
      <c r="AJ123" s="98"/>
      <c r="AK123" s="98"/>
      <c r="AL123" s="43"/>
      <c r="AM123" s="43"/>
      <c r="AN123" s="99"/>
      <c r="AO123" s="99" t="e">
        <f t="shared" ref="AO123:AU123" si="52">AO116+AO118+AO120</f>
        <v>#REF!</v>
      </c>
      <c r="AP123" s="99" t="e">
        <f t="shared" si="52"/>
        <v>#REF!</v>
      </c>
      <c r="AQ123" s="99" t="e">
        <f t="shared" si="52"/>
        <v>#REF!</v>
      </c>
      <c r="AR123" s="99" t="e">
        <f t="shared" si="52"/>
        <v>#REF!</v>
      </c>
      <c r="AS123" s="99" t="e">
        <f t="shared" si="52"/>
        <v>#REF!</v>
      </c>
      <c r="AT123" s="99" t="e">
        <f t="shared" si="52"/>
        <v>#REF!</v>
      </c>
      <c r="AU123" s="99" t="e">
        <f t="shared" si="52"/>
        <v>#REF!</v>
      </c>
      <c r="AV123" s="99">
        <v>220735721</v>
      </c>
      <c r="AW123" s="99">
        <v>223640463</v>
      </c>
      <c r="AX123" s="99">
        <v>227984693</v>
      </c>
      <c r="AY123" s="99">
        <v>254110056</v>
      </c>
      <c r="AZ123" s="99">
        <f>AZ116+AZ118+AZ120</f>
        <v>273015555.82999998</v>
      </c>
      <c r="BA123" s="99">
        <f>BA116+BA118+BA120</f>
        <v>267309577.55000001</v>
      </c>
      <c r="BB123" s="99">
        <f t="shared" ref="BB123:BD123" si="53">BB116+BB118+BB120</f>
        <v>278256550</v>
      </c>
      <c r="BC123" s="99">
        <f t="shared" si="53"/>
        <v>277552302</v>
      </c>
      <c r="BD123" s="99">
        <f t="shared" si="53"/>
        <v>278103624</v>
      </c>
    </row>
    <row r="124" spans="1:56" ht="13.5" thickBot="1" x14ac:dyDescent="0.25">
      <c r="A124" s="57" t="s">
        <v>66</v>
      </c>
      <c r="B124" s="96"/>
      <c r="C124" s="96"/>
      <c r="D124" s="47"/>
      <c r="E124" s="96"/>
      <c r="F124" s="96"/>
      <c r="G124" s="47"/>
      <c r="H124" s="96"/>
      <c r="I124" s="96"/>
      <c r="J124" s="97"/>
      <c r="K124" s="43"/>
      <c r="L124" s="43"/>
      <c r="M124" s="43"/>
      <c r="N124" s="43"/>
      <c r="O124" s="43"/>
      <c r="P124" s="43"/>
      <c r="Q124" s="43"/>
      <c r="R124" s="43"/>
      <c r="S124" s="43"/>
      <c r="T124" s="43"/>
      <c r="U124" s="43"/>
      <c r="V124" s="43"/>
      <c r="W124" s="43"/>
      <c r="X124" s="43"/>
      <c r="Y124" s="43"/>
      <c r="Z124" s="43"/>
      <c r="AA124" s="43"/>
      <c r="AB124" s="43"/>
      <c r="AC124" s="43"/>
      <c r="AD124" s="43"/>
      <c r="AE124" s="98"/>
      <c r="AF124" s="98"/>
      <c r="AG124" s="98"/>
      <c r="AH124" s="98"/>
      <c r="AI124" s="98"/>
      <c r="AJ124" s="98"/>
      <c r="AK124" s="98"/>
      <c r="AL124" s="43"/>
      <c r="AM124" s="43"/>
      <c r="AN124" s="99"/>
      <c r="AO124" s="99" t="e">
        <f t="shared" ref="AO124:BD124" si="54">AO123/AO109</f>
        <v>#REF!</v>
      </c>
      <c r="AP124" s="99" t="e">
        <f t="shared" si="54"/>
        <v>#REF!</v>
      </c>
      <c r="AQ124" s="99" t="e">
        <f t="shared" si="54"/>
        <v>#REF!</v>
      </c>
      <c r="AR124" s="99" t="e">
        <f t="shared" si="54"/>
        <v>#REF!</v>
      </c>
      <c r="AS124" s="99" t="e">
        <f t="shared" si="54"/>
        <v>#REF!</v>
      </c>
      <c r="AT124" s="99" t="e">
        <f t="shared" si="54"/>
        <v>#REF!</v>
      </c>
      <c r="AU124" s="99" t="e">
        <f t="shared" si="54"/>
        <v>#REF!</v>
      </c>
      <c r="AV124" s="99">
        <v>101441.04825367648</v>
      </c>
      <c r="AW124" s="99">
        <v>101654.75590909091</v>
      </c>
      <c r="AX124" s="99">
        <v>102511.10296762591</v>
      </c>
      <c r="AY124" s="99">
        <v>113543.3672922252</v>
      </c>
      <c r="AZ124" s="99">
        <f t="shared" si="54"/>
        <v>120377.22920194003</v>
      </c>
      <c r="BA124" s="99">
        <f t="shared" si="54"/>
        <v>118949.11027206464</v>
      </c>
      <c r="BB124" s="99">
        <f t="shared" si="54"/>
        <v>127582.09536909674</v>
      </c>
      <c r="BC124" s="99">
        <f t="shared" si="54"/>
        <v>125023.55945945946</v>
      </c>
      <c r="BD124" s="99">
        <f t="shared" si="54"/>
        <v>123437.02796271638</v>
      </c>
    </row>
    <row r="125" spans="1:56" ht="13.5" thickBot="1" x14ac:dyDescent="0.25">
      <c r="A125" s="28" t="s">
        <v>67</v>
      </c>
      <c r="B125" s="101">
        <v>409503500</v>
      </c>
      <c r="C125" s="101"/>
      <c r="D125" s="101">
        <f t="shared" si="37"/>
        <v>409503500</v>
      </c>
      <c r="E125" s="101">
        <v>423009000</v>
      </c>
      <c r="F125" s="101"/>
      <c r="G125" s="101">
        <f t="shared" si="38"/>
        <v>423009000</v>
      </c>
      <c r="H125" s="101">
        <v>513011000</v>
      </c>
      <c r="I125" s="101"/>
      <c r="J125" s="101">
        <f t="shared" si="39"/>
        <v>513011000</v>
      </c>
      <c r="K125" s="101">
        <v>493587500</v>
      </c>
      <c r="L125" s="101"/>
      <c r="M125" s="101">
        <f t="shared" si="40"/>
        <v>493587500</v>
      </c>
      <c r="N125" s="101">
        <v>528306800</v>
      </c>
      <c r="O125" s="101"/>
      <c r="P125" s="101">
        <f t="shared" si="41"/>
        <v>528306800</v>
      </c>
      <c r="Q125" s="101">
        <v>583611500</v>
      </c>
      <c r="R125" s="101"/>
      <c r="S125" s="101">
        <f t="shared" si="42"/>
        <v>583611500</v>
      </c>
      <c r="T125" s="101">
        <v>627543500</v>
      </c>
      <c r="U125" s="101"/>
      <c r="V125" s="101">
        <f t="shared" si="43"/>
        <v>627543500</v>
      </c>
      <c r="W125" s="101">
        <v>671038000</v>
      </c>
      <c r="X125" s="101"/>
      <c r="Y125" s="101">
        <f t="shared" si="44"/>
        <v>671038000</v>
      </c>
      <c r="Z125" s="101">
        <v>745968200</v>
      </c>
      <c r="AA125" s="101"/>
      <c r="AB125" s="101">
        <f t="shared" si="45"/>
        <v>745968200</v>
      </c>
      <c r="AC125" s="101">
        <v>805588000</v>
      </c>
      <c r="AD125" s="101"/>
      <c r="AE125" s="101">
        <f t="shared" si="46"/>
        <v>805588000</v>
      </c>
      <c r="AF125" s="101">
        <v>875331000</v>
      </c>
      <c r="AG125" s="101"/>
      <c r="AH125" s="101">
        <f t="shared" si="47"/>
        <v>875331000</v>
      </c>
      <c r="AI125" s="101">
        <v>953436077.67999995</v>
      </c>
      <c r="AJ125" s="101"/>
      <c r="AK125" s="101">
        <f t="shared" si="48"/>
        <v>953436077.67999995</v>
      </c>
      <c r="AL125" s="101"/>
      <c r="AM125" s="101"/>
      <c r="AN125" s="101">
        <f xml:space="preserve"> AN126+AN127+AN128+AN129+AN133+AN134+AN135+AN141</f>
        <v>0</v>
      </c>
      <c r="AO125" s="101">
        <f t="shared" ref="AO125:AU125" si="55" xml:space="preserve"> AO126+AO127+AO128+AO129+AO133+AO134+AO135+AO141</f>
        <v>0</v>
      </c>
      <c r="AP125" s="101">
        <f t="shared" si="55"/>
        <v>0</v>
      </c>
      <c r="AQ125" s="101">
        <f t="shared" si="55"/>
        <v>0</v>
      </c>
      <c r="AR125" s="101">
        <f t="shared" si="55"/>
        <v>0</v>
      </c>
      <c r="AS125" s="101">
        <f t="shared" si="55"/>
        <v>0</v>
      </c>
      <c r="AT125" s="101">
        <f t="shared" si="55"/>
        <v>0</v>
      </c>
      <c r="AU125" s="101">
        <f t="shared" si="55"/>
        <v>0</v>
      </c>
      <c r="AV125" s="101">
        <v>5461700485.5200005</v>
      </c>
      <c r="AW125" s="101">
        <v>5836801051.6000004</v>
      </c>
      <c r="AX125" s="101">
        <v>6084012433.25</v>
      </c>
      <c r="AY125" s="101">
        <v>6227669098.3699989</v>
      </c>
      <c r="AZ125" s="101">
        <v>6471688518.46</v>
      </c>
      <c r="BA125" s="101">
        <v>6645381075.4400005</v>
      </c>
      <c r="BB125" s="101">
        <v>6897946252.6400003</v>
      </c>
      <c r="BC125" s="101">
        <v>7228382170.4599991</v>
      </c>
      <c r="BD125" s="101">
        <v>7873964265.6899996</v>
      </c>
    </row>
    <row r="128" spans="1:56" x14ac:dyDescent="0.2">
      <c r="A128" s="23" t="s">
        <v>124</v>
      </c>
      <c r="AV128" s="168">
        <f>AV22-AV109</f>
        <v>-29</v>
      </c>
      <c r="AW128" s="168">
        <f t="shared" ref="AW128:BD128" si="56">AW22-AW109</f>
        <v>1</v>
      </c>
      <c r="AX128" s="168">
        <f t="shared" si="56"/>
        <v>-41</v>
      </c>
      <c r="AY128" s="168">
        <f t="shared" si="56"/>
        <v>-27</v>
      </c>
      <c r="AZ128" s="168">
        <f t="shared" si="56"/>
        <v>-49</v>
      </c>
      <c r="BA128" s="168">
        <f t="shared" si="56"/>
        <v>-63.260000000000218</v>
      </c>
      <c r="BB128" s="168">
        <f t="shared" si="56"/>
        <v>1</v>
      </c>
      <c r="BC128" s="168">
        <f t="shared" si="56"/>
        <v>1</v>
      </c>
      <c r="BD128" s="168">
        <f t="shared" si="56"/>
        <v>1</v>
      </c>
    </row>
    <row r="130" spans="1:56" x14ac:dyDescent="0.2">
      <c r="A130" s="23" t="s">
        <v>125</v>
      </c>
      <c r="AV130" s="166">
        <f>AV32-AV119</f>
        <v>0</v>
      </c>
      <c r="AW130" s="166">
        <f t="shared" ref="AW130:BD130" si="57">AW32-AW119</f>
        <v>0</v>
      </c>
      <c r="AX130" s="166">
        <f t="shared" si="57"/>
        <v>0</v>
      </c>
      <c r="AY130" s="166">
        <f t="shared" si="57"/>
        <v>63514</v>
      </c>
      <c r="AZ130" s="166">
        <f t="shared" si="57"/>
        <v>0</v>
      </c>
      <c r="BA130" s="166">
        <f t="shared" si="57"/>
        <v>0</v>
      </c>
      <c r="BB130" s="166">
        <f t="shared" si="57"/>
        <v>0</v>
      </c>
      <c r="BC130" s="166">
        <f t="shared" si="57"/>
        <v>0</v>
      </c>
      <c r="BD130" s="166">
        <f t="shared" si="57"/>
        <v>0</v>
      </c>
    </row>
  </sheetData>
  <pageMargins left="0.74803149606299213" right="0.74803149606299213" top="0.98425196850393704" bottom="0.98425196850393704" header="0.51181102362204722" footer="0.51181102362204722"/>
  <pageSetup paperSize="17" scale="24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2:W53"/>
  <sheetViews>
    <sheetView workbookViewId="0"/>
  </sheetViews>
  <sheetFormatPr defaultColWidth="9.140625" defaultRowHeight="12.75" x14ac:dyDescent="0.2"/>
  <cols>
    <col min="1" max="1" width="1.28515625" style="178" customWidth="1"/>
    <col min="2" max="2" width="48.7109375" style="178" customWidth="1"/>
    <col min="3" max="3" width="1.7109375" style="178" customWidth="1"/>
    <col min="4" max="4" width="10.140625" style="178" customWidth="1"/>
    <col min="5" max="5" width="1.7109375" style="178" customWidth="1"/>
    <col min="6" max="6" width="10.140625" style="178" customWidth="1"/>
    <col min="7" max="7" width="1.7109375" style="178" customWidth="1"/>
    <col min="8" max="8" width="10.140625" style="178" customWidth="1"/>
    <col min="9" max="9" width="1.7109375" style="178" customWidth="1"/>
    <col min="10" max="10" width="10.140625" style="178" customWidth="1"/>
    <col min="11" max="11" width="1.7109375" style="178" customWidth="1"/>
    <col min="12" max="12" width="10.140625" style="178" customWidth="1"/>
    <col min="13" max="13" width="9.140625" style="178"/>
    <col min="14" max="14" width="10.140625" style="178" customWidth="1"/>
    <col min="15" max="15" width="1.7109375" style="178" customWidth="1"/>
    <col min="16" max="16" width="10.140625" style="178" customWidth="1"/>
    <col min="17" max="17" width="1.7109375" style="178" customWidth="1"/>
    <col min="18" max="18" width="10.140625" style="178" customWidth="1"/>
    <col min="19" max="19" width="1.7109375" style="178" customWidth="1"/>
    <col min="20" max="20" width="10.140625" style="178" customWidth="1"/>
    <col min="21" max="21" width="1.7109375" style="178" customWidth="1"/>
    <col min="22" max="22" width="10.140625" style="178" customWidth="1"/>
    <col min="23" max="16384" width="9.140625" style="178"/>
  </cols>
  <sheetData>
    <row r="2" spans="1:23" x14ac:dyDescent="0.2">
      <c r="A2" s="177" t="s">
        <v>126</v>
      </c>
    </row>
    <row r="3" spans="1:23" x14ac:dyDescent="0.2">
      <c r="A3" s="177" t="s">
        <v>145</v>
      </c>
    </row>
    <row r="4" spans="1:23" x14ac:dyDescent="0.2">
      <c r="A4" s="177" t="s">
        <v>146</v>
      </c>
    </row>
    <row r="7" spans="1:23" x14ac:dyDescent="0.2">
      <c r="D7" s="200" t="s">
        <v>147</v>
      </c>
      <c r="E7" s="200"/>
      <c r="F7" s="200"/>
      <c r="G7" s="200"/>
      <c r="H7" s="200"/>
      <c r="I7" s="200"/>
      <c r="J7" s="200"/>
      <c r="K7" s="200"/>
      <c r="L7" s="200"/>
      <c r="N7" s="200" t="s">
        <v>148</v>
      </c>
      <c r="O7" s="200"/>
      <c r="P7" s="200"/>
      <c r="Q7" s="200"/>
      <c r="R7" s="200"/>
      <c r="S7" s="200"/>
      <c r="T7" s="200"/>
      <c r="U7" s="200"/>
      <c r="V7" s="200"/>
    </row>
    <row r="8" spans="1:23" x14ac:dyDescent="0.2">
      <c r="D8" s="179" t="s">
        <v>139</v>
      </c>
      <c r="H8" s="179" t="s">
        <v>149</v>
      </c>
      <c r="J8" s="179" t="s">
        <v>149</v>
      </c>
      <c r="L8" s="179" t="s">
        <v>139</v>
      </c>
      <c r="N8" s="179" t="s">
        <v>139</v>
      </c>
      <c r="R8" s="179" t="s">
        <v>149</v>
      </c>
      <c r="T8" s="179" t="s">
        <v>149</v>
      </c>
      <c r="V8" s="179" t="s">
        <v>139</v>
      </c>
    </row>
    <row r="9" spans="1:23" x14ac:dyDescent="0.2">
      <c r="D9" s="179" t="s">
        <v>150</v>
      </c>
      <c r="F9" s="179" t="s">
        <v>149</v>
      </c>
      <c r="H9" s="179" t="s">
        <v>151</v>
      </c>
      <c r="J9" s="179" t="s">
        <v>151</v>
      </c>
      <c r="L9" s="179" t="s">
        <v>149</v>
      </c>
      <c r="N9" s="179" t="s">
        <v>150</v>
      </c>
      <c r="P9" s="179" t="s">
        <v>149</v>
      </c>
      <c r="R9" s="179" t="s">
        <v>151</v>
      </c>
      <c r="T9" s="179" t="s">
        <v>151</v>
      </c>
      <c r="V9" s="179" t="s">
        <v>149</v>
      </c>
    </row>
    <row r="10" spans="1:23" x14ac:dyDescent="0.2">
      <c r="B10" s="180" t="s">
        <v>152</v>
      </c>
      <c r="D10" s="181" t="s">
        <v>153</v>
      </c>
      <c r="F10" s="181" t="s">
        <v>154</v>
      </c>
      <c r="H10" s="181" t="s">
        <v>155</v>
      </c>
      <c r="J10" s="181" t="s">
        <v>156</v>
      </c>
      <c r="L10" s="181" t="s">
        <v>151</v>
      </c>
      <c r="N10" s="181" t="s">
        <v>153</v>
      </c>
      <c r="P10" s="181" t="s">
        <v>154</v>
      </c>
      <c r="R10" s="181" t="s">
        <v>155</v>
      </c>
      <c r="T10" s="181" t="s">
        <v>156</v>
      </c>
      <c r="V10" s="181" t="s">
        <v>151</v>
      </c>
    </row>
    <row r="11" spans="1:23" x14ac:dyDescent="0.2">
      <c r="D11" s="179" t="s">
        <v>6</v>
      </c>
      <c r="F11" s="182" t="s">
        <v>7</v>
      </c>
      <c r="H11" s="182" t="s">
        <v>130</v>
      </c>
      <c r="J11" s="182" t="s">
        <v>9</v>
      </c>
      <c r="L11" s="179" t="s">
        <v>157</v>
      </c>
      <c r="N11" s="179" t="s">
        <v>158</v>
      </c>
      <c r="P11" s="179" t="s">
        <v>159</v>
      </c>
      <c r="R11" s="182" t="s">
        <v>160</v>
      </c>
      <c r="T11" s="182" t="s">
        <v>161</v>
      </c>
      <c r="V11" s="179" t="s">
        <v>162</v>
      </c>
    </row>
    <row r="12" spans="1:23" x14ac:dyDescent="0.2">
      <c r="B12" s="183" t="s">
        <v>163</v>
      </c>
    </row>
    <row r="14" spans="1:23" ht="15" x14ac:dyDescent="0.25">
      <c r="B14" s="178" t="s">
        <v>164</v>
      </c>
      <c r="C14" s="184"/>
      <c r="D14" s="185">
        <v>707859.75988075626</v>
      </c>
      <c r="F14" s="185">
        <v>0</v>
      </c>
      <c r="H14" s="186">
        <v>0</v>
      </c>
      <c r="J14" s="185">
        <v>0</v>
      </c>
      <c r="L14" s="187">
        <v>0</v>
      </c>
      <c r="N14" s="185">
        <v>1147433</v>
      </c>
      <c r="P14" s="185">
        <v>0</v>
      </c>
      <c r="R14" s="185">
        <v>4627</v>
      </c>
      <c r="T14" s="185">
        <v>0</v>
      </c>
      <c r="V14" s="188">
        <v>4627</v>
      </c>
    </row>
    <row r="15" spans="1:23" ht="15" x14ac:dyDescent="0.25">
      <c r="B15" s="178" t="s">
        <v>165</v>
      </c>
      <c r="C15" s="184"/>
      <c r="D15" s="185">
        <v>1519.5051911625515</v>
      </c>
      <c r="F15" s="185">
        <v>0</v>
      </c>
      <c r="H15" s="186">
        <v>0</v>
      </c>
      <c r="J15" s="185">
        <v>0</v>
      </c>
      <c r="L15" s="187">
        <v>0</v>
      </c>
      <c r="N15" s="185">
        <v>1697.230246422225</v>
      </c>
      <c r="P15" s="185">
        <v>0</v>
      </c>
      <c r="R15" s="185">
        <v>0</v>
      </c>
      <c r="T15" s="185">
        <v>0</v>
      </c>
      <c r="V15" s="188">
        <v>0</v>
      </c>
    </row>
    <row r="16" spans="1:23" ht="15" x14ac:dyDescent="0.25">
      <c r="B16" s="178" t="s">
        <v>166</v>
      </c>
      <c r="C16" s="184"/>
      <c r="D16" s="185">
        <v>22807.693350488513</v>
      </c>
      <c r="F16" s="185">
        <v>11206.36885885692</v>
      </c>
      <c r="H16" s="185">
        <v>401.68283254864184</v>
      </c>
      <c r="J16" s="185">
        <v>0</v>
      </c>
      <c r="L16" s="187">
        <v>11608.051691405562</v>
      </c>
      <c r="N16" s="185">
        <v>44058.147775180398</v>
      </c>
      <c r="P16" s="185">
        <v>23096.127233208692</v>
      </c>
      <c r="R16" s="185">
        <v>546.37612263868095</v>
      </c>
      <c r="T16" s="185">
        <v>0</v>
      </c>
      <c r="V16" s="188">
        <v>23642.503355847373</v>
      </c>
      <c r="W16" s="187"/>
    </row>
    <row r="17" spans="2:22" ht="15" x14ac:dyDescent="0.25">
      <c r="B17" s="178" t="s">
        <v>167</v>
      </c>
      <c r="C17" s="184"/>
      <c r="D17" s="185">
        <v>30241.948047852133</v>
      </c>
      <c r="F17" s="185">
        <v>0</v>
      </c>
      <c r="H17" s="185">
        <v>24906.214851634035</v>
      </c>
      <c r="J17" s="185">
        <v>27.603981849783302</v>
      </c>
      <c r="L17" s="187">
        <v>24933.81883348382</v>
      </c>
      <c r="N17" s="185">
        <v>38675.660264292324</v>
      </c>
      <c r="P17" s="185">
        <v>0</v>
      </c>
      <c r="R17" s="185">
        <v>31195.703000000001</v>
      </c>
      <c r="T17" s="185">
        <v>579</v>
      </c>
      <c r="V17" s="188">
        <v>31774.703000000001</v>
      </c>
    </row>
    <row r="18" spans="2:22" ht="15" x14ac:dyDescent="0.25">
      <c r="B18" s="178" t="s">
        <v>168</v>
      </c>
      <c r="C18" s="184"/>
      <c r="D18" s="185">
        <v>39245.863496501959</v>
      </c>
      <c r="F18" s="185">
        <v>0</v>
      </c>
      <c r="H18" s="185">
        <v>0</v>
      </c>
      <c r="J18" s="185">
        <v>0</v>
      </c>
      <c r="L18" s="187">
        <v>0</v>
      </c>
      <c r="N18" s="185">
        <v>36890.02928924033</v>
      </c>
      <c r="P18" s="185">
        <v>0</v>
      </c>
      <c r="R18" s="185">
        <v>0</v>
      </c>
      <c r="T18" s="185">
        <v>0</v>
      </c>
      <c r="V18" s="188">
        <v>0</v>
      </c>
    </row>
    <row r="19" spans="2:22" ht="15" x14ac:dyDescent="0.25">
      <c r="B19" s="178" t="s">
        <v>169</v>
      </c>
      <c r="C19" s="184"/>
      <c r="D19" s="185">
        <v>22097.203366708138</v>
      </c>
      <c r="F19" s="185">
        <v>0</v>
      </c>
      <c r="H19" s="185">
        <v>0</v>
      </c>
      <c r="J19" s="185">
        <v>0</v>
      </c>
      <c r="L19" s="187">
        <v>0</v>
      </c>
      <c r="N19" s="185">
        <v>18262.644528453988</v>
      </c>
      <c r="P19" s="185">
        <v>0</v>
      </c>
      <c r="R19" s="185">
        <v>0</v>
      </c>
      <c r="T19" s="185">
        <v>0</v>
      </c>
      <c r="V19" s="188">
        <v>0</v>
      </c>
    </row>
    <row r="20" spans="2:22" ht="15" x14ac:dyDescent="0.25">
      <c r="B20" s="178" t="s">
        <v>170</v>
      </c>
      <c r="C20" s="184"/>
      <c r="D20" s="185">
        <v>39120.670347486841</v>
      </c>
      <c r="F20" s="185">
        <v>919.67601814332534</v>
      </c>
      <c r="H20" s="185">
        <v>6477.4163853792988</v>
      </c>
      <c r="J20" s="185">
        <v>0</v>
      </c>
      <c r="L20" s="187">
        <v>7397.0924035226244</v>
      </c>
      <c r="N20" s="185">
        <v>34093.345694739633</v>
      </c>
      <c r="P20" s="185">
        <v>2105.9578728802699</v>
      </c>
      <c r="R20" s="185">
        <v>3141.8691928017865</v>
      </c>
      <c r="T20" s="185">
        <v>0</v>
      </c>
      <c r="V20" s="188">
        <v>5247.8270656820569</v>
      </c>
    </row>
    <row r="21" spans="2:22" ht="15" x14ac:dyDescent="0.25">
      <c r="B21" s="178" t="s">
        <v>171</v>
      </c>
      <c r="C21" s="184"/>
      <c r="D21" s="185">
        <v>40317.556569629189</v>
      </c>
      <c r="F21" s="185">
        <v>0</v>
      </c>
      <c r="H21" s="185">
        <v>0</v>
      </c>
      <c r="J21" s="185">
        <v>0</v>
      </c>
      <c r="L21" s="187">
        <v>0</v>
      </c>
      <c r="N21" s="185">
        <v>34435.135032566403</v>
      </c>
      <c r="P21" s="185">
        <v>0</v>
      </c>
      <c r="R21" s="185">
        <v>0</v>
      </c>
      <c r="T21" s="185">
        <v>0</v>
      </c>
      <c r="V21" s="188">
        <v>0</v>
      </c>
    </row>
    <row r="22" spans="2:22" ht="15" x14ac:dyDescent="0.25">
      <c r="B22" s="178" t="s">
        <v>172</v>
      </c>
      <c r="C22" s="184"/>
      <c r="D22" s="185">
        <v>57276.052715300459</v>
      </c>
      <c r="F22" s="185">
        <v>0</v>
      </c>
      <c r="H22" s="185">
        <v>124.395307060609</v>
      </c>
      <c r="J22" s="185">
        <v>0</v>
      </c>
      <c r="L22" s="187">
        <v>124.395307060609</v>
      </c>
      <c r="N22" s="185">
        <v>64825.725408520797</v>
      </c>
      <c r="P22" s="185">
        <v>0</v>
      </c>
      <c r="R22" s="185">
        <v>22.869</v>
      </c>
      <c r="T22" s="185">
        <v>0</v>
      </c>
      <c r="V22" s="188">
        <v>22.869</v>
      </c>
    </row>
    <row r="23" spans="2:22" ht="15" x14ac:dyDescent="0.25">
      <c r="B23" s="178" t="s">
        <v>173</v>
      </c>
      <c r="C23" s="184"/>
      <c r="D23" s="185">
        <v>158662.62843074254</v>
      </c>
      <c r="F23" s="185">
        <v>3951.5068700151128</v>
      </c>
      <c r="H23" s="185">
        <v>14069.954702991114</v>
      </c>
      <c r="J23" s="185">
        <v>0</v>
      </c>
      <c r="L23" s="187">
        <v>18021.461573006225</v>
      </c>
      <c r="N23" s="185">
        <v>117257.82916362307</v>
      </c>
      <c r="P23" s="185">
        <v>4510.2608028457644</v>
      </c>
      <c r="R23" s="185">
        <v>5420.7480916031927</v>
      </c>
      <c r="T23" s="185">
        <v>0</v>
      </c>
      <c r="V23" s="188">
        <v>9931.008894448958</v>
      </c>
    </row>
    <row r="24" spans="2:22" x14ac:dyDescent="0.2">
      <c r="B24" s="178" t="s">
        <v>174</v>
      </c>
      <c r="C24" s="184"/>
      <c r="D24" s="189">
        <v>1119148.8813966287</v>
      </c>
      <c r="F24" s="189">
        <v>16077.551747015359</v>
      </c>
      <c r="H24" s="189">
        <v>45979.6640796137</v>
      </c>
      <c r="J24" s="189">
        <v>27.603981849783302</v>
      </c>
      <c r="L24" s="189">
        <v>62084.819808478846</v>
      </c>
      <c r="N24" s="189">
        <v>1537628.7474030389</v>
      </c>
      <c r="P24" s="189">
        <v>29712.345908934727</v>
      </c>
      <c r="R24" s="189">
        <v>44954.565407043658</v>
      </c>
      <c r="T24" s="189">
        <v>579</v>
      </c>
      <c r="V24" s="190">
        <v>75245.911315978388</v>
      </c>
    </row>
    <row r="25" spans="2:22" x14ac:dyDescent="0.2">
      <c r="L25" s="187"/>
      <c r="P25" s="191"/>
      <c r="V25" s="187"/>
    </row>
    <row r="26" spans="2:22" x14ac:dyDescent="0.2">
      <c r="B26" s="178" t="s">
        <v>175</v>
      </c>
      <c r="D26" s="187">
        <v>411289.12151587242</v>
      </c>
      <c r="F26" s="187">
        <v>16077.551747015359</v>
      </c>
      <c r="H26" s="187">
        <v>45979.6640796137</v>
      </c>
      <c r="J26" s="187">
        <v>27.603981849783302</v>
      </c>
      <c r="L26" s="187">
        <v>62084.819808478846</v>
      </c>
      <c r="N26" s="187">
        <v>390195.7474030389</v>
      </c>
      <c r="P26" s="187">
        <v>29712.345908934727</v>
      </c>
      <c r="R26" s="187">
        <v>40327.565407043658</v>
      </c>
      <c r="T26" s="187">
        <v>579</v>
      </c>
      <c r="V26" s="187">
        <v>70618.911315978388</v>
      </c>
    </row>
    <row r="27" spans="2:22" x14ac:dyDescent="0.2">
      <c r="P27" s="191"/>
    </row>
    <row r="28" spans="2:22" x14ac:dyDescent="0.2">
      <c r="B28" s="178" t="s">
        <v>176</v>
      </c>
      <c r="L28" s="192">
        <v>0.15095176740793734</v>
      </c>
      <c r="P28" s="191"/>
      <c r="V28" s="192">
        <v>0.1809832930932358</v>
      </c>
    </row>
    <row r="29" spans="2:22" x14ac:dyDescent="0.2">
      <c r="P29" s="191"/>
    </row>
    <row r="30" spans="2:22" ht="15" x14ac:dyDescent="0.25">
      <c r="B30" s="178" t="s">
        <v>177</v>
      </c>
      <c r="D30" s="193">
        <v>-27321.069794787269</v>
      </c>
      <c r="F30" s="193">
        <v>-7447.9769168198936</v>
      </c>
      <c r="H30" s="194">
        <v>-15206.26713883161</v>
      </c>
      <c r="J30" s="194">
        <v>-27.603981849783302</v>
      </c>
      <c r="L30" s="194">
        <v>-22681.848037501288</v>
      </c>
      <c r="N30" s="193">
        <v>-57255</v>
      </c>
      <c r="P30" s="193">
        <v>-18183.7</v>
      </c>
      <c r="R30" s="194">
        <v>-26418</v>
      </c>
      <c r="T30" s="194">
        <v>-579</v>
      </c>
      <c r="V30" s="194">
        <v>-45180.7</v>
      </c>
    </row>
    <row r="31" spans="2:22" x14ac:dyDescent="0.2">
      <c r="P31" s="191"/>
    </row>
    <row r="32" spans="2:22" x14ac:dyDescent="0.2">
      <c r="B32" s="178" t="s">
        <v>178</v>
      </c>
      <c r="D32" s="187">
        <v>383968.05172108515</v>
      </c>
      <c r="F32" s="187">
        <v>8629.5748301954663</v>
      </c>
      <c r="H32" s="187">
        <v>30773.396940782091</v>
      </c>
      <c r="J32" s="187">
        <v>0</v>
      </c>
      <c r="L32" s="187">
        <v>39402.971770977558</v>
      </c>
      <c r="N32" s="187">
        <v>332940.7474030389</v>
      </c>
      <c r="P32" s="187">
        <v>11528.645908934726</v>
      </c>
      <c r="R32" s="187">
        <v>13909.565407043658</v>
      </c>
      <c r="T32" s="187">
        <v>0</v>
      </c>
      <c r="V32" s="187">
        <v>25438.211315978391</v>
      </c>
    </row>
    <row r="34" spans="2:22" ht="15" x14ac:dyDescent="0.25">
      <c r="B34" s="178" t="s">
        <v>179</v>
      </c>
      <c r="L34" s="195">
        <v>0.10262044353523433</v>
      </c>
      <c r="V34" s="195">
        <v>7.6404620084499178E-2</v>
      </c>
    </row>
    <row r="38" spans="2:22" x14ac:dyDescent="0.2">
      <c r="B38" s="183" t="s">
        <v>180</v>
      </c>
    </row>
    <row r="39" spans="2:22" ht="15" x14ac:dyDescent="0.25">
      <c r="B39" s="178" t="s">
        <v>164</v>
      </c>
      <c r="D39" s="185">
        <v>0</v>
      </c>
      <c r="F39" s="185">
        <v>0</v>
      </c>
      <c r="H39" s="185">
        <v>0</v>
      </c>
      <c r="J39" s="185">
        <v>0</v>
      </c>
      <c r="L39" s="187">
        <v>0</v>
      </c>
      <c r="N39" s="185">
        <v>0</v>
      </c>
      <c r="P39" s="185">
        <v>0</v>
      </c>
      <c r="R39" s="185">
        <v>0</v>
      </c>
      <c r="T39" s="185">
        <v>0</v>
      </c>
      <c r="V39" s="187">
        <v>0</v>
      </c>
    </row>
    <row r="40" spans="2:22" ht="15" x14ac:dyDescent="0.25">
      <c r="B40" s="178" t="s">
        <v>165</v>
      </c>
      <c r="D40" s="185">
        <v>944.23488541456481</v>
      </c>
      <c r="F40" s="185">
        <v>0</v>
      </c>
      <c r="H40" s="185">
        <v>0</v>
      </c>
      <c r="J40" s="185">
        <v>0</v>
      </c>
      <c r="L40" s="187">
        <v>0</v>
      </c>
      <c r="N40" s="185">
        <v>995.29991850304884</v>
      </c>
      <c r="P40" s="185">
        <v>0</v>
      </c>
      <c r="R40" s="185">
        <v>0</v>
      </c>
      <c r="T40" s="185">
        <v>0</v>
      </c>
      <c r="V40" s="187">
        <v>0</v>
      </c>
    </row>
    <row r="41" spans="2:22" ht="15" x14ac:dyDescent="0.25">
      <c r="B41" s="178" t="s">
        <v>166</v>
      </c>
      <c r="D41" s="185">
        <v>4281.8181836899485</v>
      </c>
      <c r="F41" s="185">
        <v>2006.8177824350246</v>
      </c>
      <c r="H41" s="185">
        <v>214.48115675252888</v>
      </c>
      <c r="J41" s="185">
        <v>0</v>
      </c>
      <c r="L41" s="187">
        <v>2221.2989391875535</v>
      </c>
      <c r="N41" s="185">
        <v>5212.3989402438774</v>
      </c>
      <c r="P41" s="185">
        <v>2767.3754695299795</v>
      </c>
      <c r="R41" s="185">
        <v>325.0633382748681</v>
      </c>
      <c r="T41" s="185">
        <v>0</v>
      </c>
      <c r="V41" s="187">
        <v>3092.4388078048478</v>
      </c>
    </row>
    <row r="42" spans="2:22" ht="15" x14ac:dyDescent="0.25">
      <c r="B42" s="178" t="s">
        <v>167</v>
      </c>
      <c r="D42" s="185">
        <v>7251.1993850192785</v>
      </c>
      <c r="F42" s="185">
        <v>0</v>
      </c>
      <c r="H42" s="185">
        <v>5189.3100739054335</v>
      </c>
      <c r="J42" s="185">
        <v>0</v>
      </c>
      <c r="L42" s="187">
        <v>5189.3100739054335</v>
      </c>
      <c r="N42" s="185">
        <v>5727.0231421493563</v>
      </c>
      <c r="P42" s="185">
        <v>0</v>
      </c>
      <c r="R42" s="185">
        <v>2870.4848693900258</v>
      </c>
      <c r="T42" s="185">
        <v>0</v>
      </c>
      <c r="V42" s="187">
        <v>2870.4848693900258</v>
      </c>
    </row>
    <row r="43" spans="2:22" ht="15" x14ac:dyDescent="0.25">
      <c r="B43" s="178" t="s">
        <v>168</v>
      </c>
      <c r="D43" s="185">
        <v>19970.460544256603</v>
      </c>
      <c r="F43" s="185">
        <v>0</v>
      </c>
      <c r="H43" s="185">
        <v>0</v>
      </c>
      <c r="J43" s="185">
        <v>0</v>
      </c>
      <c r="L43" s="187">
        <v>0</v>
      </c>
      <c r="N43" s="185">
        <v>20312.237916203252</v>
      </c>
      <c r="P43" s="185">
        <v>0</v>
      </c>
      <c r="R43" s="185">
        <v>0</v>
      </c>
      <c r="T43" s="185">
        <v>0</v>
      </c>
      <c r="V43" s="187">
        <v>0</v>
      </c>
    </row>
    <row r="44" spans="2:22" ht="15" x14ac:dyDescent="0.25">
      <c r="B44" s="178" t="s">
        <v>169</v>
      </c>
      <c r="D44" s="185">
        <v>10678.135888137338</v>
      </c>
      <c r="F44" s="185">
        <v>0</v>
      </c>
      <c r="H44" s="185">
        <v>0</v>
      </c>
      <c r="J44" s="185">
        <v>0</v>
      </c>
      <c r="L44" s="187">
        <v>0</v>
      </c>
      <c r="N44" s="185">
        <v>10893.33105374634</v>
      </c>
      <c r="P44" s="185">
        <v>0</v>
      </c>
      <c r="R44" s="185">
        <v>0</v>
      </c>
      <c r="T44" s="185">
        <v>0</v>
      </c>
      <c r="V44" s="187">
        <v>0</v>
      </c>
    </row>
    <row r="45" spans="2:22" ht="15" x14ac:dyDescent="0.25">
      <c r="B45" s="178" t="s">
        <v>170</v>
      </c>
      <c r="D45" s="185">
        <v>21032.006687199999</v>
      </c>
      <c r="F45" s="185">
        <v>499.34918528313887</v>
      </c>
      <c r="H45" s="185">
        <v>3488.5370624217458</v>
      </c>
      <c r="J45" s="185">
        <v>0</v>
      </c>
      <c r="L45" s="187">
        <v>3987.8862477048847</v>
      </c>
      <c r="N45" s="185">
        <v>18146.073103871018</v>
      </c>
      <c r="P45" s="185">
        <v>1163.6114931506809</v>
      </c>
      <c r="R45" s="185">
        <v>1638.4158835343283</v>
      </c>
      <c r="T45" s="185">
        <v>0</v>
      </c>
      <c r="V45" s="187">
        <v>2802.0273766850091</v>
      </c>
    </row>
    <row r="46" spans="2:22" ht="15" x14ac:dyDescent="0.25">
      <c r="B46" s="178" t="s">
        <v>171</v>
      </c>
      <c r="D46" s="185">
        <v>12794.35196</v>
      </c>
      <c r="F46" s="185">
        <v>0</v>
      </c>
      <c r="H46" s="185">
        <v>0</v>
      </c>
      <c r="J46" s="185">
        <v>0</v>
      </c>
      <c r="L46" s="187">
        <v>0</v>
      </c>
      <c r="N46" s="185">
        <v>12044.723135360651</v>
      </c>
      <c r="P46" s="185">
        <v>0</v>
      </c>
      <c r="R46" s="185">
        <v>0</v>
      </c>
      <c r="T46" s="185">
        <v>0</v>
      </c>
      <c r="V46" s="187">
        <v>0</v>
      </c>
    </row>
    <row r="47" spans="2:22" ht="15" x14ac:dyDescent="0.25">
      <c r="B47" s="178" t="s">
        <v>172</v>
      </c>
      <c r="D47" s="185">
        <v>18895.682339982272</v>
      </c>
      <c r="F47" s="185">
        <v>0</v>
      </c>
      <c r="H47" s="185">
        <v>19.543692046434753</v>
      </c>
      <c r="J47" s="185">
        <v>0</v>
      </c>
      <c r="L47" s="187">
        <v>19.543692046434753</v>
      </c>
      <c r="N47" s="185">
        <v>20989.436355000227</v>
      </c>
      <c r="P47" s="185">
        <v>0</v>
      </c>
      <c r="R47" s="185">
        <v>4.3296515074164521</v>
      </c>
      <c r="T47" s="185">
        <v>0</v>
      </c>
      <c r="V47" s="187">
        <v>4.3296515074164521</v>
      </c>
    </row>
    <row r="48" spans="2:22" ht="15" x14ac:dyDescent="0.25">
      <c r="B48" s="178" t="s">
        <v>173</v>
      </c>
      <c r="D48" s="185">
        <v>52811.409387700005</v>
      </c>
      <c r="F48" s="185">
        <v>1314.6697791108618</v>
      </c>
      <c r="H48" s="185">
        <v>4658.5769735821286</v>
      </c>
      <c r="J48" s="185">
        <v>0</v>
      </c>
      <c r="L48" s="187">
        <v>5973.2467526929904</v>
      </c>
      <c r="N48" s="185">
        <v>40199.970356206504</v>
      </c>
      <c r="P48" s="185">
        <v>1525.8297263632778</v>
      </c>
      <c r="R48" s="185">
        <v>1817.8071067083667</v>
      </c>
      <c r="T48" s="185">
        <v>0</v>
      </c>
      <c r="V48" s="187">
        <v>3343.6368330716446</v>
      </c>
    </row>
    <row r="49" spans="2:22" ht="15" x14ac:dyDescent="0.25">
      <c r="B49" s="178" t="s">
        <v>174</v>
      </c>
      <c r="D49" s="189">
        <v>148659.29926140001</v>
      </c>
      <c r="F49" s="189">
        <v>3820.8367468290253</v>
      </c>
      <c r="H49" s="189">
        <v>13570.44895870827</v>
      </c>
      <c r="J49" s="196">
        <v>0</v>
      </c>
      <c r="L49" s="189">
        <v>17391.285705537295</v>
      </c>
      <c r="N49" s="189">
        <v>134520.49392128427</v>
      </c>
      <c r="P49" s="189">
        <v>5456.8166890439379</v>
      </c>
      <c r="R49" s="189">
        <v>6656.1008494150055</v>
      </c>
      <c r="T49" s="196">
        <v>0</v>
      </c>
      <c r="V49" s="189">
        <v>12112.917538458943</v>
      </c>
    </row>
    <row r="50" spans="2:22" x14ac:dyDescent="0.2">
      <c r="N50" s="197"/>
    </row>
    <row r="51" spans="2:22" x14ac:dyDescent="0.2">
      <c r="B51" s="178" t="s">
        <v>181</v>
      </c>
      <c r="L51" s="192">
        <v>0.28012138489225652</v>
      </c>
      <c r="V51" s="192">
        <v>0.16097775050651528</v>
      </c>
    </row>
    <row r="53" spans="2:22" x14ac:dyDescent="0.2">
      <c r="B53" s="178" t="s">
        <v>182</v>
      </c>
      <c r="L53" s="192">
        <v>0.11698753991135631</v>
      </c>
      <c r="V53" s="192">
        <v>9.0045146173392085E-2</v>
      </c>
    </row>
  </sheetData>
  <mergeCells count="2">
    <mergeCell ref="D7:L7"/>
    <mergeCell ref="N7:V7"/>
  </mergeCells>
  <pageMargins left="0.7" right="0.7" top="0.75" bottom="0.75" header="0.3" footer="0.3"/>
  <pageSetup scale="6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F29"/>
  <sheetViews>
    <sheetView showGridLines="0" tabSelected="1" zoomScale="75" zoomScaleNormal="75" workbookViewId="0">
      <selection activeCell="C5" sqref="C5"/>
    </sheetView>
  </sheetViews>
  <sheetFormatPr defaultRowHeight="15" x14ac:dyDescent="0.25"/>
  <cols>
    <col min="2" max="2" width="6.5703125" customWidth="1"/>
    <col min="3" max="3" width="23.7109375" customWidth="1"/>
    <col min="4" max="4" width="20.28515625" customWidth="1"/>
    <col min="5" max="5" width="20.85546875" customWidth="1"/>
    <col min="6" max="6" width="16.28515625" customWidth="1"/>
  </cols>
  <sheetData>
    <row r="2" spans="2:6" ht="21" x14ac:dyDescent="0.35">
      <c r="B2" s="7" t="str">
        <f ca="1">MID(CELL("filename",A6),FIND("]",CELL("filename",A6))+1,256)</f>
        <v>Labor Calculation</v>
      </c>
      <c r="C2" s="7"/>
      <c r="D2" s="7"/>
      <c r="E2" s="7"/>
      <c r="F2" s="7"/>
    </row>
    <row r="4" spans="2:6" x14ac:dyDescent="0.25">
      <c r="B4" s="8" t="s">
        <v>2</v>
      </c>
      <c r="C4" s="2"/>
      <c r="D4" s="9"/>
    </row>
    <row r="5" spans="2:6" x14ac:dyDescent="0.25">
      <c r="B5" s="10" t="s">
        <v>187</v>
      </c>
      <c r="C5" s="6"/>
      <c r="D5" s="11"/>
    </row>
    <row r="7" spans="2:6" ht="15.75" x14ac:dyDescent="0.25">
      <c r="B7" s="3" t="str">
        <f ca="1">B2</f>
        <v>Labor Calculation</v>
      </c>
      <c r="C7" s="12"/>
      <c r="D7" s="12"/>
      <c r="E7" s="12"/>
      <c r="F7" s="12"/>
    </row>
    <row r="8" spans="2:6" x14ac:dyDescent="0.25">
      <c r="B8" s="4"/>
      <c r="C8" s="13"/>
      <c r="D8" s="1"/>
      <c r="E8" s="1"/>
      <c r="F8" s="1"/>
    </row>
    <row r="9" spans="2:6" x14ac:dyDescent="0.25">
      <c r="B9" s="5" t="s">
        <v>3</v>
      </c>
      <c r="C9" s="14"/>
      <c r="D9" s="14" t="s">
        <v>186</v>
      </c>
      <c r="E9" s="14"/>
      <c r="F9" s="14"/>
    </row>
    <row r="11" spans="2:6" ht="30" x14ac:dyDescent="0.25">
      <c r="B11" s="15" t="s">
        <v>1</v>
      </c>
      <c r="C11" s="15" t="s">
        <v>0</v>
      </c>
      <c r="D11" s="15" t="s">
        <v>21</v>
      </c>
      <c r="E11" s="15" t="s">
        <v>22</v>
      </c>
      <c r="F11" s="15" t="s">
        <v>24</v>
      </c>
    </row>
    <row r="12" spans="2:6" x14ac:dyDescent="0.25">
      <c r="B12" s="15"/>
      <c r="C12" s="15"/>
      <c r="D12" s="15" t="s">
        <v>6</v>
      </c>
      <c r="E12" s="15" t="s">
        <v>7</v>
      </c>
      <c r="F12" s="15" t="s">
        <v>23</v>
      </c>
    </row>
    <row r="13" spans="2:6" x14ac:dyDescent="0.25">
      <c r="B13" s="17">
        <v>2000</v>
      </c>
      <c r="C13" s="17" t="s">
        <v>126</v>
      </c>
      <c r="D13" s="173">
        <f>'Summarized Union Data'!F18</f>
        <v>2188.3166066335648</v>
      </c>
      <c r="E13" s="173">
        <f>'Summarized Union Data'!E18</f>
        <v>129826912.13218364</v>
      </c>
      <c r="F13" s="18">
        <f t="shared" ref="F13:F29" si="0">((E13)/D13)</f>
        <v>59327.298316263819</v>
      </c>
    </row>
    <row r="14" spans="2:6" x14ac:dyDescent="0.25">
      <c r="B14" s="17">
        <v>2001</v>
      </c>
      <c r="C14" s="17" t="s">
        <v>126</v>
      </c>
      <c r="D14" s="173">
        <f>'Summarized Union Data'!F19</f>
        <v>2128.2522016174034</v>
      </c>
      <c r="E14" s="173">
        <f>'Summarized Union Data'!E19</f>
        <v>131023948.97253302</v>
      </c>
      <c r="F14" s="18">
        <f t="shared" si="0"/>
        <v>61564.108272957041</v>
      </c>
    </row>
    <row r="15" spans="2:6" x14ac:dyDescent="0.25">
      <c r="B15" s="17">
        <v>2002</v>
      </c>
      <c r="C15" s="17" t="s">
        <v>126</v>
      </c>
      <c r="D15" s="173">
        <f>'Summarized Union Data'!F20</f>
        <v>1985.711300161141</v>
      </c>
      <c r="E15" s="173">
        <f>'Summarized Union Data'!E20</f>
        <v>135761448.63807124</v>
      </c>
      <c r="F15" s="18">
        <f t="shared" si="0"/>
        <v>68369.17764785554</v>
      </c>
    </row>
    <row r="16" spans="2:6" x14ac:dyDescent="0.25">
      <c r="B16" s="17">
        <v>2003</v>
      </c>
      <c r="C16" s="17" t="s">
        <v>126</v>
      </c>
      <c r="D16" s="173">
        <f>'Summarized Union Data'!F21</f>
        <v>1962.4027250802428</v>
      </c>
      <c r="E16" s="173">
        <f>'Summarized Union Data'!E21</f>
        <v>134327730.735066</v>
      </c>
      <c r="F16" s="18">
        <f t="shared" si="0"/>
        <v>68450.644211968945</v>
      </c>
    </row>
    <row r="17" spans="2:6" x14ac:dyDescent="0.25">
      <c r="B17" s="17">
        <v>2004</v>
      </c>
      <c r="C17" s="17" t="s">
        <v>126</v>
      </c>
      <c r="D17" s="173">
        <f>'Summarized Union Data'!F22</f>
        <v>1878.1332613262261</v>
      </c>
      <c r="E17" s="173">
        <f>'Summarized Union Data'!E22</f>
        <v>126533397.7162903</v>
      </c>
      <c r="F17" s="18">
        <f t="shared" si="0"/>
        <v>67371.895446300725</v>
      </c>
    </row>
    <row r="18" spans="2:6" ht="14.45" x14ac:dyDescent="0.3">
      <c r="B18" s="17">
        <v>2005</v>
      </c>
      <c r="C18" s="17" t="s">
        <v>126</v>
      </c>
      <c r="D18" s="173">
        <f>'Summarized Union Data'!F23</f>
        <v>1877.2367776692683</v>
      </c>
      <c r="E18" s="173">
        <f>'Summarized Union Data'!E23</f>
        <v>132056490.51973325</v>
      </c>
      <c r="F18" s="18">
        <f t="shared" si="0"/>
        <v>70346.208901623686</v>
      </c>
    </row>
    <row r="19" spans="2:6" ht="14.45" x14ac:dyDescent="0.3">
      <c r="B19" s="17">
        <v>2006</v>
      </c>
      <c r="C19" s="17" t="s">
        <v>126</v>
      </c>
      <c r="D19" s="173">
        <f>'Summarized Union Data'!F24</f>
        <v>1881.7191959540564</v>
      </c>
      <c r="E19" s="173">
        <f>'Summarized Union Data'!E24</f>
        <v>135406546.30330834</v>
      </c>
      <c r="F19" s="18">
        <f t="shared" si="0"/>
        <v>71958.954659361611</v>
      </c>
    </row>
    <row r="20" spans="2:6" ht="14.45" x14ac:dyDescent="0.3">
      <c r="B20" s="17">
        <v>2007</v>
      </c>
      <c r="C20" s="17" t="s">
        <v>126</v>
      </c>
      <c r="D20" s="173">
        <f>'Summarized Union Data'!F25</f>
        <v>1924.7504114880226</v>
      </c>
      <c r="E20" s="173">
        <f>'Summarized Union Data'!E25</f>
        <v>147356075.6483565</v>
      </c>
      <c r="F20" s="18">
        <f t="shared" si="0"/>
        <v>76558.537028411738</v>
      </c>
    </row>
    <row r="21" spans="2:6" ht="14.45" x14ac:dyDescent="0.3">
      <c r="B21" s="17">
        <v>2008</v>
      </c>
      <c r="C21" s="17" t="s">
        <v>126</v>
      </c>
      <c r="D21" s="173">
        <f>'Summarized Union Data'!F26</f>
        <v>1973.1605289637344</v>
      </c>
      <c r="E21" s="173">
        <f>'Summarized Union Data'!E26</f>
        <v>154441240.59065121</v>
      </c>
      <c r="F21" s="18">
        <f t="shared" si="0"/>
        <v>78270.99636528852</v>
      </c>
    </row>
    <row r="22" spans="2:6" ht="14.45" x14ac:dyDescent="0.3">
      <c r="B22" s="17">
        <v>2009</v>
      </c>
      <c r="C22" s="17" t="s">
        <v>126</v>
      </c>
      <c r="D22" s="173">
        <f>'Summarized Union Data'!F27</f>
        <v>1957.0238231384972</v>
      </c>
      <c r="E22" s="173">
        <f>'Summarized Union Data'!E27</f>
        <v>156943532.66846102</v>
      </c>
      <c r="F22" s="18">
        <f t="shared" si="0"/>
        <v>80195.00366468163</v>
      </c>
    </row>
    <row r="23" spans="2:6" ht="14.45" x14ac:dyDescent="0.3">
      <c r="B23" s="17">
        <v>2010</v>
      </c>
      <c r="C23" s="17" t="s">
        <v>126</v>
      </c>
      <c r="D23" s="173">
        <f>'Summarized Union Data'!F28</f>
        <v>1982.1253655333107</v>
      </c>
      <c r="E23" s="173">
        <f>'Summarized Union Data'!E28</f>
        <v>164279783.85691276</v>
      </c>
      <c r="F23" s="18">
        <f t="shared" si="0"/>
        <v>82880.622342831295</v>
      </c>
    </row>
    <row r="24" spans="2:6" ht="14.45" x14ac:dyDescent="0.3">
      <c r="B24" s="17">
        <v>2011</v>
      </c>
      <c r="C24" s="17" t="s">
        <v>126</v>
      </c>
      <c r="D24" s="173">
        <f>'Summarized Union Data'!F29</f>
        <v>1989.2972347889718</v>
      </c>
      <c r="E24" s="173">
        <f>'Summarized Union Data'!E29</f>
        <v>171978533.24132863</v>
      </c>
      <c r="F24" s="18">
        <f t="shared" si="0"/>
        <v>86451.903835060832</v>
      </c>
    </row>
    <row r="25" spans="2:6" ht="14.45" x14ac:dyDescent="0.3">
      <c r="B25" s="17">
        <v>2012</v>
      </c>
      <c r="C25" s="17" t="s">
        <v>126</v>
      </c>
      <c r="D25" s="173">
        <f>'Summarized Union Data'!F30</f>
        <v>1957.9203067954547</v>
      </c>
      <c r="E25" s="173">
        <f>'Summarized Union Data'!E30</f>
        <v>164431436.66308254</v>
      </c>
      <c r="F25" s="18">
        <f t="shared" si="0"/>
        <v>83982.701488095248</v>
      </c>
    </row>
    <row r="26" spans="2:6" ht="14.45" x14ac:dyDescent="0.3">
      <c r="B26" s="17">
        <v>2013</v>
      </c>
      <c r="C26" s="17" t="s">
        <v>126</v>
      </c>
      <c r="D26" s="173">
        <f>'Summarized Union Data'!F31</f>
        <v>1956.1273394815396</v>
      </c>
      <c r="E26" s="173">
        <f>'Summarized Union Data'!E31</f>
        <v>180876509.51291394</v>
      </c>
      <c r="F26" s="18">
        <f t="shared" si="0"/>
        <v>92466.633363886329</v>
      </c>
    </row>
    <row r="27" spans="2:6" ht="14.45" x14ac:dyDescent="0.3">
      <c r="B27" s="17">
        <v>2014</v>
      </c>
      <c r="C27" s="17" t="s">
        <v>126</v>
      </c>
      <c r="D27" s="173">
        <f>'Summarized Union Data'!F32</f>
        <v>1991.0902021028869</v>
      </c>
      <c r="E27" s="173">
        <f>'Summarized Union Data'!E32</f>
        <v>189216112.38210189</v>
      </c>
      <c r="F27" s="18">
        <f t="shared" si="0"/>
        <v>95031.411526339478</v>
      </c>
    </row>
    <row r="28" spans="2:6" ht="14.45" x14ac:dyDescent="0.3">
      <c r="B28" s="17">
        <v>2015</v>
      </c>
      <c r="C28" s="17" t="s">
        <v>126</v>
      </c>
      <c r="D28" s="173">
        <f>'Summarized Union Data'!F33</f>
        <v>2020.6741627824886</v>
      </c>
      <c r="E28" s="173">
        <f>'Summarized Union Data'!E33</f>
        <v>188408807.3334038</v>
      </c>
      <c r="F28" s="18">
        <f t="shared" si="0"/>
        <v>93240.568322981373</v>
      </c>
    </row>
    <row r="29" spans="2:6" ht="14.45" x14ac:dyDescent="0.3">
      <c r="B29" s="17">
        <v>2016</v>
      </c>
      <c r="C29" s="17" t="s">
        <v>126</v>
      </c>
      <c r="D29" s="173">
        <f>'Summarized Union Data'!F34</f>
        <v>2036.8108686077258</v>
      </c>
      <c r="E29" s="173">
        <f>'Summarized Union Data'!E34</f>
        <v>188048849.42249486</v>
      </c>
      <c r="F29" s="18">
        <f t="shared" si="0"/>
        <v>92325.140404929582</v>
      </c>
    </row>
  </sheetData>
  <pageMargins left="0.7" right="0.7" top="0.75" bottom="0.75" header="0.3" footer="0.3"/>
  <pageSetup scale="8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FF0000"/>
  </sheetPr>
  <dimension ref="A1"/>
  <sheetViews>
    <sheetView workbookViewId="0">
      <selection activeCell="D40" sqref="D40"/>
    </sheetView>
  </sheetViews>
  <sheetFormatPr defaultRowHeight="15" x14ac:dyDescent="0.25"/>
  <sheetData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2:H29"/>
  <sheetViews>
    <sheetView showGridLines="0" zoomScale="75" zoomScaleNormal="75" workbookViewId="0">
      <selection activeCell="D45" sqref="D45"/>
    </sheetView>
  </sheetViews>
  <sheetFormatPr defaultRowHeight="15" x14ac:dyDescent="0.25"/>
  <cols>
    <col min="2" max="2" width="6.5703125" customWidth="1"/>
    <col min="3" max="3" width="23.7109375" customWidth="1"/>
    <col min="4" max="4" width="20.28515625" customWidth="1"/>
    <col min="5" max="5" width="20.85546875" customWidth="1"/>
    <col min="6" max="6" width="16.28515625" customWidth="1"/>
    <col min="7" max="7" width="14.5703125" customWidth="1"/>
    <col min="8" max="8" width="19.5703125" customWidth="1"/>
  </cols>
  <sheetData>
    <row r="2" spans="1:8" ht="21" x14ac:dyDescent="0.35">
      <c r="B2" s="7" t="str">
        <f ca="1">MID(CELL("filename",A6),FIND("]",CELL("filename",A6))+1,256)</f>
        <v>Materials Calculation</v>
      </c>
      <c r="C2" s="7"/>
      <c r="D2" s="7"/>
      <c r="E2" s="7"/>
      <c r="F2" s="7"/>
      <c r="G2" s="7"/>
      <c r="H2" s="7"/>
    </row>
    <row r="4" spans="1:8" x14ac:dyDescent="0.25">
      <c r="B4" s="8" t="s">
        <v>2</v>
      </c>
      <c r="C4" s="2"/>
      <c r="D4" s="9"/>
    </row>
    <row r="5" spans="1:8" x14ac:dyDescent="0.25">
      <c r="B5" s="10" t="s">
        <v>133</v>
      </c>
      <c r="C5" s="6"/>
      <c r="D5" s="11"/>
    </row>
    <row r="7" spans="1:8" ht="15.75" x14ac:dyDescent="0.25">
      <c r="B7" s="3" t="str">
        <f ca="1">B2</f>
        <v>Materials Calculation</v>
      </c>
      <c r="C7" s="12"/>
      <c r="D7" s="12"/>
      <c r="E7" s="12"/>
      <c r="F7" s="12"/>
      <c r="G7" s="12"/>
      <c r="H7" s="12"/>
    </row>
    <row r="8" spans="1:8" x14ac:dyDescent="0.25">
      <c r="B8" s="4"/>
      <c r="C8" s="13"/>
      <c r="D8" s="1"/>
      <c r="E8" s="1"/>
      <c r="F8" s="1"/>
    </row>
    <row r="9" spans="1:8" x14ac:dyDescent="0.25">
      <c r="B9" s="5" t="s">
        <v>3</v>
      </c>
      <c r="C9" s="14"/>
      <c r="D9" s="14" t="s">
        <v>134</v>
      </c>
      <c r="E9" s="14"/>
      <c r="F9" s="14"/>
      <c r="G9" s="14"/>
      <c r="H9" s="14"/>
    </row>
    <row r="11" spans="1:8" ht="45" x14ac:dyDescent="0.25">
      <c r="A11" s="16"/>
      <c r="B11" s="15" t="s">
        <v>1</v>
      </c>
      <c r="C11" s="15" t="s">
        <v>0</v>
      </c>
      <c r="D11" s="15" t="s">
        <v>136</v>
      </c>
      <c r="E11" s="15" t="s">
        <v>131</v>
      </c>
      <c r="F11" s="15" t="s">
        <v>137</v>
      </c>
      <c r="G11" s="15" t="s">
        <v>5</v>
      </c>
      <c r="H11" s="15" t="s">
        <v>138</v>
      </c>
    </row>
    <row r="12" spans="1:8" x14ac:dyDescent="0.25">
      <c r="A12" s="16"/>
      <c r="B12" s="15"/>
      <c r="C12" s="15"/>
      <c r="D12" s="15" t="s">
        <v>6</v>
      </c>
      <c r="E12" s="15" t="s">
        <v>7</v>
      </c>
      <c r="F12" s="15" t="s">
        <v>8</v>
      </c>
      <c r="G12" s="15" t="s">
        <v>9</v>
      </c>
      <c r="H12" s="15" t="s">
        <v>184</v>
      </c>
    </row>
    <row r="13" spans="1:8" x14ac:dyDescent="0.25">
      <c r="B13" s="17">
        <v>2000</v>
      </c>
      <c r="C13" s="17" t="s">
        <v>126</v>
      </c>
      <c r="D13" s="174">
        <f>'Summarized Union Data'!D18</f>
        <v>246342217.78349701</v>
      </c>
      <c r="E13" s="173">
        <f>'Summarized Union Data'!E18</f>
        <v>129826912.13218364</v>
      </c>
      <c r="F13" s="18">
        <f t="shared" ref="F13:F29" si="0">D13-E13</f>
        <v>116515305.65131336</v>
      </c>
      <c r="G13" s="19">
        <f>INDEX('Canadian GDP Price Index'!$B$7:$B$43,MATCH('Materials Calculation'!$B13,'Canadian GDP Price Index'!$A$7:$A$43,0))/100</f>
        <v>0.83299999999999996</v>
      </c>
      <c r="H13" s="18">
        <f t="shared" ref="H13:H29" si="1">F13/G13</f>
        <v>139874316.50817931</v>
      </c>
    </row>
    <row r="14" spans="1:8" x14ac:dyDescent="0.25">
      <c r="B14" s="17">
        <v>2001</v>
      </c>
      <c r="C14" s="17" t="s">
        <v>126</v>
      </c>
      <c r="D14" s="174">
        <f>'Summarized Union Data'!D19</f>
        <v>251782380.40593305</v>
      </c>
      <c r="E14" s="173">
        <f>'Summarized Union Data'!E19</f>
        <v>131023948.97253302</v>
      </c>
      <c r="F14" s="18">
        <f t="shared" si="0"/>
        <v>120758431.43340003</v>
      </c>
      <c r="G14" s="19">
        <f>INDEX('Canadian GDP Price Index'!$B$7:$B$43,MATCH('Materials Calculation'!$B14,'Canadian GDP Price Index'!$A$7:$A$43,0))/100</f>
        <v>0.84699999999999998</v>
      </c>
      <c r="H14" s="18">
        <f t="shared" si="1"/>
        <v>142571937.93789852</v>
      </c>
    </row>
    <row r="15" spans="1:8" x14ac:dyDescent="0.25">
      <c r="B15" s="17">
        <v>2002</v>
      </c>
      <c r="C15" s="17" t="s">
        <v>126</v>
      </c>
      <c r="D15" s="174">
        <f>'Summarized Union Data'!D20</f>
        <v>274651549.38819873</v>
      </c>
      <c r="E15" s="173">
        <f>'Summarized Union Data'!E20</f>
        <v>135761448.63807124</v>
      </c>
      <c r="F15" s="18">
        <f t="shared" si="0"/>
        <v>138890100.75012749</v>
      </c>
      <c r="G15" s="19">
        <f>INDEX('Canadian GDP Price Index'!$B$7:$B$43,MATCH('Materials Calculation'!$B15,'Canadian GDP Price Index'!$A$7:$A$43,0))/100</f>
        <v>0.85699999999999998</v>
      </c>
      <c r="H15" s="18">
        <f t="shared" si="1"/>
        <v>162065461.78544632</v>
      </c>
    </row>
    <row r="16" spans="1:8" x14ac:dyDescent="0.25">
      <c r="B16" s="17">
        <v>2003</v>
      </c>
      <c r="C16" s="17" t="s">
        <v>126</v>
      </c>
      <c r="D16" s="174">
        <f>'Summarized Union Data'!D21</f>
        <v>256564040.24179545</v>
      </c>
      <c r="E16" s="173">
        <f>'Summarized Union Data'!E21</f>
        <v>134327730.735066</v>
      </c>
      <c r="F16" s="18">
        <f t="shared" si="0"/>
        <v>122236309.50672945</v>
      </c>
      <c r="G16" s="19">
        <f>INDEX('Canadian GDP Price Index'!$B$7:$B$43,MATCH('Materials Calculation'!$B16,'Canadian GDP Price Index'!$A$7:$A$43,0))/100</f>
        <v>0.88500000000000001</v>
      </c>
      <c r="H16" s="18">
        <f t="shared" si="1"/>
        <v>138120123.73641747</v>
      </c>
    </row>
    <row r="17" spans="2:8" ht="14.45" x14ac:dyDescent="0.3">
      <c r="B17" s="17">
        <v>2004</v>
      </c>
      <c r="C17" s="17" t="s">
        <v>126</v>
      </c>
      <c r="D17" s="174">
        <f>'Summarized Union Data'!D22</f>
        <v>271892154.33889896</v>
      </c>
      <c r="E17" s="173">
        <f>'Summarized Union Data'!E22</f>
        <v>126533397.7162903</v>
      </c>
      <c r="F17" s="18">
        <f t="shared" si="0"/>
        <v>145358756.62260866</v>
      </c>
      <c r="G17" s="19">
        <f>INDEX('Canadian GDP Price Index'!$B$7:$B$43,MATCH('Materials Calculation'!$B17,'Canadian GDP Price Index'!$A$7:$A$43,0))/100</f>
        <v>0.91400000000000003</v>
      </c>
      <c r="H17" s="18">
        <f t="shared" si="1"/>
        <v>159035838.75558934</v>
      </c>
    </row>
    <row r="18" spans="2:8" ht="14.45" x14ac:dyDescent="0.3">
      <c r="B18" s="17">
        <v>2005</v>
      </c>
      <c r="C18" s="17" t="s">
        <v>126</v>
      </c>
      <c r="D18" s="174">
        <f>'Summarized Union Data'!D23</f>
        <v>276338316.95125365</v>
      </c>
      <c r="E18" s="173">
        <f>'Summarized Union Data'!E23</f>
        <v>132056490.51973325</v>
      </c>
      <c r="F18" s="18">
        <f t="shared" si="0"/>
        <v>144281826.4315204</v>
      </c>
      <c r="G18" s="19">
        <f>INDEX('Canadian GDP Price Index'!$B$7:$B$43,MATCH('Materials Calculation'!$B18,'Canadian GDP Price Index'!$A$7:$A$43,0))/100</f>
        <v>0.94299999999999995</v>
      </c>
      <c r="H18" s="18">
        <f t="shared" si="1"/>
        <v>153002997.27626768</v>
      </c>
    </row>
    <row r="19" spans="2:8" ht="14.45" x14ac:dyDescent="0.3">
      <c r="B19" s="17">
        <v>2006</v>
      </c>
      <c r="C19" s="17" t="s">
        <v>126</v>
      </c>
      <c r="D19" s="174">
        <f>'Summarized Union Data'!D24</f>
        <v>282939351.70565873</v>
      </c>
      <c r="E19" s="173">
        <f>'Summarized Union Data'!E24</f>
        <v>135406546.30330834</v>
      </c>
      <c r="F19" s="18">
        <f t="shared" si="0"/>
        <v>147532805.4023504</v>
      </c>
      <c r="G19" s="19">
        <f>INDEX('Canadian GDP Price Index'!$B$7:$B$43,MATCH('Materials Calculation'!$B19,'Canadian GDP Price Index'!$A$7:$A$43,0))/100</f>
        <v>0.96799999999999997</v>
      </c>
      <c r="H19" s="18">
        <f t="shared" si="1"/>
        <v>152409922.93631241</v>
      </c>
    </row>
    <row r="20" spans="2:8" ht="14.45" x14ac:dyDescent="0.3">
      <c r="B20" s="17">
        <v>2007</v>
      </c>
      <c r="C20" s="17" t="s">
        <v>126</v>
      </c>
      <c r="D20" s="174">
        <f>'Summarized Union Data'!D25</f>
        <v>298120321.71361595</v>
      </c>
      <c r="E20" s="173">
        <f>'Summarized Union Data'!E25</f>
        <v>147356075.6483565</v>
      </c>
      <c r="F20" s="18">
        <f t="shared" si="0"/>
        <v>150764246.06525946</v>
      </c>
      <c r="G20" s="19">
        <f>INDEX('Canadian GDP Price Index'!$B$7:$B$43,MATCH('Materials Calculation'!$B20,'Canadian GDP Price Index'!$A$7:$A$43,0))/100</f>
        <v>1</v>
      </c>
      <c r="H20" s="18">
        <f t="shared" si="1"/>
        <v>150764246.06525946</v>
      </c>
    </row>
    <row r="21" spans="2:8" ht="14.45" x14ac:dyDescent="0.3">
      <c r="B21" s="17">
        <v>2008</v>
      </c>
      <c r="C21" s="17" t="s">
        <v>126</v>
      </c>
      <c r="D21" s="174">
        <f>'Summarized Union Data'!D26</f>
        <v>305118259.19707775</v>
      </c>
      <c r="E21" s="173">
        <f>'Summarized Union Data'!E26</f>
        <v>154441240.59065121</v>
      </c>
      <c r="F21" s="18">
        <f t="shared" si="0"/>
        <v>150677018.60642654</v>
      </c>
      <c r="G21" s="19">
        <f>INDEX('Canadian GDP Price Index'!$B$7:$B$43,MATCH('Materials Calculation'!$B21,'Canadian GDP Price Index'!$A$7:$A$43,0))/100</f>
        <v>1.04</v>
      </c>
      <c r="H21" s="18">
        <f t="shared" si="1"/>
        <v>144881748.66002551</v>
      </c>
    </row>
    <row r="22" spans="2:8" ht="14.45" x14ac:dyDescent="0.3">
      <c r="B22" s="17">
        <v>2009</v>
      </c>
      <c r="C22" s="17" t="s">
        <v>126</v>
      </c>
      <c r="D22" s="174">
        <f>'Summarized Union Data'!D27</f>
        <v>305453998.71951044</v>
      </c>
      <c r="E22" s="173">
        <f>'Summarized Union Data'!E27</f>
        <v>156943532.66846102</v>
      </c>
      <c r="F22" s="18">
        <f t="shared" si="0"/>
        <v>148510466.05104941</v>
      </c>
      <c r="G22" s="19">
        <f>INDEX('Canadian GDP Price Index'!$B$7:$B$43,MATCH('Materials Calculation'!$B22,'Canadian GDP Price Index'!$A$7:$A$43,0))/100</f>
        <v>1.016</v>
      </c>
      <c r="H22" s="18">
        <f t="shared" si="1"/>
        <v>146171718.5541825</v>
      </c>
    </row>
    <row r="23" spans="2:8" ht="14.45" x14ac:dyDescent="0.3">
      <c r="B23" s="17">
        <v>2010</v>
      </c>
      <c r="C23" s="17" t="s">
        <v>126</v>
      </c>
      <c r="D23" s="174">
        <f>'Summarized Union Data'!D28</f>
        <v>330879812.87050414</v>
      </c>
      <c r="E23" s="173">
        <f>'Summarized Union Data'!E28</f>
        <v>164279783.85691276</v>
      </c>
      <c r="F23" s="18">
        <f t="shared" si="0"/>
        <v>166600029.01359138</v>
      </c>
      <c r="G23" s="19">
        <f>INDEX('Canadian GDP Price Index'!$B$7:$B$43,MATCH('Materials Calculation'!$B23,'Canadian GDP Price Index'!$A$7:$A$43,0))/100</f>
        <v>1.0449999999999999</v>
      </c>
      <c r="H23" s="18">
        <f t="shared" si="1"/>
        <v>159425865.08477646</v>
      </c>
    </row>
    <row r="24" spans="2:8" ht="14.45" x14ac:dyDescent="0.3">
      <c r="B24" s="17">
        <v>2011</v>
      </c>
      <c r="C24" s="17" t="s">
        <v>126</v>
      </c>
      <c r="D24" s="174">
        <f>'Summarized Union Data'!D29</f>
        <v>344501990.09244615</v>
      </c>
      <c r="E24" s="173">
        <f>'Summarized Union Data'!E29</f>
        <v>171978533.24132863</v>
      </c>
      <c r="F24" s="18">
        <f t="shared" si="0"/>
        <v>172523456.85111752</v>
      </c>
      <c r="G24" s="19">
        <f>INDEX('Canadian GDP Price Index'!$B$7:$B$43,MATCH('Materials Calculation'!$B24,'Canadian GDP Price Index'!$A$7:$A$43,0))/100</f>
        <v>1.079</v>
      </c>
      <c r="H24" s="18">
        <f t="shared" si="1"/>
        <v>159891989.66739345</v>
      </c>
    </row>
    <row r="25" spans="2:8" ht="14.45" x14ac:dyDescent="0.3">
      <c r="B25" s="17">
        <v>2012</v>
      </c>
      <c r="C25" s="17" t="s">
        <v>126</v>
      </c>
      <c r="D25" s="174">
        <f>'Summarized Union Data'!D30</f>
        <v>346088899.64196646</v>
      </c>
      <c r="E25" s="173">
        <f>'Summarized Union Data'!E30</f>
        <v>164431436.66308254</v>
      </c>
      <c r="F25" s="18">
        <f t="shared" si="0"/>
        <v>181657462.97888392</v>
      </c>
      <c r="G25" s="19">
        <f>INDEX('Canadian GDP Price Index'!$B$7:$B$43,MATCH('Materials Calculation'!$B25,'Canadian GDP Price Index'!$A$7:$A$43,0))/100</f>
        <v>1.0920000000000001</v>
      </c>
      <c r="H25" s="18">
        <f t="shared" si="1"/>
        <v>166352988.075901</v>
      </c>
    </row>
    <row r="26" spans="2:8" ht="14.45" x14ac:dyDescent="0.3">
      <c r="B26" s="17">
        <v>2013</v>
      </c>
      <c r="C26" s="17" t="s">
        <v>126</v>
      </c>
      <c r="D26" s="174">
        <f>'Summarized Union Data'!D31</f>
        <v>361713957.18107098</v>
      </c>
      <c r="E26" s="173">
        <f>'Summarized Union Data'!E31</f>
        <v>180876509.51291394</v>
      </c>
      <c r="F26" s="18">
        <f t="shared" si="0"/>
        <v>180837447.66815704</v>
      </c>
      <c r="G26" s="19">
        <f>INDEX('Canadian GDP Price Index'!$B$7:$B$43,MATCH('Materials Calculation'!$B26,'Canadian GDP Price Index'!$A$7:$A$43,0))/100</f>
        <v>1.1100000000000001</v>
      </c>
      <c r="H26" s="18">
        <f t="shared" si="1"/>
        <v>162916619.52086219</v>
      </c>
    </row>
    <row r="27" spans="2:8" ht="14.45" x14ac:dyDescent="0.3">
      <c r="B27" s="17">
        <v>2014</v>
      </c>
      <c r="C27" s="17" t="s">
        <v>126</v>
      </c>
      <c r="D27" s="174">
        <f>'Summarized Union Data'!D32</f>
        <v>361401363.16056716</v>
      </c>
      <c r="E27" s="173">
        <f>'Summarized Union Data'!E32</f>
        <v>189216112.38210189</v>
      </c>
      <c r="F27" s="18">
        <f t="shared" si="0"/>
        <v>172185250.77846527</v>
      </c>
      <c r="G27" s="19">
        <f>INDEX('Canadian GDP Price Index'!$B$7:$B$43,MATCH('Materials Calculation'!$B27,'Canadian GDP Price Index'!$A$7:$A$43,0))/100</f>
        <v>1.131</v>
      </c>
      <c r="H27" s="18">
        <f t="shared" si="1"/>
        <v>152241601.04196751</v>
      </c>
    </row>
    <row r="28" spans="2:8" ht="14.45" x14ac:dyDescent="0.3">
      <c r="B28" s="17">
        <v>2015</v>
      </c>
      <c r="C28" s="17" t="s">
        <v>126</v>
      </c>
      <c r="D28" s="174">
        <f>'Summarized Union Data'!D33</f>
        <v>363347948.9480589</v>
      </c>
      <c r="E28" s="173">
        <f>'Summarized Union Data'!E33</f>
        <v>188408807.3334038</v>
      </c>
      <c r="F28" s="18">
        <f t="shared" si="0"/>
        <v>174939141.61465511</v>
      </c>
      <c r="G28" s="19">
        <f>INDEX('Canadian GDP Price Index'!$B$7:$B$43,MATCH('Materials Calculation'!$B28,'Canadian GDP Price Index'!$A$7:$A$43,0))/100</f>
        <v>1.1220000000000001</v>
      </c>
      <c r="H28" s="18">
        <f t="shared" si="1"/>
        <v>155917238.51573539</v>
      </c>
    </row>
    <row r="29" spans="2:8" ht="14.45" x14ac:dyDescent="0.3">
      <c r="B29" s="17">
        <v>2016</v>
      </c>
      <c r="C29" s="17" t="s">
        <v>126</v>
      </c>
      <c r="D29" s="174">
        <f>'Summarized Union Data'!D34</f>
        <v>377392959.28169084</v>
      </c>
      <c r="E29" s="173">
        <f>'Summarized Union Data'!E34</f>
        <v>188048849.42249486</v>
      </c>
      <c r="F29" s="18">
        <f t="shared" si="0"/>
        <v>189344109.85919598</v>
      </c>
      <c r="G29" s="19">
        <f>INDEX('Canadian GDP Price Index'!$B$7:$B$43,MATCH('Materials Calculation'!$B29,'Canadian GDP Price Index'!$A$7:$A$43,0))/100</f>
        <v>1.129</v>
      </c>
      <c r="H29" s="18">
        <f t="shared" si="1"/>
        <v>167709574.72027987</v>
      </c>
    </row>
  </sheetData>
  <pageMargins left="0.7" right="0.7" top="0.75" bottom="0.75" header="0.3" footer="0.3"/>
  <pageSetup scale="8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FF00"/>
  </sheetPr>
  <dimension ref="A1"/>
  <sheetViews>
    <sheetView workbookViewId="0">
      <selection activeCell="G38" sqref="G38"/>
    </sheetView>
  </sheetViews>
  <sheetFormatPr defaultRowHeight="15" x14ac:dyDescent="0.25"/>
  <sheetData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I46"/>
  <sheetViews>
    <sheetView workbookViewId="0">
      <selection activeCell="C40" sqref="C40"/>
    </sheetView>
  </sheetViews>
  <sheetFormatPr defaultRowHeight="15" x14ac:dyDescent="0.25"/>
  <sheetData>
    <row r="1" spans="1:2" x14ac:dyDescent="0.25">
      <c r="A1" t="s">
        <v>20</v>
      </c>
    </row>
    <row r="2" spans="1:2" x14ac:dyDescent="0.25">
      <c r="A2" t="s">
        <v>19</v>
      </c>
    </row>
    <row r="3" spans="1:2" x14ac:dyDescent="0.25">
      <c r="A3" t="s">
        <v>18</v>
      </c>
    </row>
    <row r="4" spans="1:2" x14ac:dyDescent="0.25">
      <c r="A4" t="s">
        <v>17</v>
      </c>
      <c r="B4" t="s">
        <v>14</v>
      </c>
    </row>
    <row r="5" spans="1:2" x14ac:dyDescent="0.25">
      <c r="A5" t="s">
        <v>16</v>
      </c>
      <c r="B5" t="s">
        <v>13</v>
      </c>
    </row>
    <row r="6" spans="1:2" x14ac:dyDescent="0.25">
      <c r="A6" t="s">
        <v>15</v>
      </c>
      <c r="B6" t="s">
        <v>12</v>
      </c>
    </row>
    <row r="7" spans="1:2" x14ac:dyDescent="0.25">
      <c r="A7">
        <v>1980</v>
      </c>
      <c r="B7">
        <v>41.8</v>
      </c>
    </row>
    <row r="8" spans="1:2" x14ac:dyDescent="0.25">
      <c r="A8">
        <v>1981</v>
      </c>
      <c r="B8">
        <v>46.1</v>
      </c>
    </row>
    <row r="9" spans="1:2" x14ac:dyDescent="0.25">
      <c r="A9">
        <v>1982</v>
      </c>
      <c r="B9">
        <v>50.1</v>
      </c>
    </row>
    <row r="10" spans="1:2" x14ac:dyDescent="0.25">
      <c r="A10">
        <v>1983</v>
      </c>
      <c r="B10">
        <v>53</v>
      </c>
    </row>
    <row r="11" spans="1:2" x14ac:dyDescent="0.25">
      <c r="A11">
        <v>1984</v>
      </c>
      <c r="B11">
        <v>54.9</v>
      </c>
    </row>
    <row r="12" spans="1:2" x14ac:dyDescent="0.25">
      <c r="A12">
        <v>1985</v>
      </c>
      <c r="B12">
        <v>56.7</v>
      </c>
    </row>
    <row r="13" spans="1:2" x14ac:dyDescent="0.25">
      <c r="A13">
        <v>1986</v>
      </c>
      <c r="B13">
        <v>58.5</v>
      </c>
    </row>
    <row r="14" spans="1:2" x14ac:dyDescent="0.25">
      <c r="A14">
        <v>1987</v>
      </c>
      <c r="B14">
        <v>61.3</v>
      </c>
    </row>
    <row r="15" spans="1:2" x14ac:dyDescent="0.25">
      <c r="A15">
        <v>1988</v>
      </c>
      <c r="B15">
        <v>64</v>
      </c>
    </row>
    <row r="16" spans="1:2" x14ac:dyDescent="0.25">
      <c r="A16">
        <v>1989</v>
      </c>
      <c r="B16">
        <v>67.099999999999994</v>
      </c>
    </row>
    <row r="17" spans="1:2" x14ac:dyDescent="0.25">
      <c r="A17">
        <v>1990</v>
      </c>
      <c r="B17">
        <v>69.3</v>
      </c>
    </row>
    <row r="18" spans="1:2" x14ac:dyDescent="0.25">
      <c r="A18">
        <v>1991</v>
      </c>
      <c r="B18">
        <v>71.5</v>
      </c>
    </row>
    <row r="19" spans="1:2" x14ac:dyDescent="0.25">
      <c r="A19">
        <v>1992</v>
      </c>
      <c r="B19">
        <v>72.599999999999994</v>
      </c>
    </row>
    <row r="20" spans="1:2" x14ac:dyDescent="0.25">
      <c r="A20">
        <v>1993</v>
      </c>
      <c r="B20">
        <v>73.5</v>
      </c>
    </row>
    <row r="21" spans="1:2" x14ac:dyDescent="0.25">
      <c r="A21">
        <v>1994</v>
      </c>
      <c r="B21">
        <v>74.599999999999994</v>
      </c>
    </row>
    <row r="22" spans="1:2" x14ac:dyDescent="0.25">
      <c r="A22">
        <v>1995</v>
      </c>
      <c r="B22">
        <v>76.3</v>
      </c>
    </row>
    <row r="23" spans="1:2" x14ac:dyDescent="0.25">
      <c r="A23">
        <v>1996</v>
      </c>
      <c r="B23">
        <v>77.599999999999994</v>
      </c>
    </row>
    <row r="24" spans="1:2" x14ac:dyDescent="0.25">
      <c r="A24">
        <v>1997</v>
      </c>
      <c r="B24">
        <v>78.5</v>
      </c>
    </row>
    <row r="25" spans="1:2" x14ac:dyDescent="0.25">
      <c r="A25">
        <v>1998</v>
      </c>
      <c r="B25">
        <v>78.400000000000006</v>
      </c>
    </row>
    <row r="26" spans="1:2" x14ac:dyDescent="0.25">
      <c r="A26">
        <v>1999</v>
      </c>
      <c r="B26">
        <v>79.8</v>
      </c>
    </row>
    <row r="27" spans="1:2" x14ac:dyDescent="0.25">
      <c r="A27">
        <v>2000</v>
      </c>
      <c r="B27">
        <v>83.3</v>
      </c>
    </row>
    <row r="28" spans="1:2" x14ac:dyDescent="0.25">
      <c r="A28">
        <v>2001</v>
      </c>
      <c r="B28">
        <v>84.7</v>
      </c>
    </row>
    <row r="29" spans="1:2" x14ac:dyDescent="0.25">
      <c r="A29">
        <v>2002</v>
      </c>
      <c r="B29">
        <v>85.7</v>
      </c>
    </row>
    <row r="30" spans="1:2" x14ac:dyDescent="0.25">
      <c r="A30">
        <v>2003</v>
      </c>
      <c r="B30">
        <v>88.5</v>
      </c>
    </row>
    <row r="31" spans="1:2" x14ac:dyDescent="0.25">
      <c r="A31">
        <v>2004</v>
      </c>
      <c r="B31">
        <v>91.4</v>
      </c>
    </row>
    <row r="32" spans="1:2" x14ac:dyDescent="0.25">
      <c r="A32">
        <v>2005</v>
      </c>
      <c r="B32">
        <v>94.3</v>
      </c>
    </row>
    <row r="33" spans="1:9" x14ac:dyDescent="0.25">
      <c r="A33">
        <v>2006</v>
      </c>
      <c r="B33">
        <v>96.8</v>
      </c>
    </row>
    <row r="34" spans="1:9" x14ac:dyDescent="0.25">
      <c r="A34">
        <v>2007</v>
      </c>
      <c r="B34">
        <v>100</v>
      </c>
    </row>
    <row r="35" spans="1:9" x14ac:dyDescent="0.25">
      <c r="A35">
        <v>2008</v>
      </c>
      <c r="B35">
        <v>104</v>
      </c>
    </row>
    <row r="36" spans="1:9" x14ac:dyDescent="0.25">
      <c r="A36">
        <v>2009</v>
      </c>
      <c r="B36">
        <v>101.6</v>
      </c>
    </row>
    <row r="37" spans="1:9" x14ac:dyDescent="0.25">
      <c r="A37">
        <v>2010</v>
      </c>
      <c r="B37">
        <v>104.5</v>
      </c>
    </row>
    <row r="38" spans="1:9" x14ac:dyDescent="0.25">
      <c r="A38">
        <v>2011</v>
      </c>
      <c r="B38">
        <v>107.9</v>
      </c>
    </row>
    <row r="39" spans="1:9" x14ac:dyDescent="0.25">
      <c r="A39">
        <v>2012</v>
      </c>
      <c r="B39">
        <v>109.2</v>
      </c>
    </row>
    <row r="40" spans="1:9" x14ac:dyDescent="0.25">
      <c r="A40">
        <v>2013</v>
      </c>
      <c r="B40">
        <v>111</v>
      </c>
    </row>
    <row r="41" spans="1:9" x14ac:dyDescent="0.25">
      <c r="A41">
        <v>2014</v>
      </c>
      <c r="B41">
        <v>113.1</v>
      </c>
    </row>
    <row r="42" spans="1:9" x14ac:dyDescent="0.25">
      <c r="A42">
        <v>2015</v>
      </c>
      <c r="B42">
        <v>112.2</v>
      </c>
    </row>
    <row r="43" spans="1:9" x14ac:dyDescent="0.25">
      <c r="A43">
        <v>2016</v>
      </c>
      <c r="B43">
        <v>112.9</v>
      </c>
    </row>
    <row r="44" spans="1:9" x14ac:dyDescent="0.25">
      <c r="A44" t="s">
        <v>11</v>
      </c>
    </row>
    <row r="45" spans="1:9" ht="32.25" customHeight="1" x14ac:dyDescent="0.25">
      <c r="A45" s="199" t="s">
        <v>10</v>
      </c>
      <c r="B45" s="199"/>
      <c r="C45" s="199"/>
      <c r="D45" s="199"/>
      <c r="E45" s="199"/>
      <c r="F45" s="199"/>
      <c r="G45" s="199"/>
      <c r="H45" s="199"/>
      <c r="I45" s="199"/>
    </row>
    <row r="46" spans="1:9" x14ac:dyDescent="0.25">
      <c r="A46" t="s">
        <v>135</v>
      </c>
    </row>
  </sheetData>
  <mergeCells count="1">
    <mergeCell ref="A45:I45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FF00"/>
  </sheetPr>
  <dimension ref="A1"/>
  <sheetViews>
    <sheetView workbookViewId="0">
      <selection activeCell="E28" sqref="E28"/>
    </sheetView>
  </sheetViews>
  <sheetFormatPr defaultRowHeight="15" x14ac:dyDescent="0.25"/>
  <sheetData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B2:F34"/>
  <sheetViews>
    <sheetView showGridLines="0" topLeftCell="A3" zoomScale="75" zoomScaleNormal="75" workbookViewId="0">
      <selection activeCell="H19" sqref="H19"/>
    </sheetView>
  </sheetViews>
  <sheetFormatPr defaultRowHeight="15" x14ac:dyDescent="0.25"/>
  <cols>
    <col min="2" max="2" width="15.7109375" customWidth="1"/>
    <col min="3" max="3" width="23.7109375" customWidth="1"/>
    <col min="4" max="4" width="20.28515625" customWidth="1"/>
    <col min="5" max="6" width="20.85546875" customWidth="1"/>
  </cols>
  <sheetData>
    <row r="2" spans="2:6" ht="21" x14ac:dyDescent="0.35">
      <c r="B2" s="7" t="str">
        <f ca="1">MID(CELL("filename",A6),FIND("]",CELL("filename",A6))+1,256)</f>
        <v>Summarized Union Data</v>
      </c>
      <c r="C2" s="7"/>
      <c r="D2" s="7"/>
      <c r="E2" s="7"/>
      <c r="F2" s="7"/>
    </row>
    <row r="4" spans="2:6" x14ac:dyDescent="0.25">
      <c r="B4" s="8" t="s">
        <v>2</v>
      </c>
      <c r="C4" s="2"/>
      <c r="D4" s="9"/>
    </row>
    <row r="5" spans="2:6" x14ac:dyDescent="0.25">
      <c r="B5" s="10" t="s">
        <v>127</v>
      </c>
      <c r="C5" s="6"/>
      <c r="D5" s="11"/>
    </row>
    <row r="7" spans="2:6" ht="15.75" x14ac:dyDescent="0.25">
      <c r="B7" s="3" t="s">
        <v>4</v>
      </c>
      <c r="C7" s="12"/>
      <c r="D7" s="12"/>
      <c r="E7" s="12"/>
      <c r="F7" s="12"/>
    </row>
    <row r="8" spans="2:6" x14ac:dyDescent="0.25">
      <c r="B8" s="4"/>
      <c r="C8" s="13"/>
      <c r="D8" s="1"/>
      <c r="E8" s="1"/>
      <c r="F8" s="1"/>
    </row>
    <row r="9" spans="2:6" x14ac:dyDescent="0.25">
      <c r="B9" s="5" t="s">
        <v>3</v>
      </c>
      <c r="C9" s="14"/>
      <c r="D9" s="14" t="s">
        <v>128</v>
      </c>
      <c r="E9" s="14"/>
      <c r="F9" s="14"/>
    </row>
    <row r="11" spans="2:6" x14ac:dyDescent="0.25">
      <c r="B11" s="15" t="s">
        <v>132</v>
      </c>
      <c r="C11" s="15"/>
    </row>
    <row r="12" spans="2:6" x14ac:dyDescent="0.25">
      <c r="B12" s="17" t="s">
        <v>0</v>
      </c>
      <c r="C12" s="172" t="s">
        <v>29</v>
      </c>
    </row>
    <row r="13" spans="2:6" x14ac:dyDescent="0.25">
      <c r="B13" s="17" t="s">
        <v>143</v>
      </c>
      <c r="C13" s="176">
        <f>'Transmission Allocation'!C14</f>
        <v>8.9512531809866763E-2</v>
      </c>
    </row>
    <row r="14" spans="2:6" x14ac:dyDescent="0.25">
      <c r="B14" s="17" t="s">
        <v>144</v>
      </c>
      <c r="C14" s="176">
        <f>'Transmission Allocation'!D14</f>
        <v>0.1035163430423742</v>
      </c>
    </row>
    <row r="16" spans="2:6" ht="45" x14ac:dyDescent="0.25">
      <c r="B16" s="15" t="s">
        <v>1</v>
      </c>
      <c r="C16" s="15" t="s">
        <v>0</v>
      </c>
      <c r="D16" s="15" t="s">
        <v>136</v>
      </c>
      <c r="E16" s="15" t="s">
        <v>185</v>
      </c>
      <c r="F16" s="15" t="s">
        <v>129</v>
      </c>
    </row>
    <row r="17" spans="2:6" x14ac:dyDescent="0.25">
      <c r="B17" s="15"/>
      <c r="C17" s="15"/>
      <c r="D17" s="15" t="s">
        <v>6</v>
      </c>
      <c r="E17" s="15" t="s">
        <v>7</v>
      </c>
      <c r="F17" s="15" t="s">
        <v>9</v>
      </c>
    </row>
    <row r="18" spans="2:6" x14ac:dyDescent="0.25">
      <c r="B18" s="17">
        <v>2000</v>
      </c>
      <c r="C18" s="17" t="s">
        <v>126</v>
      </c>
      <c r="D18" s="173">
        <f t="array" ref="D18">((INDEX('Fuss - Data Sheet (3)'!$B$83:$BE$83,,MATCH('Summarized Union Data'!$C$12&amp;'Summarized Union Data'!$B18,'Fuss - Data Sheet (3)'!$B$3:$BE$3&amp;'Fuss - Data Sheet (3)'!$B$2:$BE$2,0))) - (INDEX('Fuss - Data Sheet (3)'!$B$83:$BE$83,,MATCH('Summarized Union Data'!$C$12&amp;'Summarized Union Data'!$B18,'Fuss - Data Sheet (3)'!$B$3:$BE$3&amp;'Fuss - Data Sheet (3)'!$B$2:$BE$2,0))*$C$13))</f>
        <v>246342217.78349701</v>
      </c>
      <c r="E18" s="173">
        <f t="array" ref="E18">IFERROR((INDEX('Fuss - Data Sheet (3)'!$B$29:$BE$29,,MATCH('Summarized Union Data'!$C$12&amp;'Summarized Union Data'!$B18,'Fuss - Data Sheet (3)'!$B$3:$BE$3&amp;'Fuss - Data Sheet (3)'!$B$2:$BE$2,0))) -(INDEX('Fuss - Data Sheet (3)'!$B$29:$BE$29,,MATCH('Summarized Union Data'!$C$12&amp;'Summarized Union Data'!$B18,'Fuss - Data Sheet (3)'!$B$3:$BE$3&amp;'Fuss - Data Sheet (3)'!$B$2:$BE$2,0))*$C$14),"-")</f>
        <v>129826912.13218364</v>
      </c>
      <c r="F18" s="173">
        <f t="array" ref="F18">((INDEX('Fuss - Data Sheet (3)'!$B$22:$BE$22,,MATCH('Summarized Union Data'!$C$12&amp;'Summarized Union Data'!$B18,'Fuss - Data Sheet (3)'!$B$3:$BE$3&amp;'Fuss - Data Sheet (3)'!$B$2:$BE$2,0))) -(INDEX('Fuss - Data Sheet (3)'!$B$22:$BE$22,,MATCH('Summarized Union Data'!$C$12&amp;'Summarized Union Data'!$B18,'Fuss - Data Sheet (3)'!$B$3:$BE$3&amp;'Fuss - Data Sheet (3)'!$B$2:$BE$2,0))*$C$14))</f>
        <v>2188.3166066335648</v>
      </c>
    </row>
    <row r="19" spans="2:6" x14ac:dyDescent="0.25">
      <c r="B19" s="17">
        <v>2001</v>
      </c>
      <c r="C19" s="17" t="s">
        <v>126</v>
      </c>
      <c r="D19" s="173">
        <f t="array" ref="D19">((INDEX('Fuss - Data Sheet (3)'!$B$83:$BE$83,,MATCH('Summarized Union Data'!$C$12&amp;'Summarized Union Data'!$B19,'Fuss - Data Sheet (3)'!$B$3:$BE$3&amp;'Fuss - Data Sheet (3)'!$B$2:$BE$2,0))) - (INDEX('Fuss - Data Sheet (3)'!$B$83:$BE$83,,MATCH('Summarized Union Data'!$C$12&amp;'Summarized Union Data'!$B19,'Fuss - Data Sheet (3)'!$B$3:$BE$3&amp;'Fuss - Data Sheet (3)'!$B$2:$BE$2,0))*$C$13))</f>
        <v>251782380.40593305</v>
      </c>
      <c r="E19" s="173">
        <f t="array" ref="E19">IFERROR((INDEX('Fuss - Data Sheet (3)'!$B$29:$BE$29,,MATCH('Summarized Union Data'!$C$12&amp;'Summarized Union Data'!$B19,'Fuss - Data Sheet (3)'!$B$3:$BE$3&amp;'Fuss - Data Sheet (3)'!$B$2:$BE$2,0))) -(INDEX('Fuss - Data Sheet (3)'!$B$29:$BE$29,,MATCH('Summarized Union Data'!$C$12&amp;'Summarized Union Data'!$B19,'Fuss - Data Sheet (3)'!$B$3:$BE$3&amp;'Fuss - Data Sheet (3)'!$B$2:$BE$2,0))*$C$14),"-")</f>
        <v>131023948.97253302</v>
      </c>
      <c r="F19" s="173">
        <f t="array" ref="F19">((INDEX('Fuss - Data Sheet (3)'!$B$22:$BE$22,,MATCH('Summarized Union Data'!$C$12&amp;'Summarized Union Data'!$B19,'Fuss - Data Sheet (3)'!$B$3:$BE$3&amp;'Fuss - Data Sheet (3)'!$B$2:$BE$2,0))) -(INDEX('Fuss - Data Sheet (3)'!$B$22:$BE$22,,MATCH('Summarized Union Data'!$C$12&amp;'Summarized Union Data'!$B19,'Fuss - Data Sheet (3)'!$B$3:$BE$3&amp;'Fuss - Data Sheet (3)'!$B$2:$BE$2,0))*$C$14))</f>
        <v>2128.2522016174034</v>
      </c>
    </row>
    <row r="20" spans="2:6" x14ac:dyDescent="0.25">
      <c r="B20" s="17">
        <v>2002</v>
      </c>
      <c r="C20" s="17" t="s">
        <v>126</v>
      </c>
      <c r="D20" s="173">
        <f t="array" ref="D20">((INDEX('Fuss - Data Sheet (3)'!$B$83:$BE$83,,MATCH('Summarized Union Data'!$C$12&amp;'Summarized Union Data'!$B20,'Fuss - Data Sheet (3)'!$B$3:$BE$3&amp;'Fuss - Data Sheet (3)'!$B$2:$BE$2,0))) - (INDEX('Fuss - Data Sheet (3)'!$B$83:$BE$83,,MATCH('Summarized Union Data'!$C$12&amp;'Summarized Union Data'!$B20,'Fuss - Data Sheet (3)'!$B$3:$BE$3&amp;'Fuss - Data Sheet (3)'!$B$2:$BE$2,0))*$C$13))</f>
        <v>274651549.38819873</v>
      </c>
      <c r="E20" s="173">
        <f t="array" ref="E20">IFERROR((INDEX('Fuss - Data Sheet (3)'!$B$29:$BE$29,,MATCH('Summarized Union Data'!$C$12&amp;'Summarized Union Data'!$B20,'Fuss - Data Sheet (3)'!$B$3:$BE$3&amp;'Fuss - Data Sheet (3)'!$B$2:$BE$2,0))) -(INDEX('Fuss - Data Sheet (3)'!$B$29:$BE$29,,MATCH('Summarized Union Data'!$C$12&amp;'Summarized Union Data'!$B20,'Fuss - Data Sheet (3)'!$B$3:$BE$3&amp;'Fuss - Data Sheet (3)'!$B$2:$BE$2,0))*$C$14),"-")</f>
        <v>135761448.63807124</v>
      </c>
      <c r="F20" s="173">
        <f t="array" ref="F20">((INDEX('Fuss - Data Sheet (3)'!$B$22:$BE$22,,MATCH('Summarized Union Data'!$C$12&amp;'Summarized Union Data'!$B20,'Fuss - Data Sheet (3)'!$B$3:$BE$3&amp;'Fuss - Data Sheet (3)'!$B$2:$BE$2,0))) -(INDEX('Fuss - Data Sheet (3)'!$B$22:$BE$22,,MATCH('Summarized Union Data'!$C$12&amp;'Summarized Union Data'!$B20,'Fuss - Data Sheet (3)'!$B$3:$BE$3&amp;'Fuss - Data Sheet (3)'!$B$2:$BE$2,0))*$C$14))</f>
        <v>1985.711300161141</v>
      </c>
    </row>
    <row r="21" spans="2:6" x14ac:dyDescent="0.25">
      <c r="B21" s="17">
        <v>2003</v>
      </c>
      <c r="C21" s="17" t="s">
        <v>126</v>
      </c>
      <c r="D21" s="173">
        <f t="array" ref="D21">((INDEX('Fuss - Data Sheet (3)'!$B$83:$BE$83,,MATCH('Summarized Union Data'!$C$12&amp;'Summarized Union Data'!$B21,'Fuss - Data Sheet (3)'!$B$3:$BE$3&amp;'Fuss - Data Sheet (3)'!$B$2:$BE$2,0))) - (INDEX('Fuss - Data Sheet (3)'!$B$83:$BE$83,,MATCH('Summarized Union Data'!$C$12&amp;'Summarized Union Data'!$B21,'Fuss - Data Sheet (3)'!$B$3:$BE$3&amp;'Fuss - Data Sheet (3)'!$B$2:$BE$2,0))*$C$13))</f>
        <v>256564040.24179545</v>
      </c>
      <c r="E21" s="173">
        <f t="array" ref="E21">IFERROR((INDEX('Fuss - Data Sheet (3)'!$B$29:$BE$29,,MATCH('Summarized Union Data'!$C$12&amp;'Summarized Union Data'!$B21,'Fuss - Data Sheet (3)'!$B$3:$BE$3&amp;'Fuss - Data Sheet (3)'!$B$2:$BE$2,0))) -(INDEX('Fuss - Data Sheet (3)'!$B$29:$BE$29,,MATCH('Summarized Union Data'!$C$12&amp;'Summarized Union Data'!$B21,'Fuss - Data Sheet (3)'!$B$3:$BE$3&amp;'Fuss - Data Sheet (3)'!$B$2:$BE$2,0))*$C$14),"-")</f>
        <v>134327730.735066</v>
      </c>
      <c r="F21" s="173">
        <f t="array" ref="F21">((INDEX('Fuss - Data Sheet (3)'!$B$22:$BE$22,,MATCH('Summarized Union Data'!$C$12&amp;'Summarized Union Data'!$B21,'Fuss - Data Sheet (3)'!$B$3:$BE$3&amp;'Fuss - Data Sheet (3)'!$B$2:$BE$2,0))) -(INDEX('Fuss - Data Sheet (3)'!$B$22:$BE$22,,MATCH('Summarized Union Data'!$C$12&amp;'Summarized Union Data'!$B21,'Fuss - Data Sheet (3)'!$B$3:$BE$3&amp;'Fuss - Data Sheet (3)'!$B$2:$BE$2,0))*$C$14))</f>
        <v>1962.4027250802428</v>
      </c>
    </row>
    <row r="22" spans="2:6" x14ac:dyDescent="0.25">
      <c r="B22" s="17">
        <v>2004</v>
      </c>
      <c r="C22" s="17" t="s">
        <v>126</v>
      </c>
      <c r="D22" s="173">
        <f t="array" ref="D22">((INDEX('Fuss - Data Sheet (3)'!$B$83:$BE$83,,MATCH('Summarized Union Data'!$C$12&amp;'Summarized Union Data'!$B22,'Fuss - Data Sheet (3)'!$B$3:$BE$3&amp;'Fuss - Data Sheet (3)'!$B$2:$BE$2,0))) - (INDEX('Fuss - Data Sheet (3)'!$B$83:$BE$83,,MATCH('Summarized Union Data'!$C$12&amp;'Summarized Union Data'!$B22,'Fuss - Data Sheet (3)'!$B$3:$BE$3&amp;'Fuss - Data Sheet (3)'!$B$2:$BE$2,0))*$C$13))</f>
        <v>271892154.33889896</v>
      </c>
      <c r="E22" s="173">
        <f t="array" ref="E22">IFERROR((INDEX('Fuss - Data Sheet (3)'!$B$29:$BE$29,,MATCH('Summarized Union Data'!$C$12&amp;'Summarized Union Data'!$B22,'Fuss - Data Sheet (3)'!$B$3:$BE$3&amp;'Fuss - Data Sheet (3)'!$B$2:$BE$2,0))) -(INDEX('Fuss - Data Sheet (3)'!$B$29:$BE$29,,MATCH('Summarized Union Data'!$C$12&amp;'Summarized Union Data'!$B22,'Fuss - Data Sheet (3)'!$B$3:$BE$3&amp;'Fuss - Data Sheet (3)'!$B$2:$BE$2,0))*$C$14),"-")</f>
        <v>126533397.7162903</v>
      </c>
      <c r="F22" s="173">
        <f t="array" ref="F22">((INDEX('Fuss - Data Sheet (3)'!$B$22:$BE$22,,MATCH('Summarized Union Data'!$C$12&amp;'Summarized Union Data'!$B22,'Fuss - Data Sheet (3)'!$B$3:$BE$3&amp;'Fuss - Data Sheet (3)'!$B$2:$BE$2,0))) -(INDEX('Fuss - Data Sheet (3)'!$B$22:$BE$22,,MATCH('Summarized Union Data'!$C$12&amp;'Summarized Union Data'!$B22,'Fuss - Data Sheet (3)'!$B$3:$BE$3&amp;'Fuss - Data Sheet (3)'!$B$2:$BE$2,0))*$C$14))</f>
        <v>1878.1332613262261</v>
      </c>
    </row>
    <row r="23" spans="2:6" x14ac:dyDescent="0.25">
      <c r="B23" s="17">
        <v>2005</v>
      </c>
      <c r="C23" s="17" t="s">
        <v>126</v>
      </c>
      <c r="D23" s="173">
        <f t="array" ref="D23">((INDEX('Fuss - Data Sheet (3)'!$B$83:$BE$83,,MATCH('Summarized Union Data'!$C$12&amp;'Summarized Union Data'!$B23,'Fuss - Data Sheet (3)'!$B$3:$BE$3&amp;'Fuss - Data Sheet (3)'!$B$2:$BE$2,0))) - (INDEX('Fuss - Data Sheet (3)'!$B$83:$BE$83,,MATCH('Summarized Union Data'!$C$12&amp;'Summarized Union Data'!$B23,'Fuss - Data Sheet (3)'!$B$3:$BE$3&amp;'Fuss - Data Sheet (3)'!$B$2:$BE$2,0))*$C$13))</f>
        <v>276338316.95125365</v>
      </c>
      <c r="E23" s="173">
        <f t="array" ref="E23">IFERROR((INDEX('Fuss - Data Sheet (3)'!$B$29:$BE$29,,MATCH('Summarized Union Data'!$C$12&amp;'Summarized Union Data'!$B23,'Fuss - Data Sheet (3)'!$B$3:$BE$3&amp;'Fuss - Data Sheet (3)'!$B$2:$BE$2,0))) -(INDEX('Fuss - Data Sheet (3)'!$B$29:$BE$29,,MATCH('Summarized Union Data'!$C$12&amp;'Summarized Union Data'!$B23,'Fuss - Data Sheet (3)'!$B$3:$BE$3&amp;'Fuss - Data Sheet (3)'!$B$2:$BE$2,0))*$C$14),"-")</f>
        <v>132056490.51973325</v>
      </c>
      <c r="F23" s="173">
        <f t="array" ref="F23">((INDEX('Fuss - Data Sheet (3)'!$B$22:$BE$22,,MATCH('Summarized Union Data'!$C$12&amp;'Summarized Union Data'!$B23,'Fuss - Data Sheet (3)'!$B$3:$BE$3&amp;'Fuss - Data Sheet (3)'!$B$2:$BE$2,0))) -(INDEX('Fuss - Data Sheet (3)'!$B$22:$BE$22,,MATCH('Summarized Union Data'!$C$12&amp;'Summarized Union Data'!$B23,'Fuss - Data Sheet (3)'!$B$3:$BE$3&amp;'Fuss - Data Sheet (3)'!$B$2:$BE$2,0))*$C$14))</f>
        <v>1877.2367776692683</v>
      </c>
    </row>
    <row r="24" spans="2:6" x14ac:dyDescent="0.25">
      <c r="B24" s="17">
        <v>2006</v>
      </c>
      <c r="C24" s="17" t="s">
        <v>126</v>
      </c>
      <c r="D24" s="173">
        <f t="array" ref="D24">((INDEX('Fuss - Data Sheet (3)'!$B$83:$BE$83,,MATCH('Summarized Union Data'!$C$12&amp;'Summarized Union Data'!$B24,'Fuss - Data Sheet (3)'!$B$3:$BE$3&amp;'Fuss - Data Sheet (3)'!$B$2:$BE$2,0))) - (INDEX('Fuss - Data Sheet (3)'!$B$83:$BE$83,,MATCH('Summarized Union Data'!$C$12&amp;'Summarized Union Data'!$B24,'Fuss - Data Sheet (3)'!$B$3:$BE$3&amp;'Fuss - Data Sheet (3)'!$B$2:$BE$2,0))*$C$13))</f>
        <v>282939351.70565873</v>
      </c>
      <c r="E24" s="173">
        <f t="array" ref="E24">IFERROR((INDEX('Fuss - Data Sheet (3)'!$B$29:$BE$29,,MATCH('Summarized Union Data'!$C$12&amp;'Summarized Union Data'!$B24,'Fuss - Data Sheet (3)'!$B$3:$BE$3&amp;'Fuss - Data Sheet (3)'!$B$2:$BE$2,0))) -(INDEX('Fuss - Data Sheet (3)'!$B$29:$BE$29,,MATCH('Summarized Union Data'!$C$12&amp;'Summarized Union Data'!$B24,'Fuss - Data Sheet (3)'!$B$3:$BE$3&amp;'Fuss - Data Sheet (3)'!$B$2:$BE$2,0))*$C$14),"-")</f>
        <v>135406546.30330834</v>
      </c>
      <c r="F24" s="173">
        <f t="array" ref="F24">((INDEX('Fuss - Data Sheet (3)'!$B$22:$BE$22,,MATCH('Summarized Union Data'!$C$12&amp;'Summarized Union Data'!$B24,'Fuss - Data Sheet (3)'!$B$3:$BE$3&amp;'Fuss - Data Sheet (3)'!$B$2:$BE$2,0))) -(INDEX('Fuss - Data Sheet (3)'!$B$22:$BE$22,,MATCH('Summarized Union Data'!$C$12&amp;'Summarized Union Data'!$B24,'Fuss - Data Sheet (3)'!$B$3:$BE$3&amp;'Fuss - Data Sheet (3)'!$B$2:$BE$2,0))*$C$14))</f>
        <v>1881.7191959540564</v>
      </c>
    </row>
    <row r="25" spans="2:6" x14ac:dyDescent="0.25">
      <c r="B25" s="17">
        <v>2007</v>
      </c>
      <c r="C25" s="17" t="s">
        <v>126</v>
      </c>
      <c r="D25" s="173">
        <f t="array" ref="D25">((INDEX('Fuss - Data Sheet (3)'!$B$83:$BE$83,,MATCH('Summarized Union Data'!$C$12&amp;'Summarized Union Data'!$B25,'Fuss - Data Sheet (3)'!$B$3:$BE$3&amp;'Fuss - Data Sheet (3)'!$B$2:$BE$2,0))) - (INDEX('Fuss - Data Sheet (3)'!$B$83:$BE$83,,MATCH('Summarized Union Data'!$C$12&amp;'Summarized Union Data'!$B25,'Fuss - Data Sheet (3)'!$B$3:$BE$3&amp;'Fuss - Data Sheet (3)'!$B$2:$BE$2,0))*$C$13))</f>
        <v>298120321.71361595</v>
      </c>
      <c r="E25" s="173">
        <f t="array" ref="E25">IFERROR((INDEX('Fuss - Data Sheet (3)'!$B$29:$BE$29,,MATCH('Summarized Union Data'!$C$12&amp;'Summarized Union Data'!$B25,'Fuss - Data Sheet (3)'!$B$3:$BE$3&amp;'Fuss - Data Sheet (3)'!$B$2:$BE$2,0))) -(INDEX('Fuss - Data Sheet (3)'!$B$29:$BE$29,,MATCH('Summarized Union Data'!$C$12&amp;'Summarized Union Data'!$B25,'Fuss - Data Sheet (3)'!$B$3:$BE$3&amp;'Fuss - Data Sheet (3)'!$B$2:$BE$2,0))*$C$14),"-")</f>
        <v>147356075.6483565</v>
      </c>
      <c r="F25" s="173">
        <f t="array" ref="F25">((INDEX('Fuss - Data Sheet (3)'!$B$22:$BE$22,,MATCH('Summarized Union Data'!$C$12&amp;'Summarized Union Data'!$B25,'Fuss - Data Sheet (3)'!$B$3:$BE$3&amp;'Fuss - Data Sheet (3)'!$B$2:$BE$2,0))) -(INDEX('Fuss - Data Sheet (3)'!$B$22:$BE$22,,MATCH('Summarized Union Data'!$C$12&amp;'Summarized Union Data'!$B25,'Fuss - Data Sheet (3)'!$B$3:$BE$3&amp;'Fuss - Data Sheet (3)'!$B$2:$BE$2,0))*$C$14))</f>
        <v>1924.7504114880226</v>
      </c>
    </row>
    <row r="26" spans="2:6" x14ac:dyDescent="0.25">
      <c r="B26" s="17">
        <v>2008</v>
      </c>
      <c r="C26" s="17" t="s">
        <v>126</v>
      </c>
      <c r="D26" s="173">
        <f t="array" ref="D26">((INDEX('Fuss - Data Sheet (3)'!$B$83:$BE$83,,MATCH('Summarized Union Data'!$C$12&amp;'Summarized Union Data'!$B26,'Fuss - Data Sheet (3)'!$B$3:$BE$3&amp;'Fuss - Data Sheet (3)'!$B$2:$BE$2,0))) - (INDEX('Fuss - Data Sheet (3)'!$B$83:$BE$83,,MATCH('Summarized Union Data'!$C$12&amp;'Summarized Union Data'!$B26,'Fuss - Data Sheet (3)'!$B$3:$BE$3&amp;'Fuss - Data Sheet (3)'!$B$2:$BE$2,0))*$C$13))</f>
        <v>305118259.19707775</v>
      </c>
      <c r="E26" s="173">
        <f t="array" ref="E26">IFERROR((INDEX('Fuss - Data Sheet (3)'!$B$29:$BE$29,,MATCH('Summarized Union Data'!$C$12&amp;'Summarized Union Data'!$B26,'Fuss - Data Sheet (3)'!$B$3:$BE$3&amp;'Fuss - Data Sheet (3)'!$B$2:$BE$2,0))) -(INDEX('Fuss - Data Sheet (3)'!$B$29:$BE$29,,MATCH('Summarized Union Data'!$C$12&amp;'Summarized Union Data'!$B26,'Fuss - Data Sheet (3)'!$B$3:$BE$3&amp;'Fuss - Data Sheet (3)'!$B$2:$BE$2,0))*$C$14),"-")</f>
        <v>154441240.59065121</v>
      </c>
      <c r="F26" s="173">
        <f t="array" ref="F26">((INDEX('Fuss - Data Sheet (3)'!$B$22:$BE$22,,MATCH('Summarized Union Data'!$C$12&amp;'Summarized Union Data'!$B26,'Fuss - Data Sheet (3)'!$B$3:$BE$3&amp;'Fuss - Data Sheet (3)'!$B$2:$BE$2,0))) -(INDEX('Fuss - Data Sheet (3)'!$B$22:$BE$22,,MATCH('Summarized Union Data'!$C$12&amp;'Summarized Union Data'!$B26,'Fuss - Data Sheet (3)'!$B$3:$BE$3&amp;'Fuss - Data Sheet (3)'!$B$2:$BE$2,0))*$C$14))</f>
        <v>1973.1605289637344</v>
      </c>
    </row>
    <row r="27" spans="2:6" x14ac:dyDescent="0.25">
      <c r="B27" s="17">
        <v>2009</v>
      </c>
      <c r="C27" s="17" t="s">
        <v>126</v>
      </c>
      <c r="D27" s="173">
        <f t="array" ref="D27">((INDEX('Fuss - Data Sheet (3)'!$B$83:$BE$83,,MATCH('Summarized Union Data'!$C$12&amp;'Summarized Union Data'!$B27,'Fuss - Data Sheet (3)'!$B$3:$BE$3&amp;'Fuss - Data Sheet (3)'!$B$2:$BE$2,0))) - (INDEX('Fuss - Data Sheet (3)'!$B$83:$BE$83,,MATCH('Summarized Union Data'!$C$12&amp;'Summarized Union Data'!$B27,'Fuss - Data Sheet (3)'!$B$3:$BE$3&amp;'Fuss - Data Sheet (3)'!$B$2:$BE$2,0))*$C$13))</f>
        <v>305453998.71951044</v>
      </c>
      <c r="E27" s="173">
        <f t="array" ref="E27">IFERROR((INDEX('Fuss - Data Sheet (3)'!$B$29:$BE$29,,MATCH('Summarized Union Data'!$C$12&amp;'Summarized Union Data'!$B27,'Fuss - Data Sheet (3)'!$B$3:$BE$3&amp;'Fuss - Data Sheet (3)'!$B$2:$BE$2,0))) -(INDEX('Fuss - Data Sheet (3)'!$B$29:$BE$29,,MATCH('Summarized Union Data'!$C$12&amp;'Summarized Union Data'!$B27,'Fuss - Data Sheet (3)'!$B$3:$BE$3&amp;'Fuss - Data Sheet (3)'!$B$2:$BE$2,0))*$C$14),"-")</f>
        <v>156943532.66846102</v>
      </c>
      <c r="F27" s="173">
        <f t="array" ref="F27">((INDEX('Fuss - Data Sheet (3)'!$B$22:$BE$22,,MATCH('Summarized Union Data'!$C$12&amp;'Summarized Union Data'!$B27,'Fuss - Data Sheet (3)'!$B$3:$BE$3&amp;'Fuss - Data Sheet (3)'!$B$2:$BE$2,0))) -(INDEX('Fuss - Data Sheet (3)'!$B$22:$BE$22,,MATCH('Summarized Union Data'!$C$12&amp;'Summarized Union Data'!$B27,'Fuss - Data Sheet (3)'!$B$3:$BE$3&amp;'Fuss - Data Sheet (3)'!$B$2:$BE$2,0))*$C$14))</f>
        <v>1957.0238231384972</v>
      </c>
    </row>
    <row r="28" spans="2:6" x14ac:dyDescent="0.25">
      <c r="B28" s="17">
        <v>2010</v>
      </c>
      <c r="C28" s="17" t="s">
        <v>126</v>
      </c>
      <c r="D28" s="173">
        <f t="array" ref="D28">((INDEX('Fuss - Data Sheet (3)'!$B$83:$BE$83,,MATCH('Summarized Union Data'!$C$12&amp;'Summarized Union Data'!$B28,'Fuss - Data Sheet (3)'!$B$3:$BE$3&amp;'Fuss - Data Sheet (3)'!$B$2:$BE$2,0))) - (INDEX('Fuss - Data Sheet (3)'!$B$83:$BE$83,,MATCH('Summarized Union Data'!$C$12&amp;'Summarized Union Data'!$B28,'Fuss - Data Sheet (3)'!$B$3:$BE$3&amp;'Fuss - Data Sheet (3)'!$B$2:$BE$2,0))*$C$13))</f>
        <v>330879812.87050414</v>
      </c>
      <c r="E28" s="173">
        <f t="array" ref="E28">IFERROR((INDEX('Fuss - Data Sheet (3)'!$B$29:$BE$29,,MATCH('Summarized Union Data'!$C$12&amp;'Summarized Union Data'!$B28,'Fuss - Data Sheet (3)'!$B$3:$BE$3&amp;'Fuss - Data Sheet (3)'!$B$2:$BE$2,0))) -(INDEX('Fuss - Data Sheet (3)'!$B$29:$BE$29,,MATCH('Summarized Union Data'!$C$12&amp;'Summarized Union Data'!$B28,'Fuss - Data Sheet (3)'!$B$3:$BE$3&amp;'Fuss - Data Sheet (3)'!$B$2:$BE$2,0))*$C$14),"-")</f>
        <v>164279783.85691276</v>
      </c>
      <c r="F28" s="173">
        <f t="array" ref="F28">((INDEX('Fuss - Data Sheet (3)'!$B$22:$BE$22,,MATCH('Summarized Union Data'!$C$12&amp;'Summarized Union Data'!$B28,'Fuss - Data Sheet (3)'!$B$3:$BE$3&amp;'Fuss - Data Sheet (3)'!$B$2:$BE$2,0))) -(INDEX('Fuss - Data Sheet (3)'!$B$22:$BE$22,,MATCH('Summarized Union Data'!$C$12&amp;'Summarized Union Data'!$B28,'Fuss - Data Sheet (3)'!$B$3:$BE$3&amp;'Fuss - Data Sheet (3)'!$B$2:$BE$2,0))*$C$14))</f>
        <v>1982.1253655333107</v>
      </c>
    </row>
    <row r="29" spans="2:6" x14ac:dyDescent="0.25">
      <c r="B29" s="17">
        <v>2011</v>
      </c>
      <c r="C29" s="17" t="s">
        <v>126</v>
      </c>
      <c r="D29" s="173">
        <f t="array" ref="D29">((INDEX('Fuss - Data Sheet (3)'!$B$83:$BE$83,,MATCH('Summarized Union Data'!$C$12&amp;'Summarized Union Data'!$B29,'Fuss - Data Sheet (3)'!$B$3:$BE$3&amp;'Fuss - Data Sheet (3)'!$B$2:$BE$2,0))) - (INDEX('Fuss - Data Sheet (3)'!$B$83:$BE$83,,MATCH('Summarized Union Data'!$C$12&amp;'Summarized Union Data'!$B29,'Fuss - Data Sheet (3)'!$B$3:$BE$3&amp;'Fuss - Data Sheet (3)'!$B$2:$BE$2,0))*$C$13))</f>
        <v>344501990.09244615</v>
      </c>
      <c r="E29" s="173">
        <f t="array" ref="E29">IFERROR((INDEX('Fuss - Data Sheet (3)'!$B$29:$BE$29,,MATCH('Summarized Union Data'!$C$12&amp;'Summarized Union Data'!$B29,'Fuss - Data Sheet (3)'!$B$3:$BE$3&amp;'Fuss - Data Sheet (3)'!$B$2:$BE$2,0))) -(INDEX('Fuss - Data Sheet (3)'!$B$29:$BE$29,,MATCH('Summarized Union Data'!$C$12&amp;'Summarized Union Data'!$B29,'Fuss - Data Sheet (3)'!$B$3:$BE$3&amp;'Fuss - Data Sheet (3)'!$B$2:$BE$2,0))*$C$14),"-")</f>
        <v>171978533.24132863</v>
      </c>
      <c r="F29" s="173">
        <f t="array" ref="F29">((INDEX('Fuss - Data Sheet (3)'!$B$22:$BE$22,,MATCH('Summarized Union Data'!$C$12&amp;'Summarized Union Data'!$B29,'Fuss - Data Sheet (3)'!$B$3:$BE$3&amp;'Fuss - Data Sheet (3)'!$B$2:$BE$2,0))) -(INDEX('Fuss - Data Sheet (3)'!$B$22:$BE$22,,MATCH('Summarized Union Data'!$C$12&amp;'Summarized Union Data'!$B29,'Fuss - Data Sheet (3)'!$B$3:$BE$3&amp;'Fuss - Data Sheet (3)'!$B$2:$BE$2,0))*$C$14))</f>
        <v>1989.2972347889718</v>
      </c>
    </row>
    <row r="30" spans="2:6" x14ac:dyDescent="0.25">
      <c r="B30" s="17">
        <v>2012</v>
      </c>
      <c r="C30" s="17" t="s">
        <v>126</v>
      </c>
      <c r="D30" s="173">
        <f t="array" ref="D30">((INDEX('Fuss - Data Sheet (3)'!$B$83:$BE$83,,MATCH('Summarized Union Data'!$C$12&amp;'Summarized Union Data'!$B30,'Fuss - Data Sheet (3)'!$B$3:$BE$3&amp;'Fuss - Data Sheet (3)'!$B$2:$BE$2,0))) - (INDEX('Fuss - Data Sheet (3)'!$B$83:$BE$83,,MATCH('Summarized Union Data'!$C$12&amp;'Summarized Union Data'!$B30,'Fuss - Data Sheet (3)'!$B$3:$BE$3&amp;'Fuss - Data Sheet (3)'!$B$2:$BE$2,0))*$C$13))</f>
        <v>346088899.64196646</v>
      </c>
      <c r="E30" s="173">
        <f t="array" ref="E30">IFERROR((INDEX('Fuss - Data Sheet (3)'!$B$29:$BE$29,,MATCH('Summarized Union Data'!$C$12&amp;'Summarized Union Data'!$B30,'Fuss - Data Sheet (3)'!$B$3:$BE$3&amp;'Fuss - Data Sheet (3)'!$B$2:$BE$2,0))) -(INDEX('Fuss - Data Sheet (3)'!$B$29:$BE$29,,MATCH('Summarized Union Data'!$C$12&amp;'Summarized Union Data'!$B30,'Fuss - Data Sheet (3)'!$B$3:$BE$3&amp;'Fuss - Data Sheet (3)'!$B$2:$BE$2,0))*$C$14),"-")</f>
        <v>164431436.66308254</v>
      </c>
      <c r="F30" s="173">
        <f t="array" ref="F30">((INDEX('Fuss - Data Sheet (3)'!$B$22:$BE$22,,MATCH('Summarized Union Data'!$C$12&amp;'Summarized Union Data'!$B30,'Fuss - Data Sheet (3)'!$B$3:$BE$3&amp;'Fuss - Data Sheet (3)'!$B$2:$BE$2,0))) -(INDEX('Fuss - Data Sheet (3)'!$B$22:$BE$22,,MATCH('Summarized Union Data'!$C$12&amp;'Summarized Union Data'!$B30,'Fuss - Data Sheet (3)'!$B$3:$BE$3&amp;'Fuss - Data Sheet (3)'!$B$2:$BE$2,0))*$C$14))</f>
        <v>1957.9203067954547</v>
      </c>
    </row>
    <row r="31" spans="2:6" x14ac:dyDescent="0.25">
      <c r="B31" s="17">
        <v>2013</v>
      </c>
      <c r="C31" s="17" t="s">
        <v>126</v>
      </c>
      <c r="D31" s="173">
        <f t="array" ref="D31">((INDEX('Fuss - Data Sheet (3)'!$B$83:$BE$83,,MATCH('Summarized Union Data'!$C$12&amp;'Summarized Union Data'!$B31,'Fuss - Data Sheet (3)'!$B$3:$BE$3&amp;'Fuss - Data Sheet (3)'!$B$2:$BE$2,0))) - (INDEX('Fuss - Data Sheet (3)'!$B$83:$BE$83,,MATCH('Summarized Union Data'!$C$12&amp;'Summarized Union Data'!$B31,'Fuss - Data Sheet (3)'!$B$3:$BE$3&amp;'Fuss - Data Sheet (3)'!$B$2:$BE$2,0))*$C$13))</f>
        <v>361713957.18107098</v>
      </c>
      <c r="E31" s="173">
        <f t="array" ref="E31">IFERROR((INDEX('Fuss - Data Sheet (3)'!$B$29:$BE$29,,MATCH('Summarized Union Data'!$C$12&amp;'Summarized Union Data'!$B31,'Fuss - Data Sheet (3)'!$B$3:$BE$3&amp;'Fuss - Data Sheet (3)'!$B$2:$BE$2,0))) -(INDEX('Fuss - Data Sheet (3)'!$B$29:$BE$29,,MATCH('Summarized Union Data'!$C$12&amp;'Summarized Union Data'!$B31,'Fuss - Data Sheet (3)'!$B$3:$BE$3&amp;'Fuss - Data Sheet (3)'!$B$2:$BE$2,0))*$C$14),"-")</f>
        <v>180876509.51291394</v>
      </c>
      <c r="F31" s="173">
        <f t="array" ref="F31">((INDEX('Fuss - Data Sheet (3)'!$B$22:$BE$22,,MATCH('Summarized Union Data'!$C$12&amp;'Summarized Union Data'!$B31,'Fuss - Data Sheet (3)'!$B$3:$BE$3&amp;'Fuss - Data Sheet (3)'!$B$2:$BE$2,0))) -(INDEX('Fuss - Data Sheet (3)'!$B$22:$BE$22,,MATCH('Summarized Union Data'!$C$12&amp;'Summarized Union Data'!$B31,'Fuss - Data Sheet (3)'!$B$3:$BE$3&amp;'Fuss - Data Sheet (3)'!$B$2:$BE$2,0))*$C$14))</f>
        <v>1956.1273394815396</v>
      </c>
    </row>
    <row r="32" spans="2:6" x14ac:dyDescent="0.25">
      <c r="B32" s="17">
        <v>2014</v>
      </c>
      <c r="C32" s="17" t="s">
        <v>126</v>
      </c>
      <c r="D32" s="173">
        <f t="array" ref="D32">((INDEX('Fuss - Data Sheet (3)'!$B$83:$BE$83,,MATCH('Summarized Union Data'!$C$12&amp;'Summarized Union Data'!$B32,'Fuss - Data Sheet (3)'!$B$3:$BE$3&amp;'Fuss - Data Sheet (3)'!$B$2:$BE$2,0))) - (INDEX('Fuss - Data Sheet (3)'!$B$83:$BE$83,,MATCH('Summarized Union Data'!$C$12&amp;'Summarized Union Data'!$B32,'Fuss - Data Sheet (3)'!$B$3:$BE$3&amp;'Fuss - Data Sheet (3)'!$B$2:$BE$2,0))*$C$13))</f>
        <v>361401363.16056716</v>
      </c>
      <c r="E32" s="173">
        <f t="array" ref="E32">IFERROR((INDEX('Fuss - Data Sheet (3)'!$B$29:$BE$29,,MATCH('Summarized Union Data'!$C$12&amp;'Summarized Union Data'!$B32,'Fuss - Data Sheet (3)'!$B$3:$BE$3&amp;'Fuss - Data Sheet (3)'!$B$2:$BE$2,0))) -(INDEX('Fuss - Data Sheet (3)'!$B$29:$BE$29,,MATCH('Summarized Union Data'!$C$12&amp;'Summarized Union Data'!$B32,'Fuss - Data Sheet (3)'!$B$3:$BE$3&amp;'Fuss - Data Sheet (3)'!$B$2:$BE$2,0))*$C$14),"-")</f>
        <v>189216112.38210189</v>
      </c>
      <c r="F32" s="173">
        <f t="array" ref="F32">((INDEX('Fuss - Data Sheet (3)'!$B$22:$BE$22,,MATCH('Summarized Union Data'!$C$12&amp;'Summarized Union Data'!$B32,'Fuss - Data Sheet (3)'!$B$3:$BE$3&amp;'Fuss - Data Sheet (3)'!$B$2:$BE$2,0))) -(INDEX('Fuss - Data Sheet (3)'!$B$22:$BE$22,,MATCH('Summarized Union Data'!$C$12&amp;'Summarized Union Data'!$B32,'Fuss - Data Sheet (3)'!$B$3:$BE$3&amp;'Fuss - Data Sheet (3)'!$B$2:$BE$2,0))*$C$14))</f>
        <v>1991.0902021028869</v>
      </c>
    </row>
    <row r="33" spans="2:6" x14ac:dyDescent="0.25">
      <c r="B33" s="17">
        <v>2015</v>
      </c>
      <c r="C33" s="17" t="s">
        <v>126</v>
      </c>
      <c r="D33" s="173">
        <f t="array" ref="D33">((INDEX('Fuss - Data Sheet (3)'!$B$83:$BE$83,,MATCH('Summarized Union Data'!$C$12&amp;'Summarized Union Data'!$B33,'Fuss - Data Sheet (3)'!$B$3:$BE$3&amp;'Fuss - Data Sheet (3)'!$B$2:$BE$2,0))) - (INDEX('Fuss - Data Sheet (3)'!$B$83:$BE$83,,MATCH('Summarized Union Data'!$C$12&amp;'Summarized Union Data'!$B33,'Fuss - Data Sheet (3)'!$B$3:$BE$3&amp;'Fuss - Data Sheet (3)'!$B$2:$BE$2,0))*$C$13))</f>
        <v>363347948.9480589</v>
      </c>
      <c r="E33" s="173">
        <f t="array" ref="E33">IFERROR((INDEX('Fuss - Data Sheet (3)'!$B$29:$BE$29,,MATCH('Summarized Union Data'!$C$12&amp;'Summarized Union Data'!$B33,'Fuss - Data Sheet (3)'!$B$3:$BE$3&amp;'Fuss - Data Sheet (3)'!$B$2:$BE$2,0))) -(INDEX('Fuss - Data Sheet (3)'!$B$29:$BE$29,,MATCH('Summarized Union Data'!$C$12&amp;'Summarized Union Data'!$B33,'Fuss - Data Sheet (3)'!$B$3:$BE$3&amp;'Fuss - Data Sheet (3)'!$B$2:$BE$2,0))*$C$14),"-")</f>
        <v>188408807.3334038</v>
      </c>
      <c r="F33" s="173">
        <f t="array" ref="F33">((INDEX('Fuss - Data Sheet (3)'!$B$22:$BE$22,,MATCH('Summarized Union Data'!$C$12&amp;'Summarized Union Data'!$B33,'Fuss - Data Sheet (3)'!$B$3:$BE$3&amp;'Fuss - Data Sheet (3)'!$B$2:$BE$2,0))) -(INDEX('Fuss - Data Sheet (3)'!$B$22:$BE$22,,MATCH('Summarized Union Data'!$C$12&amp;'Summarized Union Data'!$B33,'Fuss - Data Sheet (3)'!$B$3:$BE$3&amp;'Fuss - Data Sheet (3)'!$B$2:$BE$2,0))*$C$14))</f>
        <v>2020.6741627824886</v>
      </c>
    </row>
    <row r="34" spans="2:6" x14ac:dyDescent="0.25">
      <c r="B34" s="17">
        <v>2016</v>
      </c>
      <c r="C34" s="17" t="s">
        <v>126</v>
      </c>
      <c r="D34" s="173">
        <f t="array" ref="D34">((INDEX('Fuss - Data Sheet (3)'!$B$83:$BE$83,,MATCH('Summarized Union Data'!$C$12&amp;'Summarized Union Data'!$B34,'Fuss - Data Sheet (3)'!$B$3:$BE$3&amp;'Fuss - Data Sheet (3)'!$B$2:$BE$2,0))) - (INDEX('Fuss - Data Sheet (3)'!$B$83:$BE$83,,MATCH('Summarized Union Data'!$C$12&amp;'Summarized Union Data'!$B34,'Fuss - Data Sheet (3)'!$B$3:$BE$3&amp;'Fuss - Data Sheet (3)'!$B$2:$BE$2,0))*$C$13))</f>
        <v>377392959.28169084</v>
      </c>
      <c r="E34" s="173">
        <f t="array" ref="E34">IFERROR((INDEX('Fuss - Data Sheet (3)'!$B$29:$BE$29,,MATCH('Summarized Union Data'!$C$12&amp;'Summarized Union Data'!$B34,'Fuss - Data Sheet (3)'!$B$3:$BE$3&amp;'Fuss - Data Sheet (3)'!$B$2:$BE$2,0))) -(INDEX('Fuss - Data Sheet (3)'!$B$29:$BE$29,,MATCH('Summarized Union Data'!$C$12&amp;'Summarized Union Data'!$B34,'Fuss - Data Sheet (3)'!$B$3:$BE$3&amp;'Fuss - Data Sheet (3)'!$B$2:$BE$2,0))*$C$14),"-")</f>
        <v>188048849.42249486</v>
      </c>
      <c r="F34" s="173">
        <f t="array" ref="F34">((INDEX('Fuss - Data Sheet (3)'!$B$22:$BE$22,,MATCH('Summarized Union Data'!$C$12&amp;'Summarized Union Data'!$B34,'Fuss - Data Sheet (3)'!$B$3:$BE$3&amp;'Fuss - Data Sheet (3)'!$B$2:$BE$2,0))) -(INDEX('Fuss - Data Sheet (3)'!$B$22:$BE$22,,MATCH('Summarized Union Data'!$C$12&amp;'Summarized Union Data'!$B34,'Fuss - Data Sheet (3)'!$B$3:$BE$3&amp;'Fuss - Data Sheet (3)'!$B$2:$BE$2,0))*$C$14))</f>
        <v>2036.8108686077258</v>
      </c>
    </row>
  </sheetData>
  <pageMargins left="0.7" right="0.7" top="0.75" bottom="0.75" header="0.3" footer="0.3"/>
  <pageSetup scale="8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B2:G14"/>
  <sheetViews>
    <sheetView showGridLines="0" view="pageBreakPreview" zoomScale="60" zoomScaleNormal="75" workbookViewId="0">
      <selection activeCell="C26" sqref="C26"/>
    </sheetView>
  </sheetViews>
  <sheetFormatPr defaultRowHeight="15" x14ac:dyDescent="0.25"/>
  <cols>
    <col min="2" max="2" width="23.7109375" customWidth="1"/>
    <col min="3" max="3" width="20.28515625" customWidth="1"/>
    <col min="4" max="4" width="20.85546875" customWidth="1"/>
    <col min="5" max="5" width="8.42578125" customWidth="1"/>
    <col min="6" max="7" width="20.85546875" customWidth="1"/>
  </cols>
  <sheetData>
    <row r="2" spans="2:7" ht="21" x14ac:dyDescent="0.35">
      <c r="B2" s="7" t="str">
        <f ca="1">MID(CELL("filename",A6),FIND("]",CELL("filename",A6))+1,256)</f>
        <v>Transmission Allocation</v>
      </c>
      <c r="C2" s="7"/>
      <c r="D2" s="7"/>
      <c r="E2" s="7"/>
      <c r="F2" s="7"/>
      <c r="G2" s="7"/>
    </row>
    <row r="4" spans="2:7" x14ac:dyDescent="0.25">
      <c r="B4" s="8" t="s">
        <v>2</v>
      </c>
      <c r="C4" s="2"/>
      <c r="D4" s="9"/>
    </row>
    <row r="5" spans="2:7" x14ac:dyDescent="0.25">
      <c r="B5" s="10" t="s">
        <v>140</v>
      </c>
      <c r="C5" s="6"/>
      <c r="D5" s="11"/>
    </row>
    <row r="7" spans="2:7" ht="15.75" x14ac:dyDescent="0.25">
      <c r="B7" s="3" t="s">
        <v>4</v>
      </c>
      <c r="C7" s="12"/>
      <c r="D7" s="12"/>
      <c r="E7" s="12"/>
      <c r="F7" s="12"/>
      <c r="G7" s="12"/>
    </row>
    <row r="8" spans="2:7" x14ac:dyDescent="0.25">
      <c r="B8" s="4"/>
      <c r="C8" s="13"/>
      <c r="D8" s="1"/>
      <c r="E8" s="1"/>
      <c r="F8" s="1"/>
      <c r="G8" s="1"/>
    </row>
    <row r="9" spans="2:7" x14ac:dyDescent="0.25">
      <c r="B9" s="5" t="s">
        <v>3</v>
      </c>
      <c r="C9" s="14"/>
      <c r="D9" s="6" t="s">
        <v>183</v>
      </c>
      <c r="E9" s="14"/>
      <c r="F9" s="198"/>
      <c r="G9" s="198"/>
    </row>
    <row r="12" spans="2:7" ht="30" x14ac:dyDescent="0.25">
      <c r="B12" s="15" t="s">
        <v>0</v>
      </c>
      <c r="C12" s="15" t="s">
        <v>141</v>
      </c>
      <c r="D12" s="15" t="s">
        <v>142</v>
      </c>
    </row>
    <row r="13" spans="2:7" x14ac:dyDescent="0.25">
      <c r="B13" s="15"/>
      <c r="C13" s="15" t="s">
        <v>6</v>
      </c>
      <c r="D13" s="15" t="s">
        <v>7</v>
      </c>
    </row>
    <row r="14" spans="2:7" x14ac:dyDescent="0.25">
      <c r="B14" s="17" t="s">
        <v>126</v>
      </c>
      <c r="C14" s="175">
        <f>AVERAGE('D-P O&amp;M (valued)'!V34,'D-P O&amp;M (valued)'!L34)</f>
        <v>8.9512531809866763E-2</v>
      </c>
      <c r="D14" s="175">
        <f>AVERAGE('D-P O&amp;M (valued)'!L53,'D-P O&amp;M (valued)'!V53)</f>
        <v>0.1035163430423742</v>
      </c>
    </row>
  </sheetData>
  <pageMargins left="0.7" right="0.7" top="1.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Labor--&gt;</vt:lpstr>
      <vt:lpstr>Labor Calculation</vt:lpstr>
      <vt:lpstr>Materials--&gt;</vt:lpstr>
      <vt:lpstr>Materials Calculation</vt:lpstr>
      <vt:lpstr>GDP Price Index Data--&gt;</vt:lpstr>
      <vt:lpstr>Canadian GDP Price Index</vt:lpstr>
      <vt:lpstr>Company Data--&gt;</vt:lpstr>
      <vt:lpstr>Summarized Union Data</vt:lpstr>
      <vt:lpstr>Transmission Allocation</vt:lpstr>
      <vt:lpstr>Fuss - Data Sheet (3)</vt:lpstr>
      <vt:lpstr>D-P O&amp;M (valued)</vt:lpstr>
      <vt:lpstr>'Transmission Allocation'!Print_Area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2018-03-16T13:56:46Z</dcterms:created>
  <dcterms:modified xsi:type="dcterms:W3CDTF">2018-03-23T15:22:15Z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{686A541B-20AC-47BE-B321-206F19605BD8}</vt:lpwstr>
  </property>
  <property fmtid="{D5CDD505-2E9C-101B-9397-08002B2CF9AE}" pid="3" name="_AdHocReviewCycleID">
    <vt:i4>-325295508</vt:i4>
  </property>
  <property fmtid="{D5CDD505-2E9C-101B-9397-08002B2CF9AE}" pid="4" name="_NewReviewCycle">
    <vt:lpwstr/>
  </property>
  <property fmtid="{D5CDD505-2E9C-101B-9397-08002B2CF9AE}" pid="6" name="_PreviousAdHocReviewCycleID">
    <vt:i4>-325295508</vt:i4>
  </property>
</Properties>
</file>