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22656" windowHeight="9060"/>
  </bookViews>
  <sheets>
    <sheet name="Foregone Rev" sheetId="1" r:id="rId1"/>
  </sheets>
  <externalReferences>
    <externalReference r:id="rId2"/>
  </externalReferences>
  <definedNames>
    <definedName name="_xlnm.Print_Area" localSheetId="0">'Foregone Rev'!$B$46:$H$68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60" i="1"/>
  <c r="D61" i="1"/>
  <c r="D62" i="1"/>
  <c r="D63" i="1"/>
  <c r="D58" i="1"/>
  <c r="C54" i="1" l="1"/>
  <c r="F33" i="1"/>
  <c r="C33" i="1"/>
  <c r="J33" i="1" s="1"/>
  <c r="F32" i="1"/>
  <c r="C32" i="1"/>
  <c r="D32" i="1" s="1"/>
  <c r="F31" i="1"/>
  <c r="G31" i="1" s="1"/>
  <c r="C31" i="1"/>
  <c r="D31" i="1" s="1"/>
  <c r="F30" i="1"/>
  <c r="C30" i="1"/>
  <c r="F29" i="1"/>
  <c r="G29" i="1" s="1"/>
  <c r="C29" i="1"/>
  <c r="J29" i="1" s="1"/>
  <c r="F28" i="1"/>
  <c r="F34" i="1" s="1"/>
  <c r="C28" i="1"/>
  <c r="D28" i="1" s="1"/>
  <c r="F24" i="1"/>
  <c r="G35" i="1" s="1"/>
  <c r="C24" i="1"/>
  <c r="C23" i="1"/>
  <c r="F23" i="1" s="1"/>
  <c r="C21" i="1"/>
  <c r="F20" i="1" s="1"/>
  <c r="C17" i="1"/>
  <c r="F15" i="1" s="1"/>
  <c r="D16" i="1"/>
  <c r="D15" i="1"/>
  <c r="C13" i="1"/>
  <c r="G30" i="1" l="1"/>
  <c r="J31" i="1"/>
  <c r="J30" i="1"/>
  <c r="J28" i="1"/>
  <c r="J32" i="1"/>
  <c r="D48" i="1"/>
  <c r="D52" i="1"/>
  <c r="D35" i="1"/>
  <c r="F25" i="1"/>
  <c r="C34" i="1"/>
  <c r="D30" i="1"/>
  <c r="G33" i="1"/>
  <c r="D17" i="1"/>
  <c r="G28" i="1"/>
  <c r="D29" i="1"/>
  <c r="G32" i="1"/>
  <c r="D33" i="1"/>
  <c r="D51" i="1"/>
  <c r="D64" i="1" l="1"/>
  <c r="D49" i="1"/>
  <c r="D50" i="1"/>
  <c r="G34" i="1"/>
  <c r="D34" i="1"/>
  <c r="E30" i="1" s="1"/>
  <c r="D40" i="1" s="1"/>
  <c r="E50" i="1" s="1"/>
  <c r="D53" i="1"/>
  <c r="J35" i="1"/>
  <c r="H32" i="1"/>
  <c r="G42" i="1" s="1"/>
  <c r="E62" i="1" s="1"/>
  <c r="F62" i="1" s="1"/>
  <c r="G62" i="1" s="1"/>
  <c r="H33" i="1"/>
  <c r="G43" i="1" s="1"/>
  <c r="E63" i="1" s="1"/>
  <c r="F63" i="1" s="1"/>
  <c r="G63" i="1" s="1"/>
  <c r="D36" i="1" l="1"/>
  <c r="J34" i="1"/>
  <c r="E28" i="1"/>
  <c r="E32" i="1"/>
  <c r="D42" i="1" s="1"/>
  <c r="E52" i="1" s="1"/>
  <c r="F52" i="1" s="1"/>
  <c r="G52" i="1" s="1"/>
  <c r="E31" i="1"/>
  <c r="D41" i="1" s="1"/>
  <c r="E51" i="1" s="1"/>
  <c r="F51" i="1" s="1"/>
  <c r="G51" i="1" s="1"/>
  <c r="F50" i="1"/>
  <c r="G50" i="1" s="1"/>
  <c r="G36" i="1"/>
  <c r="H29" i="1"/>
  <c r="G39" i="1" s="1"/>
  <c r="E59" i="1" s="1"/>
  <c r="F59" i="1" s="1"/>
  <c r="G59" i="1" s="1"/>
  <c r="H30" i="1"/>
  <c r="G40" i="1" s="1"/>
  <c r="E60" i="1" s="1"/>
  <c r="F60" i="1" s="1"/>
  <c r="G60" i="1" s="1"/>
  <c r="H31" i="1"/>
  <c r="G41" i="1" s="1"/>
  <c r="E61" i="1" s="1"/>
  <c r="F61" i="1" s="1"/>
  <c r="G61" i="1" s="1"/>
  <c r="D54" i="1"/>
  <c r="E33" i="1"/>
  <c r="D43" i="1" s="1"/>
  <c r="E53" i="1" s="1"/>
  <c r="F53" i="1" s="1"/>
  <c r="G53" i="1" s="1"/>
  <c r="H28" i="1"/>
  <c r="E29" i="1"/>
  <c r="D39" i="1" s="1"/>
  <c r="E49" i="1" s="1"/>
  <c r="F49" i="1" s="1"/>
  <c r="G49" i="1" s="1"/>
  <c r="J36" i="1" l="1"/>
  <c r="H34" i="1"/>
  <c r="G38" i="1"/>
  <c r="E34" i="1"/>
  <c r="D38" i="1"/>
  <c r="J37" i="1"/>
  <c r="K36" i="1"/>
  <c r="E48" i="1" l="1"/>
  <c r="D44" i="1"/>
  <c r="E58" i="1"/>
  <c r="G44" i="1"/>
  <c r="J44" i="1" l="1"/>
  <c r="E54" i="1"/>
  <c r="F54" i="1" s="1"/>
  <c r="F48" i="1"/>
  <c r="G48" i="1" s="1"/>
  <c r="E64" i="1"/>
  <c r="F58" i="1"/>
  <c r="G58" i="1" l="1"/>
  <c r="F64" i="1"/>
</calcChain>
</file>

<file path=xl/sharedStrings.xml><?xml version="1.0" encoding="utf-8"?>
<sst xmlns="http://schemas.openxmlformats.org/spreadsheetml/2006/main" count="82" uniqueCount="62">
  <si>
    <t>Foregone Revcenue Requirement RR Calculation</t>
  </si>
  <si>
    <t>Proposed Implementation Date May 1, 2018</t>
  </si>
  <si>
    <t>4 months of Foregone Revenue to be collected over a 2 year time frame, implementation May 1, 2018 Expiry date April 30, 2020</t>
  </si>
  <si>
    <t>ICM Rate Rider Revenues</t>
  </si>
  <si>
    <t xml:space="preserve"> </t>
  </si>
  <si>
    <t>Avg Fixed ICM Revenues 2015</t>
  </si>
  <si>
    <t>Avg Vol ICM Revenues 2015</t>
  </si>
  <si>
    <t>Year over Year Increase</t>
  </si>
  <si>
    <t>Avg Fixed ICM Revenues 2016</t>
  </si>
  <si>
    <t>Avg Vol ICM Revenues 2016</t>
  </si>
  <si>
    <t>Avg Fixed ICM Revenues 2017</t>
  </si>
  <si>
    <t>2% Increase</t>
  </si>
  <si>
    <t>Avg Vol ICM Revenues 2017</t>
  </si>
  <si>
    <t xml:space="preserve">over 2016 </t>
  </si>
  <si>
    <t>Est Rev Jan - Apr</t>
  </si>
  <si>
    <t>Est ICM Offset</t>
  </si>
  <si>
    <t>Est Fixed ICM Revenues 2018</t>
  </si>
  <si>
    <t>Applied avg growth</t>
  </si>
  <si>
    <t>Est Vol ICM Revenues 2018</t>
  </si>
  <si>
    <t>of .77%</t>
  </si>
  <si>
    <t>Fixed Revenues</t>
  </si>
  <si>
    <t xml:space="preserve">Foregone Rev Est Fixed </t>
  </si>
  <si>
    <t>Volumetric Revenues</t>
  </si>
  <si>
    <t xml:space="preserve">Foregone Rev Est Volumetric </t>
  </si>
  <si>
    <t>Check</t>
  </si>
  <si>
    <t>Res</t>
  </si>
  <si>
    <t>GS&lt;50</t>
  </si>
  <si>
    <t>GS&gt;50</t>
  </si>
  <si>
    <t>Street Light</t>
  </si>
  <si>
    <t>Sentinel</t>
  </si>
  <si>
    <t>USL</t>
  </si>
  <si>
    <t>Off Set with ICM Jan - April 30, 2018</t>
  </si>
  <si>
    <t>Total Foregone Rev</t>
  </si>
  <si>
    <t>ICM OffSet Breakdown</t>
  </si>
  <si>
    <t>OffSet Breakdown</t>
  </si>
  <si>
    <t xml:space="preserve">Rate Class 
</t>
  </si>
  <si>
    <t>Fixed</t>
  </si>
  <si>
    <t>Customers and or Connections</t>
  </si>
  <si>
    <t>Foregone Rev $ Fixed</t>
  </si>
  <si>
    <t>ICM Adjustment</t>
  </si>
  <si>
    <t>Total Foregone Reveue Fixed</t>
  </si>
  <si>
    <t>Fixed Rate Rider</t>
  </si>
  <si>
    <t>RESIDENTIAL</t>
  </si>
  <si>
    <t>GS &lt; 50 KW</t>
  </si>
  <si>
    <t>GS &gt; 50 KW TO 4,999 KW</t>
  </si>
  <si>
    <t>STREET LIGHTING</t>
  </si>
  <si>
    <t>SENTINEL</t>
  </si>
  <si>
    <t/>
  </si>
  <si>
    <t>Volumetric</t>
  </si>
  <si>
    <t>kWh/kW</t>
  </si>
  <si>
    <t>Forgone Rev $ Volumetric</t>
  </si>
  <si>
    <t>Total Foregone Reveue Vol</t>
  </si>
  <si>
    <t>Vol Rate Rider</t>
  </si>
  <si>
    <t>RESIDENTIAL (kWh)</t>
  </si>
  <si>
    <t>GS &lt; 50 KW (kWh)</t>
  </si>
  <si>
    <t>GS &gt; 50 KW TO 4,999 (KW)</t>
  </si>
  <si>
    <t>STREET LIGHTING (kW)</t>
  </si>
  <si>
    <t>SENTINEL (kW)</t>
  </si>
  <si>
    <t>USL (kWh)</t>
  </si>
  <si>
    <t>Step 1</t>
  </si>
  <si>
    <t>Step 2</t>
  </si>
  <si>
    <t>Step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</si>
</sst>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64" fontId="4" fillId="0" borderId="0" xfId="2" applyNumberFormat="1" applyFont="1"/>
    <xf numFmtId="0" fontId="3" fillId="0" borderId="0" xfId="0" applyFont="1" applyAlignment="1">
      <alignment horizontal="right"/>
    </xf>
    <xf numFmtId="164" fontId="4" fillId="0" borderId="1" xfId="2" applyNumberFormat="1" applyFont="1" applyBorder="1"/>
    <xf numFmtId="165" fontId="4" fillId="0" borderId="0" xfId="1" applyNumberFormat="1" applyFont="1"/>
    <xf numFmtId="164" fontId="4" fillId="0" borderId="0" xfId="0" applyNumberFormat="1" applyFont="1"/>
    <xf numFmtId="10" fontId="4" fillId="0" borderId="0" xfId="3" applyNumberFormat="1" applyFont="1"/>
    <xf numFmtId="44" fontId="4" fillId="0" borderId="0" xfId="0" applyNumberFormat="1" applyFont="1"/>
    <xf numFmtId="9" fontId="4" fillId="0" borderId="0" xfId="3" applyFont="1"/>
    <xf numFmtId="164" fontId="4" fillId="0" borderId="1" xfId="0" applyNumberFormat="1" applyFont="1" applyBorder="1"/>
    <xf numFmtId="10" fontId="0" fillId="0" borderId="0" xfId="3" applyNumberFormat="1" applyFont="1"/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/>
    <xf numFmtId="165" fontId="4" fillId="0" borderId="0" xfId="0" applyNumberFormat="1" applyFont="1"/>
    <xf numFmtId="166" fontId="4" fillId="0" borderId="0" xfId="3" applyNumberFormat="1" applyFont="1"/>
    <xf numFmtId="165" fontId="4" fillId="0" borderId="2" xfId="1" applyNumberFormat="1" applyFont="1" applyBorder="1"/>
    <xf numFmtId="165" fontId="4" fillId="0" borderId="2" xfId="0" applyNumberFormat="1" applyFont="1" applyBorder="1"/>
    <xf numFmtId="166" fontId="4" fillId="0" borderId="2" xfId="3" applyNumberFormat="1" applyFont="1" applyBorder="1"/>
    <xf numFmtId="9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5" fontId="4" fillId="0" borderId="1" xfId="0" applyNumberFormat="1" applyFont="1" applyBorder="1"/>
    <xf numFmtId="165" fontId="0" fillId="0" borderId="0" xfId="3" applyNumberFormat="1" applyFont="1"/>
    <xf numFmtId="2" fontId="4" fillId="0" borderId="0" xfId="0" applyNumberFormat="1" applyFont="1"/>
    <xf numFmtId="165" fontId="0" fillId="0" borderId="2" xfId="3" applyNumberFormat="1" applyFont="1" applyBorder="1"/>
    <xf numFmtId="164" fontId="0" fillId="0" borderId="2" xfId="0" applyNumberFormat="1" applyBorder="1"/>
    <xf numFmtId="43" fontId="0" fillId="0" borderId="0" xfId="0" applyNumberFormat="1"/>
    <xf numFmtId="165" fontId="0" fillId="0" borderId="0" xfId="0" applyNumberFormat="1" applyBorder="1"/>
    <xf numFmtId="167" fontId="4" fillId="0" borderId="0" xfId="0" applyNumberFormat="1" applyFont="1"/>
    <xf numFmtId="43" fontId="0" fillId="0" borderId="2" xfId="0" applyNumberFormat="1" applyBorder="1"/>
    <xf numFmtId="165" fontId="0" fillId="0" borderId="2" xfId="0" applyNumberFormat="1" applyBorder="1"/>
    <xf numFmtId="0" fontId="2" fillId="0" borderId="0" xfId="0" applyFont="1"/>
    <xf numFmtId="9" fontId="0" fillId="0" borderId="0" xfId="0" applyNumberFormat="1"/>
    <xf numFmtId="164" fontId="4" fillId="3" borderId="2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_Rev_Reqt_Work_Form_V7%20(1)%20T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Data_Input_Sheet"/>
      <sheetName val="4. Rate_Base"/>
      <sheetName val="5. Utility Income"/>
      <sheetName val="6. Taxes_PILs"/>
      <sheetName val="7. Cost_of_Capital"/>
      <sheetName val="8. Rev_Def_Suff"/>
      <sheetName val="9. Rev_Reqt"/>
      <sheetName val="10. Load Forecast"/>
      <sheetName val="11. Cost_Allocation"/>
      <sheetName val="12. Res_Rate_Design"/>
      <sheetName val="13. Rate Design"/>
      <sheetName val="14. Tracking_Shee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O28">
            <v>8168886.3129463987</v>
          </cell>
          <cell r="AK28">
            <v>6527395.2899999991</v>
          </cell>
          <cell r="AM28">
            <v>1641622.6865000001</v>
          </cell>
        </row>
        <row r="29">
          <cell r="AK29">
            <v>523704.47000000003</v>
          </cell>
          <cell r="AM29">
            <v>320463.67320000002</v>
          </cell>
        </row>
        <row r="30">
          <cell r="AK30">
            <v>201946.5</v>
          </cell>
          <cell r="AM30">
            <v>807679.63219999999</v>
          </cell>
        </row>
        <row r="31">
          <cell r="AK31">
            <v>26661.600000000002</v>
          </cell>
          <cell r="AM31">
            <v>17994.9506</v>
          </cell>
        </row>
        <row r="32">
          <cell r="AK32">
            <v>150580.22000000003</v>
          </cell>
          <cell r="AM32">
            <v>46338.8701</v>
          </cell>
        </row>
        <row r="33">
          <cell r="AK33">
            <v>11624.76</v>
          </cell>
          <cell r="AM33">
            <v>10188.4318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3"/>
  <sheetViews>
    <sheetView tabSelected="1" topLeftCell="A29" workbookViewId="0">
      <selection activeCell="B57" sqref="B57:G64"/>
    </sheetView>
  </sheetViews>
  <sheetFormatPr defaultRowHeight="14.4" x14ac:dyDescent="0.3"/>
  <cols>
    <col min="2" max="2" width="26.5546875" customWidth="1"/>
    <col min="3" max="3" width="18.44140625" customWidth="1"/>
    <col min="4" max="4" width="13.88671875" customWidth="1"/>
    <col min="5" max="5" width="12.77734375" customWidth="1"/>
    <col min="6" max="6" width="16.88671875" customWidth="1"/>
    <col min="7" max="7" width="16.109375" customWidth="1"/>
    <col min="8" max="8" width="13.109375" customWidth="1"/>
    <col min="9" max="9" width="11.44140625" customWidth="1"/>
    <col min="10" max="10" width="11.6640625" customWidth="1"/>
    <col min="11" max="11" width="11.44140625" customWidth="1"/>
    <col min="12" max="12" width="11" bestFit="1" customWidth="1"/>
    <col min="22" max="22" width="14.6640625" customWidth="1"/>
    <col min="23" max="23" width="15.6640625" customWidth="1"/>
  </cols>
  <sheetData>
    <row r="2" spans="1:28" x14ac:dyDescent="0.3">
      <c r="B2" s="1" t="s">
        <v>0</v>
      </c>
    </row>
    <row r="4" spans="1:28" x14ac:dyDescent="0.3">
      <c r="B4" s="2" t="s">
        <v>1</v>
      </c>
      <c r="C4" s="2"/>
      <c r="D4" s="2"/>
      <c r="E4" s="2"/>
      <c r="F4" s="1"/>
    </row>
    <row r="5" spans="1:28" x14ac:dyDescent="0.3">
      <c r="B5" s="2"/>
      <c r="C5" s="2"/>
      <c r="D5" s="2"/>
      <c r="E5" s="2"/>
    </row>
    <row r="6" spans="1:28" x14ac:dyDescent="0.3">
      <c r="B6" s="2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3">
      <c r="A8" s="1" t="s">
        <v>59</v>
      </c>
      <c r="B8" s="3" t="s">
        <v>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3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B10" s="1">
        <v>2015</v>
      </c>
      <c r="F10" s="2" t="s">
        <v>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B11" s="2" t="s">
        <v>5</v>
      </c>
      <c r="C11" s="4">
        <v>39592</v>
      </c>
      <c r="D11" s="2"/>
      <c r="E11" s="2"/>
      <c r="F11" s="2"/>
      <c r="G11" s="1"/>
      <c r="H11" s="1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2"/>
      <c r="W11" s="2"/>
      <c r="X11" s="2"/>
      <c r="Y11" s="2"/>
      <c r="Z11" s="2"/>
      <c r="AA11" s="2"/>
      <c r="AB11" s="2"/>
    </row>
    <row r="12" spans="1:28" x14ac:dyDescent="0.3">
      <c r="B12" s="2" t="s">
        <v>6</v>
      </c>
      <c r="C12" s="6">
        <v>32456</v>
      </c>
      <c r="D12" s="2"/>
      <c r="E12" s="2"/>
      <c r="F12" s="2"/>
      <c r="G12" s="2"/>
      <c r="H12" s="2"/>
      <c r="I12" s="2"/>
      <c r="J12" s="4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"/>
      <c r="X12" s="2"/>
      <c r="Y12" s="2"/>
      <c r="Z12" s="2"/>
      <c r="AA12" s="2"/>
      <c r="AB12" s="2"/>
    </row>
    <row r="13" spans="1:28" x14ac:dyDescent="0.3">
      <c r="B13" s="2"/>
      <c r="C13" s="8">
        <f>SUM(C11:C12)</f>
        <v>72048</v>
      </c>
      <c r="D13" s="2"/>
      <c r="E13" s="2"/>
      <c r="F13" s="2"/>
      <c r="G13" s="2"/>
      <c r="H13" s="9" t="s">
        <v>4</v>
      </c>
      <c r="I13" s="2"/>
      <c r="J13" s="4"/>
      <c r="AA13" s="2"/>
      <c r="AB13" s="2"/>
    </row>
    <row r="14" spans="1:28" x14ac:dyDescent="0.3">
      <c r="B14" s="1">
        <v>2016</v>
      </c>
      <c r="C14" s="2"/>
      <c r="D14" s="2"/>
      <c r="E14" s="2"/>
      <c r="F14" s="1" t="s">
        <v>7</v>
      </c>
      <c r="G14" s="2"/>
      <c r="H14" s="2"/>
      <c r="I14" s="2"/>
      <c r="J14" s="4"/>
      <c r="AA14" s="2"/>
      <c r="AB14" s="2"/>
    </row>
    <row r="15" spans="1:28" x14ac:dyDescent="0.3">
      <c r="B15" s="2" t="s">
        <v>8</v>
      </c>
      <c r="C15" s="4">
        <v>40461</v>
      </c>
      <c r="D15" s="10">
        <f>C15*1.02</f>
        <v>41270.22</v>
      </c>
      <c r="E15" s="2"/>
      <c r="F15" s="9">
        <f>SUM(C17/C13)-1</f>
        <v>8.8552076393515478E-3</v>
      </c>
      <c r="G15" s="2"/>
      <c r="H15" s="2"/>
      <c r="I15" s="2"/>
      <c r="J15" s="2"/>
      <c r="AA15" s="2"/>
      <c r="AB15" s="2"/>
    </row>
    <row r="16" spans="1:28" x14ac:dyDescent="0.3">
      <c r="B16" s="2" t="s">
        <v>9</v>
      </c>
      <c r="C16" s="6">
        <v>32225</v>
      </c>
      <c r="D16" s="10">
        <f>C16*1.02</f>
        <v>32869.5</v>
      </c>
      <c r="E16" s="2"/>
      <c r="F16" s="2"/>
      <c r="G16" s="2"/>
      <c r="H16" s="2"/>
      <c r="I16" s="1"/>
      <c r="J16" s="5"/>
      <c r="AA16" s="2"/>
      <c r="AB16" s="2"/>
    </row>
    <row r="17" spans="1:28" x14ac:dyDescent="0.3">
      <c r="B17" s="2"/>
      <c r="C17" s="8">
        <f>SUM(C15:C16)</f>
        <v>72686</v>
      </c>
      <c r="D17" s="10">
        <f>C17*1.02</f>
        <v>74139.72</v>
      </c>
      <c r="E17" s="2"/>
      <c r="F17" s="2"/>
      <c r="G17" s="2"/>
      <c r="H17" s="9" t="s">
        <v>4</v>
      </c>
      <c r="I17" s="2"/>
      <c r="J17" s="7"/>
      <c r="AA17" s="2"/>
      <c r="AB17" s="2"/>
    </row>
    <row r="18" spans="1:28" x14ac:dyDescent="0.3">
      <c r="B18" s="1">
        <v>2017</v>
      </c>
      <c r="C18" s="2"/>
      <c r="D18" s="2"/>
      <c r="E18" s="2"/>
      <c r="F18" s="5" t="s">
        <v>4</v>
      </c>
      <c r="G18" s="2"/>
      <c r="H18" s="11"/>
      <c r="I18" s="2"/>
      <c r="AA18" s="2"/>
      <c r="AB18" s="2"/>
    </row>
    <row r="19" spans="1:28" x14ac:dyDescent="0.3">
      <c r="B19" s="2" t="s">
        <v>10</v>
      </c>
      <c r="C19" s="8">
        <v>41497</v>
      </c>
      <c r="D19" s="2" t="s">
        <v>11</v>
      </c>
      <c r="E19" s="2"/>
      <c r="F19" s="8" t="s">
        <v>4</v>
      </c>
      <c r="G19" s="2"/>
      <c r="H19" s="2"/>
      <c r="I19" s="2"/>
      <c r="AA19" s="2"/>
      <c r="AB19" s="2"/>
    </row>
    <row r="20" spans="1:28" x14ac:dyDescent="0.3">
      <c r="B20" s="2" t="s">
        <v>12</v>
      </c>
      <c r="C20" s="12">
        <v>31668</v>
      </c>
      <c r="D20" s="2" t="s">
        <v>13</v>
      </c>
      <c r="E20" s="2"/>
      <c r="F20" s="13">
        <f>SUM(C21/C17)-1</f>
        <v>6.5899898192223194E-3</v>
      </c>
      <c r="G20" s="2"/>
      <c r="H20" s="2"/>
      <c r="I20" s="2"/>
      <c r="AA20" s="2"/>
      <c r="AB20" s="2"/>
    </row>
    <row r="21" spans="1:28" x14ac:dyDescent="0.3">
      <c r="B21" s="2"/>
      <c r="C21" s="8">
        <f>SUM(C19:C20)</f>
        <v>73165</v>
      </c>
      <c r="D21" s="2" t="s">
        <v>14</v>
      </c>
      <c r="E21" s="2"/>
      <c r="F21" s="11" t="s">
        <v>4</v>
      </c>
      <c r="G21" s="2"/>
      <c r="H21" s="9" t="s">
        <v>4</v>
      </c>
      <c r="I21" s="1"/>
      <c r="AA21" s="2"/>
      <c r="AB21" s="2"/>
    </row>
    <row r="22" spans="1:28" x14ac:dyDescent="0.3">
      <c r="B22" s="1">
        <v>2018</v>
      </c>
      <c r="C22" s="2"/>
      <c r="D22" s="2"/>
      <c r="E22" s="2"/>
      <c r="F22" s="5" t="s">
        <v>15</v>
      </c>
      <c r="G22" s="2"/>
      <c r="H22" s="11"/>
      <c r="I22" s="2"/>
      <c r="AA22" s="2"/>
      <c r="AB22" s="2"/>
    </row>
    <row r="23" spans="1:28" x14ac:dyDescent="0.3">
      <c r="B23" s="2" t="s">
        <v>16</v>
      </c>
      <c r="C23" s="10">
        <f>C19*1.0077</f>
        <v>41816.526900000004</v>
      </c>
      <c r="D23" s="2" t="s">
        <v>17</v>
      </c>
      <c r="E23" s="2"/>
      <c r="F23" s="8">
        <f>C23*4</f>
        <v>167266.10760000002</v>
      </c>
      <c r="G23" s="2"/>
      <c r="H23" s="2"/>
      <c r="I23" s="2"/>
      <c r="AA23" s="2"/>
      <c r="AB23" s="2"/>
    </row>
    <row r="24" spans="1:28" ht="15" thickBot="1" x14ac:dyDescent="0.35">
      <c r="B24" s="2" t="s">
        <v>18</v>
      </c>
      <c r="C24" s="10">
        <f>C20*1.0077</f>
        <v>31911.8436</v>
      </c>
      <c r="D24" s="2" t="s">
        <v>19</v>
      </c>
      <c r="E24" s="2"/>
      <c r="F24" s="40">
        <f>C24*4</f>
        <v>127647.3744</v>
      </c>
      <c r="G24" s="2"/>
      <c r="H24" s="2"/>
      <c r="I24" s="2"/>
      <c r="AA24" s="2"/>
      <c r="AB24" s="2"/>
    </row>
    <row r="25" spans="1:28" ht="15" thickTop="1" x14ac:dyDescent="0.3">
      <c r="B25" s="2"/>
      <c r="C25" s="10"/>
      <c r="D25" s="2"/>
      <c r="E25" s="2"/>
      <c r="F25" s="8">
        <f>SUM(F23:F24)</f>
        <v>294913.48200000002</v>
      </c>
      <c r="G25" s="2"/>
      <c r="H25" s="2"/>
      <c r="I25" s="2"/>
      <c r="AA25" s="2"/>
      <c r="AB25" s="2"/>
    </row>
    <row r="26" spans="1:28" x14ac:dyDescent="0.3">
      <c r="F26" s="2"/>
      <c r="G26" s="2"/>
      <c r="H26" s="2"/>
      <c r="I26" s="2"/>
      <c r="J26" s="2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2"/>
      <c r="X26" s="2"/>
      <c r="Y26" s="2"/>
      <c r="Z26" s="2"/>
      <c r="AA26" s="2"/>
      <c r="AB26" s="2"/>
    </row>
    <row r="27" spans="1:28" ht="28.2" x14ac:dyDescent="0.3">
      <c r="A27" s="1" t="s">
        <v>60</v>
      </c>
      <c r="B27" s="14"/>
      <c r="C27" s="15" t="s">
        <v>20</v>
      </c>
      <c r="D27" s="16" t="s">
        <v>21</v>
      </c>
      <c r="E27" s="16"/>
      <c r="F27" s="16" t="s">
        <v>22</v>
      </c>
      <c r="G27" s="16" t="s">
        <v>23</v>
      </c>
      <c r="H27" s="16"/>
      <c r="I27" s="17"/>
      <c r="J27" s="2" t="s">
        <v>24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"/>
      <c r="X27" s="2"/>
      <c r="Y27" s="2"/>
      <c r="Z27" s="2"/>
      <c r="AA27" s="2"/>
      <c r="AB27" s="2"/>
    </row>
    <row r="28" spans="1:28" x14ac:dyDescent="0.3">
      <c r="B28" s="2" t="s">
        <v>25</v>
      </c>
      <c r="C28" s="7">
        <f>'[1]13. Rate Design'!$AK$28</f>
        <v>6527395.2899999991</v>
      </c>
      <c r="D28" s="18">
        <f>SUM(C28/12)*4</f>
        <v>2175798.4299999997</v>
      </c>
      <c r="E28" s="19">
        <f>SUM(D28/D34)</f>
        <v>0.8771125690851278</v>
      </c>
      <c r="F28" s="7">
        <f>'[1]13. Rate Design'!$AM$28</f>
        <v>1641622.6865000001</v>
      </c>
      <c r="G28" s="18">
        <f>SUM(F28/12)*4</f>
        <v>547207.56216666673</v>
      </c>
      <c r="H28" s="19">
        <f>G28/G$34</f>
        <v>0.57716467018844597</v>
      </c>
      <c r="I28" s="2"/>
      <c r="J28" s="18">
        <f t="shared" ref="J28:J33" si="0">C28+F28</f>
        <v>8169017.9764999989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2"/>
      <c r="X28" s="2"/>
      <c r="Y28" s="2"/>
      <c r="Z28" s="2"/>
      <c r="AA28" s="2"/>
      <c r="AB28" s="2"/>
    </row>
    <row r="29" spans="1:28" x14ac:dyDescent="0.3">
      <c r="B29" s="2" t="s">
        <v>26</v>
      </c>
      <c r="C29" s="7">
        <f>'[1]13. Rate Design'!$AK$29</f>
        <v>523704.47000000003</v>
      </c>
      <c r="D29" s="18">
        <f t="shared" ref="D29:D33" si="1">SUM(C29/12)*4</f>
        <v>174568.15666666668</v>
      </c>
      <c r="E29" s="19">
        <f>SUM(D29/D34)</f>
        <v>7.0372292884849225E-2</v>
      </c>
      <c r="F29" s="7">
        <f>'[1]13. Rate Design'!$AM$29</f>
        <v>320463.67320000002</v>
      </c>
      <c r="G29" s="18">
        <f t="shared" ref="G29:G33" si="2">SUM(F29/12)*4</f>
        <v>106821.22440000001</v>
      </c>
      <c r="H29" s="19">
        <f t="shared" ref="H29:H33" si="3">G29/G$34</f>
        <v>0.1126691972344742</v>
      </c>
      <c r="I29" s="2"/>
      <c r="J29" s="18">
        <f t="shared" si="0"/>
        <v>844168.14320000005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"/>
      <c r="X29" s="2"/>
      <c r="Y29" s="2"/>
      <c r="Z29" s="2"/>
      <c r="AA29" s="2"/>
      <c r="AB29" s="2"/>
    </row>
    <row r="30" spans="1:28" x14ac:dyDescent="0.3">
      <c r="B30" s="2" t="s">
        <v>27</v>
      </c>
      <c r="C30" s="7">
        <f>'[1]13. Rate Design'!$AK$30</f>
        <v>201946.5</v>
      </c>
      <c r="D30" s="18">
        <f t="shared" si="1"/>
        <v>67315.5</v>
      </c>
      <c r="E30" s="19">
        <f>SUM(D30/D34)</f>
        <v>2.7136369955120303E-2</v>
      </c>
      <c r="F30" s="7">
        <f>'[1]13. Rate Design'!$AM$30</f>
        <v>807679.63219999999</v>
      </c>
      <c r="G30" s="18">
        <f t="shared" si="2"/>
        <v>269226.54406666668</v>
      </c>
      <c r="H30" s="19">
        <f t="shared" si="3"/>
        <v>0.2839654643970092</v>
      </c>
      <c r="I30" s="2"/>
      <c r="J30" s="18">
        <f t="shared" si="0"/>
        <v>1009626.1322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2"/>
      <c r="X30" s="2"/>
      <c r="Y30" s="2"/>
      <c r="Z30" s="2"/>
      <c r="AA30" s="2"/>
      <c r="AB30" s="2"/>
    </row>
    <row r="31" spans="1:28" x14ac:dyDescent="0.3">
      <c r="B31" s="2" t="s">
        <v>28</v>
      </c>
      <c r="C31" s="7">
        <f>'[1]13. Rate Design'!$AK$32</f>
        <v>150580.22000000003</v>
      </c>
      <c r="D31" s="18">
        <f t="shared" si="1"/>
        <v>50193.406666666677</v>
      </c>
      <c r="E31" s="19">
        <f>SUM(D31/D34)</f>
        <v>2.0234074657611824E-2</v>
      </c>
      <c r="F31" s="7">
        <f>'[1]13. Rate Design'!$AM$32</f>
        <v>46338.8701</v>
      </c>
      <c r="G31" s="18">
        <f t="shared" si="2"/>
        <v>15446.290033333333</v>
      </c>
      <c r="H31" s="19">
        <f t="shared" si="3"/>
        <v>1.629190367440243E-2</v>
      </c>
      <c r="I31" s="2"/>
      <c r="J31" s="18">
        <f t="shared" si="0"/>
        <v>196919.09010000003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2"/>
      <c r="X31" s="2"/>
      <c r="Y31" s="2"/>
      <c r="Z31" s="2"/>
      <c r="AA31" s="2"/>
      <c r="AB31" s="2"/>
    </row>
    <row r="32" spans="1:28" x14ac:dyDescent="0.3">
      <c r="B32" s="2" t="s">
        <v>29</v>
      </c>
      <c r="C32" s="7">
        <f>'[1]13. Rate Design'!$AK$31</f>
        <v>26661.600000000002</v>
      </c>
      <c r="D32" s="18">
        <f t="shared" si="1"/>
        <v>8887.2000000000007</v>
      </c>
      <c r="E32" s="19">
        <f>SUM(D32/D34)</f>
        <v>3.5826272859169903E-3</v>
      </c>
      <c r="F32" s="7">
        <f>'[1]13. Rate Design'!$AM$31</f>
        <v>17994.9506</v>
      </c>
      <c r="G32" s="18">
        <f t="shared" si="2"/>
        <v>5998.316866666667</v>
      </c>
      <c r="H32" s="19">
        <f t="shared" si="3"/>
        <v>6.326697245059288E-3</v>
      </c>
      <c r="I32" s="2"/>
      <c r="J32" s="18">
        <f t="shared" si="0"/>
        <v>44656.550600000002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" thickBot="1" x14ac:dyDescent="0.35">
      <c r="B33" s="2" t="s">
        <v>30</v>
      </c>
      <c r="C33" s="20">
        <f>'[1]13. Rate Design'!$AK$33</f>
        <v>11624.76</v>
      </c>
      <c r="D33" s="21">
        <f t="shared" si="1"/>
        <v>3874.92</v>
      </c>
      <c r="E33" s="22">
        <f>D33/D34</f>
        <v>1.5620661313738256E-3</v>
      </c>
      <c r="F33" s="20">
        <f>'[1]13. Rate Design'!$AM$33</f>
        <v>10188.4318</v>
      </c>
      <c r="G33" s="21">
        <f t="shared" si="2"/>
        <v>3396.1439333333333</v>
      </c>
      <c r="H33" s="19">
        <f t="shared" si="3"/>
        <v>3.5820672606088977E-3</v>
      </c>
      <c r="I33" s="2"/>
      <c r="J33" s="18">
        <f t="shared" si="0"/>
        <v>21813.191800000001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" thickTop="1" x14ac:dyDescent="0.3">
      <c r="C34" s="4">
        <f t="shared" ref="C34:H34" si="4">SUM(C28:C33)</f>
        <v>7441912.839999998</v>
      </c>
      <c r="D34" s="4">
        <f t="shared" si="4"/>
        <v>2480637.6133333333</v>
      </c>
      <c r="E34" s="11">
        <f t="shared" si="4"/>
        <v>0.99999999999999989</v>
      </c>
      <c r="F34" s="4">
        <f t="shared" si="4"/>
        <v>2844288.2444000002</v>
      </c>
      <c r="G34" s="4">
        <f t="shared" si="4"/>
        <v>948096.08146666677</v>
      </c>
      <c r="H34" s="23">
        <f t="shared" si="4"/>
        <v>1</v>
      </c>
      <c r="J34" s="24">
        <f>D34+G34</f>
        <v>3428733.6948000002</v>
      </c>
      <c r="L34" s="25" t="s">
        <v>4</v>
      </c>
    </row>
    <row r="35" spans="1:28" ht="28.2" x14ac:dyDescent="0.3">
      <c r="C35" s="26" t="s">
        <v>31</v>
      </c>
      <c r="D35" s="4">
        <f>-F23</f>
        <v>-167266.10760000002</v>
      </c>
      <c r="E35" s="18"/>
      <c r="F35" s="2"/>
      <c r="G35" s="4">
        <f>-F24</f>
        <v>-127647.3744</v>
      </c>
      <c r="H35" s="18"/>
      <c r="J35" s="24">
        <f>D35+G35</f>
        <v>-294913.48200000002</v>
      </c>
    </row>
    <row r="36" spans="1:28" x14ac:dyDescent="0.3">
      <c r="C36" s="1" t="s">
        <v>32</v>
      </c>
      <c r="D36" s="4">
        <f>D34+D35</f>
        <v>2313371.5057333331</v>
      </c>
      <c r="E36" s="4"/>
      <c r="G36" s="4">
        <f>G34+G35</f>
        <v>820448.7070666668</v>
      </c>
      <c r="H36" s="4" t="s">
        <v>4</v>
      </c>
      <c r="J36" s="24">
        <f>D36+G36</f>
        <v>3133820.2127999999</v>
      </c>
      <c r="K36" s="24">
        <f>J34+J35</f>
        <v>3133820.2128000003</v>
      </c>
    </row>
    <row r="37" spans="1:28" ht="28.2" x14ac:dyDescent="0.3">
      <c r="B37" s="26" t="s">
        <v>33</v>
      </c>
      <c r="C37" s="18"/>
      <c r="D37" s="4"/>
      <c r="E37" s="4"/>
      <c r="G37" s="26" t="s">
        <v>34</v>
      </c>
      <c r="H37" s="4"/>
      <c r="J37" s="24">
        <f>J34+J35</f>
        <v>3133820.2128000003</v>
      </c>
    </row>
    <row r="38" spans="1:28" x14ac:dyDescent="0.3">
      <c r="B38" s="2" t="s">
        <v>25</v>
      </c>
      <c r="C38" s="27"/>
      <c r="D38" s="18">
        <f>D$35*E28</f>
        <v>-146711.20535790545</v>
      </c>
      <c r="E38" s="18"/>
      <c r="F38" s="2"/>
      <c r="G38" s="18">
        <f>G$35*H28</f>
        <v>-73673.554745997084</v>
      </c>
      <c r="H38" s="18"/>
    </row>
    <row r="39" spans="1:28" x14ac:dyDescent="0.3">
      <c r="B39" s="2" t="s">
        <v>26</v>
      </c>
      <c r="C39" s="27"/>
      <c r="D39" s="18">
        <f t="shared" ref="D39:D43" si="5">D$35*E29</f>
        <v>-11770.899513735905</v>
      </c>
      <c r="E39" s="18"/>
      <c r="F39" s="2"/>
      <c r="G39" s="18">
        <f t="shared" ref="G39:G43" si="6">G$35*H29</f>
        <v>-14381.927202736373</v>
      </c>
      <c r="H39" s="18"/>
    </row>
    <row r="40" spans="1:28" x14ac:dyDescent="0.3">
      <c r="B40" s="2" t="s">
        <v>27</v>
      </c>
      <c r="C40" s="27"/>
      <c r="D40" s="18">
        <f t="shared" si="5"/>
        <v>-4538.9949767865601</v>
      </c>
      <c r="E40" s="18"/>
      <c r="F40" s="2"/>
      <c r="G40" s="18">
        <f t="shared" si="6"/>
        <v>-36247.445950554902</v>
      </c>
      <c r="H40" s="18"/>
    </row>
    <row r="41" spans="1:28" x14ac:dyDescent="0.3">
      <c r="B41" s="2" t="s">
        <v>28</v>
      </c>
      <c r="C41" s="27"/>
      <c r="D41" s="18">
        <f t="shared" si="5"/>
        <v>-3384.474908866533</v>
      </c>
      <c r="E41" s="18"/>
      <c r="F41" s="2"/>
      <c r="G41" s="18">
        <f t="shared" si="6"/>
        <v>-2079.6187280151826</v>
      </c>
      <c r="H41" s="18"/>
    </row>
    <row r="42" spans="1:28" x14ac:dyDescent="0.3">
      <c r="B42" s="2" t="s">
        <v>29</v>
      </c>
      <c r="D42" s="18">
        <f t="shared" si="5"/>
        <v>-599.25212109688732</v>
      </c>
      <c r="G42" s="18">
        <f t="shared" si="6"/>
        <v>-807.58629195553146</v>
      </c>
    </row>
    <row r="43" spans="1:28" x14ac:dyDescent="0.3">
      <c r="B43" s="2" t="s">
        <v>30</v>
      </c>
      <c r="C43" s="1" t="s">
        <v>4</v>
      </c>
      <c r="D43" s="18">
        <f t="shared" si="5"/>
        <v>-261.2807216086901</v>
      </c>
      <c r="E43" s="4"/>
      <c r="G43" s="28">
        <f t="shared" si="6"/>
        <v>-457.24148074092636</v>
      </c>
      <c r="H43" s="4"/>
    </row>
    <row r="44" spans="1:28" x14ac:dyDescent="0.3">
      <c r="D44" s="25">
        <f>SUM(D38:D43)</f>
        <v>-167266.10760000002</v>
      </c>
      <c r="G44" s="25">
        <f>SUM(G38:G43)</f>
        <v>-127647.3744</v>
      </c>
      <c r="J44" s="25">
        <f>D44+G44</f>
        <v>-294913.48200000002</v>
      </c>
    </row>
    <row r="46" spans="1:28" ht="28.2" x14ac:dyDescent="0.3">
      <c r="B46" s="26" t="s">
        <v>35</v>
      </c>
    </row>
    <row r="47" spans="1:28" ht="28.2" x14ac:dyDescent="0.3">
      <c r="A47" s="1" t="s">
        <v>61</v>
      </c>
      <c r="B47" s="3" t="s">
        <v>36</v>
      </c>
      <c r="C47" s="16" t="s">
        <v>37</v>
      </c>
      <c r="D47" s="16" t="s">
        <v>38</v>
      </c>
      <c r="E47" s="16" t="s">
        <v>39</v>
      </c>
      <c r="F47" s="16" t="s">
        <v>40</v>
      </c>
      <c r="G47" s="15" t="s">
        <v>41</v>
      </c>
    </row>
    <row r="48" spans="1:28" x14ac:dyDescent="0.3">
      <c r="B48" s="2" t="s">
        <v>42</v>
      </c>
      <c r="C48" s="7">
        <v>15555</v>
      </c>
      <c r="D48" s="29">
        <f>D28</f>
        <v>2175798.4299999997</v>
      </c>
      <c r="E48" s="24">
        <f>D38</f>
        <v>-146711.20535790545</v>
      </c>
      <c r="F48" s="7">
        <f>D48+E48</f>
        <v>2029087.2246420942</v>
      </c>
      <c r="G48" s="30">
        <f>F48/C48/12/2</f>
        <v>5.4352491820478255</v>
      </c>
    </row>
    <row r="49" spans="2:9" x14ac:dyDescent="0.3">
      <c r="B49" s="2" t="s">
        <v>43</v>
      </c>
      <c r="C49" s="7">
        <v>1034</v>
      </c>
      <c r="D49" s="29">
        <f>D29</f>
        <v>174568.15666666668</v>
      </c>
      <c r="E49" s="24">
        <f t="shared" ref="E49:E53" si="7">D39</f>
        <v>-11770.899513735905</v>
      </c>
      <c r="F49" s="7">
        <f t="shared" ref="F49:F54" si="8">D49+E49</f>
        <v>162797.25715293078</v>
      </c>
      <c r="G49" s="30">
        <f t="shared" ref="G49:G53" si="9">F49/C49/12/2</f>
        <v>6.5601731605790929</v>
      </c>
    </row>
    <row r="50" spans="2:9" x14ac:dyDescent="0.3">
      <c r="B50" s="2" t="s">
        <v>44</v>
      </c>
      <c r="C50" s="7">
        <v>88</v>
      </c>
      <c r="D50" s="29">
        <f>D30</f>
        <v>67315.5</v>
      </c>
      <c r="E50" s="24">
        <f t="shared" si="7"/>
        <v>-4538.9949767865601</v>
      </c>
      <c r="F50" s="7">
        <f t="shared" si="8"/>
        <v>62776.505023213438</v>
      </c>
      <c r="G50" s="30">
        <f t="shared" si="9"/>
        <v>29.723723969324542</v>
      </c>
    </row>
    <row r="51" spans="2:9" x14ac:dyDescent="0.3">
      <c r="B51" s="2" t="s">
        <v>45</v>
      </c>
      <c r="C51" s="7">
        <v>2995</v>
      </c>
      <c r="D51" s="29">
        <f t="shared" ref="D51:D53" si="10">D31</f>
        <v>50193.406666666677</v>
      </c>
      <c r="E51" s="24">
        <f t="shared" si="7"/>
        <v>-3384.474908866533</v>
      </c>
      <c r="F51" s="7">
        <f t="shared" si="8"/>
        <v>46808.931757800143</v>
      </c>
      <c r="G51" s="30">
        <f t="shared" si="9"/>
        <v>0.65120940119365811</v>
      </c>
    </row>
    <row r="52" spans="2:9" x14ac:dyDescent="0.3">
      <c r="B52" s="2" t="s">
        <v>46</v>
      </c>
      <c r="C52" s="7">
        <v>161</v>
      </c>
      <c r="D52" s="29">
        <f t="shared" si="10"/>
        <v>8887.2000000000007</v>
      </c>
      <c r="E52" s="24">
        <f t="shared" si="7"/>
        <v>-599.25212109688732</v>
      </c>
      <c r="F52" s="7">
        <f t="shared" si="8"/>
        <v>8287.9478789031127</v>
      </c>
      <c r="G52" s="30">
        <f t="shared" si="9"/>
        <v>2.144914047335174</v>
      </c>
    </row>
    <row r="53" spans="2:9" ht="15" thickBot="1" x14ac:dyDescent="0.35">
      <c r="B53" s="2" t="s">
        <v>30</v>
      </c>
      <c r="C53" s="20">
        <v>74</v>
      </c>
      <c r="D53" s="31">
        <f t="shared" si="10"/>
        <v>3874.92</v>
      </c>
      <c r="E53" s="32">
        <f t="shared" si="7"/>
        <v>-261.2807216086901</v>
      </c>
      <c r="F53" s="20">
        <f t="shared" si="8"/>
        <v>3613.6392783913097</v>
      </c>
      <c r="G53" s="30">
        <f t="shared" si="9"/>
        <v>2.0347068008960076</v>
      </c>
    </row>
    <row r="54" spans="2:9" ht="15" thickTop="1" x14ac:dyDescent="0.3">
      <c r="B54" t="s">
        <v>47</v>
      </c>
      <c r="C54" s="25">
        <f>SUM(C48:C53)</f>
        <v>19907</v>
      </c>
      <c r="D54" s="18">
        <f>SUM(D48:D53)</f>
        <v>2480637.6133333333</v>
      </c>
      <c r="E54" s="8">
        <f>SUM(E48:E53)</f>
        <v>-167266.10760000002</v>
      </c>
      <c r="F54" s="7">
        <f t="shared" si="8"/>
        <v>2313371.5057333331</v>
      </c>
      <c r="G54" s="2"/>
      <c r="I54" s="25" t="s">
        <v>4</v>
      </c>
    </row>
    <row r="55" spans="2:9" x14ac:dyDescent="0.3">
      <c r="D55" s="2"/>
      <c r="E55" s="2"/>
      <c r="F55" s="2"/>
      <c r="G55" s="2"/>
    </row>
    <row r="56" spans="2:9" x14ac:dyDescent="0.3">
      <c r="G56" s="2"/>
    </row>
    <row r="57" spans="2:9" ht="28.2" x14ac:dyDescent="0.3">
      <c r="B57" s="3" t="s">
        <v>48</v>
      </c>
      <c r="C57" s="15" t="s">
        <v>49</v>
      </c>
      <c r="D57" s="16" t="s">
        <v>50</v>
      </c>
      <c r="E57" s="16" t="s">
        <v>39</v>
      </c>
      <c r="F57" s="16" t="s">
        <v>51</v>
      </c>
      <c r="G57" s="15" t="s">
        <v>52</v>
      </c>
    </row>
    <row r="58" spans="2:9" x14ac:dyDescent="0.3">
      <c r="B58" s="2" t="s">
        <v>53</v>
      </c>
      <c r="C58" s="7">
        <v>144001990</v>
      </c>
      <c r="D58" s="18">
        <f>G28</f>
        <v>547207.56216666673</v>
      </c>
      <c r="E58" s="33">
        <f>G38</f>
        <v>-73673.554745997084</v>
      </c>
      <c r="F58" s="34">
        <f>D58+E58</f>
        <v>473534.00742066966</v>
      </c>
      <c r="G58" s="35">
        <f>F58/C58/12/2</f>
        <v>1.370160484763294E-4</v>
      </c>
    </row>
    <row r="59" spans="2:9" x14ac:dyDescent="0.3">
      <c r="B59" s="2" t="s">
        <v>54</v>
      </c>
      <c r="C59" s="7">
        <v>31418007</v>
      </c>
      <c r="D59" s="18">
        <f t="shared" ref="D59:D63" si="11">G29</f>
        <v>106821.22440000001</v>
      </c>
      <c r="E59" s="33">
        <f t="shared" ref="E59:E63" si="12">G39</f>
        <v>-14381.927202736373</v>
      </c>
      <c r="F59" s="34">
        <f t="shared" ref="F59:F63" si="13">D59+E59</f>
        <v>92439.29719726363</v>
      </c>
      <c r="G59" s="35">
        <f t="shared" ref="G59:G63" si="14">F59/C59/12/2</f>
        <v>1.2259330718270315E-4</v>
      </c>
    </row>
    <row r="60" spans="2:9" x14ac:dyDescent="0.3">
      <c r="B60" s="2" t="s">
        <v>55</v>
      </c>
      <c r="C60" s="7">
        <v>174966</v>
      </c>
      <c r="D60" s="18">
        <f t="shared" si="11"/>
        <v>269226.54406666668</v>
      </c>
      <c r="E60" s="33">
        <f t="shared" si="12"/>
        <v>-36247.445950554902</v>
      </c>
      <c r="F60" s="34">
        <f t="shared" si="13"/>
        <v>232979.09811611177</v>
      </c>
      <c r="G60" s="35">
        <f t="shared" si="14"/>
        <v>5.5481993195847519E-2</v>
      </c>
    </row>
    <row r="61" spans="2:9" x14ac:dyDescent="0.3">
      <c r="B61" s="2" t="s">
        <v>56</v>
      </c>
      <c r="C61" s="7">
        <v>286</v>
      </c>
      <c r="D61" s="18">
        <f t="shared" si="11"/>
        <v>15446.290033333333</v>
      </c>
      <c r="E61" s="33">
        <f t="shared" si="12"/>
        <v>-2079.6187280151826</v>
      </c>
      <c r="F61" s="34">
        <f t="shared" si="13"/>
        <v>13366.67130531815</v>
      </c>
      <c r="G61" s="35">
        <f t="shared" si="14"/>
        <v>1.9473588731524112</v>
      </c>
    </row>
    <row r="62" spans="2:9" x14ac:dyDescent="0.3">
      <c r="B62" s="2" t="s">
        <v>57</v>
      </c>
      <c r="C62" s="7">
        <v>1599</v>
      </c>
      <c r="D62" s="18">
        <f t="shared" si="11"/>
        <v>5998.316866666667</v>
      </c>
      <c r="E62" s="33">
        <f t="shared" si="12"/>
        <v>-807.58629195553146</v>
      </c>
      <c r="F62" s="34">
        <f t="shared" si="13"/>
        <v>5190.7305747111359</v>
      </c>
      <c r="G62" s="35">
        <f t="shared" si="14"/>
        <v>0.13525981276608129</v>
      </c>
    </row>
    <row r="63" spans="2:9" ht="15" thickBot="1" x14ac:dyDescent="0.35">
      <c r="B63" s="2" t="s">
        <v>58</v>
      </c>
      <c r="C63" s="20">
        <v>461015</v>
      </c>
      <c r="D63" s="18">
        <f t="shared" si="11"/>
        <v>3396.1439333333333</v>
      </c>
      <c r="E63" s="36">
        <f t="shared" si="12"/>
        <v>-457.24148074092636</v>
      </c>
      <c r="F63" s="37">
        <f t="shared" si="13"/>
        <v>2938.9024525924069</v>
      </c>
      <c r="G63" s="35">
        <f t="shared" si="14"/>
        <v>2.6561883855843511E-4</v>
      </c>
    </row>
    <row r="64" spans="2:9" ht="15" thickTop="1" x14ac:dyDescent="0.3">
      <c r="B64" t="s">
        <v>47</v>
      </c>
      <c r="C64" s="18" t="s">
        <v>4</v>
      </c>
      <c r="D64" s="18">
        <f>SUM(D58:D63)</f>
        <v>948096.08146666677</v>
      </c>
      <c r="E64" s="18">
        <f>SUM(E58:E63)</f>
        <v>-127647.3744</v>
      </c>
      <c r="F64" s="18">
        <f>SUM(F58:F63)</f>
        <v>820448.70706666657</v>
      </c>
    </row>
    <row r="65" spans="2:4" x14ac:dyDescent="0.3">
      <c r="D65" s="2"/>
    </row>
    <row r="66" spans="2:4" x14ac:dyDescent="0.3">
      <c r="B66" s="38"/>
    </row>
    <row r="67" spans="2:4" x14ac:dyDescent="0.3">
      <c r="D67" s="39"/>
    </row>
    <row r="68" spans="2:4" x14ac:dyDescent="0.3">
      <c r="D68" s="39"/>
    </row>
    <row r="69" spans="2:4" x14ac:dyDescent="0.3">
      <c r="D69" s="39"/>
    </row>
    <row r="70" spans="2:4" x14ac:dyDescent="0.3">
      <c r="D70" s="39"/>
    </row>
    <row r="71" spans="2:4" x14ac:dyDescent="0.3">
      <c r="D71" s="39"/>
    </row>
    <row r="72" spans="2:4" x14ac:dyDescent="0.3">
      <c r="D72" s="39"/>
    </row>
    <row r="73" spans="2:4" x14ac:dyDescent="0.3">
      <c r="D73" s="39"/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</vt:lpstr>
      <vt:lpstr>'Foregone Rev'!Print_Area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Pinke</dc:creator>
  <cp:lastModifiedBy>Brenda Pinke</cp:lastModifiedBy>
  <dcterms:created xsi:type="dcterms:W3CDTF">2018-03-25T22:00:53Z</dcterms:created>
  <dcterms:modified xsi:type="dcterms:W3CDTF">2018-03-26T19:07:44Z</dcterms:modified>
</cp:coreProperties>
</file>