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sulting Project Work\Canada\Ontario\OEB\2018 gas utility CO2 plans\GEC testimony\Discovery\GEC responses\"/>
    </mc:Choice>
  </mc:AlternateContent>
  <bookViews>
    <workbookView xWindow="0" yWindow="0" windowWidth="19200" windowHeight="6324" activeTab="1"/>
  </bookViews>
  <sheets>
    <sheet name="EGD capped partic DSM" sheetId="2" r:id="rId1"/>
    <sheet name="Ben-Cost" sheetId="4" r:id="rId2"/>
    <sheet name="Avoid cost" sheetId="5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5" l="1"/>
  <c r="L8" i="5" s="1"/>
  <c r="K9" i="5"/>
  <c r="L9" i="5" s="1"/>
  <c r="K10" i="5"/>
  <c r="L10" i="5" s="1"/>
  <c r="K11" i="5"/>
  <c r="L11" i="5" s="1"/>
  <c r="K12" i="5"/>
  <c r="L12" i="5" s="1"/>
  <c r="K13" i="5"/>
  <c r="L13" i="5" s="1"/>
  <c r="K14" i="5"/>
  <c r="L14" i="5" s="1"/>
  <c r="K15" i="5"/>
  <c r="L15" i="5" s="1"/>
  <c r="K16" i="5"/>
  <c r="L16" i="5" s="1"/>
  <c r="K17" i="5"/>
  <c r="L17" i="5" s="1"/>
  <c r="K18" i="5"/>
  <c r="L18" i="5" s="1"/>
  <c r="K19" i="5"/>
  <c r="L19" i="5" s="1"/>
  <c r="K20" i="5"/>
  <c r="L20" i="5" s="1"/>
  <c r="K21" i="5"/>
  <c r="L21" i="5" s="1"/>
  <c r="K22" i="5"/>
  <c r="L22" i="5" s="1"/>
  <c r="K23" i="5"/>
  <c r="L23" i="5" s="1"/>
  <c r="K24" i="5"/>
  <c r="L24" i="5" s="1"/>
  <c r="K25" i="5"/>
  <c r="L25" i="5" s="1"/>
  <c r="K26" i="5"/>
  <c r="L26" i="5" s="1"/>
  <c r="K27" i="5"/>
  <c r="L27" i="5" s="1"/>
  <c r="K7" i="5"/>
  <c r="L7" i="5" s="1"/>
  <c r="M7" i="5" s="1"/>
  <c r="J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F8" i="5"/>
  <c r="H7" i="5"/>
  <c r="I7" i="5" s="1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7" i="5"/>
  <c r="E7" i="5" s="1"/>
  <c r="B9" i="5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8" i="5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E10" i="5" l="1"/>
  <c r="I12" i="5"/>
  <c r="M9" i="5"/>
  <c r="E11" i="5"/>
  <c r="I9" i="5"/>
  <c r="E26" i="5"/>
  <c r="E22" i="5"/>
  <c r="E18" i="5"/>
  <c r="E14" i="5"/>
  <c r="I27" i="5"/>
  <c r="I23" i="5"/>
  <c r="I19" i="5"/>
  <c r="I15" i="5"/>
  <c r="I11" i="5"/>
  <c r="M8" i="5"/>
  <c r="M24" i="5"/>
  <c r="M20" i="5"/>
  <c r="M16" i="5"/>
  <c r="M12" i="5"/>
  <c r="E25" i="5"/>
  <c r="E21" i="5"/>
  <c r="E17" i="5"/>
  <c r="E13" i="5"/>
  <c r="E9" i="5"/>
  <c r="I26" i="5"/>
  <c r="I22" i="5"/>
  <c r="I18" i="5"/>
  <c r="I14" i="5"/>
  <c r="I10" i="5"/>
  <c r="M27" i="5"/>
  <c r="M23" i="5"/>
  <c r="M19" i="5"/>
  <c r="M15" i="5"/>
  <c r="M11" i="5"/>
  <c r="E24" i="5"/>
  <c r="E20" i="5"/>
  <c r="E16" i="5"/>
  <c r="E12" i="5"/>
  <c r="E27" i="5"/>
  <c r="I25" i="5"/>
  <c r="I21" i="5"/>
  <c r="I17" i="5"/>
  <c r="I13" i="5"/>
  <c r="M26" i="5"/>
  <c r="M22" i="5"/>
  <c r="M18" i="5"/>
  <c r="M14" i="5"/>
  <c r="M10" i="5"/>
  <c r="E8" i="5"/>
  <c r="E23" i="5"/>
  <c r="E19" i="5"/>
  <c r="E15" i="5"/>
  <c r="I8" i="5"/>
  <c r="I24" i="5"/>
  <c r="I20" i="5"/>
  <c r="I16" i="5"/>
  <c r="M25" i="5"/>
  <c r="M21" i="5"/>
  <c r="M17" i="5"/>
  <c r="M13" i="5"/>
  <c r="J9" i="5"/>
  <c r="J10" i="5" s="1"/>
  <c r="J11" i="5" s="1"/>
  <c r="J12" i="5" s="1"/>
  <c r="J13" i="5" s="1"/>
  <c r="J14" i="5" s="1"/>
  <c r="J15" i="5" s="1"/>
  <c r="J16" i="5" s="1"/>
  <c r="J17" i="5" s="1"/>
  <c r="J18" i="5" s="1"/>
  <c r="J19" i="5" s="1"/>
  <c r="J20" i="5" s="1"/>
  <c r="J21" i="5" s="1"/>
  <c r="J22" i="5" s="1"/>
  <c r="J23" i="5" s="1"/>
  <c r="J24" i="5" s="1"/>
  <c r="J25" i="5" s="1"/>
  <c r="J26" i="5" s="1"/>
  <c r="J27" i="5" s="1"/>
  <c r="F9" i="5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M52" i="4"/>
  <c r="M54" i="4"/>
  <c r="M53" i="4"/>
  <c r="C51" i="4"/>
  <c r="D51" i="4" s="1"/>
  <c r="E51" i="4" s="1"/>
  <c r="F51" i="4" s="1"/>
  <c r="G51" i="4" s="1"/>
  <c r="H51" i="4" s="1"/>
  <c r="I51" i="4" s="1"/>
  <c r="J51" i="4" s="1"/>
  <c r="K51" i="4" s="1"/>
  <c r="L51" i="4" s="1"/>
  <c r="M51" i="4" s="1"/>
  <c r="N51" i="4" s="1"/>
  <c r="O51" i="4" s="1"/>
  <c r="P51" i="4" s="1"/>
  <c r="Q51" i="4" s="1"/>
  <c r="R51" i="4" s="1"/>
  <c r="S51" i="4" s="1"/>
  <c r="T51" i="4" s="1"/>
  <c r="U51" i="4" s="1"/>
  <c r="V51" i="4" s="1"/>
  <c r="C35" i="4"/>
  <c r="D35" i="4"/>
  <c r="B35" i="4"/>
  <c r="D43" i="4"/>
  <c r="D40" i="4"/>
  <c r="D41" i="4"/>
  <c r="C41" i="4"/>
  <c r="B41" i="4"/>
  <c r="C39" i="4"/>
  <c r="C46" i="4" s="1"/>
  <c r="D39" i="4"/>
  <c r="D46" i="4" s="1"/>
  <c r="B39" i="4"/>
  <c r="B46" i="4" s="1"/>
  <c r="C25" i="4"/>
  <c r="C40" i="4" s="1"/>
  <c r="B25" i="4"/>
  <c r="B40" i="4" s="1"/>
  <c r="C27" i="4"/>
  <c r="C42" i="4" s="1"/>
  <c r="D27" i="4"/>
  <c r="D42" i="4" s="1"/>
  <c r="B27" i="4"/>
  <c r="B42" i="4" s="1"/>
  <c r="C36" i="4"/>
  <c r="C65" i="4" s="1"/>
  <c r="B36" i="4"/>
  <c r="B65" i="4" s="1"/>
  <c r="C33" i="4"/>
  <c r="B33" i="4"/>
  <c r="L11" i="4"/>
  <c r="K11" i="4"/>
  <c r="J11" i="4"/>
  <c r="H11" i="4"/>
  <c r="G11" i="4"/>
  <c r="F11" i="4"/>
  <c r="D11" i="4"/>
  <c r="C11" i="4"/>
  <c r="B11" i="4"/>
  <c r="M10" i="4"/>
  <c r="U10" i="4" s="1"/>
  <c r="D20" i="4" s="1"/>
  <c r="I10" i="4"/>
  <c r="T10" i="4" s="1"/>
  <c r="C20" i="4" s="1"/>
  <c r="E10" i="4"/>
  <c r="S10" i="4" s="1"/>
  <c r="B20" i="4" s="1"/>
  <c r="M9" i="4"/>
  <c r="I9" i="4"/>
  <c r="E9" i="4"/>
  <c r="M8" i="4"/>
  <c r="I8" i="4"/>
  <c r="E8" i="4"/>
  <c r="M7" i="4"/>
  <c r="I7" i="4"/>
  <c r="E7" i="4"/>
  <c r="M6" i="4"/>
  <c r="I6" i="4"/>
  <c r="E6" i="4"/>
  <c r="M5" i="4"/>
  <c r="I5" i="4"/>
  <c r="E5" i="4"/>
  <c r="N52" i="4" l="1"/>
  <c r="O52" i="4" s="1"/>
  <c r="P52" i="4" s="1"/>
  <c r="Q52" i="4" s="1"/>
  <c r="R52" i="4" s="1"/>
  <c r="S52" i="4" s="1"/>
  <c r="T52" i="4" s="1"/>
  <c r="U52" i="4" s="1"/>
  <c r="V52" i="4" s="1"/>
  <c r="W52" i="4"/>
  <c r="N54" i="4"/>
  <c r="O54" i="4" s="1"/>
  <c r="B28" i="4"/>
  <c r="C28" i="4"/>
  <c r="D28" i="4"/>
  <c r="N53" i="4"/>
  <c r="O53" i="4" s="1"/>
  <c r="P53" i="4" s="1"/>
  <c r="Q53" i="4" s="1"/>
  <c r="R53" i="4" s="1"/>
  <c r="S53" i="4" s="1"/>
  <c r="T53" i="4" s="1"/>
  <c r="U53" i="4" s="1"/>
  <c r="V53" i="4" s="1"/>
  <c r="D48" i="4"/>
  <c r="P54" i="4"/>
  <c r="B48" i="4"/>
  <c r="C47" i="4"/>
  <c r="B29" i="4"/>
  <c r="C29" i="4"/>
  <c r="C48" i="4"/>
  <c r="B47" i="4"/>
  <c r="B21" i="4"/>
  <c r="D18" i="4"/>
  <c r="C21" i="4"/>
  <c r="C18" i="4"/>
  <c r="E11" i="4"/>
  <c r="B18" i="4"/>
  <c r="B24" i="4" s="1"/>
  <c r="M11" i="4"/>
  <c r="I11" i="4"/>
  <c r="W53" i="4" l="1"/>
  <c r="X52" i="4"/>
  <c r="X53" i="4"/>
  <c r="C24" i="4"/>
  <c r="Q54" i="4"/>
  <c r="D24" i="4"/>
  <c r="C60" i="4"/>
  <c r="C67" i="4" s="1"/>
  <c r="C30" i="4"/>
  <c r="B60" i="4"/>
  <c r="B67" i="4" s="1"/>
  <c r="B30" i="4"/>
  <c r="B43" i="4"/>
  <c r="B49" i="4" s="1"/>
  <c r="B61" i="4"/>
  <c r="C43" i="4"/>
  <c r="C49" i="4" s="1"/>
  <c r="C61" i="4"/>
  <c r="B19" i="4"/>
  <c r="C19" i="4"/>
  <c r="R54" i="4" l="1"/>
  <c r="S54" i="4" s="1"/>
  <c r="T54" i="4" s="1"/>
  <c r="U54" i="4" s="1"/>
  <c r="V54" i="4" s="1"/>
  <c r="X54" i="4"/>
  <c r="C63" i="4"/>
  <c r="C68" i="4" s="1"/>
  <c r="C62" i="4"/>
  <c r="B63" i="4"/>
  <c r="B68" i="4" s="1"/>
  <c r="B62" i="4"/>
  <c r="W54" i="4" l="1"/>
  <c r="B69" i="4" l="1"/>
  <c r="B75" i="4"/>
  <c r="C69" i="4"/>
  <c r="C75" i="4"/>
  <c r="C71" i="4" l="1"/>
  <c r="C73" i="4"/>
  <c r="B71" i="4"/>
  <c r="B73" i="4"/>
  <c r="C18" i="2" l="1"/>
  <c r="G18" i="2"/>
  <c r="G5" i="2"/>
  <c r="G8" i="2"/>
  <c r="G9" i="2"/>
  <c r="G12" i="2"/>
  <c r="G13" i="2"/>
  <c r="G14" i="2"/>
  <c r="G17" i="2"/>
  <c r="G4" i="2"/>
  <c r="F5" i="2"/>
  <c r="F8" i="2"/>
  <c r="F9" i="2"/>
  <c r="F10" i="2"/>
  <c r="F11" i="2"/>
  <c r="F12" i="2"/>
  <c r="F13" i="2"/>
  <c r="F14" i="2"/>
  <c r="F15" i="2"/>
  <c r="F16" i="2"/>
  <c r="F4" i="2"/>
  <c r="F17" i="2" s="1"/>
  <c r="C17" i="2"/>
  <c r="D5" i="2"/>
  <c r="D8" i="2"/>
  <c r="D9" i="2"/>
  <c r="D10" i="2"/>
  <c r="D11" i="2"/>
  <c r="D12" i="2"/>
  <c r="D13" i="2"/>
  <c r="D14" i="2"/>
  <c r="D15" i="2"/>
  <c r="D4" i="2"/>
  <c r="B17" i="2"/>
  <c r="D17" i="2" s="1"/>
  <c r="E17" i="2"/>
</calcChain>
</file>

<file path=xl/sharedStrings.xml><?xml version="1.0" encoding="utf-8"?>
<sst xmlns="http://schemas.openxmlformats.org/spreadsheetml/2006/main" count="133" uniqueCount="104">
  <si>
    <t>Res</t>
  </si>
  <si>
    <t>Com</t>
  </si>
  <si>
    <t>Ind</t>
  </si>
  <si>
    <t>Unconstrained</t>
  </si>
  <si>
    <t>Total</t>
  </si>
  <si>
    <t>Semi-Constrained</t>
  </si>
  <si>
    <t>Constrained</t>
  </si>
  <si>
    <t>2018-2020</t>
  </si>
  <si>
    <t>Year(s)</t>
  </si>
  <si>
    <t>Unconstr</t>
  </si>
  <si>
    <t>Semi-Con</t>
  </si>
  <si>
    <t>Constr</t>
  </si>
  <si>
    <t>Rate Class</t>
  </si>
  <si>
    <t>125D</t>
  </si>
  <si>
    <t>Partially Effective DSM volume</t>
  </si>
  <si>
    <t>Estimated Capped Participant DSM Volume</t>
  </si>
  <si>
    <t>Capped Participants Sales Volume %</t>
  </si>
  <si>
    <t>Capped Participants Sales Volume</t>
  </si>
  <si>
    <t>Forecast Sales Volume</t>
  </si>
  <si>
    <t>Estimated Capped Participants DSM Volume %</t>
  </si>
  <si>
    <t>Exh B /T2/S1 p. 6</t>
  </si>
  <si>
    <t>% of C&amp;I</t>
  </si>
  <si>
    <t>total</t>
  </si>
  <si>
    <t>Savings</t>
  </si>
  <si>
    <t>UCT Incremental $/tonne from CPS</t>
  </si>
  <si>
    <t>m3 (millions)</t>
  </si>
  <si>
    <t>Large Volume</t>
  </si>
  <si>
    <t>CPS tables ES 3 (total), ES 7 (res), ES 11 (Com), ES 15 (Ind), and ES 17 (lg volume)</t>
  </si>
  <si>
    <t>Total Excl large volume</t>
  </si>
  <si>
    <t>m3 (millions) excl lg vol</t>
  </si>
  <si>
    <t>incr vs. contrained m3 (millions)</t>
  </si>
  <si>
    <t>incr vs. constrained m3 (millions) excl lg vol</t>
  </si>
  <si>
    <t>total cost</t>
  </si>
  <si>
    <t>incr cost vs constrained</t>
  </si>
  <si>
    <t>lg vol cost</t>
  </si>
  <si>
    <t>incr cost vs constrained excl lg vol</t>
  </si>
  <si>
    <t>total lifetime m3 thru 2020</t>
  </si>
  <si>
    <t>CPS Table ES 4</t>
  </si>
  <si>
    <t>lg vol lifetime m3 thru 2020</t>
  </si>
  <si>
    <t>CPS table ES 17 (but told by ICF that there's a mistake here - don't yet know what it is)</t>
  </si>
  <si>
    <t>total lifetime m3 thru 2020 excl lg vol</t>
  </si>
  <si>
    <t>incr lifetime m3 thru 2020 (vs constrained)</t>
  </si>
  <si>
    <t>incr lifetime m3 thru 2020 excl lg vol (vs. constrained)</t>
  </si>
  <si>
    <t>2015-2020 lifetime CO2 emission reductions (tonnes)</t>
  </si>
  <si>
    <t>incr (vs constrained)</t>
  </si>
  <si>
    <t>lg vol</t>
  </si>
  <si>
    <t>total excl lg vol</t>
  </si>
  <si>
    <t>incr  excl lg vol (vs. constrained)</t>
  </si>
  <si>
    <t>$/tonne CO2 emission reductions (tonnes) - excl avoided gas cost</t>
  </si>
  <si>
    <t>total cost excl lg vol</t>
  </si>
  <si>
    <t>incr (vs constrained) excl lg vol</t>
  </si>
  <si>
    <t>Annual</t>
  </si>
  <si>
    <t>Lifetime</t>
  </si>
  <si>
    <t>CPS Savings and Costs (2015-2020)</t>
  </si>
  <si>
    <t>Costs</t>
  </si>
  <si>
    <t>Mid range</t>
  </si>
  <si>
    <t>Min</t>
  </si>
  <si>
    <t>Max</t>
  </si>
  <si>
    <t>MACC p. 20</t>
  </si>
  <si>
    <t>Year</t>
  </si>
  <si>
    <t>NPV</t>
  </si>
  <si>
    <t>Notes</t>
  </si>
  <si>
    <t>Average Annual Incremental Impacts vs. Constrained Scenario (excl Lg. Vol Industrials)</t>
  </si>
  <si>
    <t>Annual m3 Savings (millions)</t>
  </si>
  <si>
    <t>lifetime m3 Savings (millions)</t>
  </si>
  <si>
    <t>Program cost (millions $)</t>
  </si>
  <si>
    <t>same as Union Exh 3,T4/S1 column G, except divided by 6 to get annual</t>
  </si>
  <si>
    <t>same as Union Exh 3,T4/S1 column j</t>
  </si>
  <si>
    <t>Avoided gas cost</t>
  </si>
  <si>
    <t>Benefits</t>
  </si>
  <si>
    <t>Value of avoided carbon emissions</t>
  </si>
  <si>
    <t>Annual CO2 emissions (tonnes)</t>
  </si>
  <si>
    <t>same as Union Exh 3/T4/S1 column K, except increments between rows divided by 6 years to get annual value</t>
  </si>
  <si>
    <t>Total gas utility benefit</t>
  </si>
  <si>
    <t>Net Benefits</t>
  </si>
  <si>
    <t>Total benefit minus prog cost</t>
  </si>
  <si>
    <t>Benefit-Cost Ratio</t>
  </si>
  <si>
    <t>avg measure life</t>
  </si>
  <si>
    <t>same as Union Exh 3/T4/S1 column H, except increments between rows divided by 6 years to get annual value</t>
  </si>
  <si>
    <t>Average measure life (years)</t>
  </si>
  <si>
    <t>Net Cost per Tonne of CO2 avoided</t>
  </si>
  <si>
    <t>(Program cost - Avoided gas Cost) / Tonnes</t>
  </si>
  <si>
    <t>Total benefits divided by prog cost</t>
  </si>
  <si>
    <t>Incremental Impact between Constrained &amp; Unconstrained</t>
  </si>
  <si>
    <t>Incremental Impact between Constrained &amp; Semi-Constrained</t>
  </si>
  <si>
    <t>discount rate</t>
  </si>
  <si>
    <t>2014-2018 inflation</t>
  </si>
  <si>
    <t>CPS avoided costs 2014 $</t>
  </si>
  <si>
    <t>per Bank of Canada calculator (https://www.bankofcanada.ca/rates/related/inflation-calculator/)</t>
  </si>
  <si>
    <t>CPS avoided costs 2018 $</t>
  </si>
  <si>
    <t>Weather-Sensitive</t>
  </si>
  <si>
    <t>Baseload</t>
  </si>
  <si>
    <t>Number of post-2017 Years</t>
  </si>
  <si>
    <t>Wtd Average</t>
  </si>
  <si>
    <t>% weather-sensitive (vs. baseload)</t>
  </si>
  <si>
    <t>LTCPF (2017 $)</t>
  </si>
  <si>
    <t>2017-2018 inflation</t>
  </si>
  <si>
    <t>19 Year NPV (2018 $)</t>
  </si>
  <si>
    <t>21 Year NPV (2018 $)</t>
  </si>
  <si>
    <t>same as used in MACC</t>
  </si>
  <si>
    <t>Gas Avoided Costs from CPS (Exh 11)</t>
  </si>
  <si>
    <t>Other Assumptions</t>
  </si>
  <si>
    <t>Totals</t>
  </si>
  <si>
    <t>% of Enbridge C&amp;I EE Savings to Capped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</si>
</sst>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6" formatCode="0.0%"/>
    <numFmt numFmtId="168" formatCode="0.0000"/>
    <numFmt numFmtId="169" formatCode="&quot;$&quot;#,##0"/>
    <numFmt numFmtId="170" formatCode="#,##0.0"/>
    <numFmt numFmtId="171" formatCode="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70C0"/>
      <name val="Calibri"/>
      <family val="2"/>
      <scheme val="minor"/>
    </font>
    <font>
      <i/>
      <sz val="9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1" fontId="0" fillId="0" borderId="0" xfId="0" applyNumberFormat="1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3" fontId="0" fillId="0" borderId="0" xfId="0" applyNumberFormat="1"/>
    <xf numFmtId="9" fontId="0" fillId="0" borderId="0" xfId="1" applyFont="1"/>
    <xf numFmtId="166" fontId="0" fillId="0" borderId="0" xfId="1" applyNumberFormat="1" applyFont="1"/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0" fontId="0" fillId="0" borderId="0" xfId="1" applyNumberFormat="1" applyFont="1"/>
    <xf numFmtId="0" fontId="0" fillId="0" borderId="0" xfId="0" applyAlignment="1">
      <alignment horizontal="center"/>
    </xf>
    <xf numFmtId="168" fontId="0" fillId="0" borderId="0" xfId="0" applyNumberFormat="1"/>
    <xf numFmtId="0" fontId="5" fillId="0" borderId="0" xfId="0" applyFont="1"/>
    <xf numFmtId="0" fontId="6" fillId="0" borderId="0" xfId="0" applyFont="1"/>
    <xf numFmtId="169" fontId="0" fillId="0" borderId="0" xfId="0" applyNumberFormat="1"/>
    <xf numFmtId="0" fontId="8" fillId="0" borderId="0" xfId="0" applyFont="1"/>
    <xf numFmtId="8" fontId="0" fillId="0" borderId="0" xfId="0" applyNumberFormat="1"/>
    <xf numFmtId="0" fontId="9" fillId="0" borderId="0" xfId="0" applyFont="1"/>
    <xf numFmtId="6" fontId="0" fillId="0" borderId="0" xfId="0" applyNumberFormat="1"/>
    <xf numFmtId="0" fontId="2" fillId="0" borderId="1" xfId="0" applyFont="1" applyBorder="1" applyAlignment="1">
      <alignment horizontal="center" wrapText="1"/>
    </xf>
    <xf numFmtId="0" fontId="10" fillId="0" borderId="0" xfId="0" applyFont="1"/>
    <xf numFmtId="170" fontId="10" fillId="0" borderId="0" xfId="0" applyNumberFormat="1" applyFont="1"/>
    <xf numFmtId="1" fontId="0" fillId="0" borderId="1" xfId="0" applyNumberFormat="1" applyBorder="1"/>
    <xf numFmtId="3" fontId="0" fillId="0" borderId="1" xfId="0" applyNumberFormat="1" applyBorder="1"/>
    <xf numFmtId="170" fontId="0" fillId="0" borderId="1" xfId="0" applyNumberFormat="1" applyBorder="1"/>
    <xf numFmtId="169" fontId="0" fillId="0" borderId="1" xfId="0" applyNumberFormat="1" applyBorder="1"/>
    <xf numFmtId="43" fontId="0" fillId="0" borderId="1" xfId="2" applyFont="1" applyBorder="1"/>
    <xf numFmtId="169" fontId="7" fillId="0" borderId="1" xfId="0" applyNumberFormat="1" applyFont="1" applyBorder="1"/>
    <xf numFmtId="10" fontId="0" fillId="0" borderId="0" xfId="0" applyNumberFormat="1" applyAlignment="1">
      <alignment horizontal="center" wrapText="1"/>
    </xf>
    <xf numFmtId="0" fontId="12" fillId="0" borderId="0" xfId="0" applyFont="1"/>
    <xf numFmtId="171" fontId="0" fillId="0" borderId="0" xfId="0" applyNumberFormat="1"/>
    <xf numFmtId="9" fontId="0" fillId="0" borderId="0" xfId="0" applyNumberFormat="1" applyAlignment="1">
      <alignment horizontal="center" wrapText="1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1" fillId="3" borderId="2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left"/>
    </xf>
    <xf numFmtId="0" fontId="11" fillId="3" borderId="4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166" fontId="0" fillId="0" borderId="1" xfId="1" applyNumberFormat="1" applyFont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opLeftCell="A2" zoomScale="80" zoomScaleNormal="80" workbookViewId="0">
      <selection activeCell="O11" sqref="O11"/>
    </sheetView>
  </sheetViews>
  <sheetFormatPr defaultRowHeight="14.4" x14ac:dyDescent="0.3"/>
  <cols>
    <col min="2" max="2" width="11.44140625" customWidth="1"/>
    <col min="3" max="4" width="10.88671875" customWidth="1"/>
    <col min="6" max="6" width="10.88671875" customWidth="1"/>
    <col min="7" max="7" width="10.77734375" customWidth="1"/>
  </cols>
  <sheetData>
    <row r="1" spans="1:7" x14ac:dyDescent="0.3">
      <c r="A1" s="3" t="s">
        <v>103</v>
      </c>
    </row>
    <row r="3" spans="1:7" ht="72" x14ac:dyDescent="0.3">
      <c r="A3" s="24" t="s">
        <v>12</v>
      </c>
      <c r="B3" s="24" t="s">
        <v>18</v>
      </c>
      <c r="C3" s="24" t="s">
        <v>17</v>
      </c>
      <c r="D3" s="24" t="s">
        <v>16</v>
      </c>
      <c r="E3" s="24" t="s">
        <v>14</v>
      </c>
      <c r="F3" s="24" t="s">
        <v>15</v>
      </c>
      <c r="G3" s="24" t="s">
        <v>19</v>
      </c>
    </row>
    <row r="4" spans="1:7" x14ac:dyDescent="0.3">
      <c r="A4" s="38">
        <v>1</v>
      </c>
      <c r="B4" s="28">
        <v>4767354</v>
      </c>
      <c r="C4" s="28">
        <v>364.1</v>
      </c>
      <c r="D4" s="44">
        <f>C4/B4</f>
        <v>7.63736026315646E-5</v>
      </c>
      <c r="E4" s="28">
        <v>6807.5</v>
      </c>
      <c r="F4" s="28">
        <f>D4*E4</f>
        <v>0.51991329991437596</v>
      </c>
      <c r="G4" s="44">
        <f>F4/E4</f>
        <v>7.6373602631564586E-5</v>
      </c>
    </row>
    <row r="5" spans="1:7" x14ac:dyDescent="0.3">
      <c r="A5" s="38">
        <v>6</v>
      </c>
      <c r="B5" s="28">
        <v>4847873.0999999996</v>
      </c>
      <c r="C5" s="28">
        <v>156649.9</v>
      </c>
      <c r="D5" s="44">
        <f t="shared" ref="D5:D17" si="0">C5/B5</f>
        <v>3.2313118922192914E-2</v>
      </c>
      <c r="E5" s="28">
        <v>18080.400000000001</v>
      </c>
      <c r="F5" s="28">
        <f t="shared" ref="F5:F16" si="1">D5*E5</f>
        <v>584.23411536081676</v>
      </c>
      <c r="G5" s="44">
        <f t="shared" ref="G5:G17" si="2">F5/E5</f>
        <v>3.2313118922192914E-2</v>
      </c>
    </row>
    <row r="6" spans="1:7" x14ac:dyDescent="0.3">
      <c r="A6" s="38">
        <v>9</v>
      </c>
      <c r="B6" s="28">
        <v>0</v>
      </c>
      <c r="C6" s="28">
        <v>0</v>
      </c>
      <c r="D6" s="44">
        <v>0</v>
      </c>
      <c r="E6" s="28">
        <v>0</v>
      </c>
      <c r="F6" s="28">
        <v>0</v>
      </c>
      <c r="G6" s="44">
        <v>0</v>
      </c>
    </row>
    <row r="7" spans="1:7" x14ac:dyDescent="0.3">
      <c r="A7" s="38">
        <v>100</v>
      </c>
      <c r="B7" s="28">
        <v>0</v>
      </c>
      <c r="C7" s="28">
        <v>0</v>
      </c>
      <c r="D7" s="44">
        <v>0</v>
      </c>
      <c r="E7" s="28">
        <v>0</v>
      </c>
      <c r="F7" s="28">
        <v>0</v>
      </c>
      <c r="G7" s="44">
        <v>0</v>
      </c>
    </row>
    <row r="8" spans="1:7" x14ac:dyDescent="0.3">
      <c r="A8" s="38">
        <v>110</v>
      </c>
      <c r="B8" s="28">
        <v>791896.2</v>
      </c>
      <c r="C8" s="28">
        <v>367138</v>
      </c>
      <c r="D8" s="44">
        <f t="shared" si="0"/>
        <v>0.46361884297462219</v>
      </c>
      <c r="E8" s="28">
        <v>2860.4</v>
      </c>
      <c r="F8" s="28">
        <f t="shared" si="1"/>
        <v>1326.1353384446093</v>
      </c>
      <c r="G8" s="44">
        <f t="shared" si="2"/>
        <v>0.46361884297462214</v>
      </c>
    </row>
    <row r="9" spans="1:7" x14ac:dyDescent="0.3">
      <c r="A9" s="38">
        <v>115</v>
      </c>
      <c r="B9" s="28">
        <v>545114.9</v>
      </c>
      <c r="C9" s="28">
        <v>410350.3</v>
      </c>
      <c r="D9" s="44">
        <f t="shared" si="0"/>
        <v>0.75277762541438509</v>
      </c>
      <c r="E9" s="28">
        <v>2283.5</v>
      </c>
      <c r="F9" s="28">
        <f t="shared" si="1"/>
        <v>1718.9677076337484</v>
      </c>
      <c r="G9" s="44">
        <f t="shared" si="2"/>
        <v>0.75277762541438509</v>
      </c>
    </row>
    <row r="10" spans="1:7" x14ac:dyDescent="0.3">
      <c r="A10" s="38">
        <v>125</v>
      </c>
      <c r="B10" s="28">
        <v>319562.5</v>
      </c>
      <c r="C10" s="28">
        <v>0</v>
      </c>
      <c r="D10" s="44">
        <f t="shared" si="0"/>
        <v>0</v>
      </c>
      <c r="E10" s="28">
        <v>0</v>
      </c>
      <c r="F10" s="28">
        <f t="shared" si="1"/>
        <v>0</v>
      </c>
      <c r="G10" s="44">
        <v>0</v>
      </c>
    </row>
    <row r="11" spans="1:7" x14ac:dyDescent="0.3">
      <c r="A11" s="38" t="s">
        <v>13</v>
      </c>
      <c r="B11" s="28">
        <v>124896.5</v>
      </c>
      <c r="C11" s="28">
        <v>0</v>
      </c>
      <c r="D11" s="44">
        <f t="shared" si="0"/>
        <v>0</v>
      </c>
      <c r="E11" s="28">
        <v>0</v>
      </c>
      <c r="F11" s="28">
        <f t="shared" si="1"/>
        <v>0</v>
      </c>
      <c r="G11" s="44">
        <v>0</v>
      </c>
    </row>
    <row r="12" spans="1:7" x14ac:dyDescent="0.3">
      <c r="A12" s="38">
        <v>135</v>
      </c>
      <c r="B12" s="28">
        <v>64592</v>
      </c>
      <c r="C12" s="28">
        <v>0</v>
      </c>
      <c r="D12" s="44">
        <f t="shared" si="0"/>
        <v>0</v>
      </c>
      <c r="E12" s="28">
        <v>90.7</v>
      </c>
      <c r="F12" s="28">
        <f t="shared" si="1"/>
        <v>0</v>
      </c>
      <c r="G12" s="44">
        <f t="shared" si="2"/>
        <v>0</v>
      </c>
    </row>
    <row r="13" spans="1:7" x14ac:dyDescent="0.3">
      <c r="A13" s="38">
        <v>145</v>
      </c>
      <c r="B13" s="28">
        <v>50543</v>
      </c>
      <c r="C13" s="28">
        <v>3670.7</v>
      </c>
      <c r="D13" s="44">
        <f t="shared" si="0"/>
        <v>7.2625289357576714E-2</v>
      </c>
      <c r="E13" s="28">
        <v>406.8</v>
      </c>
      <c r="F13" s="28">
        <f t="shared" si="1"/>
        <v>29.543967710662209</v>
      </c>
      <c r="G13" s="44">
        <f t="shared" si="2"/>
        <v>7.2625289357576714E-2</v>
      </c>
    </row>
    <row r="14" spans="1:7" x14ac:dyDescent="0.3">
      <c r="A14" s="38">
        <v>170</v>
      </c>
      <c r="B14" s="28">
        <v>291761.7</v>
      </c>
      <c r="C14" s="28">
        <v>237627.7</v>
      </c>
      <c r="D14" s="44">
        <f t="shared" si="0"/>
        <v>0.81445816911541169</v>
      </c>
      <c r="E14" s="28">
        <v>609.4</v>
      </c>
      <c r="F14" s="28">
        <f t="shared" si="1"/>
        <v>496.33080825893188</v>
      </c>
      <c r="G14" s="44">
        <f t="shared" si="2"/>
        <v>0.81445816911541169</v>
      </c>
    </row>
    <row r="15" spans="1:7" x14ac:dyDescent="0.3">
      <c r="A15" s="38">
        <v>200</v>
      </c>
      <c r="B15" s="28">
        <v>169764.4</v>
      </c>
      <c r="C15" s="28">
        <v>0</v>
      </c>
      <c r="D15" s="44">
        <f t="shared" si="0"/>
        <v>0</v>
      </c>
      <c r="E15" s="28">
        <v>0</v>
      </c>
      <c r="F15" s="28">
        <f t="shared" si="1"/>
        <v>0</v>
      </c>
      <c r="G15" s="44">
        <v>0</v>
      </c>
    </row>
    <row r="16" spans="1:7" x14ac:dyDescent="0.3">
      <c r="A16" s="38">
        <v>300</v>
      </c>
      <c r="B16" s="28">
        <v>518.6</v>
      </c>
      <c r="C16" s="28">
        <v>0</v>
      </c>
      <c r="D16" s="44">
        <v>0</v>
      </c>
      <c r="E16" s="28">
        <v>0</v>
      </c>
      <c r="F16" s="28">
        <f t="shared" si="1"/>
        <v>0</v>
      </c>
      <c r="G16" s="44">
        <v>0</v>
      </c>
    </row>
    <row r="17" spans="1:8" x14ac:dyDescent="0.3">
      <c r="A17" s="38" t="s">
        <v>102</v>
      </c>
      <c r="B17" s="28">
        <f>SUM(B4:B16)</f>
        <v>11973876.899999999</v>
      </c>
      <c r="C17" s="28">
        <f>SUM(C4:C16)</f>
        <v>1175800.7</v>
      </c>
      <c r="D17" s="44">
        <f t="shared" si="0"/>
        <v>9.8197159518150723E-2</v>
      </c>
      <c r="E17" s="28">
        <f>SUM(E4:E16)</f>
        <v>31138.700000000004</v>
      </c>
      <c r="F17" s="28">
        <f>SUM(F4:F16)</f>
        <v>4155.7318507086829</v>
      </c>
      <c r="G17" s="44">
        <f t="shared" si="2"/>
        <v>0.13345874589204695</v>
      </c>
    </row>
    <row r="18" spans="1:8" x14ac:dyDescent="0.3">
      <c r="C18" s="8">
        <f>SUM(C5:C16)/SUM(B5:B16)</f>
        <v>0.16310731490217006</v>
      </c>
      <c r="F18" s="6"/>
      <c r="G18" s="8">
        <f>SUM(F5:F16)/SUM(E5:E16)</f>
        <v>0.1707771066535464</v>
      </c>
      <c r="H18" t="s">
        <v>21</v>
      </c>
    </row>
    <row r="19" spans="1:8" x14ac:dyDescent="0.3">
      <c r="A19" s="9" t="s">
        <v>20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M18" sqref="M18"/>
    </sheetView>
  </sheetViews>
  <sheetFormatPr defaultRowHeight="14.4" x14ac:dyDescent="0.3"/>
  <cols>
    <col min="1" max="1" width="37.6640625" customWidth="1"/>
    <col min="2" max="2" width="13.33203125" customWidth="1"/>
    <col min="3" max="3" width="12.88671875" customWidth="1"/>
    <col min="4" max="4" width="13.5546875" customWidth="1"/>
    <col min="5" max="5" width="12.21875" customWidth="1"/>
    <col min="14" max="14" width="7.6640625" customWidth="1"/>
    <col min="18" max="18" width="9.6640625" customWidth="1"/>
    <col min="22" max="22" width="7.44140625" customWidth="1"/>
  </cols>
  <sheetData>
    <row r="1" spans="1:24" ht="18" x14ac:dyDescent="0.35">
      <c r="A1" s="18" t="s">
        <v>24</v>
      </c>
    </row>
    <row r="3" spans="1:24" x14ac:dyDescent="0.3">
      <c r="A3" s="45" t="s">
        <v>8</v>
      </c>
      <c r="B3" s="45" t="s">
        <v>3</v>
      </c>
      <c r="C3" s="45"/>
      <c r="D3" s="45"/>
      <c r="E3" s="45"/>
      <c r="F3" s="45" t="s">
        <v>5</v>
      </c>
      <c r="G3" s="45"/>
      <c r="H3" s="45"/>
      <c r="I3" s="45"/>
      <c r="J3" s="45" t="s">
        <v>6</v>
      </c>
      <c r="K3" s="45"/>
      <c r="L3" s="45"/>
      <c r="M3" s="45"/>
      <c r="O3" s="39" t="s">
        <v>26</v>
      </c>
      <c r="P3" s="39"/>
      <c r="Q3" s="39"/>
      <c r="S3" t="s">
        <v>28</v>
      </c>
    </row>
    <row r="4" spans="1:24" x14ac:dyDescent="0.3">
      <c r="A4" s="45"/>
      <c r="B4" s="46" t="s">
        <v>0</v>
      </c>
      <c r="C4" s="46" t="s">
        <v>1</v>
      </c>
      <c r="D4" s="46" t="s">
        <v>2</v>
      </c>
      <c r="E4" s="46" t="s">
        <v>4</v>
      </c>
      <c r="F4" s="46" t="s">
        <v>0</v>
      </c>
      <c r="G4" s="46" t="s">
        <v>1</v>
      </c>
      <c r="H4" s="46" t="s">
        <v>2</v>
      </c>
      <c r="I4" s="46" t="s">
        <v>4</v>
      </c>
      <c r="J4" s="46" t="s">
        <v>0</v>
      </c>
      <c r="K4" s="46" t="s">
        <v>1</v>
      </c>
      <c r="L4" s="46" t="s">
        <v>2</v>
      </c>
      <c r="M4" s="46" t="s">
        <v>4</v>
      </c>
      <c r="O4" s="13" t="s">
        <v>9</v>
      </c>
      <c r="P4" s="13" t="s">
        <v>10</v>
      </c>
      <c r="Q4" s="13" t="s">
        <v>11</v>
      </c>
      <c r="S4" s="13" t="s">
        <v>9</v>
      </c>
      <c r="T4" s="13" t="s">
        <v>10</v>
      </c>
      <c r="U4" s="13" t="s">
        <v>11</v>
      </c>
      <c r="X4" s="15"/>
    </row>
    <row r="5" spans="1:24" x14ac:dyDescent="0.3">
      <c r="A5" s="11">
        <v>2015</v>
      </c>
      <c r="B5" s="10">
        <v>110</v>
      </c>
      <c r="C5" s="10">
        <v>39</v>
      </c>
      <c r="D5" s="10">
        <v>118</v>
      </c>
      <c r="E5" s="10">
        <f>SUM(B5:D5)</f>
        <v>267</v>
      </c>
      <c r="F5" s="10">
        <v>69</v>
      </c>
      <c r="G5" s="10">
        <v>26</v>
      </c>
      <c r="H5" s="10">
        <v>100</v>
      </c>
      <c r="I5" s="10">
        <f>SUM(F5:H5)</f>
        <v>195</v>
      </c>
      <c r="J5" s="10">
        <v>65</v>
      </c>
      <c r="K5" s="10">
        <v>24</v>
      </c>
      <c r="L5" s="10">
        <v>82</v>
      </c>
      <c r="M5" s="10">
        <f>SUM(J5:L5)</f>
        <v>171</v>
      </c>
    </row>
    <row r="6" spans="1:24" x14ac:dyDescent="0.3">
      <c r="A6" s="11">
        <v>2016</v>
      </c>
      <c r="B6" s="10">
        <v>230</v>
      </c>
      <c r="C6" s="10">
        <v>85</v>
      </c>
      <c r="D6" s="10">
        <v>260</v>
      </c>
      <c r="E6" s="10">
        <f t="shared" ref="E6:E10" si="0">SUM(B6:D6)</f>
        <v>575</v>
      </c>
      <c r="F6" s="10">
        <v>138</v>
      </c>
      <c r="G6" s="10">
        <v>58</v>
      </c>
      <c r="H6" s="10">
        <v>218</v>
      </c>
      <c r="I6" s="10">
        <f t="shared" ref="I6:I10" si="1">SUM(F6:H6)</f>
        <v>414</v>
      </c>
      <c r="J6" s="10">
        <v>130</v>
      </c>
      <c r="K6" s="10">
        <v>52</v>
      </c>
      <c r="L6" s="10">
        <v>181</v>
      </c>
      <c r="M6" s="10">
        <f t="shared" ref="M6:M10" si="2">SUM(J6:L6)</f>
        <v>363</v>
      </c>
    </row>
    <row r="7" spans="1:24" x14ac:dyDescent="0.3">
      <c r="A7" s="11">
        <v>2017</v>
      </c>
      <c r="B7" s="10">
        <v>357</v>
      </c>
      <c r="C7" s="10">
        <v>140</v>
      </c>
      <c r="D7" s="10">
        <v>393</v>
      </c>
      <c r="E7" s="10">
        <f t="shared" si="0"/>
        <v>890</v>
      </c>
      <c r="F7" s="10">
        <v>207</v>
      </c>
      <c r="G7" s="10">
        <v>95</v>
      </c>
      <c r="H7" s="10">
        <v>328</v>
      </c>
      <c r="I7" s="10">
        <f t="shared" si="1"/>
        <v>630</v>
      </c>
      <c r="J7" s="10">
        <v>194</v>
      </c>
      <c r="K7" s="10">
        <v>85</v>
      </c>
      <c r="L7" s="10">
        <v>276</v>
      </c>
      <c r="M7" s="10">
        <f t="shared" si="2"/>
        <v>555</v>
      </c>
    </row>
    <row r="8" spans="1:24" x14ac:dyDescent="0.3">
      <c r="A8" s="11">
        <v>2018</v>
      </c>
      <c r="B8" s="10">
        <v>474</v>
      </c>
      <c r="C8" s="10">
        <v>203</v>
      </c>
      <c r="D8" s="10">
        <v>532</v>
      </c>
      <c r="E8" s="10">
        <f t="shared" si="0"/>
        <v>1209</v>
      </c>
      <c r="F8" s="10">
        <v>277</v>
      </c>
      <c r="G8" s="10">
        <v>138</v>
      </c>
      <c r="H8" s="10">
        <v>443</v>
      </c>
      <c r="I8" s="10">
        <f t="shared" si="1"/>
        <v>858</v>
      </c>
      <c r="J8" s="10">
        <v>260</v>
      </c>
      <c r="K8" s="10">
        <v>123</v>
      </c>
      <c r="L8" s="10">
        <v>376</v>
      </c>
      <c r="M8" s="10">
        <f t="shared" si="2"/>
        <v>759</v>
      </c>
    </row>
    <row r="9" spans="1:24" x14ac:dyDescent="0.3">
      <c r="A9" s="11">
        <v>2019</v>
      </c>
      <c r="B9" s="10">
        <v>590</v>
      </c>
      <c r="C9" s="10">
        <v>273</v>
      </c>
      <c r="D9" s="10">
        <v>670</v>
      </c>
      <c r="E9" s="10">
        <f t="shared" si="0"/>
        <v>1533</v>
      </c>
      <c r="F9" s="10">
        <v>349</v>
      </c>
      <c r="G9" s="10">
        <v>187</v>
      </c>
      <c r="H9" s="10">
        <v>558</v>
      </c>
      <c r="I9" s="10">
        <f t="shared" si="1"/>
        <v>1094</v>
      </c>
      <c r="J9" s="10">
        <v>326</v>
      </c>
      <c r="K9" s="10">
        <v>165</v>
      </c>
      <c r="L9" s="10">
        <v>478</v>
      </c>
      <c r="M9" s="10">
        <f t="shared" si="2"/>
        <v>969</v>
      </c>
    </row>
    <row r="10" spans="1:24" x14ac:dyDescent="0.3">
      <c r="A10" s="11">
        <v>2020</v>
      </c>
      <c r="B10" s="10">
        <v>708</v>
      </c>
      <c r="C10" s="10">
        <v>351</v>
      </c>
      <c r="D10" s="10">
        <v>810</v>
      </c>
      <c r="E10" s="10">
        <f t="shared" si="0"/>
        <v>1869</v>
      </c>
      <c r="F10" s="10">
        <v>423</v>
      </c>
      <c r="G10" s="10">
        <v>241</v>
      </c>
      <c r="H10" s="10">
        <v>674</v>
      </c>
      <c r="I10" s="10">
        <f t="shared" si="1"/>
        <v>1338</v>
      </c>
      <c r="J10" s="10">
        <v>395</v>
      </c>
      <c r="K10" s="10">
        <v>211</v>
      </c>
      <c r="L10" s="10">
        <v>581</v>
      </c>
      <c r="M10" s="10">
        <f t="shared" si="2"/>
        <v>1187</v>
      </c>
      <c r="O10">
        <v>350</v>
      </c>
      <c r="P10">
        <v>241</v>
      </c>
      <c r="Q10">
        <v>183</v>
      </c>
      <c r="S10">
        <f>E10-O10</f>
        <v>1519</v>
      </c>
      <c r="T10">
        <f>I10-P10</f>
        <v>1097</v>
      </c>
      <c r="U10">
        <f>M10-Q10</f>
        <v>1004</v>
      </c>
    </row>
    <row r="11" spans="1:24" x14ac:dyDescent="0.3">
      <c r="A11" s="11" t="s">
        <v>7</v>
      </c>
      <c r="B11" s="10">
        <f>B10-B7</f>
        <v>351</v>
      </c>
      <c r="C11" s="10">
        <f t="shared" ref="C11:M11" si="3">C10-C7</f>
        <v>211</v>
      </c>
      <c r="D11" s="10">
        <f t="shared" si="3"/>
        <v>417</v>
      </c>
      <c r="E11" s="10">
        <f t="shared" si="3"/>
        <v>979</v>
      </c>
      <c r="F11" s="10">
        <f t="shared" si="3"/>
        <v>216</v>
      </c>
      <c r="G11" s="10">
        <f t="shared" si="3"/>
        <v>146</v>
      </c>
      <c r="H11" s="10">
        <f t="shared" si="3"/>
        <v>346</v>
      </c>
      <c r="I11" s="10">
        <f t="shared" si="3"/>
        <v>708</v>
      </c>
      <c r="J11" s="10">
        <f t="shared" si="3"/>
        <v>201</v>
      </c>
      <c r="K11" s="10">
        <f t="shared" si="3"/>
        <v>126</v>
      </c>
      <c r="L11" s="10">
        <f t="shared" si="3"/>
        <v>305</v>
      </c>
      <c r="M11" s="10">
        <f t="shared" si="3"/>
        <v>632</v>
      </c>
      <c r="N11" s="4"/>
      <c r="O11" s="2"/>
      <c r="P11" s="2"/>
      <c r="Q11" s="2"/>
    </row>
    <row r="12" spans="1:24" x14ac:dyDescent="0.3">
      <c r="A12" s="1" t="s">
        <v>27</v>
      </c>
    </row>
    <row r="14" spans="1:24" x14ac:dyDescent="0.3">
      <c r="A14" s="3" t="s">
        <v>53</v>
      </c>
    </row>
    <row r="16" spans="1:24" ht="28.8" x14ac:dyDescent="0.3">
      <c r="B16" s="5" t="s">
        <v>3</v>
      </c>
      <c r="C16" s="5" t="s">
        <v>5</v>
      </c>
      <c r="D16" s="5" t="s">
        <v>6</v>
      </c>
    </row>
    <row r="17" spans="1:5" x14ac:dyDescent="0.3">
      <c r="A17" s="20" t="s">
        <v>51</v>
      </c>
      <c r="B17" s="5"/>
      <c r="C17" s="5"/>
      <c r="D17" s="5"/>
    </row>
    <row r="18" spans="1:5" x14ac:dyDescent="0.3">
      <c r="A18" t="s">
        <v>25</v>
      </c>
      <c r="B18">
        <f>E10</f>
        <v>1869</v>
      </c>
      <c r="C18">
        <f>I10</f>
        <v>1338</v>
      </c>
      <c r="D18">
        <f>M10</f>
        <v>1187</v>
      </c>
    </row>
    <row r="19" spans="1:5" x14ac:dyDescent="0.3">
      <c r="A19" t="s">
        <v>30</v>
      </c>
      <c r="B19">
        <f>B18-$D$18</f>
        <v>682</v>
      </c>
      <c r="C19">
        <f>C18-$D$18</f>
        <v>151</v>
      </c>
    </row>
    <row r="20" spans="1:5" x14ac:dyDescent="0.3">
      <c r="A20" t="s">
        <v>29</v>
      </c>
      <c r="B20">
        <f>S10</f>
        <v>1519</v>
      </c>
      <c r="C20">
        <f>T10</f>
        <v>1097</v>
      </c>
      <c r="D20">
        <f>U10</f>
        <v>1004</v>
      </c>
    </row>
    <row r="21" spans="1:5" x14ac:dyDescent="0.3">
      <c r="A21" t="s">
        <v>31</v>
      </c>
      <c r="B21">
        <f>B20-$D$20</f>
        <v>515</v>
      </c>
      <c r="C21">
        <f>C20-$D$20</f>
        <v>93</v>
      </c>
    </row>
    <row r="22" spans="1:5" x14ac:dyDescent="0.3">
      <c r="A22" s="20" t="s">
        <v>52</v>
      </c>
    </row>
    <row r="23" spans="1:5" x14ac:dyDescent="0.3">
      <c r="A23" t="s">
        <v>36</v>
      </c>
      <c r="B23" s="6">
        <v>28582</v>
      </c>
      <c r="C23" s="6">
        <v>18909</v>
      </c>
      <c r="D23" s="6">
        <v>14115</v>
      </c>
      <c r="E23" s="1" t="s">
        <v>37</v>
      </c>
    </row>
    <row r="24" spans="1:5" x14ac:dyDescent="0.3">
      <c r="A24" s="25" t="s">
        <v>77</v>
      </c>
      <c r="B24" s="26">
        <f>B23/B18</f>
        <v>15.29266987693954</v>
      </c>
      <c r="C24" s="26">
        <f t="shared" ref="C24:D24" si="4">C23/C18</f>
        <v>14.132286995515695</v>
      </c>
      <c r="D24" s="26">
        <f t="shared" si="4"/>
        <v>11.891322662173547</v>
      </c>
      <c r="E24" s="1"/>
    </row>
    <row r="25" spans="1:5" x14ac:dyDescent="0.3">
      <c r="A25" t="s">
        <v>41</v>
      </c>
      <c r="B25" s="6">
        <f>B23-$D$23</f>
        <v>14467</v>
      </c>
      <c r="C25" s="6">
        <f>C23-$D$23</f>
        <v>4794</v>
      </c>
    </row>
    <row r="26" spans="1:5" x14ac:dyDescent="0.3">
      <c r="A26" t="s">
        <v>38</v>
      </c>
      <c r="B26" s="6">
        <v>5726</v>
      </c>
      <c r="C26" s="6">
        <v>3999</v>
      </c>
      <c r="D26" s="6">
        <v>1174</v>
      </c>
      <c r="E26" s="1" t="s">
        <v>39</v>
      </c>
    </row>
    <row r="27" spans="1:5" x14ac:dyDescent="0.3">
      <c r="A27" t="s">
        <v>40</v>
      </c>
      <c r="B27" s="6">
        <f>B23-B26</f>
        <v>22856</v>
      </c>
      <c r="C27" s="6">
        <f>C23-C26</f>
        <v>14910</v>
      </c>
      <c r="D27" s="6">
        <f>D23-D26</f>
        <v>12941</v>
      </c>
    </row>
    <row r="28" spans="1:5" x14ac:dyDescent="0.3">
      <c r="A28" s="25" t="s">
        <v>77</v>
      </c>
      <c r="B28" s="26">
        <f>B27/B20</f>
        <v>15.046741277156023</v>
      </c>
      <c r="C28" s="26">
        <f t="shared" ref="C28:D28" si="5">C27/C20</f>
        <v>13.591613491340018</v>
      </c>
      <c r="D28" s="26">
        <f t="shared" si="5"/>
        <v>12.889442231075698</v>
      </c>
    </row>
    <row r="29" spans="1:5" x14ac:dyDescent="0.3">
      <c r="A29" t="s">
        <v>42</v>
      </c>
      <c r="B29" s="6">
        <f>B27-$D$27</f>
        <v>9915</v>
      </c>
      <c r="C29" s="6">
        <f>C27-$D$27</f>
        <v>1969</v>
      </c>
      <c r="D29" s="6"/>
    </row>
    <row r="30" spans="1:5" x14ac:dyDescent="0.3">
      <c r="A30" s="25" t="s">
        <v>77</v>
      </c>
      <c r="B30" s="26">
        <f>B29/B21</f>
        <v>19.252427184466018</v>
      </c>
      <c r="C30" s="26">
        <f>C29/C21</f>
        <v>21.172043010752688</v>
      </c>
      <c r="D30" s="6"/>
    </row>
    <row r="31" spans="1:5" x14ac:dyDescent="0.3">
      <c r="A31" s="20" t="s">
        <v>54</v>
      </c>
      <c r="B31" s="6"/>
      <c r="C31" s="6"/>
      <c r="D31" s="6"/>
    </row>
    <row r="32" spans="1:5" x14ac:dyDescent="0.3">
      <c r="A32" t="s">
        <v>32</v>
      </c>
      <c r="B32">
        <v>3298</v>
      </c>
      <c r="C32">
        <v>893</v>
      </c>
      <c r="D32">
        <v>666</v>
      </c>
    </row>
    <row r="33" spans="1:4" x14ac:dyDescent="0.3">
      <c r="A33" t="s">
        <v>33</v>
      </c>
      <c r="B33">
        <f>B32-$D$32</f>
        <v>2632</v>
      </c>
      <c r="C33">
        <f>C32-$D$32</f>
        <v>227</v>
      </c>
    </row>
    <row r="34" spans="1:4" x14ac:dyDescent="0.3">
      <c r="A34" t="s">
        <v>34</v>
      </c>
      <c r="B34">
        <v>442</v>
      </c>
      <c r="C34">
        <v>33</v>
      </c>
      <c r="D34">
        <v>26</v>
      </c>
    </row>
    <row r="35" spans="1:4" x14ac:dyDescent="0.3">
      <c r="A35" t="s">
        <v>49</v>
      </c>
      <c r="B35">
        <f>B32-B34</f>
        <v>2856</v>
      </c>
      <c r="C35">
        <f t="shared" ref="C35:D35" si="6">C32-C34</f>
        <v>860</v>
      </c>
      <c r="D35">
        <f t="shared" si="6"/>
        <v>640</v>
      </c>
    </row>
    <row r="36" spans="1:4" x14ac:dyDescent="0.3">
      <c r="A36" t="s">
        <v>35</v>
      </c>
      <c r="B36">
        <f>(B32-B34)-($D$32-$D$34)</f>
        <v>2216</v>
      </c>
      <c r="C36">
        <f>(C32-C34)-($D$32-$D$34)</f>
        <v>220</v>
      </c>
    </row>
    <row r="38" spans="1:4" x14ac:dyDescent="0.3">
      <c r="A38" s="3" t="s">
        <v>43</v>
      </c>
    </row>
    <row r="39" spans="1:4" x14ac:dyDescent="0.3">
      <c r="A39" t="s">
        <v>22</v>
      </c>
      <c r="B39" s="6">
        <f>B23*1875</f>
        <v>53591250</v>
      </c>
      <c r="C39" s="6">
        <f>C23*1875</f>
        <v>35454375</v>
      </c>
      <c r="D39" s="6">
        <f>D23*1875</f>
        <v>26465625</v>
      </c>
    </row>
    <row r="40" spans="1:4" x14ac:dyDescent="0.3">
      <c r="A40" t="s">
        <v>44</v>
      </c>
      <c r="B40" s="6">
        <f t="shared" ref="B40:D42" si="7">B25*1875</f>
        <v>27125625</v>
      </c>
      <c r="C40" s="6">
        <f t="shared" si="7"/>
        <v>8988750</v>
      </c>
      <c r="D40" s="6">
        <f t="shared" si="7"/>
        <v>0</v>
      </c>
    </row>
    <row r="41" spans="1:4" x14ac:dyDescent="0.3">
      <c r="A41" t="s">
        <v>45</v>
      </c>
      <c r="B41" s="6">
        <f t="shared" si="7"/>
        <v>10736250</v>
      </c>
      <c r="C41" s="6">
        <f t="shared" si="7"/>
        <v>7498125</v>
      </c>
      <c r="D41" s="6">
        <f t="shared" si="7"/>
        <v>2201250</v>
      </c>
    </row>
    <row r="42" spans="1:4" x14ac:dyDescent="0.3">
      <c r="A42" t="s">
        <v>46</v>
      </c>
      <c r="B42" s="6">
        <f t="shared" si="7"/>
        <v>42855000</v>
      </c>
      <c r="C42" s="6">
        <f t="shared" si="7"/>
        <v>27956250</v>
      </c>
      <c r="D42" s="6">
        <f t="shared" si="7"/>
        <v>24264375</v>
      </c>
    </row>
    <row r="43" spans="1:4" x14ac:dyDescent="0.3">
      <c r="A43" t="s">
        <v>47</v>
      </c>
      <c r="B43" s="6">
        <f>B29*1875</f>
        <v>18590625</v>
      </c>
      <c r="C43" s="6">
        <f>C29*1875</f>
        <v>3691875</v>
      </c>
      <c r="D43" s="6">
        <f>D29*1875</f>
        <v>0</v>
      </c>
    </row>
    <row r="44" spans="1:4" x14ac:dyDescent="0.3">
      <c r="B44" s="19"/>
      <c r="C44" s="19"/>
    </row>
    <row r="45" spans="1:4" x14ac:dyDescent="0.3">
      <c r="A45" s="3" t="s">
        <v>48</v>
      </c>
    </row>
    <row r="46" spans="1:4" x14ac:dyDescent="0.3">
      <c r="A46" t="s">
        <v>22</v>
      </c>
      <c r="B46" s="19">
        <f>B32*1000000/B39</f>
        <v>61.539896904811883</v>
      </c>
      <c r="C46" s="19">
        <f>C32*1000000/C39</f>
        <v>25.187300579970739</v>
      </c>
      <c r="D46" s="19">
        <f>D32*1000000/D39</f>
        <v>25.164718384697132</v>
      </c>
    </row>
    <row r="47" spans="1:4" x14ac:dyDescent="0.3">
      <c r="A47" t="s">
        <v>44</v>
      </c>
      <c r="B47" s="19">
        <f>B33*1000000/B40</f>
        <v>97.030022349715438</v>
      </c>
      <c r="C47" s="19">
        <f>C33*1000000/C40</f>
        <v>25.253789459046029</v>
      </c>
      <c r="D47" s="19"/>
    </row>
    <row r="48" spans="1:4" x14ac:dyDescent="0.3">
      <c r="A48" t="s">
        <v>46</v>
      </c>
      <c r="B48" s="19">
        <f>(B35*1000000)/B42</f>
        <v>66.643332166608332</v>
      </c>
      <c r="C48" s="19">
        <f>(C35*1000000)/C42</f>
        <v>30.762351889112452</v>
      </c>
      <c r="D48" s="19">
        <f>(D35*1000000)/D42</f>
        <v>26.376117250083713</v>
      </c>
    </row>
    <row r="49" spans="1:24" x14ac:dyDescent="0.3">
      <c r="A49" t="s">
        <v>50</v>
      </c>
      <c r="B49" s="19">
        <f>B36*1000000/B43</f>
        <v>119.19986552361742</v>
      </c>
      <c r="C49" s="19">
        <f>C36*1000000/C43</f>
        <v>59.590316573556798</v>
      </c>
      <c r="D49" s="19"/>
    </row>
    <row r="51" spans="1:24" ht="43.2" x14ac:dyDescent="0.3">
      <c r="A51" s="3" t="s">
        <v>95</v>
      </c>
      <c r="B51">
        <v>2018</v>
      </c>
      <c r="C51">
        <f>B51+1</f>
        <v>2019</v>
      </c>
      <c r="D51">
        <f t="shared" ref="D51:V51" si="8">C51+1</f>
        <v>2020</v>
      </c>
      <c r="E51">
        <f t="shared" si="8"/>
        <v>2021</v>
      </c>
      <c r="F51">
        <f t="shared" si="8"/>
        <v>2022</v>
      </c>
      <c r="G51">
        <f t="shared" si="8"/>
        <v>2023</v>
      </c>
      <c r="H51">
        <f t="shared" si="8"/>
        <v>2024</v>
      </c>
      <c r="I51">
        <f t="shared" si="8"/>
        <v>2025</v>
      </c>
      <c r="J51">
        <f t="shared" si="8"/>
        <v>2026</v>
      </c>
      <c r="K51">
        <f t="shared" si="8"/>
        <v>2027</v>
      </c>
      <c r="L51">
        <f>K51+1</f>
        <v>2028</v>
      </c>
      <c r="M51">
        <f t="shared" si="8"/>
        <v>2029</v>
      </c>
      <c r="N51">
        <f t="shared" si="8"/>
        <v>2030</v>
      </c>
      <c r="O51">
        <f t="shared" si="8"/>
        <v>2031</v>
      </c>
      <c r="P51">
        <f t="shared" si="8"/>
        <v>2032</v>
      </c>
      <c r="Q51">
        <f t="shared" si="8"/>
        <v>2033</v>
      </c>
      <c r="R51">
        <f t="shared" si="8"/>
        <v>2034</v>
      </c>
      <c r="S51">
        <f t="shared" si="8"/>
        <v>2035</v>
      </c>
      <c r="T51">
        <f t="shared" si="8"/>
        <v>2036</v>
      </c>
      <c r="U51">
        <f t="shared" si="8"/>
        <v>2037</v>
      </c>
      <c r="V51">
        <f t="shared" si="8"/>
        <v>2038</v>
      </c>
      <c r="W51" s="5" t="s">
        <v>97</v>
      </c>
      <c r="X51" s="5" t="s">
        <v>98</v>
      </c>
    </row>
    <row r="52" spans="1:24" x14ac:dyDescent="0.3">
      <c r="A52" t="s">
        <v>55</v>
      </c>
      <c r="B52">
        <v>17</v>
      </c>
      <c r="C52">
        <v>18</v>
      </c>
      <c r="D52">
        <v>18</v>
      </c>
      <c r="E52">
        <v>19</v>
      </c>
      <c r="F52">
        <v>20</v>
      </c>
      <c r="G52">
        <v>21</v>
      </c>
      <c r="H52">
        <v>31</v>
      </c>
      <c r="I52">
        <v>36</v>
      </c>
      <c r="J52">
        <v>43</v>
      </c>
      <c r="K52">
        <v>50</v>
      </c>
      <c r="L52">
        <v>57</v>
      </c>
      <c r="M52">
        <f>L52</f>
        <v>57</v>
      </c>
      <c r="N52">
        <f t="shared" ref="N52:P52" si="9">M52</f>
        <v>57</v>
      </c>
      <c r="O52">
        <f t="shared" si="9"/>
        <v>57</v>
      </c>
      <c r="P52">
        <f t="shared" si="9"/>
        <v>57</v>
      </c>
      <c r="Q52">
        <f t="shared" ref="Q52:U52" si="10">P52</f>
        <v>57</v>
      </c>
      <c r="R52">
        <f t="shared" si="10"/>
        <v>57</v>
      </c>
      <c r="S52">
        <f t="shared" si="10"/>
        <v>57</v>
      </c>
      <c r="T52">
        <f t="shared" si="10"/>
        <v>57</v>
      </c>
      <c r="U52">
        <f t="shared" si="10"/>
        <v>57</v>
      </c>
      <c r="V52">
        <f t="shared" ref="V52" si="11">U52</f>
        <v>57</v>
      </c>
      <c r="W52" s="23">
        <f>(NPV('Avoid cost'!$E$30,C52:T52)+B52)*(1+'Avoid cost'!$E$32)</f>
        <v>527.18129430100544</v>
      </c>
      <c r="X52" s="23">
        <f>(NPV('Avoid cost'!$E$30,C52:V52)+B52)*(1+'Avoid cost'!$E$32)</f>
        <v>581.15213586506445</v>
      </c>
    </row>
    <row r="53" spans="1:24" x14ac:dyDescent="0.3">
      <c r="A53" t="s">
        <v>56</v>
      </c>
      <c r="B53">
        <v>17</v>
      </c>
      <c r="C53">
        <v>18</v>
      </c>
      <c r="D53">
        <v>18</v>
      </c>
      <c r="E53">
        <v>19</v>
      </c>
      <c r="F53">
        <v>20</v>
      </c>
      <c r="G53">
        <v>21</v>
      </c>
      <c r="H53">
        <v>22</v>
      </c>
      <c r="I53">
        <v>23</v>
      </c>
      <c r="J53">
        <v>24</v>
      </c>
      <c r="K53">
        <v>25</v>
      </c>
      <c r="L53">
        <v>27</v>
      </c>
      <c r="M53">
        <f>L53</f>
        <v>27</v>
      </c>
      <c r="N53">
        <f t="shared" ref="N53:P53" si="12">M53</f>
        <v>27</v>
      </c>
      <c r="O53">
        <f t="shared" si="12"/>
        <v>27</v>
      </c>
      <c r="P53">
        <f t="shared" si="12"/>
        <v>27</v>
      </c>
      <c r="Q53">
        <f t="shared" ref="Q53:U53" si="13">P53</f>
        <v>27</v>
      </c>
      <c r="R53">
        <f t="shared" si="13"/>
        <v>27</v>
      </c>
      <c r="S53">
        <f t="shared" si="13"/>
        <v>27</v>
      </c>
      <c r="T53">
        <f t="shared" si="13"/>
        <v>27</v>
      </c>
      <c r="U53">
        <f t="shared" si="13"/>
        <v>27</v>
      </c>
      <c r="V53">
        <f t="shared" ref="V53" si="14">U53</f>
        <v>27</v>
      </c>
      <c r="W53" s="23">
        <f>(NPV('Avoid cost'!$E$30,C53:T53)+B53)*(1+'Avoid cost'!$E$32)</f>
        <v>318.53509419393754</v>
      </c>
      <c r="X53" s="23">
        <f>(NPV('Avoid cost'!$E$30,C53:V53)+B53)*(1+'Avoid cost'!$E$32)</f>
        <v>344.10022967164969</v>
      </c>
    </row>
    <row r="54" spans="1:24" x14ac:dyDescent="0.3">
      <c r="A54" t="s">
        <v>57</v>
      </c>
      <c r="B54">
        <v>67</v>
      </c>
      <c r="C54">
        <v>70</v>
      </c>
      <c r="D54">
        <v>74</v>
      </c>
      <c r="E54">
        <v>77</v>
      </c>
      <c r="F54">
        <v>81</v>
      </c>
      <c r="G54">
        <v>85</v>
      </c>
      <c r="H54">
        <v>89</v>
      </c>
      <c r="I54">
        <v>94</v>
      </c>
      <c r="J54">
        <v>98</v>
      </c>
      <c r="K54">
        <v>103</v>
      </c>
      <c r="L54">
        <v>108</v>
      </c>
      <c r="M54">
        <f>L54</f>
        <v>108</v>
      </c>
      <c r="N54">
        <f t="shared" ref="N54:P54" si="15">M54</f>
        <v>108</v>
      </c>
      <c r="O54">
        <f t="shared" si="15"/>
        <v>108</v>
      </c>
      <c r="P54">
        <f t="shared" si="15"/>
        <v>108</v>
      </c>
      <c r="Q54">
        <f t="shared" ref="Q54:U54" si="16">P54</f>
        <v>108</v>
      </c>
      <c r="R54">
        <f t="shared" si="16"/>
        <v>108</v>
      </c>
      <c r="S54">
        <f t="shared" si="16"/>
        <v>108</v>
      </c>
      <c r="T54">
        <f t="shared" si="16"/>
        <v>108</v>
      </c>
      <c r="U54">
        <f t="shared" si="16"/>
        <v>108</v>
      </c>
      <c r="V54">
        <f t="shared" ref="V54" si="17">U54</f>
        <v>108</v>
      </c>
      <c r="W54" s="23">
        <f>(NPV('Avoid cost'!$E$30,C54:T54)+B54)*(1+'Avoid cost'!$E$32)</f>
        <v>1281.6367386208242</v>
      </c>
      <c r="X54" s="23">
        <f>(NPV('Avoid cost'!$E$30,C54:V54)+B54)*(1+'Avoid cost'!$E$32)</f>
        <v>1383.8972805316732</v>
      </c>
    </row>
    <row r="55" spans="1:24" x14ac:dyDescent="0.3">
      <c r="A55" s="1" t="s">
        <v>58</v>
      </c>
    </row>
    <row r="56" spans="1:24" x14ac:dyDescent="0.3">
      <c r="A56" s="1"/>
    </row>
    <row r="57" spans="1:24" x14ac:dyDescent="0.3">
      <c r="A57" s="3" t="s">
        <v>62</v>
      </c>
    </row>
    <row r="58" spans="1:24" ht="86.4" x14ac:dyDescent="0.3">
      <c r="A58" s="37"/>
      <c r="B58" s="12" t="s">
        <v>83</v>
      </c>
      <c r="C58" s="12" t="s">
        <v>84</v>
      </c>
      <c r="D58" t="s">
        <v>61</v>
      </c>
    </row>
    <row r="59" spans="1:24" x14ac:dyDescent="0.3">
      <c r="A59" s="40" t="s">
        <v>23</v>
      </c>
      <c r="B59" s="41"/>
      <c r="C59" s="42"/>
    </row>
    <row r="60" spans="1:24" x14ac:dyDescent="0.3">
      <c r="A60" s="10" t="s">
        <v>63</v>
      </c>
      <c r="B60" s="27">
        <f>B21/6</f>
        <v>85.833333333333329</v>
      </c>
      <c r="C60" s="27">
        <f>C21/6</f>
        <v>15.5</v>
      </c>
      <c r="D60" s="22" t="s">
        <v>66</v>
      </c>
    </row>
    <row r="61" spans="1:24" x14ac:dyDescent="0.3">
      <c r="A61" s="10" t="s">
        <v>64</v>
      </c>
      <c r="B61" s="28">
        <f>B29/6</f>
        <v>1652.5</v>
      </c>
      <c r="C61" s="28">
        <f>C29/6</f>
        <v>328.16666666666669</v>
      </c>
      <c r="D61" s="22" t="s">
        <v>78</v>
      </c>
    </row>
    <row r="62" spans="1:24" x14ac:dyDescent="0.3">
      <c r="A62" s="10" t="s">
        <v>79</v>
      </c>
      <c r="B62" s="29">
        <f>B61/B60</f>
        <v>19.252427184466022</v>
      </c>
      <c r="C62" s="29">
        <f>C61/C60</f>
        <v>21.172043010752688</v>
      </c>
      <c r="D62" s="22"/>
    </row>
    <row r="63" spans="1:24" x14ac:dyDescent="0.3">
      <c r="A63" s="10" t="s">
        <v>71</v>
      </c>
      <c r="B63" s="28">
        <f>B60*1875</f>
        <v>160937.5</v>
      </c>
      <c r="C63" s="28">
        <f>C60*1875</f>
        <v>29062.5</v>
      </c>
      <c r="D63" s="22" t="s">
        <v>72</v>
      </c>
    </row>
    <row r="64" spans="1:24" x14ac:dyDescent="0.3">
      <c r="A64" s="40" t="s">
        <v>54</v>
      </c>
      <c r="B64" s="41"/>
      <c r="C64" s="42"/>
      <c r="D64" s="22"/>
    </row>
    <row r="65" spans="1:4" x14ac:dyDescent="0.3">
      <c r="A65" s="10" t="s">
        <v>65</v>
      </c>
      <c r="B65" s="30">
        <f>B36/6</f>
        <v>369.33333333333331</v>
      </c>
      <c r="C65" s="30">
        <f>C36/6</f>
        <v>36.666666666666664</v>
      </c>
      <c r="D65" s="22" t="s">
        <v>67</v>
      </c>
    </row>
    <row r="66" spans="1:4" x14ac:dyDescent="0.3">
      <c r="A66" s="40" t="s">
        <v>69</v>
      </c>
      <c r="B66" s="41"/>
      <c r="C66" s="42"/>
      <c r="D66" s="22"/>
    </row>
    <row r="67" spans="1:4" x14ac:dyDescent="0.3">
      <c r="A67" s="10" t="s">
        <v>68</v>
      </c>
      <c r="B67" s="30">
        <f>B60*'Avoid cost'!M25</f>
        <v>285.22870787838082</v>
      </c>
      <c r="C67" s="30">
        <f>C60*'Avoid cost'!M27</f>
        <v>55.679212153640236</v>
      </c>
    </row>
    <row r="68" spans="1:4" x14ac:dyDescent="0.3">
      <c r="A68" s="10" t="s">
        <v>70</v>
      </c>
      <c r="B68" s="32">
        <f>B63*$W$52/1000000</f>
        <v>84.843239551568061</v>
      </c>
      <c r="C68" s="32">
        <f>C63*'Ben-Cost'!X52/1000000</f>
        <v>16.889733948578435</v>
      </c>
    </row>
    <row r="69" spans="1:4" x14ac:dyDescent="0.3">
      <c r="A69" s="10" t="s">
        <v>73</v>
      </c>
      <c r="B69" s="30">
        <f>B68+B67</f>
        <v>370.07194742994886</v>
      </c>
      <c r="C69" s="30">
        <f>C68+C67</f>
        <v>72.568946102218675</v>
      </c>
    </row>
    <row r="70" spans="1:4" x14ac:dyDescent="0.3">
      <c r="A70" s="40" t="s">
        <v>74</v>
      </c>
      <c r="B70" s="41"/>
      <c r="C70" s="42"/>
    </row>
    <row r="71" spans="1:4" x14ac:dyDescent="0.3">
      <c r="A71" s="10" t="s">
        <v>75</v>
      </c>
      <c r="B71" s="30">
        <f>B69-B65</f>
        <v>0.73861409661554944</v>
      </c>
      <c r="C71" s="30">
        <f>C69-C65</f>
        <v>35.902279435552011</v>
      </c>
    </row>
    <row r="72" spans="1:4" x14ac:dyDescent="0.3">
      <c r="A72" s="40" t="s">
        <v>76</v>
      </c>
      <c r="B72" s="41"/>
      <c r="C72" s="42"/>
    </row>
    <row r="73" spans="1:4" x14ac:dyDescent="0.3">
      <c r="A73" s="10" t="s">
        <v>82</v>
      </c>
      <c r="B73" s="31">
        <f>B69/B65</f>
        <v>1.0019998576623164</v>
      </c>
      <c r="C73" s="31">
        <f>C69/C65</f>
        <v>1.9791530755150548</v>
      </c>
    </row>
    <row r="74" spans="1:4" x14ac:dyDescent="0.3">
      <c r="A74" s="40" t="s">
        <v>80</v>
      </c>
      <c r="B74" s="41"/>
      <c r="C74" s="42"/>
    </row>
    <row r="75" spans="1:4" x14ac:dyDescent="0.3">
      <c r="A75" s="10" t="s">
        <v>81</v>
      </c>
      <c r="B75" s="30">
        <f>(B65-B67)*1000000/(B63*B62)</f>
        <v>27.144205895698228</v>
      </c>
      <c r="C75" s="30">
        <f>(C65-C67)*1000000/(C63*C62)</f>
        <v>-30.899007393761011</v>
      </c>
    </row>
  </sheetData>
  <mergeCells count="11">
    <mergeCell ref="O3:Q3"/>
    <mergeCell ref="A72:C72"/>
    <mergeCell ref="A74:C74"/>
    <mergeCell ref="B3:E3"/>
    <mergeCell ref="F3:I3"/>
    <mergeCell ref="A3:A4"/>
    <mergeCell ref="J3:M3"/>
    <mergeCell ref="A59:C59"/>
    <mergeCell ref="A64:C64"/>
    <mergeCell ref="A66:C66"/>
    <mergeCell ref="A70:C7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="80" zoomScaleNormal="80" workbookViewId="0">
      <selection activeCell="X9" sqref="X9"/>
    </sheetView>
  </sheetViews>
  <sheetFormatPr defaultRowHeight="14.4" x14ac:dyDescent="0.3"/>
  <cols>
    <col min="1" max="1" width="10.33203125" customWidth="1"/>
  </cols>
  <sheetData>
    <row r="1" spans="1:13" ht="18" x14ac:dyDescent="0.35">
      <c r="A1" s="17" t="s">
        <v>100</v>
      </c>
      <c r="D1" s="4"/>
      <c r="E1" s="36"/>
      <c r="F1" s="34"/>
    </row>
    <row r="2" spans="1:13" x14ac:dyDescent="0.3">
      <c r="B2" s="4"/>
      <c r="C2" s="33"/>
      <c r="D2" s="34"/>
    </row>
    <row r="3" spans="1:13" x14ac:dyDescent="0.3">
      <c r="B3" s="43" t="s">
        <v>90</v>
      </c>
      <c r="C3" s="43"/>
      <c r="D3" s="43"/>
      <c r="E3" s="43"/>
      <c r="F3" s="43" t="s">
        <v>91</v>
      </c>
      <c r="G3" s="43"/>
      <c r="H3" s="43"/>
      <c r="I3" s="43"/>
      <c r="J3" s="43" t="s">
        <v>93</v>
      </c>
      <c r="K3" s="43"/>
      <c r="L3" s="43"/>
      <c r="M3" s="43"/>
    </row>
    <row r="4" spans="1:13" ht="57.6" x14ac:dyDescent="0.3">
      <c r="A4" s="5" t="s">
        <v>59</v>
      </c>
      <c r="B4" s="5" t="s">
        <v>92</v>
      </c>
      <c r="C4" s="5" t="s">
        <v>87</v>
      </c>
      <c r="D4" s="5" t="s">
        <v>89</v>
      </c>
      <c r="E4" s="15" t="s">
        <v>60</v>
      </c>
      <c r="F4" s="5" t="s">
        <v>92</v>
      </c>
      <c r="G4" s="5" t="s">
        <v>87</v>
      </c>
      <c r="H4" s="5" t="s">
        <v>89</v>
      </c>
      <c r="I4" s="15" t="s">
        <v>60</v>
      </c>
      <c r="J4" s="5" t="s">
        <v>92</v>
      </c>
      <c r="K4" s="5" t="s">
        <v>87</v>
      </c>
      <c r="L4" s="5" t="s">
        <v>89</v>
      </c>
      <c r="M4" s="15" t="s">
        <v>60</v>
      </c>
    </row>
    <row r="5" spans="1:13" x14ac:dyDescent="0.3">
      <c r="D5" s="16"/>
      <c r="E5" s="7"/>
      <c r="H5" s="16"/>
      <c r="I5" s="7"/>
      <c r="L5" s="16"/>
      <c r="M5" s="7"/>
    </row>
    <row r="6" spans="1:13" x14ac:dyDescent="0.3">
      <c r="D6" s="16"/>
      <c r="H6" s="16"/>
      <c r="L6" s="16"/>
    </row>
    <row r="7" spans="1:13" x14ac:dyDescent="0.3">
      <c r="A7">
        <v>2018</v>
      </c>
      <c r="B7">
        <v>1</v>
      </c>
      <c r="C7">
        <v>0.20799999999999999</v>
      </c>
      <c r="D7" s="35">
        <f t="shared" ref="D7:D27" si="0">C7*(1+$E$31)</f>
        <v>0.22253919999999999</v>
      </c>
      <c r="E7" s="21">
        <f>D7</f>
        <v>0.22253919999999999</v>
      </c>
      <c r="F7">
        <v>1</v>
      </c>
      <c r="G7" s="35">
        <v>0.185</v>
      </c>
      <c r="H7" s="35">
        <f t="shared" ref="H7:H27" si="1">G7*(1+$E$31)</f>
        <v>0.19793150000000001</v>
      </c>
      <c r="I7" s="21">
        <f>H7</f>
        <v>0.19793150000000001</v>
      </c>
      <c r="J7">
        <v>1</v>
      </c>
      <c r="K7" s="35">
        <f t="shared" ref="K7:K27" si="2">(C7*$E$33)+(G7*(1-$E$33))</f>
        <v>0.19650000000000001</v>
      </c>
      <c r="L7" s="35">
        <f t="shared" ref="L7:L27" si="3">K7*(1+$E$31)</f>
        <v>0.21023535000000002</v>
      </c>
      <c r="M7" s="21">
        <f>L7</f>
        <v>0.21023535000000002</v>
      </c>
    </row>
    <row r="8" spans="1:13" x14ac:dyDescent="0.3">
      <c r="A8">
        <f>A7+1</f>
        <v>2019</v>
      </c>
      <c r="B8">
        <f>B7+1</f>
        <v>2</v>
      </c>
      <c r="C8">
        <v>0.214</v>
      </c>
      <c r="D8" s="35">
        <f t="shared" si="0"/>
        <v>0.22895860000000001</v>
      </c>
      <c r="E8" s="21">
        <f>NPV($E$30,D8:$D$8)+$D$7</f>
        <v>0.44269170000000002</v>
      </c>
      <c r="F8">
        <f>F7+1</f>
        <v>2</v>
      </c>
      <c r="G8" s="35">
        <v>0.192</v>
      </c>
      <c r="H8" s="35">
        <f t="shared" si="1"/>
        <v>0.20542080000000001</v>
      </c>
      <c r="I8" s="21">
        <f>NPV($E$30,$H8:H$8)+$G$7</f>
        <v>0.38251999999999997</v>
      </c>
      <c r="J8">
        <f>J7+1</f>
        <v>2</v>
      </c>
      <c r="K8" s="35">
        <f t="shared" si="2"/>
        <v>0.20300000000000001</v>
      </c>
      <c r="L8" s="35">
        <f t="shared" si="3"/>
        <v>0.21718970000000004</v>
      </c>
      <c r="M8" s="21">
        <f>NPV($E$30,$L8:L$8)+$L$7</f>
        <v>0.41907160000000004</v>
      </c>
    </row>
    <row r="9" spans="1:13" x14ac:dyDescent="0.3">
      <c r="A9">
        <f t="shared" ref="A9:A27" si="4">A8+1</f>
        <v>2020</v>
      </c>
      <c r="B9">
        <f t="shared" ref="B9:B27" si="5">B8+1</f>
        <v>3</v>
      </c>
      <c r="C9">
        <v>0.23300000000000001</v>
      </c>
      <c r="D9" s="35">
        <f t="shared" si="0"/>
        <v>0.24928670000000003</v>
      </c>
      <c r="E9" s="21">
        <f>NPV($E$30,D$8:$D9)+$D$7</f>
        <v>0.67317126730769239</v>
      </c>
      <c r="F9">
        <f t="shared" ref="F9:F27" si="6">F8+1</f>
        <v>3</v>
      </c>
      <c r="G9" s="35">
        <v>0.21</v>
      </c>
      <c r="H9" s="35">
        <f t="shared" si="1"/>
        <v>0.22467900000000002</v>
      </c>
      <c r="I9" s="21">
        <f>NPV($E$30,$H$8:H9)+$G$7</f>
        <v>0.59024836538461545</v>
      </c>
      <c r="J9">
        <f t="shared" ref="J9:J27" si="7">J8+1</f>
        <v>3</v>
      </c>
      <c r="K9" s="35">
        <f t="shared" si="2"/>
        <v>0.2215</v>
      </c>
      <c r="L9" s="35">
        <f t="shared" si="3"/>
        <v>0.23698285000000002</v>
      </c>
      <c r="M9" s="21">
        <f>NPV($E$30,$L$8:L9)+$L$7</f>
        <v>0.63817556634615391</v>
      </c>
    </row>
    <row r="10" spans="1:13" x14ac:dyDescent="0.3">
      <c r="A10">
        <f t="shared" si="4"/>
        <v>2021</v>
      </c>
      <c r="B10">
        <f t="shared" si="5"/>
        <v>4</v>
      </c>
      <c r="C10">
        <v>0.23300000000000001</v>
      </c>
      <c r="D10" s="35">
        <f t="shared" si="0"/>
        <v>0.24928670000000003</v>
      </c>
      <c r="E10" s="21">
        <f>NPV($E$30,D$8:$D10)+$D$7</f>
        <v>0.89478623587278117</v>
      </c>
      <c r="F10">
        <f t="shared" si="6"/>
        <v>4</v>
      </c>
      <c r="G10" s="35">
        <v>0.21</v>
      </c>
      <c r="H10" s="35">
        <f t="shared" si="1"/>
        <v>0.22467900000000002</v>
      </c>
      <c r="I10" s="21">
        <f>NPV($E$30,$H$8:H10)+$G$7</f>
        <v>0.78998717825443787</v>
      </c>
      <c r="J10">
        <f t="shared" si="7"/>
        <v>4</v>
      </c>
      <c r="K10" s="35">
        <f t="shared" si="2"/>
        <v>0.2215</v>
      </c>
      <c r="L10" s="35">
        <f t="shared" si="3"/>
        <v>0.23698285000000002</v>
      </c>
      <c r="M10" s="21">
        <f>NPV($E$30,$L$8:L10)+$L$7</f>
        <v>0.84885245706360946</v>
      </c>
    </row>
    <row r="11" spans="1:13" x14ac:dyDescent="0.3">
      <c r="A11">
        <f t="shared" si="4"/>
        <v>2022</v>
      </c>
      <c r="B11">
        <f t="shared" si="5"/>
        <v>5</v>
      </c>
      <c r="C11">
        <v>0.23300000000000001</v>
      </c>
      <c r="D11" s="35">
        <f t="shared" si="0"/>
        <v>0.24928670000000003</v>
      </c>
      <c r="E11" s="21">
        <f>NPV($E$30,D$8:$D11)+$D$7</f>
        <v>1.1078775518007511</v>
      </c>
      <c r="F11">
        <f t="shared" si="6"/>
        <v>5</v>
      </c>
      <c r="G11" s="35">
        <v>0.21</v>
      </c>
      <c r="H11" s="35">
        <f t="shared" si="1"/>
        <v>0.22467900000000002</v>
      </c>
      <c r="I11" s="21">
        <f>NPV($E$30,$H$8:H11)+$G$7</f>
        <v>0.98204372909080573</v>
      </c>
      <c r="J11">
        <f t="shared" si="7"/>
        <v>5</v>
      </c>
      <c r="K11" s="35">
        <f t="shared" si="2"/>
        <v>0.2215</v>
      </c>
      <c r="L11" s="35">
        <f t="shared" si="3"/>
        <v>0.23698285000000002</v>
      </c>
      <c r="M11" s="21">
        <f>NPV($E$30,$L$8:L11)+$L$7</f>
        <v>1.0514263904457783</v>
      </c>
    </row>
    <row r="12" spans="1:13" x14ac:dyDescent="0.3">
      <c r="A12">
        <f t="shared" si="4"/>
        <v>2023</v>
      </c>
      <c r="B12">
        <f t="shared" si="5"/>
        <v>6</v>
      </c>
      <c r="C12">
        <v>0.22900000000000001</v>
      </c>
      <c r="D12" s="35">
        <f t="shared" si="0"/>
        <v>0.24500710000000003</v>
      </c>
      <c r="E12" s="21">
        <f>NPV($E$30,D$8:$D12)+$D$7</f>
        <v>1.30925552863925</v>
      </c>
      <c r="F12">
        <f t="shared" si="6"/>
        <v>6</v>
      </c>
      <c r="G12" s="35">
        <v>0.20699999999999999</v>
      </c>
      <c r="H12" s="35">
        <f t="shared" si="1"/>
        <v>0.22146930000000001</v>
      </c>
      <c r="I12" s="21">
        <f>NPV($E$30,$H$8:H12)+$G$7</f>
        <v>1.1640753500758245</v>
      </c>
      <c r="J12">
        <f t="shared" si="7"/>
        <v>6</v>
      </c>
      <c r="K12" s="35">
        <f t="shared" si="2"/>
        <v>0.218</v>
      </c>
      <c r="L12" s="35">
        <f t="shared" si="3"/>
        <v>0.23323820000000001</v>
      </c>
      <c r="M12" s="21">
        <f>NPV($E$30,$L$8:L12)+$L$7</f>
        <v>1.2431311893575374</v>
      </c>
    </row>
    <row r="13" spans="1:13" x14ac:dyDescent="0.3">
      <c r="A13">
        <f t="shared" si="4"/>
        <v>2024</v>
      </c>
      <c r="B13">
        <f t="shared" si="5"/>
        <v>7</v>
      </c>
      <c r="C13">
        <v>0.22700000000000001</v>
      </c>
      <c r="D13" s="35">
        <f t="shared" si="0"/>
        <v>0.24286730000000004</v>
      </c>
      <c r="E13" s="21">
        <f>NPV($E$30,D$8:$D13)+$D$7</f>
        <v>1.5011970836541111</v>
      </c>
      <c r="F13">
        <f t="shared" si="6"/>
        <v>7</v>
      </c>
      <c r="G13" s="35">
        <v>0.20499999999999999</v>
      </c>
      <c r="H13" s="35">
        <f t="shared" si="1"/>
        <v>0.21932950000000001</v>
      </c>
      <c r="I13" s="21">
        <f>NPV($E$30,$H$8:H13)+$G$7</f>
        <v>1.3374146398469546</v>
      </c>
      <c r="J13">
        <f t="shared" si="7"/>
        <v>7</v>
      </c>
      <c r="K13" s="35">
        <f t="shared" si="2"/>
        <v>0.216</v>
      </c>
      <c r="L13" s="35">
        <f t="shared" si="3"/>
        <v>0.23109840000000001</v>
      </c>
      <c r="M13" s="21">
        <f>NPV($E$30,$L$8:L13)+$L$7</f>
        <v>1.425771611750533</v>
      </c>
    </row>
    <row r="14" spans="1:13" x14ac:dyDescent="0.3">
      <c r="A14">
        <f t="shared" si="4"/>
        <v>2025</v>
      </c>
      <c r="B14">
        <f t="shared" si="5"/>
        <v>8</v>
      </c>
      <c r="C14">
        <v>0.224</v>
      </c>
      <c r="D14" s="35">
        <f t="shared" si="0"/>
        <v>0.23965760000000003</v>
      </c>
      <c r="E14" s="21">
        <f>NPV($E$30,D$8:$D14)+$D$7</f>
        <v>1.6833171629633659</v>
      </c>
      <c r="F14">
        <f t="shared" si="6"/>
        <v>8</v>
      </c>
      <c r="G14" s="35">
        <v>0.20300000000000001</v>
      </c>
      <c r="H14" s="35">
        <f t="shared" si="1"/>
        <v>0.21718970000000004</v>
      </c>
      <c r="I14" s="21">
        <f>NPV($E$30,$H$8:H14)+$G$7</f>
        <v>1.5024609617209668</v>
      </c>
      <c r="J14">
        <f t="shared" si="7"/>
        <v>8</v>
      </c>
      <c r="K14" s="35">
        <f t="shared" si="2"/>
        <v>0.21350000000000002</v>
      </c>
      <c r="L14" s="35">
        <f t="shared" si="3"/>
        <v>0.22842365000000003</v>
      </c>
      <c r="M14" s="21">
        <f>NPV($E$30,$L$8:L14)+$L$7</f>
        <v>1.5993548123421664</v>
      </c>
    </row>
    <row r="15" spans="1:13" x14ac:dyDescent="0.3">
      <c r="A15">
        <f t="shared" si="4"/>
        <v>2026</v>
      </c>
      <c r="B15">
        <f t="shared" si="5"/>
        <v>9</v>
      </c>
      <c r="C15">
        <v>0.22700000000000001</v>
      </c>
      <c r="D15" s="35">
        <f t="shared" si="0"/>
        <v>0.24286730000000004</v>
      </c>
      <c r="E15" s="21">
        <f>NPV($E$30,D$8:$D15)+$D$7</f>
        <v>1.8607779201886441</v>
      </c>
      <c r="F15">
        <f t="shared" si="6"/>
        <v>9</v>
      </c>
      <c r="G15" s="35">
        <v>0.20599999999999999</v>
      </c>
      <c r="H15" s="35">
        <f t="shared" si="1"/>
        <v>0.2203994</v>
      </c>
      <c r="I15" s="21">
        <f>NPV($E$30,$H$8:H15)+$G$7</f>
        <v>1.6635046444892809</v>
      </c>
      <c r="J15">
        <f t="shared" si="7"/>
        <v>9</v>
      </c>
      <c r="K15" s="35">
        <f t="shared" si="2"/>
        <v>0.2165</v>
      </c>
      <c r="L15" s="35">
        <f t="shared" si="3"/>
        <v>0.23163335000000002</v>
      </c>
      <c r="M15" s="21">
        <f>NPV($E$30,$L$8:L15)+$L$7</f>
        <v>1.7686070323389627</v>
      </c>
    </row>
    <row r="16" spans="1:13" x14ac:dyDescent="0.3">
      <c r="A16">
        <f t="shared" si="4"/>
        <v>2027</v>
      </c>
      <c r="B16">
        <f t="shared" si="5"/>
        <v>10</v>
      </c>
      <c r="C16">
        <v>0.23300000000000001</v>
      </c>
      <c r="D16" s="35">
        <f t="shared" si="0"/>
        <v>0.24928670000000003</v>
      </c>
      <c r="E16" s="21">
        <f>NPV($E$30,D$8:$D16)+$D$7</f>
        <v>2.0359234489648634</v>
      </c>
      <c r="F16">
        <f t="shared" si="6"/>
        <v>10</v>
      </c>
      <c r="G16" s="35">
        <v>0.21199999999999999</v>
      </c>
      <c r="H16" s="35">
        <f t="shared" si="1"/>
        <v>0.22681880000000001</v>
      </c>
      <c r="I16" s="21">
        <f>NPV($E$30,$H$8:H16)+$G$7</f>
        <v>1.8228645247491886</v>
      </c>
      <c r="J16">
        <f t="shared" si="7"/>
        <v>10</v>
      </c>
      <c r="K16" s="35">
        <f t="shared" si="2"/>
        <v>0.2225</v>
      </c>
      <c r="L16" s="35">
        <f t="shared" si="3"/>
        <v>0.23805275000000001</v>
      </c>
      <c r="M16" s="21">
        <f>NPV($E$30,$L$8:L16)+$L$7</f>
        <v>1.9358597368570263</v>
      </c>
    </row>
    <row r="17" spans="1:13" x14ac:dyDescent="0.3">
      <c r="A17">
        <f t="shared" si="4"/>
        <v>2028</v>
      </c>
      <c r="B17">
        <f t="shared" si="5"/>
        <v>11</v>
      </c>
      <c r="C17">
        <v>0.23899999999999999</v>
      </c>
      <c r="D17" s="35">
        <f t="shared" si="0"/>
        <v>0.25570609999999999</v>
      </c>
      <c r="E17" s="21">
        <f>NPV($E$30,D$8:$D17)+$D$7</f>
        <v>2.2086693278750498</v>
      </c>
      <c r="F17">
        <f t="shared" si="6"/>
        <v>11</v>
      </c>
      <c r="G17" s="35">
        <v>0.219</v>
      </c>
      <c r="H17" s="35">
        <f t="shared" si="1"/>
        <v>0.23430810000000002</v>
      </c>
      <c r="I17" s="21">
        <f>NPV($E$30,$H$8:H17)+$G$7</f>
        <v>1.9811546815748406</v>
      </c>
      <c r="J17">
        <f t="shared" si="7"/>
        <v>11</v>
      </c>
      <c r="K17" s="35">
        <f t="shared" si="2"/>
        <v>0.22899999999999998</v>
      </c>
      <c r="L17" s="35">
        <f t="shared" si="3"/>
        <v>0.24500710000000001</v>
      </c>
      <c r="M17" s="21">
        <f>NPV($E$30,$L$8:L17)+$L$7</f>
        <v>2.1013777547249455</v>
      </c>
    </row>
    <row r="18" spans="1:13" x14ac:dyDescent="0.3">
      <c r="A18">
        <f t="shared" si="4"/>
        <v>2029</v>
      </c>
      <c r="B18">
        <f t="shared" si="5"/>
        <v>12</v>
      </c>
      <c r="C18">
        <v>0.245</v>
      </c>
      <c r="D18" s="35">
        <f t="shared" si="0"/>
        <v>0.26212550000000001</v>
      </c>
      <c r="E18" s="21">
        <f>NPV($E$30,D$8:$D18)+$D$7</f>
        <v>2.3789410543515372</v>
      </c>
      <c r="F18">
        <f t="shared" si="6"/>
        <v>12</v>
      </c>
      <c r="G18" s="35">
        <v>0.22500000000000001</v>
      </c>
      <c r="H18" s="35">
        <f t="shared" si="1"/>
        <v>0.24072750000000001</v>
      </c>
      <c r="I18" s="21">
        <f>NPV($E$30,$H$8:H18)+$G$7</f>
        <v>2.1375266752777371</v>
      </c>
      <c r="J18">
        <f t="shared" si="7"/>
        <v>12</v>
      </c>
      <c r="K18" s="35">
        <f t="shared" si="2"/>
        <v>0.23499999999999999</v>
      </c>
      <c r="L18" s="35">
        <f t="shared" si="3"/>
        <v>0.2514265</v>
      </c>
      <c r="M18" s="21">
        <f>NPV($E$30,$L$8:L18)+$L$7</f>
        <v>2.2646996148146377</v>
      </c>
    </row>
    <row r="19" spans="1:13" x14ac:dyDescent="0.3">
      <c r="A19">
        <f t="shared" si="4"/>
        <v>2030</v>
      </c>
      <c r="B19">
        <f t="shared" si="5"/>
        <v>13</v>
      </c>
      <c r="C19">
        <v>0.251</v>
      </c>
      <c r="D19" s="35">
        <f t="shared" si="0"/>
        <v>0.26854490000000003</v>
      </c>
      <c r="E19" s="21">
        <f>NPV($E$30,D$8:$D19)+$D$7</f>
        <v>2.546673406571311</v>
      </c>
      <c r="F19">
        <f t="shared" si="6"/>
        <v>13</v>
      </c>
      <c r="G19" s="35">
        <v>0.23100000000000001</v>
      </c>
      <c r="H19" s="35">
        <f t="shared" si="1"/>
        <v>0.24714690000000003</v>
      </c>
      <c r="I19" s="21">
        <f>NPV($E$30,$H$8:H19)+$G$7</f>
        <v>2.2918938998305967</v>
      </c>
      <c r="J19">
        <f t="shared" si="7"/>
        <v>13</v>
      </c>
      <c r="K19" s="35">
        <f t="shared" si="2"/>
        <v>0.24099999999999999</v>
      </c>
      <c r="L19" s="35">
        <f t="shared" si="3"/>
        <v>0.25784590000000002</v>
      </c>
      <c r="M19" s="21">
        <f>NPV($E$30,$L$8:L19)+$L$7</f>
        <v>2.4257494032009541</v>
      </c>
    </row>
    <row r="20" spans="1:13" x14ac:dyDescent="0.3">
      <c r="A20">
        <f t="shared" si="4"/>
        <v>2031</v>
      </c>
      <c r="B20">
        <f t="shared" si="5"/>
        <v>14</v>
      </c>
      <c r="C20">
        <v>0.25800000000000001</v>
      </c>
      <c r="D20" s="35">
        <f t="shared" si="0"/>
        <v>0.27603420000000001</v>
      </c>
      <c r="E20" s="21">
        <f>NPV($E$30,D$8:$D20)+$D$7</f>
        <v>2.7124523939782281</v>
      </c>
      <c r="F20">
        <f t="shared" si="6"/>
        <v>14</v>
      </c>
      <c r="G20" s="35">
        <v>0.23799999999999999</v>
      </c>
      <c r="H20" s="35">
        <f t="shared" si="1"/>
        <v>0.25463619999999998</v>
      </c>
      <c r="I20" s="21">
        <f>NPV($E$30,$H$8:H20)+$G$7</f>
        <v>2.4448218029424038</v>
      </c>
      <c r="J20">
        <f t="shared" si="7"/>
        <v>14</v>
      </c>
      <c r="K20" s="35">
        <f t="shared" si="2"/>
        <v>0.248</v>
      </c>
      <c r="L20" s="35">
        <f t="shared" si="3"/>
        <v>0.26533519999999999</v>
      </c>
      <c r="M20" s="21">
        <f>NPV($E$30,$L$8:L20)+$L$7</f>
        <v>2.5851028484603158</v>
      </c>
    </row>
    <row r="21" spans="1:13" x14ac:dyDescent="0.3">
      <c r="A21">
        <f t="shared" si="4"/>
        <v>2032</v>
      </c>
      <c r="B21">
        <f t="shared" si="5"/>
        <v>15</v>
      </c>
      <c r="C21">
        <v>0.26100000000000001</v>
      </c>
      <c r="D21" s="35">
        <f t="shared" si="0"/>
        <v>0.27924390000000004</v>
      </c>
      <c r="E21" s="21">
        <f>NPV($E$30,D$8:$D21)+$D$7</f>
        <v>2.8737087882582122</v>
      </c>
      <c r="F21">
        <f t="shared" si="6"/>
        <v>15</v>
      </c>
      <c r="G21" s="35">
        <v>0.24199999999999999</v>
      </c>
      <c r="H21" s="35">
        <f t="shared" si="1"/>
        <v>0.25891580000000003</v>
      </c>
      <c r="I21" s="21">
        <f>NPV($E$30,$H$8:H21)+$G$7</f>
        <v>2.5943392259912779</v>
      </c>
      <c r="J21">
        <f t="shared" si="7"/>
        <v>15</v>
      </c>
      <c r="K21" s="35">
        <f t="shared" si="2"/>
        <v>0.2515</v>
      </c>
      <c r="L21" s="35">
        <f t="shared" si="3"/>
        <v>0.26907985000000001</v>
      </c>
      <c r="M21" s="21">
        <f>NPV($E$30,$L$8:L21)+$L$7</f>
        <v>2.7404897571247453</v>
      </c>
    </row>
    <row r="22" spans="1:13" x14ac:dyDescent="0.3">
      <c r="A22">
        <f t="shared" si="4"/>
        <v>2033</v>
      </c>
      <c r="B22">
        <f t="shared" si="5"/>
        <v>16</v>
      </c>
      <c r="C22">
        <v>0.26700000000000002</v>
      </c>
      <c r="D22" s="35">
        <f t="shared" si="0"/>
        <v>0.28566330000000001</v>
      </c>
      <c r="E22" s="21">
        <f>NPV($E$30,D$8:$D22)+$D$7</f>
        <v>3.0323274784761454</v>
      </c>
      <c r="F22">
        <f t="shared" si="6"/>
        <v>16</v>
      </c>
      <c r="G22" s="35">
        <v>0.246</v>
      </c>
      <c r="H22" s="35">
        <f t="shared" si="1"/>
        <v>0.26319540000000002</v>
      </c>
      <c r="I22" s="21">
        <f>NPV($E$30,$H$8:H22)+$G$7</f>
        <v>2.7404822888886993</v>
      </c>
      <c r="J22">
        <f t="shared" si="7"/>
        <v>16</v>
      </c>
      <c r="K22" s="35">
        <f t="shared" si="2"/>
        <v>0.25650000000000001</v>
      </c>
      <c r="L22" s="35">
        <f t="shared" si="3"/>
        <v>0.27442935000000002</v>
      </c>
      <c r="M22" s="21">
        <f>NPV($E$30,$L$8:L22)+$L$7</f>
        <v>2.8928706336824224</v>
      </c>
    </row>
    <row r="23" spans="1:13" x14ac:dyDescent="0.3">
      <c r="A23">
        <f t="shared" si="4"/>
        <v>2034</v>
      </c>
      <c r="B23">
        <f t="shared" si="5"/>
        <v>17</v>
      </c>
      <c r="C23">
        <v>0.26900000000000002</v>
      </c>
      <c r="D23" s="35">
        <f t="shared" si="0"/>
        <v>0.28780310000000003</v>
      </c>
      <c r="E23" s="21">
        <f>NPV($E$30,D$8:$D23)+$D$7</f>
        <v>3.185987906553875</v>
      </c>
      <c r="F23">
        <f t="shared" si="6"/>
        <v>17</v>
      </c>
      <c r="G23" s="35">
        <v>0.249</v>
      </c>
      <c r="H23" s="35">
        <f t="shared" si="1"/>
        <v>0.26640510000000001</v>
      </c>
      <c r="I23" s="21">
        <f>NPV($E$30,$H$8:H23)+$G$7</f>
        <v>2.8827181498231034</v>
      </c>
      <c r="J23">
        <f t="shared" si="7"/>
        <v>17</v>
      </c>
      <c r="K23" s="35">
        <f t="shared" si="2"/>
        <v>0.25900000000000001</v>
      </c>
      <c r="L23" s="35">
        <f t="shared" si="3"/>
        <v>0.27710410000000002</v>
      </c>
      <c r="M23" s="21">
        <f>NPV($E$30,$L$8:L23)+$L$7</f>
        <v>3.040818778188489</v>
      </c>
    </row>
    <row r="24" spans="1:13" x14ac:dyDescent="0.3">
      <c r="A24">
        <f t="shared" si="4"/>
        <v>2035</v>
      </c>
      <c r="B24">
        <f t="shared" si="5"/>
        <v>18</v>
      </c>
      <c r="C24" s="35">
        <v>0.27</v>
      </c>
      <c r="D24" s="35">
        <f t="shared" si="0"/>
        <v>0.28887300000000005</v>
      </c>
      <c r="E24" s="21">
        <f>NPV($E$30,D$8:$D24)+$D$7</f>
        <v>3.3342875762028132</v>
      </c>
      <c r="F24">
        <f t="shared" si="6"/>
        <v>18</v>
      </c>
      <c r="G24" s="35">
        <v>0.25</v>
      </c>
      <c r="H24" s="35">
        <f t="shared" si="1"/>
        <v>0.26747500000000002</v>
      </c>
      <c r="I24" s="21">
        <f>NPV($E$30,$H$8:H24)+$G$7</f>
        <v>3.0200326587573056</v>
      </c>
      <c r="J24">
        <f t="shared" si="7"/>
        <v>18</v>
      </c>
      <c r="K24" s="35">
        <f t="shared" si="2"/>
        <v>0.26</v>
      </c>
      <c r="L24" s="35">
        <f t="shared" si="3"/>
        <v>0.27817400000000003</v>
      </c>
      <c r="M24" s="21">
        <f>NPV($E$30,$L$8:L24)+$L$7</f>
        <v>3.1836258674800595</v>
      </c>
    </row>
    <row r="25" spans="1:13" x14ac:dyDescent="0.3">
      <c r="A25">
        <f t="shared" si="4"/>
        <v>2036</v>
      </c>
      <c r="B25">
        <f t="shared" si="5"/>
        <v>19</v>
      </c>
      <c r="C25">
        <v>0.27400000000000002</v>
      </c>
      <c r="D25" s="35">
        <f t="shared" si="0"/>
        <v>0.29315260000000004</v>
      </c>
      <c r="E25" s="21">
        <f>NPV($E$30,D$8:$D25)+$D$7</f>
        <v>3.4789959433103959</v>
      </c>
      <c r="F25">
        <f t="shared" si="6"/>
        <v>19</v>
      </c>
      <c r="G25" s="35">
        <v>0.254</v>
      </c>
      <c r="H25" s="35">
        <f t="shared" si="1"/>
        <v>0.27175460000000001</v>
      </c>
      <c r="I25" s="21">
        <f>NPV($E$30,$H$8:H25)+$G$7</f>
        <v>3.1541783713314877</v>
      </c>
      <c r="J25">
        <f t="shared" si="7"/>
        <v>19</v>
      </c>
      <c r="K25" s="35">
        <f t="shared" si="2"/>
        <v>0.26400000000000001</v>
      </c>
      <c r="L25" s="35">
        <f t="shared" si="3"/>
        <v>0.28245360000000003</v>
      </c>
      <c r="M25" s="21">
        <f>NPV($E$30,$L$8:L25)+$L$7</f>
        <v>3.3230529073209416</v>
      </c>
    </row>
    <row r="26" spans="1:13" x14ac:dyDescent="0.3">
      <c r="A26">
        <f t="shared" si="4"/>
        <v>2037</v>
      </c>
      <c r="B26">
        <f t="shared" si="5"/>
        <v>20</v>
      </c>
      <c r="C26">
        <v>0.27800000000000002</v>
      </c>
      <c r="D26" s="35">
        <f t="shared" si="0"/>
        <v>0.29743220000000004</v>
      </c>
      <c r="E26" s="21">
        <f>NPV($E$30,D$8:$D26)+$D$7</f>
        <v>3.6201698837087251</v>
      </c>
      <c r="F26">
        <f t="shared" si="6"/>
        <v>20</v>
      </c>
      <c r="G26" s="35">
        <v>0.25800000000000001</v>
      </c>
      <c r="H26" s="35">
        <f t="shared" si="1"/>
        <v>0.27603420000000001</v>
      </c>
      <c r="I26" s="21">
        <f>NPV($E$30,$H$8:H26)+$G$7</f>
        <v>3.2851959131400092</v>
      </c>
      <c r="J26">
        <f t="shared" si="7"/>
        <v>20</v>
      </c>
      <c r="K26" s="35">
        <f t="shared" si="2"/>
        <v>0.26800000000000002</v>
      </c>
      <c r="L26" s="35">
        <f t="shared" si="3"/>
        <v>0.28673320000000002</v>
      </c>
      <c r="M26" s="21">
        <f>NPV($E$30,$L$8:L26)+$L$7</f>
        <v>3.459148648424367</v>
      </c>
    </row>
    <row r="27" spans="1:13" x14ac:dyDescent="0.3">
      <c r="A27">
        <f t="shared" si="4"/>
        <v>2038</v>
      </c>
      <c r="B27">
        <f t="shared" si="5"/>
        <v>21</v>
      </c>
      <c r="C27">
        <v>0.28299999999999997</v>
      </c>
      <c r="D27" s="35">
        <f t="shared" si="0"/>
        <v>0.30278169999999999</v>
      </c>
      <c r="E27" s="21">
        <f>NPV($E$30,D$8:$D27)+$D$7</f>
        <v>3.7583554991373611</v>
      </c>
      <c r="F27">
        <f t="shared" si="6"/>
        <v>21</v>
      </c>
      <c r="G27" s="35">
        <v>0.26200000000000001</v>
      </c>
      <c r="H27" s="35">
        <f t="shared" si="1"/>
        <v>0.28031380000000006</v>
      </c>
      <c r="I27" s="21">
        <f>NPV($E$30,$H$8:H27)+$G$7</f>
        <v>3.4131274723000891</v>
      </c>
      <c r="J27">
        <f t="shared" si="7"/>
        <v>21</v>
      </c>
      <c r="K27" s="35">
        <f t="shared" si="2"/>
        <v>0.27249999999999996</v>
      </c>
      <c r="L27" s="35">
        <f t="shared" si="3"/>
        <v>0.29154774999999999</v>
      </c>
      <c r="M27" s="21">
        <f>NPV($E$30,$L$8:L27)+$L$7</f>
        <v>3.5922072357187247</v>
      </c>
    </row>
    <row r="28" spans="1:13" x14ac:dyDescent="0.3">
      <c r="G28" s="35"/>
    </row>
    <row r="29" spans="1:13" x14ac:dyDescent="0.3">
      <c r="A29" s="3" t="s">
        <v>101</v>
      </c>
    </row>
    <row r="30" spans="1:13" x14ac:dyDescent="0.3">
      <c r="D30" s="4" t="s">
        <v>85</v>
      </c>
      <c r="E30" s="14">
        <v>0.04</v>
      </c>
      <c r="F30" s="34" t="s">
        <v>99</v>
      </c>
    </row>
    <row r="31" spans="1:13" x14ac:dyDescent="0.3">
      <c r="D31" s="4" t="s">
        <v>86</v>
      </c>
      <c r="E31" s="33">
        <v>6.9900000000000004E-2</v>
      </c>
      <c r="F31" s="34" t="s">
        <v>88</v>
      </c>
    </row>
    <row r="32" spans="1:13" x14ac:dyDescent="0.3">
      <c r="D32" s="4" t="s">
        <v>96</v>
      </c>
      <c r="E32" s="33">
        <v>1.7000000000000001E-2</v>
      </c>
      <c r="F32" s="34" t="s">
        <v>88</v>
      </c>
    </row>
    <row r="33" spans="4:6" x14ac:dyDescent="0.3">
      <c r="D33" s="4" t="s">
        <v>94</v>
      </c>
      <c r="E33" s="36">
        <v>0.5</v>
      </c>
      <c r="F33" s="34"/>
    </row>
  </sheetData>
  <mergeCells count="3">
    <mergeCell ref="B3:E3"/>
    <mergeCell ref="F3:I3"/>
    <mergeCell ref="J3:M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EGD capped partic DSM</vt:lpstr>
      <vt:lpstr>Ben-Cost</vt:lpstr>
      <vt:lpstr>Avoid cost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Neme</dc:creator>
  <cp:lastModifiedBy>Chris Neme</cp:lastModifiedBy>
  <dcterms:created xsi:type="dcterms:W3CDTF">2018-03-14T17:27:05Z</dcterms:created>
  <dcterms:modified xsi:type="dcterms:W3CDTF">2018-04-02T18:18:05Z</dcterms:modified>
</cp:coreProperties>
</file>