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200" windowHeight="11352" tabRatio="527"/>
  </bookViews>
  <sheets>
    <sheet name="Resource Acquisition" sheetId="1" r:id="rId1"/>
    <sheet name="Low Income" sheetId="2" r:id="rId2"/>
    <sheet name="Large Volume" sheetId="3" r:id="rId3"/>
    <sheet name="Market Transformation" sheetId="4" r:id="rId4"/>
    <sheet name="Scorecard Result" sheetId="6" r:id="rId5"/>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3" l="1"/>
  <c r="K3" i="3"/>
  <c r="M3" i="3"/>
  <c r="J25" i="3" l="1"/>
  <c r="J26" i="3"/>
  <c r="J24" i="3"/>
  <c r="L39" i="1"/>
  <c r="L40" i="1"/>
  <c r="L41" i="1"/>
  <c r="L42" i="1"/>
  <c r="L43" i="1"/>
  <c r="L38" i="1"/>
  <c r="M12" i="3" l="1"/>
  <c r="M8" i="3"/>
  <c r="M5" i="3"/>
  <c r="L12" i="3"/>
  <c r="L11" i="3"/>
  <c r="L10" i="3"/>
  <c r="L9" i="3"/>
  <c r="L8" i="3"/>
  <c r="L6" i="3"/>
  <c r="L5" i="3"/>
  <c r="L4" i="3"/>
  <c r="L3" i="3"/>
  <c r="K8" i="3"/>
  <c r="K7" i="3"/>
  <c r="M7" i="3" s="1"/>
  <c r="M9" i="3" s="1"/>
  <c r="K5" i="3"/>
  <c r="K4" i="3"/>
  <c r="M4" i="3" s="1"/>
  <c r="M6" i="3" s="1"/>
  <c r="I8" i="3"/>
  <c r="I5" i="3"/>
  <c r="M28" i="1"/>
  <c r="M25" i="1"/>
  <c r="M24" i="1"/>
  <c r="M23" i="1"/>
  <c r="M22" i="1"/>
  <c r="M21" i="1"/>
  <c r="M20" i="1"/>
  <c r="M19" i="1"/>
  <c r="M18" i="1"/>
  <c r="M17" i="1"/>
  <c r="M16" i="1"/>
  <c r="M15" i="1"/>
  <c r="M14" i="1"/>
  <c r="M13" i="1"/>
  <c r="M12" i="1"/>
  <c r="L28" i="1"/>
  <c r="L27" i="1"/>
  <c r="L26" i="1"/>
  <c r="L25" i="1"/>
  <c r="L24" i="1"/>
  <c r="L23" i="1"/>
  <c r="L22" i="1"/>
  <c r="L21" i="1"/>
  <c r="L20" i="1"/>
  <c r="L19" i="1"/>
  <c r="L18" i="1"/>
  <c r="L17" i="1"/>
  <c r="L16" i="1"/>
  <c r="L15" i="1"/>
  <c r="L14" i="1"/>
  <c r="L13" i="1"/>
  <c r="L12" i="1"/>
  <c r="L11" i="1"/>
  <c r="L10" i="1"/>
  <c r="L9" i="1"/>
  <c r="L8" i="1"/>
  <c r="L7" i="1"/>
  <c r="L6" i="1"/>
  <c r="L5" i="1"/>
  <c r="L4" i="1"/>
  <c r="L3" i="1"/>
  <c r="K4" i="1"/>
  <c r="M4" i="1" s="1"/>
  <c r="K3" i="1"/>
  <c r="M3" i="1" s="1"/>
  <c r="K7" i="1"/>
  <c r="M7" i="1" s="1"/>
  <c r="K6" i="1"/>
  <c r="M6" i="1" s="1"/>
  <c r="K10" i="1"/>
  <c r="M10" i="1" s="1"/>
  <c r="K9" i="1"/>
  <c r="M9" i="1" s="1"/>
  <c r="K24" i="1"/>
  <c r="K23" i="1"/>
  <c r="K22" i="1"/>
  <c r="K21" i="1"/>
  <c r="K20" i="1"/>
  <c r="K19" i="1"/>
  <c r="K18" i="1"/>
  <c r="K13" i="1"/>
  <c r="K14" i="1"/>
  <c r="K15" i="1"/>
  <c r="K12" i="1"/>
  <c r="K17" i="1"/>
  <c r="M8" i="1" l="1"/>
  <c r="M11" i="1"/>
  <c r="M5" i="1"/>
  <c r="M10" i="3" l="1"/>
  <c r="M11" i="3"/>
  <c r="M27" i="1"/>
  <c r="M26" i="1"/>
  <c r="K12" i="3" l="1"/>
  <c r="H7" i="3"/>
  <c r="H4" i="3"/>
  <c r="H3" i="3"/>
  <c r="K10" i="2"/>
  <c r="K9" i="2"/>
  <c r="K8" i="2"/>
  <c r="K7" i="2"/>
  <c r="K6" i="2"/>
  <c r="K5" i="2"/>
  <c r="K4" i="2"/>
  <c r="K3" i="2"/>
  <c r="J10" i="2"/>
  <c r="J9" i="2"/>
  <c r="J8" i="2"/>
  <c r="I8" i="2" s="1"/>
  <c r="J7" i="2"/>
  <c r="J6" i="2"/>
  <c r="J5" i="2"/>
  <c r="J4" i="2"/>
  <c r="J3" i="2"/>
  <c r="I10" i="2"/>
  <c r="I7" i="2"/>
  <c r="I6" i="2"/>
  <c r="I4" i="2"/>
  <c r="I3" i="2"/>
  <c r="H5" i="2"/>
  <c r="H3" i="2"/>
  <c r="I24" i="1"/>
  <c r="I23" i="1"/>
  <c r="I22" i="1"/>
  <c r="I21" i="1"/>
  <c r="I20" i="1"/>
  <c r="I19" i="1"/>
  <c r="I18" i="1"/>
  <c r="I15" i="1"/>
  <c r="I14" i="1"/>
  <c r="I13" i="1"/>
  <c r="I12" i="1"/>
  <c r="H10" i="1"/>
  <c r="H9" i="1"/>
  <c r="H7" i="1"/>
  <c r="H6" i="1"/>
  <c r="H4" i="1"/>
  <c r="H3" i="1"/>
  <c r="K6" i="3" l="1"/>
  <c r="K25" i="1"/>
  <c r="K11" i="1"/>
  <c r="K8" i="1"/>
  <c r="K5" i="1"/>
  <c r="K11" i="3" l="1"/>
  <c r="K27" i="1"/>
  <c r="K10" i="3" l="1"/>
  <c r="K9" i="3"/>
  <c r="J39" i="6" l="1"/>
  <c r="J40" i="6"/>
  <c r="I38" i="6"/>
  <c r="I7" i="6"/>
  <c r="I6" i="6"/>
  <c r="H8" i="2" l="1"/>
  <c r="H10" i="2" l="1"/>
  <c r="E10" i="2"/>
  <c r="F10" i="2"/>
  <c r="G10" i="2"/>
  <c r="D10" i="2"/>
  <c r="G63" i="1" l="1"/>
  <c r="G65" i="1" s="1"/>
  <c r="G62" i="1"/>
  <c r="F62" i="1"/>
  <c r="E62" i="1"/>
  <c r="D62" i="1"/>
  <c r="G61" i="1"/>
  <c r="F61" i="1"/>
  <c r="E61" i="1"/>
  <c r="D61" i="1"/>
  <c r="G60" i="1"/>
  <c r="F60" i="1"/>
  <c r="E60" i="1"/>
  <c r="D60" i="1"/>
  <c r="G59" i="1"/>
  <c r="F59" i="1"/>
  <c r="F63" i="1" s="1"/>
  <c r="F65" i="1" s="1"/>
  <c r="E59" i="1"/>
  <c r="E63" i="1" s="1"/>
  <c r="E65" i="1" s="1"/>
  <c r="D59" i="1"/>
  <c r="D63" i="1" s="1"/>
  <c r="D65" i="1" s="1"/>
  <c r="H12" i="1" l="1"/>
  <c r="H13" i="1"/>
  <c r="H14" i="1"/>
  <c r="H15" i="1"/>
  <c r="J38" i="6"/>
  <c r="J7" i="6"/>
  <c r="J6" i="6"/>
  <c r="K16" i="1" l="1"/>
  <c r="H11" i="1"/>
  <c r="K28" i="1" l="1"/>
  <c r="K26" i="1"/>
  <c r="E5" i="1"/>
  <c r="F5" i="1"/>
  <c r="G5" i="1"/>
  <c r="D5" i="1"/>
  <c r="E16" i="1"/>
  <c r="F16" i="1"/>
  <c r="G16" i="1"/>
  <c r="D16" i="1"/>
  <c r="E25" i="1"/>
  <c r="F25" i="1"/>
  <c r="G25" i="1"/>
  <c r="D25" i="1"/>
  <c r="I5" i="2"/>
  <c r="E5" i="2"/>
  <c r="F5" i="2"/>
  <c r="G5" i="2"/>
  <c r="D5" i="2"/>
  <c r="H16" i="1" l="1"/>
  <c r="E27" i="1"/>
  <c r="H5" i="1"/>
  <c r="G28" i="1"/>
  <c r="F28" i="1"/>
  <c r="G27" i="1"/>
  <c r="F27" i="1"/>
  <c r="E28" i="1"/>
  <c r="D28" i="1"/>
  <c r="D27" i="1"/>
  <c r="H27" i="1"/>
  <c r="H18" i="6"/>
  <c r="I18" i="6" s="1"/>
  <c r="G9" i="2"/>
  <c r="D9" i="2"/>
  <c r="E9" i="2"/>
  <c r="F9" i="2"/>
  <c r="D26" i="1"/>
  <c r="E26" i="1"/>
  <c r="F26" i="1"/>
  <c r="G26" i="1"/>
  <c r="H8" i="1"/>
  <c r="H9" i="2" l="1"/>
  <c r="H28" i="1"/>
  <c r="H17" i="6"/>
  <c r="I17" i="6" s="1"/>
  <c r="J17" i="6" s="1"/>
  <c r="I9" i="2"/>
  <c r="J18" i="6"/>
  <c r="H25" i="1"/>
  <c r="H5" i="6"/>
  <c r="I5" i="6" s="1"/>
  <c r="H26" i="1"/>
  <c r="J19" i="6" l="1"/>
  <c r="J20" i="6" s="1"/>
  <c r="J5" i="6"/>
  <c r="J8" i="6" s="1"/>
  <c r="H6" i="3"/>
  <c r="H9" i="3"/>
  <c r="J9" i="6" l="1"/>
  <c r="M2" i="6" s="1"/>
  <c r="H10" i="3"/>
  <c r="H28" i="6"/>
  <c r="I28" i="6" s="1"/>
  <c r="J28" i="6" s="1"/>
  <c r="H29" i="6"/>
  <c r="I29" i="6" s="1"/>
  <c r="J29" i="6" s="1"/>
  <c r="J30" i="6" l="1"/>
  <c r="J31" i="6" s="1"/>
  <c r="E12" i="3"/>
  <c r="H12" i="3" s="1"/>
  <c r="F12" i="3"/>
  <c r="G12" i="3"/>
  <c r="D12" i="3"/>
  <c r="E11" i="3"/>
  <c r="H11" i="3" s="1"/>
  <c r="F11" i="3"/>
  <c r="G11" i="3"/>
  <c r="D11" i="3"/>
</calcChain>
</file>

<file path=xl/comments1.xml><?xml version="1.0" encoding="utf-8"?>
<comments xmlns="http://schemas.openxmlformats.org/spreadsheetml/2006/main">
  <authors>
    <author>Eric Buan</author>
  </authors>
  <commentList>
    <comment ref="I3"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3"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I4"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4"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I6"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6"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I7"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7"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I9"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9"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I10"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10"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List>
</comments>
</file>

<file path=xl/comments2.xml><?xml version="1.0" encoding="utf-8"?>
<comments xmlns="http://schemas.openxmlformats.org/spreadsheetml/2006/main">
  <authors>
    <author>Kuiken, Tamara</author>
  </authors>
  <commentList>
    <comment ref="B3" authorId="0">
      <text>
        <r>
          <rPr>
            <b/>
            <sz val="9"/>
            <color indexed="81"/>
            <rFont val="Tahoma"/>
            <family val="2"/>
          </rPr>
          <t>Kuiken, Tamara:</t>
        </r>
        <r>
          <rPr>
            <sz val="9"/>
            <color indexed="81"/>
            <rFont val="Tahoma"/>
            <family val="2"/>
          </rPr>
          <t xml:space="preserve">
includes Contrax</t>
        </r>
      </text>
    </comment>
  </commentList>
</comments>
</file>

<file path=xl/comments3.xml><?xml version="1.0" encoding="utf-8"?>
<comments xmlns="http://schemas.openxmlformats.org/spreadsheetml/2006/main">
  <authors>
    <author>Eric Buan</author>
    <author>Kuiken, Tamara</author>
  </authors>
  <commentList>
    <comment ref="I3"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3"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I4"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4"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C5" authorId="1">
      <text>
        <r>
          <rPr>
            <b/>
            <sz val="9"/>
            <color indexed="81"/>
            <rFont val="Tahoma"/>
            <family val="2"/>
          </rPr>
          <t>Kuiken, Tamara:</t>
        </r>
        <r>
          <rPr>
            <sz val="9"/>
            <color indexed="81"/>
            <rFont val="Tahoma"/>
            <family val="2"/>
          </rPr>
          <t xml:space="preserve">
all infrared heaters</t>
        </r>
      </text>
    </comment>
    <comment ref="I7"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J7" authorId="0">
      <text>
        <r>
          <rPr>
            <b/>
            <sz val="9"/>
            <color indexed="81"/>
            <rFont val="Tahoma"/>
            <family val="2"/>
          </rPr>
          <t xml:space="preserve">Union:
</t>
        </r>
        <r>
          <rPr>
            <sz val="9"/>
            <color indexed="81"/>
            <rFont val="Tahoma"/>
            <family val="2"/>
          </rPr>
          <t>Value was modified by Union to calculate its proposed shareholder incentive amount of $7.472M. See response to OEB staff Interrogatory 3b for value used by the EC to calculate its proposed shareholder incentive amount of $7.040M.</t>
        </r>
      </text>
    </comment>
    <comment ref="C8" authorId="1">
      <text>
        <r>
          <rPr>
            <b/>
            <sz val="9"/>
            <color indexed="81"/>
            <rFont val="Tahoma"/>
            <family val="2"/>
          </rPr>
          <t>Kuiken, Tamara:</t>
        </r>
        <r>
          <rPr>
            <sz val="9"/>
            <color indexed="81"/>
            <rFont val="Tahoma"/>
            <family val="2"/>
          </rPr>
          <t xml:space="preserve">
All destratification fans
</t>
        </r>
      </text>
    </comment>
  </commentList>
</comments>
</file>

<file path=xl/sharedStrings.xml><?xml version="1.0" encoding="utf-8"?>
<sst xmlns="http://schemas.openxmlformats.org/spreadsheetml/2006/main" count="359" uniqueCount="148">
  <si>
    <t>Prescriptive</t>
  </si>
  <si>
    <t>Energy Savings Kit</t>
  </si>
  <si>
    <t>Home Reno Rebate</t>
  </si>
  <si>
    <t>Home Weatherization Program</t>
  </si>
  <si>
    <t>Large Industrial-T1</t>
  </si>
  <si>
    <t>Large Industrial-T2</t>
  </si>
  <si>
    <t>Large Industrial-R100</t>
  </si>
  <si>
    <t>Free Rider %</t>
  </si>
  <si>
    <t>Custom</t>
  </si>
  <si>
    <t>Q-P Infrared</t>
  </si>
  <si>
    <t>Q-P Destratification</t>
  </si>
  <si>
    <t>Total</t>
  </si>
  <si>
    <t>Quasi-Prescriptive</t>
  </si>
  <si>
    <t>Tracking</t>
  </si>
  <si>
    <t>Gross Annual</t>
  </si>
  <si>
    <t>Gross CCM</t>
  </si>
  <si>
    <t>Net Annual</t>
  </si>
  <si>
    <t>Net CCM</t>
  </si>
  <si>
    <t>Total Custom</t>
  </si>
  <si>
    <t>Total Quasi-Prescriptive</t>
  </si>
  <si>
    <t>Verification Results</t>
  </si>
  <si>
    <t>Gross RR</t>
  </si>
  <si>
    <t>Net RR</t>
  </si>
  <si>
    <t>Verified Savings</t>
  </si>
  <si>
    <t>Tracking Estimate</t>
  </si>
  <si>
    <t>Large Industrial R100</t>
  </si>
  <si>
    <t>Large Industrial T1</t>
  </si>
  <si>
    <t>Large Industrial T2</t>
  </si>
  <si>
    <t>LI Multi-Family</t>
  </si>
  <si>
    <t>All</t>
  </si>
  <si>
    <t>Home Weatherization - Replacement</t>
  </si>
  <si>
    <t>Home Weatherization - Retrofit</t>
  </si>
  <si>
    <t>MF Custom</t>
  </si>
  <si>
    <t>MF Prescriptive</t>
  </si>
  <si>
    <t>Replacement</t>
  </si>
  <si>
    <t>Retrofit</t>
  </si>
  <si>
    <t>direct install measures</t>
  </si>
  <si>
    <t>whole house</t>
  </si>
  <si>
    <t>Agriculture &amp; Greenhouse-Banner</t>
  </si>
  <si>
    <t>Agriculture &amp; Greenhouse-Contrax</t>
  </si>
  <si>
    <t>Commercial &amp; Institutional Buildings-Banner</t>
  </si>
  <si>
    <t>Commercial &amp; Institutional Buildings-Contrax</t>
  </si>
  <si>
    <t>Industrial-Banner</t>
  </si>
  <si>
    <t>Industrial-Contrax</t>
  </si>
  <si>
    <t>Low Income Multi-Family Custom</t>
  </si>
  <si>
    <t>Ag and Greenhouse</t>
  </si>
  <si>
    <t>C&amp;Inst Buildings</t>
  </si>
  <si>
    <t>Industrial</t>
  </si>
  <si>
    <t>Astat, Pstat, Smart Thermostat</t>
  </si>
  <si>
    <t>Destratification fans</t>
  </si>
  <si>
    <t>DCV, Dishwasher Stationary Rack, Fryer</t>
  </si>
  <si>
    <t>Infrared heating</t>
  </si>
  <si>
    <t>Dishwasher - Undercounter</t>
  </si>
  <si>
    <t>Dishwasher - Rack Conveyor Single HT</t>
  </si>
  <si>
    <t>Ozone WE</t>
  </si>
  <si>
    <t>All others</t>
  </si>
  <si>
    <t>Stats</t>
  </si>
  <si>
    <t>Pipe wrap</t>
  </si>
  <si>
    <t>Showerhead</t>
  </si>
  <si>
    <t>Aerators</t>
  </si>
  <si>
    <t>Pipe Wrap</t>
  </si>
  <si>
    <t>Destrat Fans</t>
  </si>
  <si>
    <t>DCV, Dish Stationary, Fryers</t>
  </si>
  <si>
    <t>Dish Conveyor</t>
  </si>
  <si>
    <t>Infrared</t>
  </si>
  <si>
    <t>Dish Undercounter</t>
  </si>
  <si>
    <t>All Others</t>
  </si>
  <si>
    <t>Total Prescriptive</t>
  </si>
  <si>
    <t>Contrax</t>
  </si>
  <si>
    <t>Banner</t>
  </si>
  <si>
    <t>As a result of this review, the EC confirms the reported Optimum Home scorecard metric of 50.3%.</t>
  </si>
  <si>
    <t>2015 Resource Acquisition Scorecard</t>
  </si>
  <si>
    <t>2015 Scorecard Results</t>
  </si>
  <si>
    <t>Metrics</t>
  </si>
  <si>
    <t>Metric Target Levels</t>
  </si>
  <si>
    <t>Weight</t>
  </si>
  <si>
    <t>Actuals</t>
  </si>
  <si>
    <t xml:space="preserve">Lower Band </t>
  </si>
  <si>
    <t>Target</t>
  </si>
  <si>
    <t>Upper Band</t>
  </si>
  <si>
    <t>Metric</t>
  </si>
  <si>
    <t>% Contribution</t>
  </si>
  <si>
    <t>Cumulative Natural Gas Savings (m3)</t>
  </si>
  <si>
    <t>Deep Savings - Residential</t>
  </si>
  <si>
    <t>Deep Savings - C/I</t>
  </si>
  <si>
    <t>Total DSM Incentive</t>
  </si>
  <si>
    <t>2015 Low-Income Scorecard</t>
  </si>
  <si>
    <t>Lower Band</t>
  </si>
  <si>
    <t>Cumulative Natural Gas Savings from Single Family (m3)</t>
  </si>
  <si>
    <t>Cumulative Natural Gas Savings from Multi-Family (m3)</t>
  </si>
  <si>
    <t>2015 Large Volume Scorecard</t>
  </si>
  <si>
    <t>Rate T2/Rate 100 Cumulative Natural Gas Savings (m3)</t>
  </si>
  <si>
    <t>Rate T1 Cumulative Natural Gas Savings (m3)</t>
  </si>
  <si>
    <t xml:space="preserve">2015 Market Transformation Scorecard </t>
  </si>
  <si>
    <t xml:space="preserve">Program </t>
  </si>
  <si>
    <t xml:space="preserve">Weight </t>
  </si>
  <si>
    <t>Optimum Home</t>
  </si>
  <si>
    <t>Homes Built (&gt;20% above OBC 2012) by Participating Builders</t>
  </si>
  <si>
    <t>The EC found 2,529 qualifying deep savings participants compared to 2,537 reported by the program.</t>
  </si>
  <si>
    <t>With the adjustment factors applied, the final scorecard metric is 8.08% of whole building energy use saved.</t>
  </si>
  <si>
    <t>% of Max SI Achieved</t>
  </si>
  <si>
    <t>Max Incentive</t>
  </si>
  <si>
    <t>Total incentive:</t>
  </si>
  <si>
    <t>Large Volume</t>
  </si>
  <si>
    <t>utility</t>
  </si>
  <si>
    <t>program</t>
  </si>
  <si>
    <t>prog_type</t>
  </si>
  <si>
    <t>Union</t>
  </si>
  <si>
    <t>Custom Commercial</t>
  </si>
  <si>
    <t>Custom Industrial</t>
  </si>
  <si>
    <t>Custom Low Income</t>
  </si>
  <si>
    <t>Low Income Multi-Family Custom - Contrax</t>
  </si>
  <si>
    <t>CPSV Adjustment</t>
  </si>
  <si>
    <t>NTG Adjustment</t>
  </si>
  <si>
    <t>Rate class</t>
  </si>
  <si>
    <t>Measure</t>
  </si>
  <si>
    <t>Tracking Savings</t>
  </si>
  <si>
    <t>Adjustment Factor</t>
  </si>
  <si>
    <t>Annual Gross Savings (m3)</t>
  </si>
  <si>
    <t>Cumulative Gross Savings (CCM)</t>
  </si>
  <si>
    <t>M1 South Residential</t>
  </si>
  <si>
    <t>Pstat</t>
  </si>
  <si>
    <t xml:space="preserve">             -   </t>
  </si>
  <si>
    <t xml:space="preserve">               -   </t>
  </si>
  <si>
    <t xml:space="preserve">              -   </t>
  </si>
  <si>
    <t>ESK Pull - Energy-efficient Showerhead</t>
  </si>
  <si>
    <t>ESK Pull - Kitchen Faucet Aerator</t>
  </si>
  <si>
    <t>ESK Pull - Bathroom Faucet Aerator</t>
  </si>
  <si>
    <t>ESK Pull - Pipe Wrap</t>
  </si>
  <si>
    <t>ESK D2D - Energy-efficient Showerhead</t>
  </si>
  <si>
    <t>ESK D2D - Kitchen Faucet Aerator</t>
  </si>
  <si>
    <t>ESK D2D - Bathroom Faucet Aerator</t>
  </si>
  <si>
    <t>ESK D2D - Pipe Wrap</t>
  </si>
  <si>
    <t>01 North Residential</t>
  </si>
  <si>
    <t xml:space="preserve">          -   </t>
  </si>
  <si>
    <t xml:space="preserve">                -   </t>
  </si>
  <si>
    <t xml:space="preserve">            -   </t>
  </si>
  <si>
    <t xml:space="preserve">                 -   </t>
  </si>
  <si>
    <t xml:space="preserve">-   </t>
  </si>
  <si>
    <t xml:space="preserve"> N/A </t>
  </si>
  <si>
    <t>Prescriptive only</t>
  </si>
  <si>
    <t>P:\Ontario Gas NTG 28420002\Reports\2015 NTG and CPSV\Tables and Figures\3. Post-Draft 2</t>
  </si>
  <si>
    <t>Union Ratios by rate class.xlsx</t>
  </si>
  <si>
    <t>NTG</t>
  </si>
  <si>
    <t>Spillover</t>
  </si>
  <si>
    <t>Low Income does not have spillover</t>
  </si>
  <si>
    <t>(1-FR)</t>
  </si>
  <si>
    <t>The EC shared its shareholder incentive calculator with the EAC in support of the EC’s audited shareholder incentive of $7.040M for Union. Union modified the EC calculator to calculate Union's proposed shareholder incentive claim of $7.472M. Changes made by Union within the calculator were only to the NTG values (free ridership and spillover) for Union's CI and Large Volume custom programs. They are in yellow highlight. See Union's response to OEB staff IR 3b for a description of these changes. All other data within Union’s modified EC calculator reflects the EC’s audit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</si>
</sst>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quot;$&quot;#,##0;\-&quot;$&quot;#,##0"/>
    <numFmt numFmtId="165" formatCode="&quot;$&quot;#,##0;[Red]\-&quot;$&quot;#,##0"/>
    <numFmt numFmtId="166" formatCode="_-* #,##0.00_-;\-* #,##0.00_-;_-* &quot;-&quot;??_-;_-@_-"/>
    <numFmt numFmtId="167" formatCode="_(* #,##0_);_(* \(#,##0\);_(* &quot;-&quot;??_);_(@_)"/>
    <numFmt numFmtId="168" formatCode="_-&quot;$&quot;* #,##0_-;\-&quot;$&quot;* #,##0_-;_-&quot;$&quot;* &quot;-&quot;??_-;_-@_-"/>
    <numFmt numFmtId="169" formatCode="_-* #,##0.00000000_-;\-* #,##0.00000000_-;_-* &quot;-&quot;??_-;_-@_-"/>
    <numFmt numFmtId="170" formatCode="_(&quot;$&quot;* #,##0_);_(&quot;$&quot;* \(#,##0\);_(&quot;$&quot;* &quot;-&quot;??_);_(@_)"/>
    <numFmt numFmtId="171" formatCode="0.0000000000000%"/>
    <numFmt numFmtId="172" formatCode="0.00000000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theme="1"/>
      <name val="Verdana"/>
      <family val="2"/>
    </font>
    <font>
      <sz val="11"/>
      <color rgb="FFFF0000"/>
      <name val="Calibri"/>
      <family val="2"/>
      <scheme val="minor"/>
    </font>
    <font>
      <b/>
      <sz val="11"/>
      <name val="Calibri"/>
      <family val="2"/>
      <scheme val="minor"/>
    </font>
    <font>
      <sz val="11"/>
      <name val="Calibri"/>
      <family val="2"/>
      <scheme val="minor"/>
    </font>
    <font>
      <b/>
      <sz val="9"/>
      <color rgb="FFFFFFFF"/>
      <name val="Verdana"/>
      <family val="2"/>
    </font>
    <font>
      <sz val="9"/>
      <color rgb="FF000000"/>
      <name val="Verdana"/>
      <family val="2"/>
    </font>
    <font>
      <b/>
      <sz val="9"/>
      <color rgb="FF000000"/>
      <name val="Verdana"/>
      <family val="2"/>
    </font>
    <font>
      <sz val="10"/>
      <name val="Arial"/>
      <family val="2"/>
    </font>
    <font>
      <sz val="10"/>
      <color indexed="8"/>
      <name val="Arial"/>
      <family val="2"/>
    </font>
  </fonts>
  <fills count="6">
    <fill>
      <patternFill patternType="none"/>
    </fill>
    <fill>
      <patternFill patternType="gray125"/>
    </fill>
    <fill>
      <patternFill patternType="solid">
        <fgColor theme="9" tint="0.59999389629810485"/>
        <bgColor indexed="64"/>
      </patternFill>
    </fill>
    <fill>
      <patternFill patternType="solid">
        <fgColor rgb="FF009FDA"/>
        <bgColor indexed="64"/>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auto="1"/>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thin">
        <color auto="1"/>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2" fillId="0" borderId="0"/>
    <xf numFmtId="0" fontId="13" fillId="0" borderId="0">
      <alignment vertical="top"/>
    </xf>
    <xf numFmtId="0" fontId="13" fillId="0" borderId="0">
      <alignment vertical="top"/>
    </xf>
    <xf numFmtId="0" fontId="13" fillId="0" borderId="0">
      <alignment vertical="top"/>
    </xf>
  </cellStyleXfs>
  <cellXfs count="173">
    <xf numFmtId="0" fontId="0" fillId="0" borderId="0" xfId="0"/>
    <xf numFmtId="9" fontId="0" fillId="0" borderId="0" xfId="0" applyNumberFormat="1"/>
    <xf numFmtId="167" fontId="0" fillId="0" borderId="0" xfId="1" applyNumberFormat="1" applyFont="1"/>
    <xf numFmtId="0" fontId="0" fillId="0" borderId="0" xfId="0" applyAlignment="1">
      <alignment wrapText="1"/>
    </xf>
    <xf numFmtId="167" fontId="2" fillId="0" borderId="0" xfId="1" applyNumberFormat="1" applyFont="1"/>
    <xf numFmtId="0" fontId="2" fillId="0" borderId="0" xfId="0" applyFont="1"/>
    <xf numFmtId="0" fontId="2" fillId="0" borderId="1" xfId="0" applyFont="1" applyBorder="1"/>
    <xf numFmtId="0" fontId="2" fillId="0" borderId="2" xfId="0" applyFont="1" applyBorder="1"/>
    <xf numFmtId="167" fontId="2" fillId="0" borderId="2" xfId="1" applyNumberFormat="1" applyFont="1" applyBorder="1"/>
    <xf numFmtId="167" fontId="2" fillId="0" borderId="3" xfId="1" applyNumberFormat="1" applyFont="1" applyBorder="1"/>
    <xf numFmtId="167" fontId="0" fillId="0" borderId="0" xfId="0" applyNumberFormat="1"/>
    <xf numFmtId="14" fontId="0" fillId="0" borderId="0" xfId="0" applyNumberFormat="1"/>
    <xf numFmtId="9" fontId="0" fillId="0" borderId="0" xfId="2" applyFont="1"/>
    <xf numFmtId="167" fontId="2" fillId="0" borderId="0" xfId="0" applyNumberFormat="1" applyFont="1"/>
    <xf numFmtId="167" fontId="2" fillId="0" borderId="1" xfId="0" applyNumberFormat="1" applyFont="1" applyBorder="1"/>
    <xf numFmtId="167" fontId="2" fillId="0" borderId="3" xfId="0" applyNumberFormat="1" applyFont="1" applyBorder="1"/>
    <xf numFmtId="9" fontId="2" fillId="0" borderId="1" xfId="2" applyFont="1" applyBorder="1"/>
    <xf numFmtId="9" fontId="2" fillId="0" borderId="3" xfId="2" applyFont="1" applyBorder="1"/>
    <xf numFmtId="43" fontId="2" fillId="0" borderId="0" xfId="0" applyNumberFormat="1" applyFont="1"/>
    <xf numFmtId="43" fontId="0" fillId="0" borderId="0" xfId="0" applyNumberFormat="1"/>
    <xf numFmtId="9" fontId="0" fillId="0" borderId="0" xfId="2" applyNumberFormat="1" applyFont="1" applyFill="1"/>
    <xf numFmtId="9" fontId="0" fillId="0" borderId="0" xfId="2" applyFont="1" applyFill="1"/>
    <xf numFmtId="0" fontId="0" fillId="0" borderId="0" xfId="0" applyAlignment="1">
      <alignment vertical="center"/>
    </xf>
    <xf numFmtId="167" fontId="1" fillId="0" borderId="0" xfId="1" applyNumberFormat="1" applyFont="1"/>
    <xf numFmtId="167" fontId="0" fillId="0" borderId="0" xfId="0" applyNumberFormat="1" applyFont="1"/>
    <xf numFmtId="9" fontId="2" fillId="0" borderId="2" xfId="2" applyFont="1" applyBorder="1"/>
    <xf numFmtId="9" fontId="2" fillId="0" borderId="0" xfId="2" applyFont="1"/>
    <xf numFmtId="9" fontId="0" fillId="0" borderId="0" xfId="0" applyNumberFormat="1" applyFont="1"/>
    <xf numFmtId="0" fontId="5" fillId="0" borderId="0" xfId="0" applyFont="1" applyAlignment="1">
      <alignment vertical="center"/>
    </xf>
    <xf numFmtId="0" fontId="0" fillId="0" borderId="0" xfId="0" applyFont="1" applyAlignment="1">
      <alignment vertical="center"/>
    </xf>
    <xf numFmtId="43" fontId="0" fillId="0" borderId="0" xfId="0" applyNumberFormat="1" applyFont="1"/>
    <xf numFmtId="0" fontId="0" fillId="0" borderId="0" xfId="0" applyFill="1"/>
    <xf numFmtId="0" fontId="7" fillId="0" borderId="5" xfId="0" applyFont="1" applyFill="1" applyBorder="1" applyAlignment="1">
      <alignment horizontal="right" vertical="center"/>
    </xf>
    <xf numFmtId="0" fontId="7" fillId="0" borderId="14" xfId="0" applyFont="1" applyFill="1" applyBorder="1" applyAlignment="1">
      <alignment horizontal="right" vertical="center"/>
    </xf>
    <xf numFmtId="3" fontId="8" fillId="0" borderId="5" xfId="0" applyNumberFormat="1" applyFont="1" applyFill="1" applyBorder="1" applyAlignment="1">
      <alignment horizontal="right" vertical="center"/>
    </xf>
    <xf numFmtId="9" fontId="8" fillId="0" borderId="14" xfId="0" applyNumberFormat="1" applyFont="1" applyFill="1" applyBorder="1" applyAlignment="1">
      <alignment horizontal="center" vertical="center"/>
    </xf>
    <xf numFmtId="0" fontId="8" fillId="0" borderId="5" xfId="0" applyFont="1" applyFill="1" applyBorder="1" applyAlignment="1">
      <alignment horizontal="right" vertical="center"/>
    </xf>
    <xf numFmtId="10" fontId="8" fillId="0" borderId="17" xfId="0" applyNumberFormat="1" applyFont="1" applyFill="1" applyBorder="1" applyAlignment="1">
      <alignment horizontal="right" vertical="center"/>
    </xf>
    <xf numFmtId="9" fontId="8" fillId="0" borderId="18" xfId="0" applyNumberFormat="1" applyFont="1" applyFill="1" applyBorder="1" applyAlignment="1">
      <alignment horizontal="center" vertical="center"/>
    </xf>
    <xf numFmtId="9" fontId="8" fillId="0" borderId="18" xfId="2" applyNumberFormat="1" applyFont="1" applyFill="1" applyBorder="1" applyAlignment="1">
      <alignment horizontal="right" vertical="center"/>
    </xf>
    <xf numFmtId="0" fontId="1" fillId="0" borderId="0" xfId="0" applyFont="1" applyFill="1" applyAlignment="1">
      <alignment vertical="center"/>
    </xf>
    <xf numFmtId="0" fontId="1" fillId="0" borderId="0" xfId="0" applyFont="1" applyFill="1" applyAlignment="1">
      <alignment horizontal="center" vertical="center"/>
    </xf>
    <xf numFmtId="43" fontId="1" fillId="0" borderId="0" xfId="1" applyFont="1" applyFill="1" applyAlignment="1">
      <alignment horizontal="center" vertical="center"/>
    </xf>
    <xf numFmtId="9" fontId="1" fillId="0" borderId="0" xfId="0" applyNumberFormat="1" applyFont="1" applyFill="1" applyAlignment="1">
      <alignment horizontal="center" vertical="center"/>
    </xf>
    <xf numFmtId="0" fontId="1" fillId="0" borderId="0" xfId="0" applyFont="1" applyFill="1" applyAlignment="1">
      <alignment horizontal="right" vertical="center"/>
    </xf>
    <xf numFmtId="0" fontId="0" fillId="0" borderId="0" xfId="0" quotePrefix="1" applyFill="1" applyAlignment="1">
      <alignment horizontal="right" vertical="center"/>
    </xf>
    <xf numFmtId="165" fontId="1" fillId="0" borderId="0" xfId="0" applyNumberFormat="1" applyFont="1" applyFill="1" applyAlignment="1">
      <alignment vertical="center"/>
    </xf>
    <xf numFmtId="10" fontId="1" fillId="0" borderId="0" xfId="0" applyNumberFormat="1" applyFont="1" applyFill="1" applyAlignment="1">
      <alignment vertical="center"/>
    </xf>
    <xf numFmtId="0" fontId="0" fillId="0" borderId="0" xfId="0" quotePrefix="1" applyFill="1" applyAlignment="1">
      <alignment vertical="center"/>
    </xf>
    <xf numFmtId="0" fontId="2" fillId="0" borderId="15" xfId="0" applyFont="1" applyFill="1" applyBorder="1" applyAlignment="1">
      <alignment horizontal="right" vertical="center"/>
    </xf>
    <xf numFmtId="164" fontId="1" fillId="0" borderId="14" xfId="3" applyNumberFormat="1" applyFont="1" applyFill="1" applyBorder="1" applyAlignment="1">
      <alignment horizontal="right" vertical="center"/>
    </xf>
    <xf numFmtId="0" fontId="0" fillId="0" borderId="0" xfId="0" applyFill="1" applyAlignment="1">
      <alignment vertical="center"/>
    </xf>
    <xf numFmtId="43" fontId="6" fillId="0" borderId="0" xfId="1" applyFont="1" applyFill="1" applyAlignment="1">
      <alignment vertical="center"/>
    </xf>
    <xf numFmtId="0" fontId="2" fillId="0" borderId="16" xfId="0" applyFont="1" applyFill="1" applyBorder="1" applyAlignment="1">
      <alignment horizontal="right" vertical="center"/>
    </xf>
    <xf numFmtId="164" fontId="1" fillId="0" borderId="0" xfId="0" applyNumberFormat="1" applyFont="1" applyFill="1" applyBorder="1" applyAlignment="1">
      <alignment horizontal="center" vertical="center"/>
    </xf>
    <xf numFmtId="0" fontId="2" fillId="0" borderId="0" xfId="0" applyFont="1" applyFill="1" applyAlignment="1">
      <alignment vertical="center"/>
    </xf>
    <xf numFmtId="9" fontId="2" fillId="0" borderId="0" xfId="2" applyNumberFormat="1" applyFont="1" applyFill="1" applyAlignment="1">
      <alignment vertical="center"/>
    </xf>
    <xf numFmtId="165" fontId="1" fillId="0" borderId="0" xfId="0" applyNumberFormat="1" applyFont="1" applyFill="1" applyAlignment="1">
      <alignment horizontal="center" vertical="center"/>
    </xf>
    <xf numFmtId="3" fontId="2" fillId="0" borderId="0" xfId="0" applyNumberFormat="1" applyFont="1" applyFill="1" applyAlignment="1">
      <alignment vertical="center"/>
    </xf>
    <xf numFmtId="168" fontId="2" fillId="0" borderId="0" xfId="0" applyNumberFormat="1" applyFont="1" applyFill="1" applyAlignment="1">
      <alignment vertical="center"/>
    </xf>
    <xf numFmtId="0" fontId="6" fillId="0" borderId="0" xfId="0" applyFont="1" applyFill="1" applyAlignment="1">
      <alignment vertical="center"/>
    </xf>
    <xf numFmtId="0" fontId="7" fillId="0" borderId="5" xfId="0" applyFont="1" applyFill="1" applyBorder="1" applyAlignment="1">
      <alignment horizontal="center" vertical="center"/>
    </xf>
    <xf numFmtId="3" fontId="8" fillId="0" borderId="5" xfId="0" applyNumberFormat="1" applyFont="1" applyFill="1" applyBorder="1" applyAlignment="1">
      <alignment horizontal="center" vertical="center"/>
    </xf>
    <xf numFmtId="3" fontId="8" fillId="0" borderId="17" xfId="0" applyNumberFormat="1" applyFont="1" applyFill="1" applyBorder="1" applyAlignment="1">
      <alignment horizontal="center" vertical="center"/>
    </xf>
    <xf numFmtId="9" fontId="8" fillId="0" borderId="22" xfId="2" applyFont="1" applyFill="1" applyBorder="1" applyAlignment="1">
      <alignment horizontal="right" vertical="center"/>
    </xf>
    <xf numFmtId="9" fontId="1" fillId="0" borderId="0" xfId="2" applyFont="1" applyFill="1" applyAlignment="1">
      <alignment horizontal="center" vertical="center"/>
    </xf>
    <xf numFmtId="3" fontId="1" fillId="0" borderId="0" xfId="0" applyNumberFormat="1" applyFont="1" applyFill="1" applyAlignment="1">
      <alignment horizontal="right" vertical="center"/>
    </xf>
    <xf numFmtId="3" fontId="1" fillId="0" borderId="0" xfId="2" applyNumberFormat="1" applyFont="1" applyFill="1" applyAlignment="1">
      <alignment horizontal="center" vertical="center"/>
    </xf>
    <xf numFmtId="43" fontId="6" fillId="0" borderId="0" xfId="1" applyFont="1" applyFill="1" applyBorder="1" applyAlignment="1">
      <alignment horizontal="center" vertical="center"/>
    </xf>
    <xf numFmtId="0" fontId="1" fillId="0" borderId="0" xfId="0" applyFont="1" applyFill="1" applyBorder="1" applyAlignment="1">
      <alignment horizontal="center" vertical="center"/>
    </xf>
    <xf numFmtId="9" fontId="1" fillId="0" borderId="0" xfId="0" applyNumberFormat="1" applyFont="1" applyFill="1" applyBorder="1" applyAlignment="1">
      <alignment horizontal="center" vertical="center"/>
    </xf>
    <xf numFmtId="0" fontId="7" fillId="0" borderId="15" xfId="0" applyFont="1" applyFill="1" applyBorder="1" applyAlignment="1">
      <alignment horizontal="right" vertical="center"/>
    </xf>
    <xf numFmtId="9" fontId="8" fillId="0" borderId="14" xfId="2" applyFont="1" applyFill="1" applyBorder="1" applyAlignment="1">
      <alignment horizontal="center" vertical="center"/>
    </xf>
    <xf numFmtId="3" fontId="8" fillId="0" borderId="15" xfId="0" applyNumberFormat="1" applyFont="1" applyFill="1" applyBorder="1" applyAlignment="1">
      <alignment horizontal="right" vertical="center"/>
    </xf>
    <xf numFmtId="9" fontId="8" fillId="0" borderId="18" xfId="2" applyFont="1" applyFill="1" applyBorder="1" applyAlignment="1">
      <alignment horizontal="center" vertical="center"/>
    </xf>
    <xf numFmtId="3" fontId="8" fillId="0" borderId="16" xfId="0" applyNumberFormat="1" applyFont="1" applyFill="1" applyBorder="1" applyAlignment="1">
      <alignment horizontal="right" vertical="center"/>
    </xf>
    <xf numFmtId="9" fontId="8" fillId="0" borderId="18" xfId="2" applyFont="1" applyFill="1" applyBorder="1" applyAlignment="1">
      <alignment horizontal="right" vertical="center"/>
    </xf>
    <xf numFmtId="0" fontId="2" fillId="0" borderId="23" xfId="0" applyFont="1" applyFill="1" applyBorder="1" applyAlignment="1">
      <alignment horizontal="right" vertical="center"/>
    </xf>
    <xf numFmtId="166" fontId="1" fillId="0" borderId="0"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17" xfId="0" applyFont="1" applyFill="1" applyBorder="1" applyAlignment="1">
      <alignment horizontal="left" vertical="center" wrapText="1"/>
    </xf>
    <xf numFmtId="9" fontId="8" fillId="0" borderId="17" xfId="0" applyNumberFormat="1" applyFont="1" applyFill="1" applyBorder="1" applyAlignment="1">
      <alignment horizontal="center" vertical="center" wrapText="1"/>
    </xf>
    <xf numFmtId="9" fontId="8" fillId="0" borderId="18" xfId="0" applyNumberFormat="1" applyFont="1" applyFill="1" applyBorder="1" applyAlignment="1">
      <alignment horizontal="center" vertical="center" wrapText="1"/>
    </xf>
    <xf numFmtId="0" fontId="2" fillId="0" borderId="0" xfId="0" applyFont="1" applyFill="1" applyAlignment="1">
      <alignment horizontal="right" vertical="center"/>
    </xf>
    <xf numFmtId="9" fontId="1" fillId="0" borderId="0" xfId="2" applyFont="1" applyFill="1" applyBorder="1" applyAlignment="1">
      <alignment horizontal="center" vertical="center"/>
    </xf>
    <xf numFmtId="169" fontId="1" fillId="0" borderId="0" xfId="0" applyNumberFormat="1" applyFont="1" applyFill="1" applyBorder="1" applyAlignment="1">
      <alignment horizontal="center" vertical="center"/>
    </xf>
    <xf numFmtId="0" fontId="5" fillId="0" borderId="0" xfId="0" applyFont="1"/>
    <xf numFmtId="0" fontId="7" fillId="0" borderId="25" xfId="0" applyFont="1" applyFill="1" applyBorder="1" applyAlignment="1">
      <alignment horizontal="right" vertical="center"/>
    </xf>
    <xf numFmtId="9" fontId="8" fillId="0" borderId="25" xfId="2" applyNumberFormat="1" applyFont="1" applyFill="1" applyBorder="1" applyAlignment="1">
      <alignment horizontal="right" vertical="center"/>
    </xf>
    <xf numFmtId="9" fontId="8" fillId="0" borderId="26" xfId="2" applyNumberFormat="1" applyFont="1" applyFill="1" applyBorder="1" applyAlignment="1">
      <alignment horizontal="right" vertical="center"/>
    </xf>
    <xf numFmtId="9" fontId="1" fillId="0" borderId="9" xfId="2" applyNumberFormat="1" applyFont="1" applyFill="1" applyBorder="1" applyAlignment="1">
      <alignment horizontal="right" vertical="center"/>
    </xf>
    <xf numFmtId="10" fontId="8" fillId="0" borderId="28" xfId="0" applyNumberFormat="1" applyFont="1" applyFill="1" applyBorder="1" applyAlignment="1">
      <alignment horizontal="right" vertical="center"/>
    </xf>
    <xf numFmtId="9" fontId="8" fillId="0" borderId="27" xfId="2" applyNumberFormat="1" applyFont="1" applyFill="1" applyBorder="1" applyAlignment="1">
      <alignment horizontal="right" vertical="center"/>
    </xf>
    <xf numFmtId="168" fontId="2" fillId="0" borderId="23" xfId="0" applyNumberFormat="1" applyFont="1" applyFill="1" applyBorder="1" applyAlignment="1">
      <alignment horizontal="right" vertical="center"/>
    </xf>
    <xf numFmtId="3" fontId="8" fillId="0" borderId="15" xfId="1" applyNumberFormat="1" applyFont="1" applyFill="1" applyBorder="1" applyAlignment="1">
      <alignment horizontal="right" vertical="center"/>
    </xf>
    <xf numFmtId="0" fontId="8" fillId="0" borderId="15" xfId="0" applyFont="1" applyFill="1" applyBorder="1" applyAlignment="1">
      <alignment horizontal="right" vertical="center"/>
    </xf>
    <xf numFmtId="10" fontId="8" fillId="0" borderId="16" xfId="2" applyNumberFormat="1" applyFont="1" applyFill="1" applyBorder="1" applyAlignment="1">
      <alignment horizontal="right" vertical="center"/>
    </xf>
    <xf numFmtId="9" fontId="8" fillId="0" borderId="14" xfId="2" applyNumberFormat="1" applyFont="1" applyFill="1" applyBorder="1" applyAlignment="1">
      <alignment horizontal="right" vertical="center"/>
    </xf>
    <xf numFmtId="170" fontId="1" fillId="0" borderId="18" xfId="3" applyNumberFormat="1" applyFont="1" applyFill="1" applyBorder="1" applyAlignment="1">
      <alignment horizontal="right" vertical="center"/>
    </xf>
    <xf numFmtId="0" fontId="0" fillId="2" borderId="0" xfId="0" applyFill="1"/>
    <xf numFmtId="10" fontId="0" fillId="2" borderId="0" xfId="2" applyNumberFormat="1" applyFont="1" applyFill="1"/>
    <xf numFmtId="0" fontId="9" fillId="3" borderId="32" xfId="0" applyFont="1" applyFill="1" applyBorder="1" applyAlignment="1">
      <alignment horizontal="center" vertical="center" wrapText="1"/>
    </xf>
    <xf numFmtId="0" fontId="10" fillId="0" borderId="31" xfId="0" applyFont="1" applyBorder="1" applyAlignment="1">
      <alignment vertical="center"/>
    </xf>
    <xf numFmtId="0" fontId="10" fillId="0" borderId="32" xfId="0" applyFont="1" applyBorder="1" applyAlignment="1">
      <alignment vertical="center"/>
    </xf>
    <xf numFmtId="3" fontId="10" fillId="0" borderId="32" xfId="0" applyNumberFormat="1" applyFont="1" applyBorder="1" applyAlignment="1">
      <alignment horizontal="right" vertical="center"/>
    </xf>
    <xf numFmtId="9" fontId="10" fillId="0" borderId="32" xfId="0" applyNumberFormat="1" applyFont="1" applyBorder="1" applyAlignment="1">
      <alignment horizontal="right" vertical="center"/>
    </xf>
    <xf numFmtId="0" fontId="10" fillId="0" borderId="32" xfId="0" applyFont="1" applyBorder="1" applyAlignment="1">
      <alignment horizontal="right" vertical="center"/>
    </xf>
    <xf numFmtId="3" fontId="11" fillId="0" borderId="32" xfId="0" applyNumberFormat="1" applyFont="1" applyBorder="1" applyAlignment="1">
      <alignment horizontal="right" vertical="center"/>
    </xf>
    <xf numFmtId="0" fontId="11" fillId="0" borderId="32" xfId="0" applyFont="1" applyBorder="1" applyAlignment="1">
      <alignment horizontal="right" vertical="center"/>
    </xf>
    <xf numFmtId="3" fontId="0" fillId="0" borderId="0" xfId="0" applyNumberFormat="1"/>
    <xf numFmtId="0" fontId="0" fillId="0" borderId="0" xfId="0" applyAlignment="1">
      <alignment horizontal="center"/>
    </xf>
    <xf numFmtId="0" fontId="0" fillId="0" borderId="2" xfId="0" applyBorder="1"/>
    <xf numFmtId="0" fontId="0" fillId="0" borderId="0" xfId="0" applyAlignment="1"/>
    <xf numFmtId="0" fontId="0" fillId="0" borderId="0" xfId="0" quotePrefix="1" applyAlignment="1">
      <alignment wrapText="1"/>
    </xf>
    <xf numFmtId="171" fontId="0" fillId="2" borderId="0" xfId="2" applyNumberFormat="1" applyFont="1" applyFill="1"/>
    <xf numFmtId="172" fontId="0" fillId="2" borderId="0" xfId="2" applyNumberFormat="1" applyFont="1" applyFill="1"/>
    <xf numFmtId="171" fontId="0" fillId="0" borderId="0" xfId="0" applyNumberFormat="1"/>
    <xf numFmtId="172" fontId="0" fillId="0" borderId="0" xfId="0" applyNumberFormat="1"/>
    <xf numFmtId="9" fontId="0" fillId="4" borderId="0" xfId="2" applyFont="1" applyFill="1"/>
    <xf numFmtId="9" fontId="2" fillId="4" borderId="0" xfId="2" applyFont="1" applyFill="1"/>
    <xf numFmtId="0" fontId="0" fillId="5" borderId="0" xfId="0" applyFill="1"/>
    <xf numFmtId="164" fontId="0" fillId="5" borderId="0" xfId="0" applyNumberFormat="1" applyFill="1"/>
    <xf numFmtId="0" fontId="0" fillId="0" borderId="0" xfId="0" applyAlignment="1">
      <alignment horizont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4" borderId="0" xfId="0" applyFill="1" applyAlignment="1">
      <alignment horizontal="left"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7" fillId="0" borderId="1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9"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5"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9" fontId="1" fillId="0" borderId="0" xfId="2" applyFont="1" applyFill="1" applyBorder="1" applyAlignment="1">
      <alignment horizontal="center" vertical="center"/>
    </xf>
    <xf numFmtId="9" fontId="1" fillId="0" borderId="0" xfId="0" applyNumberFormat="1"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7" xfId="0" applyFont="1" applyFill="1" applyBorder="1" applyAlignment="1">
      <alignment horizontal="left" vertical="center"/>
    </xf>
  </cellXfs>
  <cellStyles count="8">
    <cellStyle name="Comma" xfId="1" builtinId="3"/>
    <cellStyle name="Currency" xfId="3" builtinId="4"/>
    <cellStyle name="Normal" xfId="0" builtinId="0"/>
    <cellStyle name="Normal 10 2" xfId="7"/>
    <cellStyle name="Normal 26" xfId="6"/>
    <cellStyle name="Normal 27" xfId="4"/>
    <cellStyle name="Normal 9 3" xfI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82"/>
  <sheetViews>
    <sheetView tabSelected="1" workbookViewId="0">
      <selection activeCell="H1" sqref="H1:I1"/>
    </sheetView>
  </sheetViews>
  <sheetFormatPr defaultRowHeight="14.4" x14ac:dyDescent="0.3"/>
  <cols>
    <col min="2" max="2" width="38.6640625" customWidth="1"/>
    <col min="3" max="3" width="28.21875" customWidth="1"/>
    <col min="4" max="4" width="15.44140625" customWidth="1"/>
    <col min="5" max="5" width="14.33203125" bestFit="1" customWidth="1"/>
    <col min="6" max="6" width="11.5546875" bestFit="1" customWidth="1"/>
    <col min="7" max="7" width="12.5546875" bestFit="1" customWidth="1"/>
    <col min="8" max="9" width="10" customWidth="1"/>
    <col min="10" max="10" width="15.33203125" bestFit="1" customWidth="1"/>
    <col min="11" max="11" width="30.44140625" customWidth="1"/>
    <col min="12" max="12" width="17.88671875" customWidth="1"/>
    <col min="13" max="13" width="15.33203125" bestFit="1" customWidth="1"/>
    <col min="14" max="14" width="13.33203125" bestFit="1" customWidth="1"/>
    <col min="16" max="16" width="11.44140625" bestFit="1" customWidth="1"/>
    <col min="17" max="17" width="12.6640625" bestFit="1" customWidth="1"/>
  </cols>
  <sheetData>
    <row r="1" spans="2:13" ht="112.8" customHeight="1" x14ac:dyDescent="0.3">
      <c r="B1" s="127" t="s">
        <v>147</v>
      </c>
      <c r="C1" s="127"/>
      <c r="D1" s="123" t="s">
        <v>13</v>
      </c>
      <c r="E1" s="123"/>
      <c r="F1" s="123"/>
      <c r="G1" s="123"/>
      <c r="H1" s="123" t="s">
        <v>20</v>
      </c>
      <c r="I1" s="123"/>
      <c r="J1" s="111"/>
      <c r="K1" s="111"/>
      <c r="L1" s="123" t="s">
        <v>23</v>
      </c>
      <c r="M1" s="123"/>
    </row>
    <row r="2" spans="2:13" x14ac:dyDescent="0.3">
      <c r="B2" s="3"/>
      <c r="D2" s="3" t="s">
        <v>14</v>
      </c>
      <c r="E2" s="3" t="s">
        <v>15</v>
      </c>
      <c r="F2" s="3" t="s">
        <v>16</v>
      </c>
      <c r="G2" s="3" t="s">
        <v>17</v>
      </c>
      <c r="H2" s="3" t="s">
        <v>21</v>
      </c>
      <c r="I2" s="114" t="s">
        <v>146</v>
      </c>
      <c r="J2" s="3" t="s">
        <v>144</v>
      </c>
      <c r="K2" s="3" t="s">
        <v>143</v>
      </c>
      <c r="L2" s="3" t="s">
        <v>15</v>
      </c>
      <c r="M2" s="3" t="s">
        <v>17</v>
      </c>
    </row>
    <row r="3" spans="2:13" x14ac:dyDescent="0.3">
      <c r="B3" s="126" t="s">
        <v>45</v>
      </c>
      <c r="C3" t="s">
        <v>69</v>
      </c>
      <c r="D3" s="23">
        <v>3057940</v>
      </c>
      <c r="E3" s="23">
        <v>45203822</v>
      </c>
      <c r="F3" s="23">
        <v>1406652.4</v>
      </c>
      <c r="G3" s="23">
        <v>20793758.119999994</v>
      </c>
      <c r="H3" s="12">
        <f>J40</f>
        <v>0.9956544886071802</v>
      </c>
      <c r="I3" s="119">
        <v>0.46</v>
      </c>
      <c r="J3" s="119">
        <v>0</v>
      </c>
      <c r="K3" s="27">
        <f t="shared" ref="K3:K4" si="0">SUM(I3:J3)</f>
        <v>0.46</v>
      </c>
      <c r="L3" s="30">
        <f>H3*E3</f>
        <v>45007388.276500002</v>
      </c>
      <c r="M3" s="24">
        <f>L3*K3</f>
        <v>20703398.607190002</v>
      </c>
    </row>
    <row r="4" spans="2:13" x14ac:dyDescent="0.3">
      <c r="B4" s="126"/>
      <c r="C4" t="s">
        <v>68</v>
      </c>
      <c r="D4" s="23">
        <v>38650535</v>
      </c>
      <c r="E4" s="23">
        <v>566273183</v>
      </c>
      <c r="F4" s="23">
        <v>17779246.099999998</v>
      </c>
      <c r="G4" s="23">
        <v>260485664.17999998</v>
      </c>
      <c r="H4" s="12">
        <f>J41</f>
        <v>0.96660291859150271</v>
      </c>
      <c r="I4" s="119">
        <v>0.46</v>
      </c>
      <c r="J4" s="119">
        <v>0</v>
      </c>
      <c r="K4" s="27">
        <f t="shared" si="0"/>
        <v>0.46</v>
      </c>
      <c r="L4" s="30">
        <f>H4*E4</f>
        <v>547361311.40790009</v>
      </c>
      <c r="M4" s="24">
        <f>L4*K4</f>
        <v>251786203.24763405</v>
      </c>
    </row>
    <row r="5" spans="2:13" s="5" customFormat="1" x14ac:dyDescent="0.3">
      <c r="B5" s="126"/>
      <c r="C5" s="5" t="s">
        <v>11</v>
      </c>
      <c r="D5" s="4">
        <f>SUM(D3:D4)</f>
        <v>41708475</v>
      </c>
      <c r="E5" s="4">
        <f t="shared" ref="E5:G5" si="1">SUM(E3:E4)</f>
        <v>611477005</v>
      </c>
      <c r="F5" s="4">
        <f t="shared" si="1"/>
        <v>19185898.499999996</v>
      </c>
      <c r="G5" s="4">
        <f t="shared" si="1"/>
        <v>281279422.29999995</v>
      </c>
      <c r="H5" s="26">
        <f>L5/E5</f>
        <v>0.96875057416819799</v>
      </c>
      <c r="J5" s="26"/>
      <c r="K5" s="26">
        <f>M5/L5</f>
        <v>0.46000000000000008</v>
      </c>
      <c r="L5" s="13">
        <f>SUM(L3:L4)</f>
        <v>592368699.68440008</v>
      </c>
      <c r="M5" s="13">
        <f>SUM(M3:M4)</f>
        <v>272489601.85482407</v>
      </c>
    </row>
    <row r="6" spans="2:13" x14ac:dyDescent="0.3">
      <c r="B6" s="126" t="s">
        <v>46</v>
      </c>
      <c r="C6" t="s">
        <v>69</v>
      </c>
      <c r="D6" s="23">
        <v>2880042.3169999998</v>
      </c>
      <c r="E6" s="23">
        <v>50346391.339999996</v>
      </c>
      <c r="F6" s="23">
        <v>1324819.4658199996</v>
      </c>
      <c r="G6" s="23">
        <v>23159340.016400002</v>
      </c>
      <c r="H6" s="12">
        <f>J38</f>
        <v>0.89059999999999961</v>
      </c>
      <c r="I6" s="119">
        <v>0.46</v>
      </c>
      <c r="J6" s="119">
        <v>0</v>
      </c>
      <c r="K6" s="27">
        <f t="shared" ref="K6:K7" si="2">SUM(I6:J6)</f>
        <v>0.46</v>
      </c>
      <c r="L6" s="30">
        <f>H6*E6</f>
        <v>44838496.127403975</v>
      </c>
      <c r="M6" s="24">
        <f>L6*K6</f>
        <v>20625708.218605828</v>
      </c>
    </row>
    <row r="7" spans="2:13" x14ac:dyDescent="0.3">
      <c r="B7" s="126"/>
      <c r="C7" t="s">
        <v>68</v>
      </c>
      <c r="D7" s="23">
        <v>13646959.83</v>
      </c>
      <c r="E7" s="23">
        <v>218235962.59999999</v>
      </c>
      <c r="F7" s="23">
        <v>6277601.5217999993</v>
      </c>
      <c r="G7" s="23">
        <v>100388542.79599999</v>
      </c>
      <c r="H7" s="12">
        <f>J39</f>
        <v>0.89059999999999995</v>
      </c>
      <c r="I7" s="119">
        <v>0.46</v>
      </c>
      <c r="J7" s="119">
        <v>0</v>
      </c>
      <c r="K7" s="27">
        <f t="shared" si="2"/>
        <v>0.46</v>
      </c>
      <c r="L7" s="30">
        <f>H7*E7</f>
        <v>194360948.29155999</v>
      </c>
      <c r="M7" s="24">
        <f>L7*K7</f>
        <v>89406036.214117602</v>
      </c>
    </row>
    <row r="8" spans="2:13" s="5" customFormat="1" x14ac:dyDescent="0.3">
      <c r="B8" s="126"/>
      <c r="C8" s="5" t="s">
        <v>11</v>
      </c>
      <c r="D8" s="4">
        <v>16527002.147</v>
      </c>
      <c r="E8" s="4">
        <v>268582353.94</v>
      </c>
      <c r="F8" s="4">
        <v>7602420.9876199989</v>
      </c>
      <c r="G8" s="4">
        <v>123547882.8124</v>
      </c>
      <c r="H8" s="26">
        <f>L8/E8</f>
        <v>0.89059999999999984</v>
      </c>
      <c r="J8" s="26"/>
      <c r="K8" s="26">
        <f>M8/L8</f>
        <v>0.46</v>
      </c>
      <c r="L8" s="13">
        <f>SUM(L6:L7)</f>
        <v>239199444.41896397</v>
      </c>
      <c r="M8" s="13">
        <f>SUM(M6:M7)</f>
        <v>110031744.43272343</v>
      </c>
    </row>
    <row r="9" spans="2:13" x14ac:dyDescent="0.3">
      <c r="B9" s="126" t="s">
        <v>47</v>
      </c>
      <c r="C9" t="s">
        <v>69</v>
      </c>
      <c r="D9" s="23">
        <v>2798633.19</v>
      </c>
      <c r="E9" s="23">
        <v>47788957.850000001</v>
      </c>
      <c r="F9" s="23">
        <v>1287371.2674</v>
      </c>
      <c r="G9" s="23">
        <v>21982920.610999994</v>
      </c>
      <c r="H9" s="12">
        <f>J42</f>
        <v>1.0361058977151349</v>
      </c>
      <c r="I9" s="119">
        <v>0.46</v>
      </c>
      <c r="J9" s="119">
        <v>0</v>
      </c>
      <c r="K9" s="27">
        <f t="shared" ref="K9:K10" si="3">SUM(I9:J9)</f>
        <v>0.46</v>
      </c>
      <c r="L9" s="30">
        <f>H9*E9</f>
        <v>49514421.074044995</v>
      </c>
      <c r="M9" s="24">
        <f>L9*K9</f>
        <v>22776633.694060698</v>
      </c>
    </row>
    <row r="10" spans="2:13" x14ac:dyDescent="0.3">
      <c r="B10" s="126"/>
      <c r="C10" t="s">
        <v>68</v>
      </c>
      <c r="D10" s="23">
        <v>33530609</v>
      </c>
      <c r="E10" s="23">
        <v>546070401</v>
      </c>
      <c r="F10" s="23">
        <v>15424080.139999997</v>
      </c>
      <c r="G10" s="23">
        <v>251192384.45999992</v>
      </c>
      <c r="H10" s="12">
        <f>J43</f>
        <v>1.0306903925517843</v>
      </c>
      <c r="I10" s="119">
        <v>0.46</v>
      </c>
      <c r="J10" s="119">
        <v>0</v>
      </c>
      <c r="K10" s="27">
        <f t="shared" si="3"/>
        <v>0.46</v>
      </c>
      <c r="L10" s="30">
        <f>H10*E10</f>
        <v>562829515.96760023</v>
      </c>
      <c r="M10" s="24">
        <f>L10*K10</f>
        <v>258901577.34509611</v>
      </c>
    </row>
    <row r="11" spans="2:13" s="5" customFormat="1" x14ac:dyDescent="0.3">
      <c r="B11" s="126"/>
      <c r="C11" s="5" t="s">
        <v>11</v>
      </c>
      <c r="D11" s="4">
        <v>36329242.189999998</v>
      </c>
      <c r="E11" s="4">
        <v>593859358.85000002</v>
      </c>
      <c r="F11" s="4">
        <v>16711451.407399997</v>
      </c>
      <c r="G11" s="4">
        <v>273175305.07099992</v>
      </c>
      <c r="H11" s="26">
        <f t="shared" ref="H11:H16" si="4">L11/E11</f>
        <v>1.0311261882399905</v>
      </c>
      <c r="J11" s="26"/>
      <c r="K11" s="26">
        <f>M11/L11</f>
        <v>0.46</v>
      </c>
      <c r="L11" s="13">
        <f>SUM(L9:L10)</f>
        <v>612343937.04164517</v>
      </c>
      <c r="M11" s="13">
        <f>SUM(M9:M10)</f>
        <v>281678211.03915679</v>
      </c>
    </row>
    <row r="12" spans="2:13" x14ac:dyDescent="0.3">
      <c r="B12" s="126" t="s">
        <v>1</v>
      </c>
      <c r="C12" t="s">
        <v>56</v>
      </c>
      <c r="D12" s="23">
        <v>65720</v>
      </c>
      <c r="E12" s="23">
        <v>985800.00000000012</v>
      </c>
      <c r="F12" s="23">
        <v>37460.400000000009</v>
      </c>
      <c r="G12" s="23">
        <v>561906.00000000012</v>
      </c>
      <c r="H12" s="27">
        <f t="shared" si="4"/>
        <v>0.99999999999999989</v>
      </c>
      <c r="I12" s="27">
        <f>1-C39</f>
        <v>0.57000000000000006</v>
      </c>
      <c r="J12" s="27">
        <v>0</v>
      </c>
      <c r="K12" s="27">
        <f>SUM(I12:J12)</f>
        <v>0.57000000000000006</v>
      </c>
      <c r="L12" s="24">
        <f>G59</f>
        <v>985800</v>
      </c>
      <c r="M12" s="24">
        <f>K12*L12</f>
        <v>561906.00000000012</v>
      </c>
    </row>
    <row r="13" spans="2:13" x14ac:dyDescent="0.3">
      <c r="B13" s="126"/>
      <c r="C13" t="s">
        <v>60</v>
      </c>
      <c r="D13" s="23">
        <v>611552.88</v>
      </c>
      <c r="E13" s="23">
        <v>9173293.2000000011</v>
      </c>
      <c r="F13" s="23">
        <v>587090.7648</v>
      </c>
      <c r="G13" s="23">
        <v>8806361.4719999991</v>
      </c>
      <c r="H13" s="27">
        <f t="shared" si="4"/>
        <v>0.9603123772387433</v>
      </c>
      <c r="I13" s="27">
        <f>1-C40</f>
        <v>0.96</v>
      </c>
      <c r="J13" s="27">
        <v>0</v>
      </c>
      <c r="K13" s="27">
        <f t="shared" ref="K13:K15" si="5">SUM(I13:J13)</f>
        <v>0.96</v>
      </c>
      <c r="L13" s="24">
        <f>G60</f>
        <v>8809227</v>
      </c>
      <c r="M13" s="30">
        <f>K13*L13</f>
        <v>8456857.9199999999</v>
      </c>
    </row>
    <row r="14" spans="2:13" x14ac:dyDescent="0.3">
      <c r="B14" s="126"/>
      <c r="C14" t="s">
        <v>58</v>
      </c>
      <c r="D14" s="23">
        <v>869132</v>
      </c>
      <c r="E14" s="23">
        <v>8691320</v>
      </c>
      <c r="F14" s="23">
        <v>782218.8</v>
      </c>
      <c r="G14" s="23">
        <v>7822188</v>
      </c>
      <c r="H14" s="27">
        <f t="shared" si="4"/>
        <v>0.51718726269427429</v>
      </c>
      <c r="I14" s="27">
        <f>1-C41</f>
        <v>0.9</v>
      </c>
      <c r="J14" s="27">
        <v>0</v>
      </c>
      <c r="K14" s="27">
        <f t="shared" si="5"/>
        <v>0.9</v>
      </c>
      <c r="L14" s="24">
        <f>G61</f>
        <v>4495040</v>
      </c>
      <c r="M14" s="24">
        <f>K14*L14</f>
        <v>4045536</v>
      </c>
    </row>
    <row r="15" spans="2:13" x14ac:dyDescent="0.3">
      <c r="B15" s="126"/>
      <c r="C15" t="s">
        <v>59</v>
      </c>
      <c r="D15" s="23">
        <v>354763.88000000006</v>
      </c>
      <c r="E15" s="23">
        <v>3547638.8</v>
      </c>
      <c r="F15" s="23">
        <v>237691.79959999997</v>
      </c>
      <c r="G15" s="23">
        <v>2376917.9959999998</v>
      </c>
      <c r="H15" s="27">
        <f t="shared" si="4"/>
        <v>0.73062454948908562</v>
      </c>
      <c r="I15" s="27">
        <f>1-C42</f>
        <v>0.66999999999999993</v>
      </c>
      <c r="J15" s="27">
        <v>0</v>
      </c>
      <c r="K15" s="27">
        <f t="shared" si="5"/>
        <v>0.66999999999999993</v>
      </c>
      <c r="L15" s="24">
        <f>G62</f>
        <v>2591992</v>
      </c>
      <c r="M15" s="30">
        <f>K15*L15</f>
        <v>1736634.64</v>
      </c>
    </row>
    <row r="16" spans="2:13" s="5" customFormat="1" x14ac:dyDescent="0.3">
      <c r="B16" s="126"/>
      <c r="C16" s="5" t="s">
        <v>11</v>
      </c>
      <c r="D16" s="4">
        <f>SUM(D12:D15)</f>
        <v>1901168.76</v>
      </c>
      <c r="E16" s="4">
        <f t="shared" ref="E16:G16" si="6">SUM(E12:E15)</f>
        <v>22398052.000000004</v>
      </c>
      <c r="F16" s="4">
        <f t="shared" si="6"/>
        <v>1644461.7644000002</v>
      </c>
      <c r="G16" s="4">
        <f t="shared" si="6"/>
        <v>19567373.467999998</v>
      </c>
      <c r="H16" s="26">
        <f t="shared" si="4"/>
        <v>0.75372889570932322</v>
      </c>
      <c r="J16" s="26"/>
      <c r="K16" s="26">
        <f>M16/L16</f>
        <v>0.87672567427942294</v>
      </c>
      <c r="L16" s="13">
        <f>SUM(L12:L15)</f>
        <v>16882059</v>
      </c>
      <c r="M16" s="13">
        <f>SUM(M12:M15)</f>
        <v>14800934.560000001</v>
      </c>
    </row>
    <row r="17" spans="2:13" ht="15" x14ac:dyDescent="0.25">
      <c r="B17" s="29" t="s">
        <v>2</v>
      </c>
      <c r="C17" s="5" t="s">
        <v>8</v>
      </c>
      <c r="D17" s="4">
        <v>3828386</v>
      </c>
      <c r="E17" s="4">
        <v>69321370</v>
      </c>
      <c r="F17" s="4">
        <v>3254128.0999999992</v>
      </c>
      <c r="G17" s="4">
        <v>58923164.5</v>
      </c>
      <c r="H17" s="26">
        <v>0.98</v>
      </c>
      <c r="J17" s="26"/>
      <c r="K17" s="26">
        <f>1-C43</f>
        <v>0.85</v>
      </c>
      <c r="L17" s="18">
        <f t="shared" ref="L17:L24" si="7">H17*E17</f>
        <v>67934942.599999994</v>
      </c>
      <c r="M17" s="13">
        <f>L17*K17</f>
        <v>57744701.209999993</v>
      </c>
    </row>
    <row r="18" spans="2:13" x14ac:dyDescent="0.3">
      <c r="B18" s="124" t="s">
        <v>0</v>
      </c>
      <c r="C18" t="s">
        <v>61</v>
      </c>
      <c r="D18" s="23">
        <v>793274</v>
      </c>
      <c r="E18" s="23">
        <v>11899110</v>
      </c>
      <c r="F18" s="23">
        <v>713946.60000000009</v>
      </c>
      <c r="G18" s="23">
        <v>10709199</v>
      </c>
      <c r="H18" s="27">
        <v>1</v>
      </c>
      <c r="I18" s="27">
        <f t="shared" ref="I18:I22" si="8">1-C44</f>
        <v>0.9</v>
      </c>
      <c r="J18" s="27">
        <v>0</v>
      </c>
      <c r="K18" s="27">
        <f t="shared" ref="K18:K24" si="9">SUM(I18:J18)</f>
        <v>0.9</v>
      </c>
      <c r="L18" s="24">
        <f t="shared" si="7"/>
        <v>11899110</v>
      </c>
      <c r="M18" s="24">
        <f t="shared" ref="M18:M24" si="10">K18*L18</f>
        <v>10709199</v>
      </c>
    </row>
    <row r="19" spans="2:13" x14ac:dyDescent="0.3">
      <c r="B19" s="124"/>
      <c r="C19" t="s">
        <v>62</v>
      </c>
      <c r="D19" s="23">
        <v>499306.27999999997</v>
      </c>
      <c r="E19" s="23">
        <v>6134138.7999999998</v>
      </c>
      <c r="F19" s="23">
        <v>399445.02400000015</v>
      </c>
      <c r="G19" s="23">
        <v>4907311.0399999991</v>
      </c>
      <c r="H19" s="27">
        <v>1</v>
      </c>
      <c r="I19" s="27">
        <f t="shared" si="8"/>
        <v>0.8</v>
      </c>
      <c r="J19" s="27">
        <v>0</v>
      </c>
      <c r="K19" s="27">
        <f t="shared" si="9"/>
        <v>0.8</v>
      </c>
      <c r="L19" s="30">
        <f t="shared" si="7"/>
        <v>6134138.7999999998</v>
      </c>
      <c r="M19" s="24">
        <f t="shared" si="10"/>
        <v>4907311.04</v>
      </c>
    </row>
    <row r="20" spans="2:13" x14ac:dyDescent="0.3">
      <c r="B20" s="124"/>
      <c r="C20" t="s">
        <v>63</v>
      </c>
      <c r="D20" s="23">
        <v>5928</v>
      </c>
      <c r="E20" s="23">
        <v>118560</v>
      </c>
      <c r="F20" s="23">
        <v>4327.4400000000005</v>
      </c>
      <c r="G20" s="23">
        <v>86548.799999999988</v>
      </c>
      <c r="H20" s="27">
        <v>1</v>
      </c>
      <c r="I20" s="27">
        <f t="shared" si="8"/>
        <v>0.73</v>
      </c>
      <c r="J20" s="27">
        <v>0</v>
      </c>
      <c r="K20" s="27">
        <f t="shared" si="9"/>
        <v>0.73</v>
      </c>
      <c r="L20" s="24">
        <f t="shared" si="7"/>
        <v>118560</v>
      </c>
      <c r="M20" s="30">
        <f t="shared" si="10"/>
        <v>86548.800000000003</v>
      </c>
    </row>
    <row r="21" spans="2:13" x14ac:dyDescent="0.3">
      <c r="B21" s="124"/>
      <c r="C21" t="s">
        <v>64</v>
      </c>
      <c r="D21" s="23">
        <v>2579052.4</v>
      </c>
      <c r="E21" s="23">
        <v>51581048</v>
      </c>
      <c r="F21" s="23">
        <v>1727965.1080000005</v>
      </c>
      <c r="G21" s="23">
        <v>34559302.160000004</v>
      </c>
      <c r="H21" s="27">
        <v>1</v>
      </c>
      <c r="I21" s="27">
        <f t="shared" si="8"/>
        <v>0.66999999999999993</v>
      </c>
      <c r="J21" s="27">
        <v>0</v>
      </c>
      <c r="K21" s="27">
        <f t="shared" si="9"/>
        <v>0.66999999999999993</v>
      </c>
      <c r="L21" s="24">
        <f t="shared" si="7"/>
        <v>51581048</v>
      </c>
      <c r="M21" s="30">
        <f t="shared" si="10"/>
        <v>34559302.159999996</v>
      </c>
    </row>
    <row r="22" spans="2:13" x14ac:dyDescent="0.3">
      <c r="B22" s="124"/>
      <c r="C22" t="s">
        <v>65</v>
      </c>
      <c r="D22" s="23">
        <v>1420</v>
      </c>
      <c r="E22" s="23">
        <v>14200</v>
      </c>
      <c r="F22" s="23">
        <v>852.00000000000011</v>
      </c>
      <c r="G22" s="23">
        <v>8520</v>
      </c>
      <c r="H22" s="27">
        <v>1</v>
      </c>
      <c r="I22" s="27">
        <f t="shared" si="8"/>
        <v>0.6</v>
      </c>
      <c r="J22" s="27">
        <v>0</v>
      </c>
      <c r="K22" s="27">
        <f t="shared" si="9"/>
        <v>0.6</v>
      </c>
      <c r="L22" s="24">
        <f t="shared" si="7"/>
        <v>14200</v>
      </c>
      <c r="M22" s="24">
        <f t="shared" si="10"/>
        <v>8520</v>
      </c>
    </row>
    <row r="23" spans="2:13" x14ac:dyDescent="0.3">
      <c r="B23" s="124"/>
      <c r="C23" t="s">
        <v>54</v>
      </c>
      <c r="D23" s="23">
        <v>160768.93</v>
      </c>
      <c r="E23" s="23">
        <v>2411533.9499999997</v>
      </c>
      <c r="F23" s="23">
        <v>147907.41560000001</v>
      </c>
      <c r="G23" s="23">
        <v>2218611.2340000002</v>
      </c>
      <c r="H23" s="27">
        <v>1</v>
      </c>
      <c r="I23" s="27">
        <f>1-C50</f>
        <v>0.92</v>
      </c>
      <c r="J23" s="27">
        <v>0</v>
      </c>
      <c r="K23" s="27">
        <f t="shared" si="9"/>
        <v>0.92</v>
      </c>
      <c r="L23" s="30">
        <f t="shared" si="7"/>
        <v>2411533.9499999997</v>
      </c>
      <c r="M23" s="30">
        <f t="shared" si="10"/>
        <v>2218611.2339999997</v>
      </c>
    </row>
    <row r="24" spans="2:13" x14ac:dyDescent="0.3">
      <c r="B24" s="124"/>
      <c r="C24" t="s">
        <v>66</v>
      </c>
      <c r="D24" s="23">
        <v>6619794.3119999999</v>
      </c>
      <c r="E24" s="23">
        <v>136760415.20999998</v>
      </c>
      <c r="F24" s="23">
        <v>6288804.5963999955</v>
      </c>
      <c r="G24" s="23">
        <v>129922394.44950013</v>
      </c>
      <c r="H24" s="27">
        <v>1</v>
      </c>
      <c r="I24" s="27">
        <f>1-C49</f>
        <v>0.95</v>
      </c>
      <c r="J24" s="27">
        <v>0</v>
      </c>
      <c r="K24" s="27">
        <f t="shared" si="9"/>
        <v>0.95</v>
      </c>
      <c r="L24" s="30">
        <f t="shared" si="7"/>
        <v>136760415.20999998</v>
      </c>
      <c r="M24" s="30">
        <f t="shared" si="10"/>
        <v>129922394.44949998</v>
      </c>
    </row>
    <row r="25" spans="2:13" s="5" customFormat="1" ht="15" thickBot="1" x14ac:dyDescent="0.35">
      <c r="B25" s="125"/>
      <c r="C25" s="5" t="s">
        <v>11</v>
      </c>
      <c r="D25" s="4">
        <f>SUM(D18:D24)</f>
        <v>10659543.922</v>
      </c>
      <c r="E25" s="4">
        <f t="shared" ref="E25:G25" si="11">SUM(E18:E24)</f>
        <v>208919005.95999998</v>
      </c>
      <c r="F25" s="4">
        <f t="shared" si="11"/>
        <v>9283248.1839999966</v>
      </c>
      <c r="G25" s="4">
        <f t="shared" si="11"/>
        <v>182411886.68350011</v>
      </c>
      <c r="H25" s="26">
        <f>L25/E25</f>
        <v>1</v>
      </c>
      <c r="J25" s="26"/>
      <c r="K25" s="26">
        <f>M25/L25</f>
        <v>0.87312250910491562</v>
      </c>
      <c r="L25" s="13">
        <f>SUM(L18:L24)</f>
        <v>208919005.95999998</v>
      </c>
      <c r="M25" s="13">
        <f>SUM(M18:M24)</f>
        <v>182411886.68349999</v>
      </c>
    </row>
    <row r="26" spans="2:13" ht="15.75" thickBot="1" x14ac:dyDescent="0.3">
      <c r="B26" s="6" t="s">
        <v>11</v>
      </c>
      <c r="C26" s="7"/>
      <c r="D26" s="8">
        <f>SUM(D25,D17,D16,D11,D8,D5)</f>
        <v>110953818.01899999</v>
      </c>
      <c r="E26" s="8">
        <f t="shared" ref="E26:G26" si="12">SUM(E25,E17,E16,E11,E8,E5)</f>
        <v>1774557145.75</v>
      </c>
      <c r="F26" s="8">
        <f t="shared" si="12"/>
        <v>57681608.943419993</v>
      </c>
      <c r="G26" s="9">
        <f t="shared" si="12"/>
        <v>938905034.83490002</v>
      </c>
      <c r="H26" s="16">
        <f>L26/E26</f>
        <v>0.9792009757852056</v>
      </c>
      <c r="I26" s="112"/>
      <c r="J26" s="25"/>
      <c r="K26" s="17">
        <f>M26/L26</f>
        <v>0.52896618466930823</v>
      </c>
      <c r="L26" s="14">
        <f>SUM(L25,L17,L16,L11,L8,L5)</f>
        <v>1737648088.7050092</v>
      </c>
      <c r="M26" s="15">
        <f>SUM(M25,M17,M16,M11,M8,M5)</f>
        <v>919157079.7802043</v>
      </c>
    </row>
    <row r="27" spans="2:13" ht="15" x14ac:dyDescent="0.25">
      <c r="B27" t="s">
        <v>18</v>
      </c>
      <c r="D27" s="10">
        <f>SUM(D11,D8,D5)</f>
        <v>94564719.336999997</v>
      </c>
      <c r="E27" s="10">
        <f t="shared" ref="E27:G27" si="13">SUM(E11,E8,E5)</f>
        <v>1473918717.79</v>
      </c>
      <c r="F27" s="10">
        <f t="shared" si="13"/>
        <v>43499770.895019993</v>
      </c>
      <c r="G27" s="10">
        <f t="shared" si="13"/>
        <v>678002610.18339992</v>
      </c>
      <c r="H27" s="21">
        <f>L27/E27</f>
        <v>0.9796415933369903</v>
      </c>
      <c r="J27" s="20"/>
      <c r="K27" s="20">
        <f>M27/L27</f>
        <v>0.46</v>
      </c>
      <c r="L27" s="10">
        <f>SUM(L11,L8,L5)</f>
        <v>1443912081.1450093</v>
      </c>
      <c r="M27" s="10">
        <f>SUM(M11,M8,M5)</f>
        <v>664199557.32670426</v>
      </c>
    </row>
    <row r="28" spans="2:13" ht="15" x14ac:dyDescent="0.25">
      <c r="B28" t="s">
        <v>67</v>
      </c>
      <c r="D28" s="10">
        <f>SUM(D25,D16)</f>
        <v>12560712.682</v>
      </c>
      <c r="E28" s="10">
        <f t="shared" ref="E28:G28" si="14">SUM(E25,E16)</f>
        <v>231317057.95999998</v>
      </c>
      <c r="F28" s="10">
        <f t="shared" si="14"/>
        <v>10927709.948399996</v>
      </c>
      <c r="G28" s="10">
        <f t="shared" si="14"/>
        <v>201979260.15150011</v>
      </c>
      <c r="H28" s="21">
        <f>L28/E28</f>
        <v>0.97615397217721034</v>
      </c>
      <c r="J28" s="20"/>
      <c r="K28" s="20">
        <f>M28/L28</f>
        <v>0.87339190042542847</v>
      </c>
      <c r="L28" s="10">
        <f>SUM(L25,L16)</f>
        <v>225801064.95999998</v>
      </c>
      <c r="M28" s="10">
        <f>SUM(M25,M16)</f>
        <v>197212821.24349999</v>
      </c>
    </row>
    <row r="30" spans="2:13" x14ac:dyDescent="0.3">
      <c r="B30" s="87" t="s">
        <v>98</v>
      </c>
    </row>
    <row r="31" spans="2:13" x14ac:dyDescent="0.3">
      <c r="B31" s="28" t="s">
        <v>99</v>
      </c>
    </row>
    <row r="34" spans="2:12" x14ac:dyDescent="0.3">
      <c r="B34" t="s">
        <v>24</v>
      </c>
    </row>
    <row r="35" spans="2:12" x14ac:dyDescent="0.3">
      <c r="B35" t="s">
        <v>7</v>
      </c>
      <c r="G35" t="s">
        <v>141</v>
      </c>
    </row>
    <row r="36" spans="2:12" x14ac:dyDescent="0.3">
      <c r="B36" t="s">
        <v>45</v>
      </c>
      <c r="C36" s="1">
        <v>0.54</v>
      </c>
      <c r="G36" t="s">
        <v>142</v>
      </c>
      <c r="J36" s="11">
        <v>42979</v>
      </c>
    </row>
    <row r="37" spans="2:12" x14ac:dyDescent="0.3">
      <c r="B37" s="22" t="s">
        <v>46</v>
      </c>
      <c r="C37" s="1">
        <v>0.54</v>
      </c>
      <c r="G37" t="s">
        <v>104</v>
      </c>
      <c r="H37" t="s">
        <v>105</v>
      </c>
      <c r="I37" t="s">
        <v>106</v>
      </c>
      <c r="J37" s="100" t="s">
        <v>112</v>
      </c>
      <c r="K37" s="100" t="s">
        <v>113</v>
      </c>
    </row>
    <row r="38" spans="2:12" x14ac:dyDescent="0.3">
      <c r="B38" s="22" t="s">
        <v>47</v>
      </c>
      <c r="C38" s="1">
        <v>0.54</v>
      </c>
      <c r="G38" t="s">
        <v>107</v>
      </c>
      <c r="H38" t="s">
        <v>108</v>
      </c>
      <c r="I38" t="s">
        <v>40</v>
      </c>
      <c r="J38" s="101">
        <v>0.89059999999999961</v>
      </c>
      <c r="K38" s="115">
        <v>0.40512413838612177</v>
      </c>
      <c r="L38" s="117">
        <f>1-K38</f>
        <v>0.59487586161387829</v>
      </c>
    </row>
    <row r="39" spans="2:12" x14ac:dyDescent="0.3">
      <c r="B39" s="22" t="s">
        <v>1</v>
      </c>
      <c r="C39" s="1">
        <v>0.43</v>
      </c>
      <c r="D39" t="s">
        <v>48</v>
      </c>
      <c r="G39" t="s">
        <v>107</v>
      </c>
      <c r="H39" t="s">
        <v>108</v>
      </c>
      <c r="I39" t="s">
        <v>41</v>
      </c>
      <c r="J39" s="101">
        <v>0.89059999999999995</v>
      </c>
      <c r="K39" s="115">
        <v>0.44424763495427666</v>
      </c>
      <c r="L39" s="117">
        <f t="shared" ref="L39:L43" si="15">1-K39</f>
        <v>0.55575236504572334</v>
      </c>
    </row>
    <row r="40" spans="2:12" x14ac:dyDescent="0.3">
      <c r="B40" s="22" t="s">
        <v>1</v>
      </c>
      <c r="C40" s="1">
        <v>0.04</v>
      </c>
      <c r="D40" t="s">
        <v>57</v>
      </c>
      <c r="G40" t="s">
        <v>107</v>
      </c>
      <c r="H40" t="s">
        <v>109</v>
      </c>
      <c r="I40" t="s">
        <v>38</v>
      </c>
      <c r="J40" s="101">
        <v>0.9956544886071802</v>
      </c>
      <c r="K40" s="115">
        <v>0.37308001437331806</v>
      </c>
      <c r="L40" s="117">
        <f t="shared" si="15"/>
        <v>0.62691998562668194</v>
      </c>
    </row>
    <row r="41" spans="2:12" x14ac:dyDescent="0.3">
      <c r="B41" s="22" t="s">
        <v>1</v>
      </c>
      <c r="C41" s="1">
        <v>0.1</v>
      </c>
      <c r="D41" t="s">
        <v>58</v>
      </c>
      <c r="G41" t="s">
        <v>107</v>
      </c>
      <c r="H41" t="s">
        <v>109</v>
      </c>
      <c r="I41" t="s">
        <v>39</v>
      </c>
      <c r="J41" s="101">
        <v>0.96660291859150271</v>
      </c>
      <c r="K41" s="115">
        <v>0.41216314253935743</v>
      </c>
      <c r="L41" s="117">
        <f t="shared" si="15"/>
        <v>0.58783685746064251</v>
      </c>
    </row>
    <row r="42" spans="2:12" x14ac:dyDescent="0.3">
      <c r="B42" s="22" t="s">
        <v>1</v>
      </c>
      <c r="C42" s="1">
        <v>0.33</v>
      </c>
      <c r="D42" t="s">
        <v>59</v>
      </c>
      <c r="G42" t="s">
        <v>107</v>
      </c>
      <c r="H42" t="s">
        <v>109</v>
      </c>
      <c r="I42" t="s">
        <v>42</v>
      </c>
      <c r="J42" s="101">
        <v>1.0361058977151349</v>
      </c>
      <c r="K42" s="115">
        <v>0.29248352531831795</v>
      </c>
      <c r="L42" s="117">
        <f t="shared" si="15"/>
        <v>0.70751647468168199</v>
      </c>
    </row>
    <row r="43" spans="2:12" x14ac:dyDescent="0.3">
      <c r="B43" s="22" t="s">
        <v>2</v>
      </c>
      <c r="C43" s="1">
        <v>0.15</v>
      </c>
      <c r="G43" t="s">
        <v>107</v>
      </c>
      <c r="H43" t="s">
        <v>109</v>
      </c>
      <c r="I43" t="s">
        <v>43</v>
      </c>
      <c r="J43" s="101">
        <v>1.0306903925517843</v>
      </c>
      <c r="K43" s="115">
        <v>0.4003681386360381</v>
      </c>
      <c r="L43" s="117">
        <f t="shared" si="15"/>
        <v>0.59963186136396196</v>
      </c>
    </row>
    <row r="44" spans="2:12" x14ac:dyDescent="0.3">
      <c r="B44" s="22" t="s">
        <v>0</v>
      </c>
      <c r="C44" s="1">
        <v>0.1</v>
      </c>
      <c r="D44" t="s">
        <v>49</v>
      </c>
    </row>
    <row r="45" spans="2:12" x14ac:dyDescent="0.3">
      <c r="B45" s="22" t="s">
        <v>0</v>
      </c>
      <c r="C45" s="1">
        <v>0.2</v>
      </c>
      <c r="D45" t="s">
        <v>50</v>
      </c>
    </row>
    <row r="46" spans="2:12" x14ac:dyDescent="0.3">
      <c r="B46" s="22" t="s">
        <v>0</v>
      </c>
      <c r="C46" s="1">
        <v>0.27</v>
      </c>
      <c r="D46" t="s">
        <v>53</v>
      </c>
    </row>
    <row r="47" spans="2:12" x14ac:dyDescent="0.3">
      <c r="B47" s="22" t="s">
        <v>0</v>
      </c>
      <c r="C47" s="1">
        <v>0.33</v>
      </c>
      <c r="D47" t="s">
        <v>51</v>
      </c>
    </row>
    <row r="48" spans="2:12" x14ac:dyDescent="0.3">
      <c r="B48" s="22" t="s">
        <v>0</v>
      </c>
      <c r="C48" s="1">
        <v>0.4</v>
      </c>
      <c r="D48" t="s">
        <v>52</v>
      </c>
    </row>
    <row r="49" spans="2:17" x14ac:dyDescent="0.3">
      <c r="B49" s="22" t="s">
        <v>0</v>
      </c>
      <c r="C49" s="1">
        <v>0.05</v>
      </c>
      <c r="D49" t="s">
        <v>55</v>
      </c>
    </row>
    <row r="50" spans="2:17" x14ac:dyDescent="0.3">
      <c r="B50" s="22" t="s">
        <v>0</v>
      </c>
      <c r="C50" s="1">
        <v>0.08</v>
      </c>
      <c r="D50" t="s">
        <v>54</v>
      </c>
    </row>
    <row r="55" spans="2:17" ht="15" thickBot="1" x14ac:dyDescent="0.35"/>
    <row r="56" spans="2:17" ht="15" thickBot="1" x14ac:dyDescent="0.35">
      <c r="K56" s="128" t="s">
        <v>114</v>
      </c>
      <c r="L56" s="128" t="s">
        <v>115</v>
      </c>
      <c r="M56" s="130" t="s">
        <v>116</v>
      </c>
      <c r="N56" s="131"/>
      <c r="O56" s="128" t="s">
        <v>117</v>
      </c>
      <c r="P56" s="130" t="s">
        <v>23</v>
      </c>
      <c r="Q56" s="131"/>
    </row>
    <row r="57" spans="2:17" ht="46.2" thickBot="1" x14ac:dyDescent="0.35">
      <c r="C57" s="128" t="s">
        <v>115</v>
      </c>
      <c r="D57" s="130" t="s">
        <v>116</v>
      </c>
      <c r="E57" s="131"/>
      <c r="F57" s="130" t="s">
        <v>23</v>
      </c>
      <c r="G57" s="131"/>
      <c r="K57" s="129"/>
      <c r="L57" s="129"/>
      <c r="M57" s="102" t="s">
        <v>118</v>
      </c>
      <c r="N57" s="102" t="s">
        <v>119</v>
      </c>
      <c r="O57" s="129"/>
      <c r="P57" s="102" t="s">
        <v>118</v>
      </c>
      <c r="Q57" s="102" t="s">
        <v>119</v>
      </c>
    </row>
    <row r="58" spans="2:17" ht="46.2" thickBot="1" x14ac:dyDescent="0.35">
      <c r="C58" s="129"/>
      <c r="D58" s="102" t="s">
        <v>118</v>
      </c>
      <c r="E58" s="102" t="s">
        <v>119</v>
      </c>
      <c r="F58" s="102" t="s">
        <v>118</v>
      </c>
      <c r="G58" s="102" t="s">
        <v>119</v>
      </c>
      <c r="K58" s="103" t="s">
        <v>120</v>
      </c>
      <c r="L58" s="104" t="s">
        <v>121</v>
      </c>
      <c r="M58" s="105">
        <v>5300</v>
      </c>
      <c r="N58" s="105">
        <v>79500</v>
      </c>
      <c r="O58" s="106">
        <v>1</v>
      </c>
      <c r="P58" s="105">
        <v>5300</v>
      </c>
      <c r="Q58" s="105">
        <v>79500</v>
      </c>
    </row>
    <row r="59" spans="2:17" ht="15" thickBot="1" x14ac:dyDescent="0.35">
      <c r="C59" t="s">
        <v>121</v>
      </c>
      <c r="D59" s="110">
        <f>SUM(M58:M61,M70:M73)</f>
        <v>65720</v>
      </c>
      <c r="E59" s="110">
        <f>SUM(N58:N61,N70:N73)</f>
        <v>985800</v>
      </c>
      <c r="F59" s="110">
        <f>SUM(P58:P61,P70:P73)</f>
        <v>65720</v>
      </c>
      <c r="G59" s="110">
        <f>SUM(Q58:Q61,Q70:Q73)</f>
        <v>985800</v>
      </c>
      <c r="K59" s="103" t="s">
        <v>120</v>
      </c>
      <c r="L59" s="104" t="s">
        <v>121</v>
      </c>
      <c r="M59" s="105">
        <v>36146</v>
      </c>
      <c r="N59" s="105">
        <v>542190</v>
      </c>
      <c r="O59" s="106">
        <v>1</v>
      </c>
      <c r="P59" s="105">
        <v>36146</v>
      </c>
      <c r="Q59" s="105">
        <v>542190</v>
      </c>
    </row>
    <row r="60" spans="2:17" ht="15" thickBot="1" x14ac:dyDescent="0.35">
      <c r="C60" t="s">
        <v>60</v>
      </c>
      <c r="D60" s="110">
        <f>SUM(M65,M69,M77,M81)</f>
        <v>611552</v>
      </c>
      <c r="E60" s="110">
        <f>SUM(N65,N69,N77,N81)</f>
        <v>9173293</v>
      </c>
      <c r="F60" s="110">
        <f>SUM(P65,P69,P77,P81)</f>
        <v>587282</v>
      </c>
      <c r="G60" s="110">
        <f>SUM(Q65,Q69,Q77,Q81)</f>
        <v>8809227</v>
      </c>
      <c r="K60" s="103" t="s">
        <v>120</v>
      </c>
      <c r="L60" s="104" t="s">
        <v>121</v>
      </c>
      <c r="M60" s="107" t="s">
        <v>122</v>
      </c>
      <c r="N60" s="107" t="s">
        <v>123</v>
      </c>
      <c r="O60" s="106">
        <v>1</v>
      </c>
      <c r="P60" s="107" t="s">
        <v>122</v>
      </c>
      <c r="Q60" s="107" t="s">
        <v>124</v>
      </c>
    </row>
    <row r="61" spans="2:17" ht="15" thickBot="1" x14ac:dyDescent="0.35">
      <c r="C61" t="s">
        <v>58</v>
      </c>
      <c r="D61" s="110">
        <f>SUM(M62,M66,M74,M78)</f>
        <v>869132</v>
      </c>
      <c r="E61" s="110">
        <f>SUM(N62,N66,N74,N78)</f>
        <v>8691320</v>
      </c>
      <c r="F61" s="110">
        <f>SUM(P62,P66,P74,P78)</f>
        <v>449504</v>
      </c>
      <c r="G61" s="110">
        <f>SUM(Q62,Q66,Q74,Q78)</f>
        <v>4495040</v>
      </c>
      <c r="K61" s="103" t="s">
        <v>120</v>
      </c>
      <c r="L61" s="104" t="s">
        <v>121</v>
      </c>
      <c r="M61" s="105">
        <v>11183</v>
      </c>
      <c r="N61" s="105">
        <v>167745</v>
      </c>
      <c r="O61" s="106">
        <v>1</v>
      </c>
      <c r="P61" s="105">
        <v>11183</v>
      </c>
      <c r="Q61" s="105">
        <v>167745</v>
      </c>
    </row>
    <row r="62" spans="2:17" ht="15" thickBot="1" x14ac:dyDescent="0.35">
      <c r="C62" t="s">
        <v>59</v>
      </c>
      <c r="D62" s="110">
        <f>SUM(M63:M64,M67:M68,M75:M76,M79:M80)</f>
        <v>354763</v>
      </c>
      <c r="E62" s="110">
        <f>SUM(N63:N64,N67:N68,N75:N76,N79:N80)</f>
        <v>3547639</v>
      </c>
      <c r="F62" s="110">
        <f>SUM(P63:P64,P67:P68,P75:P76,P79:P80)</f>
        <v>259200</v>
      </c>
      <c r="G62" s="110">
        <f>SUM(Q63:Q64,Q67:Q68,Q75:Q76,Q79:Q80)</f>
        <v>2591992</v>
      </c>
      <c r="K62" s="103" t="s">
        <v>120</v>
      </c>
      <c r="L62" s="104" t="s">
        <v>125</v>
      </c>
      <c r="M62" s="105">
        <v>217580</v>
      </c>
      <c r="N62" s="105">
        <v>2175800</v>
      </c>
      <c r="O62" s="106">
        <v>0.55000000000000004</v>
      </c>
      <c r="P62" s="105">
        <v>119669</v>
      </c>
      <c r="Q62" s="105">
        <v>1196690</v>
      </c>
    </row>
    <row r="63" spans="2:17" ht="15" thickBot="1" x14ac:dyDescent="0.35">
      <c r="C63" t="s">
        <v>11</v>
      </c>
      <c r="D63" s="110">
        <f>SUM(D59:D62)</f>
        <v>1901167</v>
      </c>
      <c r="E63" s="110">
        <f t="shared" ref="E63:G63" si="16">SUM(E59:E62)</f>
        <v>22398052</v>
      </c>
      <c r="F63" s="110">
        <f t="shared" si="16"/>
        <v>1361706</v>
      </c>
      <c r="G63" s="110">
        <f t="shared" si="16"/>
        <v>16882059</v>
      </c>
      <c r="K63" s="103" t="s">
        <v>120</v>
      </c>
      <c r="L63" s="104" t="s">
        <v>126</v>
      </c>
      <c r="M63" s="105">
        <v>57164</v>
      </c>
      <c r="N63" s="105">
        <v>571642</v>
      </c>
      <c r="O63" s="106">
        <v>0.71</v>
      </c>
      <c r="P63" s="105">
        <v>40587</v>
      </c>
      <c r="Q63" s="105">
        <v>405866</v>
      </c>
    </row>
    <row r="64" spans="2:17" ht="15" thickBot="1" x14ac:dyDescent="0.35">
      <c r="K64" s="103" t="s">
        <v>120</v>
      </c>
      <c r="L64" s="104" t="s">
        <v>127</v>
      </c>
      <c r="M64" s="105">
        <v>31648</v>
      </c>
      <c r="N64" s="105">
        <v>316480</v>
      </c>
      <c r="O64" s="106">
        <v>0.81</v>
      </c>
      <c r="P64" s="105">
        <v>25635</v>
      </c>
      <c r="Q64" s="105">
        <v>256349</v>
      </c>
    </row>
    <row r="65" spans="4:17" ht="15" thickBot="1" x14ac:dyDescent="0.35">
      <c r="D65" s="110">
        <f>D63-M82</f>
        <v>-2</v>
      </c>
      <c r="E65" s="110">
        <f>E63-N82</f>
        <v>0</v>
      </c>
      <c r="F65" s="110">
        <f>F63-P82</f>
        <v>1</v>
      </c>
      <c r="G65" s="110">
        <f>G63-Q82</f>
        <v>1</v>
      </c>
      <c r="K65" s="103" t="s">
        <v>120</v>
      </c>
      <c r="L65" s="104" t="s">
        <v>128</v>
      </c>
      <c r="M65" s="105">
        <v>153097</v>
      </c>
      <c r="N65" s="105">
        <v>2296458</v>
      </c>
      <c r="O65" s="106">
        <v>0.98</v>
      </c>
      <c r="P65" s="105">
        <v>150035</v>
      </c>
      <c r="Q65" s="105">
        <v>2250529</v>
      </c>
    </row>
    <row r="66" spans="4:17" ht="15" thickBot="1" x14ac:dyDescent="0.35">
      <c r="K66" s="103" t="s">
        <v>120</v>
      </c>
      <c r="L66" s="104" t="s">
        <v>129</v>
      </c>
      <c r="M66" s="105">
        <v>570372</v>
      </c>
      <c r="N66" s="105">
        <v>5703720</v>
      </c>
      <c r="O66" s="106">
        <v>0.5</v>
      </c>
      <c r="P66" s="105">
        <v>285186</v>
      </c>
      <c r="Q66" s="105">
        <v>2851860</v>
      </c>
    </row>
    <row r="67" spans="4:17" ht="15" thickBot="1" x14ac:dyDescent="0.35">
      <c r="K67" s="103" t="s">
        <v>120</v>
      </c>
      <c r="L67" s="104" t="s">
        <v>130</v>
      </c>
      <c r="M67" s="105">
        <v>149852</v>
      </c>
      <c r="N67" s="105">
        <v>1498523</v>
      </c>
      <c r="O67" s="106">
        <v>0.68</v>
      </c>
      <c r="P67" s="105">
        <v>101900</v>
      </c>
      <c r="Q67" s="105">
        <v>1018996</v>
      </c>
    </row>
    <row r="68" spans="4:17" ht="15" thickBot="1" x14ac:dyDescent="0.35">
      <c r="K68" s="103" t="s">
        <v>120</v>
      </c>
      <c r="L68" s="104" t="s">
        <v>131</v>
      </c>
      <c r="M68" s="105">
        <v>82963</v>
      </c>
      <c r="N68" s="105">
        <v>829632</v>
      </c>
      <c r="O68" s="106">
        <v>0.8</v>
      </c>
      <c r="P68" s="105">
        <v>66371</v>
      </c>
      <c r="Q68" s="105">
        <v>663706</v>
      </c>
    </row>
    <row r="69" spans="4:17" ht="15" thickBot="1" x14ac:dyDescent="0.35">
      <c r="K69" s="103" t="s">
        <v>120</v>
      </c>
      <c r="L69" s="104" t="s">
        <v>132</v>
      </c>
      <c r="M69" s="105">
        <v>401334</v>
      </c>
      <c r="N69" s="105">
        <v>6020017</v>
      </c>
      <c r="O69" s="106">
        <v>0.95</v>
      </c>
      <c r="P69" s="105">
        <v>381268</v>
      </c>
      <c r="Q69" s="105">
        <v>5719016</v>
      </c>
    </row>
    <row r="70" spans="4:17" ht="15" thickBot="1" x14ac:dyDescent="0.35">
      <c r="K70" s="103" t="s">
        <v>133</v>
      </c>
      <c r="L70" s="104" t="s">
        <v>121</v>
      </c>
      <c r="M70" s="105">
        <v>1590</v>
      </c>
      <c r="N70" s="105">
        <v>23850</v>
      </c>
      <c r="O70" s="106">
        <v>1</v>
      </c>
      <c r="P70" s="105">
        <v>1590</v>
      </c>
      <c r="Q70" s="105">
        <v>23850</v>
      </c>
    </row>
    <row r="71" spans="4:17" ht="15" thickBot="1" x14ac:dyDescent="0.35">
      <c r="K71" s="103" t="s">
        <v>133</v>
      </c>
      <c r="L71" s="104" t="s">
        <v>121</v>
      </c>
      <c r="M71" s="105">
        <v>10282</v>
      </c>
      <c r="N71" s="105">
        <v>154230</v>
      </c>
      <c r="O71" s="106">
        <v>1</v>
      </c>
      <c r="P71" s="105">
        <v>10282</v>
      </c>
      <c r="Q71" s="105">
        <v>154230</v>
      </c>
    </row>
    <row r="72" spans="4:17" ht="15" thickBot="1" x14ac:dyDescent="0.35">
      <c r="K72" s="103" t="s">
        <v>133</v>
      </c>
      <c r="L72" s="104" t="s">
        <v>121</v>
      </c>
      <c r="M72" s="107" t="s">
        <v>134</v>
      </c>
      <c r="N72" s="107" t="s">
        <v>135</v>
      </c>
      <c r="O72" s="106">
        <v>1</v>
      </c>
      <c r="P72" s="107" t="s">
        <v>122</v>
      </c>
      <c r="Q72" s="107" t="s">
        <v>123</v>
      </c>
    </row>
    <row r="73" spans="4:17" ht="15" thickBot="1" x14ac:dyDescent="0.35">
      <c r="K73" s="103" t="s">
        <v>133</v>
      </c>
      <c r="L73" s="104" t="s">
        <v>121</v>
      </c>
      <c r="M73" s="105">
        <v>1219</v>
      </c>
      <c r="N73" s="105">
        <v>18285</v>
      </c>
      <c r="O73" s="106">
        <v>1</v>
      </c>
      <c r="P73" s="105">
        <v>1219</v>
      </c>
      <c r="Q73" s="105">
        <v>18285</v>
      </c>
    </row>
    <row r="74" spans="4:17" ht="15" thickBot="1" x14ac:dyDescent="0.35">
      <c r="K74" s="103" t="s">
        <v>133</v>
      </c>
      <c r="L74" s="104" t="s">
        <v>125</v>
      </c>
      <c r="M74" s="105">
        <v>81180</v>
      </c>
      <c r="N74" s="105">
        <v>811800</v>
      </c>
      <c r="O74" s="106">
        <v>0.55000000000000004</v>
      </c>
      <c r="P74" s="105">
        <v>44649</v>
      </c>
      <c r="Q74" s="105">
        <v>446490</v>
      </c>
    </row>
    <row r="75" spans="4:17" ht="15" thickBot="1" x14ac:dyDescent="0.35">
      <c r="K75" s="103" t="s">
        <v>133</v>
      </c>
      <c r="L75" s="104" t="s">
        <v>126</v>
      </c>
      <c r="M75" s="105">
        <v>21328</v>
      </c>
      <c r="N75" s="105">
        <v>213282</v>
      </c>
      <c r="O75" s="106">
        <v>0.71</v>
      </c>
      <c r="P75" s="105">
        <v>15143</v>
      </c>
      <c r="Q75" s="105">
        <v>151430</v>
      </c>
    </row>
    <row r="76" spans="4:17" ht="15" thickBot="1" x14ac:dyDescent="0.35">
      <c r="K76" s="103" t="s">
        <v>133</v>
      </c>
      <c r="L76" s="104" t="s">
        <v>127</v>
      </c>
      <c r="M76" s="105">
        <v>11808</v>
      </c>
      <c r="N76" s="105">
        <v>118080</v>
      </c>
      <c r="O76" s="106">
        <v>0.81</v>
      </c>
      <c r="P76" s="105">
        <v>9564</v>
      </c>
      <c r="Q76" s="105">
        <v>95645</v>
      </c>
    </row>
    <row r="77" spans="4:17" ht="15" thickBot="1" x14ac:dyDescent="0.35">
      <c r="K77" s="103" t="s">
        <v>133</v>
      </c>
      <c r="L77" s="104" t="s">
        <v>128</v>
      </c>
      <c r="M77" s="105">
        <v>57121</v>
      </c>
      <c r="N77" s="105">
        <v>856818</v>
      </c>
      <c r="O77" s="106">
        <v>0.98</v>
      </c>
      <c r="P77" s="105">
        <v>55979</v>
      </c>
      <c r="Q77" s="105">
        <v>839682</v>
      </c>
    </row>
    <row r="78" spans="4:17" ht="15" thickBot="1" x14ac:dyDescent="0.35">
      <c r="K78" s="103" t="s">
        <v>133</v>
      </c>
      <c r="L78" s="104" t="s">
        <v>129</v>
      </c>
      <c r="M78" s="107" t="s">
        <v>136</v>
      </c>
      <c r="N78" s="107" t="s">
        <v>135</v>
      </c>
      <c r="O78" s="106">
        <v>0.5</v>
      </c>
      <c r="P78" s="107" t="s">
        <v>122</v>
      </c>
      <c r="Q78" s="107" t="s">
        <v>123</v>
      </c>
    </row>
    <row r="79" spans="4:17" ht="15" thickBot="1" x14ac:dyDescent="0.35">
      <c r="K79" s="103" t="s">
        <v>133</v>
      </c>
      <c r="L79" s="104" t="s">
        <v>130</v>
      </c>
      <c r="M79" s="107" t="s">
        <v>122</v>
      </c>
      <c r="N79" s="107" t="s">
        <v>137</v>
      </c>
      <c r="O79" s="106">
        <v>0.68</v>
      </c>
      <c r="P79" s="107" t="s">
        <v>124</v>
      </c>
      <c r="Q79" s="107" t="s">
        <v>124</v>
      </c>
    </row>
    <row r="80" spans="4:17" ht="15" thickBot="1" x14ac:dyDescent="0.35">
      <c r="K80" s="103" t="s">
        <v>133</v>
      </c>
      <c r="L80" s="104" t="s">
        <v>131</v>
      </c>
      <c r="M80" s="107" t="s">
        <v>136</v>
      </c>
      <c r="N80" s="107" t="s">
        <v>135</v>
      </c>
      <c r="O80" s="106">
        <v>0.8</v>
      </c>
      <c r="P80" s="107" t="s">
        <v>122</v>
      </c>
      <c r="Q80" s="107" t="s">
        <v>138</v>
      </c>
    </row>
    <row r="81" spans="11:17" ht="15" thickBot="1" x14ac:dyDescent="0.35">
      <c r="K81" s="103" t="s">
        <v>133</v>
      </c>
      <c r="L81" s="104" t="s">
        <v>132</v>
      </c>
      <c r="M81" s="107" t="s">
        <v>138</v>
      </c>
      <c r="N81" s="107" t="s">
        <v>138</v>
      </c>
      <c r="O81" s="106">
        <v>0.95</v>
      </c>
      <c r="P81" s="107" t="s">
        <v>138</v>
      </c>
      <c r="Q81" s="107" t="s">
        <v>138</v>
      </c>
    </row>
    <row r="82" spans="11:17" ht="15" thickBot="1" x14ac:dyDescent="0.35">
      <c r="K82" s="132" t="s">
        <v>11</v>
      </c>
      <c r="L82" s="133"/>
      <c r="M82" s="108">
        <v>1901169</v>
      </c>
      <c r="N82" s="108">
        <v>22398052</v>
      </c>
      <c r="O82" s="109" t="s">
        <v>139</v>
      </c>
      <c r="P82" s="108">
        <v>1361705</v>
      </c>
      <c r="Q82" s="108">
        <v>16882058</v>
      </c>
    </row>
  </sheetData>
  <mergeCells count="18">
    <mergeCell ref="O56:O57"/>
    <mergeCell ref="P56:Q56"/>
    <mergeCell ref="K82:L82"/>
    <mergeCell ref="F57:G57"/>
    <mergeCell ref="C57:C58"/>
    <mergeCell ref="D57:E57"/>
    <mergeCell ref="K56:K57"/>
    <mergeCell ref="L56:L57"/>
    <mergeCell ref="M56:N56"/>
    <mergeCell ref="D1:G1"/>
    <mergeCell ref="L1:M1"/>
    <mergeCell ref="H1:I1"/>
    <mergeCell ref="B18:B25"/>
    <mergeCell ref="B3:B5"/>
    <mergeCell ref="B6:B8"/>
    <mergeCell ref="B9:B11"/>
    <mergeCell ref="B12:B16"/>
    <mergeCell ref="B1:C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9"/>
  <sheetViews>
    <sheetView workbookViewId="0">
      <selection activeCell="L13" sqref="L13"/>
    </sheetView>
  </sheetViews>
  <sheetFormatPr defaultRowHeight="14.4" x14ac:dyDescent="0.3"/>
  <cols>
    <col min="2" max="2" width="30.44140625" bestFit="1" customWidth="1"/>
    <col min="3" max="3" width="17.5546875" bestFit="1" customWidth="1"/>
    <col min="4" max="4" width="12.5546875" bestFit="1" customWidth="1"/>
    <col min="5" max="5" width="14.33203125" bestFit="1" customWidth="1"/>
    <col min="6" max="6" width="11.5546875" bestFit="1" customWidth="1"/>
    <col min="7" max="7" width="12.5546875" bestFit="1" customWidth="1"/>
    <col min="8" max="8" width="9.88671875" customWidth="1"/>
    <col min="9" max="9" width="8.109375" customWidth="1"/>
    <col min="10" max="11" width="15.33203125" bestFit="1" customWidth="1"/>
    <col min="12" max="12" width="12.5546875" bestFit="1" customWidth="1"/>
    <col min="13" max="13" width="18.5546875" bestFit="1" customWidth="1"/>
    <col min="14" max="14" width="7" bestFit="1" customWidth="1"/>
    <col min="15" max="16" width="15.33203125" bestFit="1" customWidth="1"/>
  </cols>
  <sheetData>
    <row r="1" spans="2:13" ht="15" x14ac:dyDescent="0.25">
      <c r="D1" s="123" t="s">
        <v>13</v>
      </c>
      <c r="E1" s="123"/>
      <c r="F1" s="123"/>
      <c r="G1" s="123"/>
      <c r="H1" s="123" t="s">
        <v>20</v>
      </c>
      <c r="I1" s="123"/>
      <c r="J1" s="123" t="s">
        <v>23</v>
      </c>
      <c r="K1" s="123"/>
    </row>
    <row r="2" spans="2:13" ht="15" x14ac:dyDescent="0.25">
      <c r="D2" s="3" t="s">
        <v>14</v>
      </c>
      <c r="E2" s="3" t="s">
        <v>15</v>
      </c>
      <c r="F2" s="3" t="s">
        <v>16</v>
      </c>
      <c r="G2" s="3" t="s">
        <v>17</v>
      </c>
      <c r="H2" s="3" t="s">
        <v>21</v>
      </c>
      <c r="I2" s="3" t="s">
        <v>22</v>
      </c>
      <c r="J2" s="3" t="s">
        <v>15</v>
      </c>
      <c r="K2" s="3" t="s">
        <v>17</v>
      </c>
      <c r="M2" s="113" t="s">
        <v>145</v>
      </c>
    </row>
    <row r="3" spans="2:13" x14ac:dyDescent="0.3">
      <c r="B3" s="126" t="s">
        <v>28</v>
      </c>
      <c r="C3" t="s">
        <v>8</v>
      </c>
      <c r="D3" s="23">
        <v>336456</v>
      </c>
      <c r="E3" s="23">
        <v>5920660</v>
      </c>
      <c r="F3" s="23">
        <v>319633.2</v>
      </c>
      <c r="G3" s="23">
        <v>5624627</v>
      </c>
      <c r="H3" s="12">
        <f>K23</f>
        <v>0.89059999999999995</v>
      </c>
      <c r="I3" s="12">
        <f>1-C28</f>
        <v>0.95</v>
      </c>
      <c r="J3" s="30">
        <f>H3*E3</f>
        <v>5272939.7960000001</v>
      </c>
      <c r="K3" s="24">
        <f>J3*I3</f>
        <v>5009292.8061999995</v>
      </c>
    </row>
    <row r="4" spans="2:13" x14ac:dyDescent="0.3">
      <c r="B4" s="126"/>
      <c r="C4" t="s">
        <v>0</v>
      </c>
      <c r="D4" s="2">
        <v>620590.12999999989</v>
      </c>
      <c r="E4" s="2">
        <v>11920071.65</v>
      </c>
      <c r="F4" s="2">
        <v>589560.62349999999</v>
      </c>
      <c r="G4" s="2">
        <v>11324068.067499999</v>
      </c>
      <c r="H4" s="12">
        <v>1</v>
      </c>
      <c r="I4" s="12">
        <f>1-C29</f>
        <v>0.95</v>
      </c>
      <c r="J4" s="30">
        <f>H4*E4</f>
        <v>11920071.65</v>
      </c>
      <c r="K4" s="30">
        <f>J4*I4</f>
        <v>11324068.067499999</v>
      </c>
    </row>
    <row r="5" spans="2:13" x14ac:dyDescent="0.3">
      <c r="B5" s="126"/>
      <c r="C5" t="s">
        <v>11</v>
      </c>
      <c r="D5" s="4">
        <f>SUM(D3:D4)</f>
        <v>957046.12999999989</v>
      </c>
      <c r="E5" s="4">
        <f t="shared" ref="E5:G5" si="0">SUM(E3:E4)</f>
        <v>17840731.649999999</v>
      </c>
      <c r="F5" s="4">
        <f t="shared" si="0"/>
        <v>909193.82349999994</v>
      </c>
      <c r="G5" s="4">
        <f t="shared" si="0"/>
        <v>16948695.067499999</v>
      </c>
      <c r="H5" s="12">
        <f>J5/E5</f>
        <v>0.96369430263808742</v>
      </c>
      <c r="I5" s="12">
        <f>K5/J5</f>
        <v>0.94999999999999973</v>
      </c>
      <c r="J5" s="13">
        <f>SUM(J3:J4)</f>
        <v>17193011.446000002</v>
      </c>
      <c r="K5" s="13">
        <f>SUM(K3:K4)</f>
        <v>16333360.873699998</v>
      </c>
    </row>
    <row r="6" spans="2:13" x14ac:dyDescent="0.3">
      <c r="B6" s="126" t="s">
        <v>3</v>
      </c>
      <c r="C6" t="s">
        <v>34</v>
      </c>
      <c r="D6" s="23">
        <v>1338620</v>
      </c>
      <c r="E6" s="23">
        <v>33465500</v>
      </c>
      <c r="F6" s="23">
        <v>1338620</v>
      </c>
      <c r="G6" s="23">
        <v>33465500</v>
      </c>
      <c r="H6" s="12">
        <v>1.07</v>
      </c>
      <c r="I6" s="12">
        <f>1-C26</f>
        <v>1</v>
      </c>
      <c r="J6" s="24">
        <f>H6*E6</f>
        <v>35808085</v>
      </c>
      <c r="K6" s="24">
        <f>J6*I6</f>
        <v>35808085</v>
      </c>
    </row>
    <row r="7" spans="2:13" x14ac:dyDescent="0.3">
      <c r="B7" s="126"/>
      <c r="C7" t="s">
        <v>35</v>
      </c>
      <c r="D7" s="23">
        <v>3326.08</v>
      </c>
      <c r="E7" s="23">
        <v>39738.800000000032</v>
      </c>
      <c r="F7" s="23">
        <v>3292.8191999999967</v>
      </c>
      <c r="G7" s="23">
        <v>39341.41200000004</v>
      </c>
      <c r="H7" s="12">
        <v>1</v>
      </c>
      <c r="I7" s="12">
        <f>1-C27</f>
        <v>0.99</v>
      </c>
      <c r="J7" s="30">
        <f>H7*E7</f>
        <v>39738.800000000032</v>
      </c>
      <c r="K7" s="24">
        <f>J7*I7</f>
        <v>39341.412000000033</v>
      </c>
    </row>
    <row r="8" spans="2:13" ht="15" thickBot="1" x14ac:dyDescent="0.35">
      <c r="B8" s="125"/>
      <c r="C8" t="s">
        <v>29</v>
      </c>
      <c r="D8" s="4">
        <v>1341946.08</v>
      </c>
      <c r="E8" s="4">
        <v>33505238.800000001</v>
      </c>
      <c r="F8" s="4">
        <v>1341912.8192</v>
      </c>
      <c r="G8" s="4">
        <v>33504841.412</v>
      </c>
      <c r="H8" s="12">
        <f>J8/E8</f>
        <v>1.069916976684852</v>
      </c>
      <c r="I8" s="12">
        <f>K8/J8</f>
        <v>0.99998891458510242</v>
      </c>
      <c r="J8" s="13">
        <f>SUM(J6:J7)</f>
        <v>35847823.799999997</v>
      </c>
      <c r="K8" s="13">
        <f>SUM(K6:K7)</f>
        <v>35847426.412</v>
      </c>
    </row>
    <row r="9" spans="2:13" ht="15.75" thickBot="1" x14ac:dyDescent="0.3">
      <c r="B9" s="6" t="s">
        <v>11</v>
      </c>
      <c r="C9" s="7"/>
      <c r="D9" s="8">
        <f t="shared" ref="D9:G9" si="1">D8+D5</f>
        <v>2298992.21</v>
      </c>
      <c r="E9" s="8">
        <f t="shared" si="1"/>
        <v>51345970.450000003</v>
      </c>
      <c r="F9" s="8">
        <f t="shared" si="1"/>
        <v>2251106.6426999997</v>
      </c>
      <c r="G9" s="9">
        <f t="shared" si="1"/>
        <v>50453536.479499996</v>
      </c>
      <c r="H9" s="16">
        <f>J9/E9</f>
        <v>1.0330087206677774</v>
      </c>
      <c r="I9" s="25">
        <f>K9/J9</f>
        <v>0.98378517313479041</v>
      </c>
      <c r="J9" s="14">
        <f>J8+J5</f>
        <v>53040835.245999999</v>
      </c>
      <c r="K9" s="15">
        <f>K8+K5</f>
        <v>52180787.285700001</v>
      </c>
    </row>
    <row r="10" spans="2:13" ht="15" x14ac:dyDescent="0.25">
      <c r="B10" t="s">
        <v>140</v>
      </c>
      <c r="D10" s="10">
        <f>D7+D4</f>
        <v>623916.20999999985</v>
      </c>
      <c r="E10" s="10">
        <f t="shared" ref="E10:G10" si="2">E7+E4</f>
        <v>11959810.450000001</v>
      </c>
      <c r="F10" s="10">
        <f t="shared" si="2"/>
        <v>592853.44270000001</v>
      </c>
      <c r="G10" s="10">
        <f t="shared" si="2"/>
        <v>11363409.479499999</v>
      </c>
      <c r="H10" s="12">
        <f>J10/E10</f>
        <v>1</v>
      </c>
      <c r="I10" s="12">
        <f>K10/J10</f>
        <v>0.9501329077920293</v>
      </c>
      <c r="J10" s="10">
        <f>J7+J4</f>
        <v>11959810.450000001</v>
      </c>
      <c r="K10" s="10">
        <f>K7+K4</f>
        <v>11363409.479499999</v>
      </c>
    </row>
    <row r="20" spans="2:12" ht="15" x14ac:dyDescent="0.25">
      <c r="H20" t="s">
        <v>141</v>
      </c>
    </row>
    <row r="21" spans="2:12" ht="15" x14ac:dyDescent="0.25">
      <c r="H21" t="s">
        <v>142</v>
      </c>
      <c r="K21" s="11">
        <v>42979</v>
      </c>
    </row>
    <row r="22" spans="2:12" ht="15" x14ac:dyDescent="0.25">
      <c r="H22" t="s">
        <v>104</v>
      </c>
      <c r="I22" t="s">
        <v>105</v>
      </c>
      <c r="J22" t="s">
        <v>106</v>
      </c>
      <c r="K22" s="100" t="s">
        <v>112</v>
      </c>
      <c r="L22" s="100" t="s">
        <v>113</v>
      </c>
    </row>
    <row r="23" spans="2:12" ht="15" x14ac:dyDescent="0.25">
      <c r="H23" t="s">
        <v>107</v>
      </c>
      <c r="I23" t="s">
        <v>110</v>
      </c>
      <c r="J23" t="s">
        <v>44</v>
      </c>
      <c r="K23" s="101">
        <v>0.89059999999999995</v>
      </c>
      <c r="L23" s="101">
        <v>0.95000000000000029</v>
      </c>
    </row>
    <row r="24" spans="2:12" ht="15" x14ac:dyDescent="0.25">
      <c r="B24" t="s">
        <v>24</v>
      </c>
      <c r="H24" t="s">
        <v>107</v>
      </c>
      <c r="I24" t="s">
        <v>110</v>
      </c>
      <c r="J24" t="s">
        <v>111</v>
      </c>
      <c r="K24" s="101">
        <v>0.89059999999999995</v>
      </c>
      <c r="L24" s="101">
        <v>0.95</v>
      </c>
    </row>
    <row r="25" spans="2:12" ht="15" x14ac:dyDescent="0.25">
      <c r="B25" t="s">
        <v>7</v>
      </c>
    </row>
    <row r="26" spans="2:12" ht="15" x14ac:dyDescent="0.25">
      <c r="B26" t="s">
        <v>30</v>
      </c>
      <c r="C26" s="1">
        <v>0</v>
      </c>
      <c r="D26" t="s">
        <v>37</v>
      </c>
    </row>
    <row r="27" spans="2:12" ht="15" x14ac:dyDescent="0.25">
      <c r="B27" t="s">
        <v>31</v>
      </c>
      <c r="C27" s="1">
        <v>0.01</v>
      </c>
      <c r="D27" t="s">
        <v>36</v>
      </c>
    </row>
    <row r="28" spans="2:12" ht="15" x14ac:dyDescent="0.25">
      <c r="B28" t="s">
        <v>32</v>
      </c>
      <c r="C28" s="1">
        <v>0.05</v>
      </c>
    </row>
    <row r="29" spans="2:12" ht="15" x14ac:dyDescent="0.25">
      <c r="B29" t="s">
        <v>33</v>
      </c>
      <c r="C29" s="1">
        <v>0.05</v>
      </c>
    </row>
  </sheetData>
  <mergeCells count="5">
    <mergeCell ref="B6:B8"/>
    <mergeCell ref="B3:B5"/>
    <mergeCell ref="D1:G1"/>
    <mergeCell ref="J1:K1"/>
    <mergeCell ref="H1:I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29"/>
  <sheetViews>
    <sheetView topLeftCell="C1" workbookViewId="0">
      <selection activeCell="E21" sqref="E21"/>
    </sheetView>
  </sheetViews>
  <sheetFormatPr defaultRowHeight="14.4" x14ac:dyDescent="0.3"/>
  <cols>
    <col min="2" max="2" width="27.33203125" customWidth="1"/>
    <col min="3" max="3" width="24.88671875" customWidth="1"/>
    <col min="4" max="4" width="15.44140625" customWidth="1"/>
    <col min="5" max="5" width="19.5546875" customWidth="1"/>
    <col min="6" max="7" width="15.44140625" customWidth="1"/>
    <col min="8" max="8" width="9.6640625" bestFit="1" customWidth="1"/>
    <col min="9" max="9" width="39.5546875" customWidth="1"/>
    <col min="10" max="10" width="21" customWidth="1"/>
    <col min="11" max="11" width="10.5546875" customWidth="1"/>
    <col min="12" max="12" width="16.88671875" bestFit="1" customWidth="1"/>
    <col min="13" max="13" width="15.33203125" bestFit="1" customWidth="1"/>
  </cols>
  <sheetData>
    <row r="1" spans="2:13" ht="144" customHeight="1" x14ac:dyDescent="0.3">
      <c r="B1" s="127" t="s">
        <v>147</v>
      </c>
      <c r="C1" s="127"/>
      <c r="D1" s="123" t="s">
        <v>13</v>
      </c>
      <c r="E1" s="123"/>
      <c r="F1" s="123"/>
      <c r="G1" s="123"/>
      <c r="H1" s="123" t="s">
        <v>20</v>
      </c>
      <c r="I1" s="123"/>
      <c r="J1" s="111"/>
      <c r="K1" s="111"/>
      <c r="L1" s="123" t="s">
        <v>23</v>
      </c>
      <c r="M1" s="123"/>
    </row>
    <row r="2" spans="2:13" x14ac:dyDescent="0.3">
      <c r="D2" s="3" t="s">
        <v>14</v>
      </c>
      <c r="E2" s="3" t="s">
        <v>15</v>
      </c>
      <c r="F2" s="3" t="s">
        <v>16</v>
      </c>
      <c r="G2" s="3" t="s">
        <v>17</v>
      </c>
      <c r="H2" s="3" t="s">
        <v>21</v>
      </c>
      <c r="I2" s="114" t="s">
        <v>146</v>
      </c>
      <c r="J2" s="3" t="s">
        <v>144</v>
      </c>
      <c r="K2" s="3" t="s">
        <v>143</v>
      </c>
      <c r="L2" s="3" t="s">
        <v>15</v>
      </c>
      <c r="M2" s="3" t="s">
        <v>17</v>
      </c>
    </row>
    <row r="3" spans="2:13" ht="14.25" customHeight="1" x14ac:dyDescent="0.25">
      <c r="B3" t="s">
        <v>6</v>
      </c>
      <c r="C3" t="s">
        <v>8</v>
      </c>
      <c r="D3" s="4">
        <v>11155711.699999999</v>
      </c>
      <c r="E3" s="4">
        <v>80624184</v>
      </c>
      <c r="F3" s="4">
        <v>5131627.3819999993</v>
      </c>
      <c r="G3" s="4">
        <v>37087124.640000001</v>
      </c>
      <c r="H3" s="26">
        <f>H24</f>
        <v>1.4676981937566032</v>
      </c>
      <c r="I3" s="120">
        <v>0.46</v>
      </c>
      <c r="J3" s="120">
        <v>0</v>
      </c>
      <c r="K3" s="26">
        <f>SUM(I3:J3)</f>
        <v>0.46</v>
      </c>
      <c r="L3" s="18">
        <f>H3*E3</f>
        <v>118331969.22990002</v>
      </c>
      <c r="M3" s="13">
        <f>K3*L3</f>
        <v>54432705.845754012</v>
      </c>
    </row>
    <row r="4" spans="2:13" x14ac:dyDescent="0.3">
      <c r="B4" s="126" t="s">
        <v>4</v>
      </c>
      <c r="C4" t="s">
        <v>8</v>
      </c>
      <c r="D4" s="2">
        <v>12434126</v>
      </c>
      <c r="E4" s="2">
        <v>170528427</v>
      </c>
      <c r="F4" s="2">
        <v>5719697.96</v>
      </c>
      <c r="G4" s="2">
        <v>78443076.419999987</v>
      </c>
      <c r="H4" s="12">
        <f>H25</f>
        <v>1.5417550337792065</v>
      </c>
      <c r="I4" s="119">
        <v>0.46</v>
      </c>
      <c r="J4" s="119">
        <v>0</v>
      </c>
      <c r="K4" s="12">
        <f>SUM(I4:J4)</f>
        <v>0.46</v>
      </c>
      <c r="L4" s="19">
        <f>H4*E4</f>
        <v>262913060.72969997</v>
      </c>
      <c r="M4" s="19">
        <f>K4*L4</f>
        <v>120940007.93566199</v>
      </c>
    </row>
    <row r="5" spans="2:13" x14ac:dyDescent="0.3">
      <c r="B5" s="126"/>
      <c r="C5" t="s">
        <v>12</v>
      </c>
      <c r="D5" s="2">
        <v>35579</v>
      </c>
      <c r="E5" s="2">
        <v>711580</v>
      </c>
      <c r="F5" s="2">
        <v>23837.929999999997</v>
      </c>
      <c r="G5" s="2">
        <v>476758.6</v>
      </c>
      <c r="H5" s="1">
        <v>1</v>
      </c>
      <c r="I5" s="1">
        <f>1-C28</f>
        <v>0.66999999999999993</v>
      </c>
      <c r="J5" s="1">
        <v>0</v>
      </c>
      <c r="K5" s="12">
        <f>SUM(I5:J5)</f>
        <v>0.66999999999999993</v>
      </c>
      <c r="L5" s="10">
        <f>H5*E5</f>
        <v>711580</v>
      </c>
      <c r="M5" s="19">
        <f>K5*L5</f>
        <v>476758.6</v>
      </c>
    </row>
    <row r="6" spans="2:13" x14ac:dyDescent="0.3">
      <c r="B6" s="126"/>
      <c r="C6" t="s">
        <v>11</v>
      </c>
      <c r="D6" s="4">
        <v>12469705</v>
      </c>
      <c r="E6" s="4">
        <v>171240007</v>
      </c>
      <c r="F6" s="4">
        <v>5743535.8899999997</v>
      </c>
      <c r="G6" s="4">
        <v>78919835.019999981</v>
      </c>
      <c r="H6" s="26">
        <f>L6/E6</f>
        <v>1.539503795568637</v>
      </c>
      <c r="J6" s="26"/>
      <c r="K6" s="26">
        <f>M6/L6</f>
        <v>0.46056683548088062</v>
      </c>
      <c r="L6" s="13">
        <f>SUM(L4:L5)</f>
        <v>263624640.72969997</v>
      </c>
      <c r="M6" s="13">
        <f>SUM(M4:M5)</f>
        <v>121416766.53566198</v>
      </c>
    </row>
    <row r="7" spans="2:13" x14ac:dyDescent="0.3">
      <c r="B7" s="126" t="s">
        <v>5</v>
      </c>
      <c r="C7" t="s">
        <v>8</v>
      </c>
      <c r="D7" s="2">
        <v>83129713.159999996</v>
      </c>
      <c r="E7" s="2">
        <v>999727087.48000002</v>
      </c>
      <c r="F7" s="2">
        <v>38239668.053599991</v>
      </c>
      <c r="G7" s="2">
        <v>459874460.24079996</v>
      </c>
      <c r="H7" s="12">
        <f>H26</f>
        <v>1.3078272833662563</v>
      </c>
      <c r="I7" s="119">
        <v>0.46</v>
      </c>
      <c r="J7" s="119">
        <v>0</v>
      </c>
      <c r="K7" s="12">
        <f>SUM(I7:J7)</f>
        <v>0.46</v>
      </c>
      <c r="L7" s="19">
        <f>H7*E7</f>
        <v>1307470360.9266281</v>
      </c>
      <c r="M7" s="19">
        <f>K7*L7</f>
        <v>601436366.02624893</v>
      </c>
    </row>
    <row r="8" spans="2:13" x14ac:dyDescent="0.3">
      <c r="B8" s="126"/>
      <c r="C8" t="s">
        <v>12</v>
      </c>
      <c r="D8" s="2">
        <v>158650</v>
      </c>
      <c r="E8" s="2">
        <v>2379750</v>
      </c>
      <c r="F8" s="2">
        <v>142785</v>
      </c>
      <c r="G8" s="2">
        <v>2141775</v>
      </c>
      <c r="H8" s="1">
        <v>1</v>
      </c>
      <c r="I8" s="1">
        <f>1-C29</f>
        <v>0.9</v>
      </c>
      <c r="J8" s="1">
        <v>0</v>
      </c>
      <c r="K8" s="12">
        <f>SUM(I8:J8)</f>
        <v>0.9</v>
      </c>
      <c r="L8" s="10">
        <f>H8*E8</f>
        <v>2379750</v>
      </c>
      <c r="M8" s="10">
        <f>K8*L8</f>
        <v>2141775</v>
      </c>
    </row>
    <row r="9" spans="2:13" ht="15" thickBot="1" x14ac:dyDescent="0.35">
      <c r="B9" s="126"/>
      <c r="C9" t="s">
        <v>11</v>
      </c>
      <c r="D9" s="4">
        <v>83288363.159999996</v>
      </c>
      <c r="E9" s="4">
        <v>1002106837.48</v>
      </c>
      <c r="F9" s="4">
        <v>38382453.053599991</v>
      </c>
      <c r="G9" s="4">
        <v>462016235.24079996</v>
      </c>
      <c r="H9" s="26">
        <f>L9/E9</f>
        <v>1.3070962715118386</v>
      </c>
      <c r="J9" s="26"/>
      <c r="K9" s="26">
        <f>M9/L9</f>
        <v>0.46079939680980692</v>
      </c>
      <c r="L9" s="13">
        <f>SUM(L7:L8)</f>
        <v>1309850110.9266281</v>
      </c>
      <c r="M9" s="13">
        <f>SUM(M7:M8)</f>
        <v>603578141.02624893</v>
      </c>
    </row>
    <row r="10" spans="2:13" ht="15.75" thickBot="1" x14ac:dyDescent="0.3">
      <c r="B10" s="6" t="s">
        <v>11</v>
      </c>
      <c r="C10" s="7"/>
      <c r="D10" s="8">
        <v>106913779.86</v>
      </c>
      <c r="E10" s="8">
        <v>1253971028.48</v>
      </c>
      <c r="F10" s="8">
        <v>49257616.325599991</v>
      </c>
      <c r="G10" s="9">
        <v>578023194.90079999</v>
      </c>
      <c r="H10" s="16">
        <f>L10/E10</f>
        <v>1.3491593365892596</v>
      </c>
      <c r="I10" s="112"/>
      <c r="J10" s="25"/>
      <c r="K10" s="17">
        <f>M10/L10</f>
        <v>0.46070724497380711</v>
      </c>
      <c r="L10" s="14">
        <f>SUM(L9,L6,L3)</f>
        <v>1691806720.8862283</v>
      </c>
      <c r="M10" s="15">
        <f>SUM(M9,M6,M3)</f>
        <v>779427613.4076649</v>
      </c>
    </row>
    <row r="11" spans="2:13" ht="15" x14ac:dyDescent="0.25">
      <c r="B11" t="s">
        <v>18</v>
      </c>
      <c r="D11" s="10">
        <f>D7+D4+D3</f>
        <v>106719550.86</v>
      </c>
      <c r="E11" s="10">
        <f>E7+E4+E3</f>
        <v>1250879698.48</v>
      </c>
      <c r="F11" s="10">
        <f>F7+F4+F3</f>
        <v>49090993.395599991</v>
      </c>
      <c r="G11" s="10">
        <f>G7+G4+G3</f>
        <v>575404661.30079997</v>
      </c>
      <c r="H11" s="21">
        <f>L11/E11</f>
        <v>1.3500222227111545</v>
      </c>
      <c r="J11" s="20"/>
      <c r="K11" s="20">
        <f>M11/L11</f>
        <v>0.45999999999999996</v>
      </c>
      <c r="L11" s="10">
        <f>L7+L4+L3</f>
        <v>1688715390.8862283</v>
      </c>
      <c r="M11" s="10">
        <f>M7+M4+M3</f>
        <v>776809079.80766499</v>
      </c>
    </row>
    <row r="12" spans="2:13" ht="15" x14ac:dyDescent="0.25">
      <c r="B12" t="s">
        <v>19</v>
      </c>
      <c r="D12" s="10">
        <f>D8+D5</f>
        <v>194229</v>
      </c>
      <c r="E12" s="10">
        <f t="shared" ref="E12:G12" si="0">E8+E5</f>
        <v>3091330</v>
      </c>
      <c r="F12" s="10">
        <f t="shared" si="0"/>
        <v>166622.93</v>
      </c>
      <c r="G12" s="10">
        <f t="shared" si="0"/>
        <v>2618533.6</v>
      </c>
      <c r="H12" s="12">
        <f>L12/E12</f>
        <v>1</v>
      </c>
      <c r="J12" s="20"/>
      <c r="K12" s="20">
        <f>M12/L12</f>
        <v>0.84705728602252106</v>
      </c>
      <c r="L12" s="10">
        <f>SUM(L8,L5)</f>
        <v>3091330</v>
      </c>
      <c r="M12" s="10">
        <f>M8+M5</f>
        <v>2618533.6</v>
      </c>
    </row>
    <row r="21" spans="2:10" ht="15" x14ac:dyDescent="0.25">
      <c r="E21" t="s">
        <v>141</v>
      </c>
    </row>
    <row r="22" spans="2:10" ht="15" x14ac:dyDescent="0.25">
      <c r="E22" t="s">
        <v>142</v>
      </c>
      <c r="H22" s="11">
        <v>42979</v>
      </c>
    </row>
    <row r="23" spans="2:10" ht="15" x14ac:dyDescent="0.25">
      <c r="E23" t="s">
        <v>104</v>
      </c>
      <c r="F23" t="s">
        <v>105</v>
      </c>
      <c r="G23" t="s">
        <v>106</v>
      </c>
      <c r="H23" s="100" t="s">
        <v>112</v>
      </c>
      <c r="I23" s="100" t="s">
        <v>113</v>
      </c>
    </row>
    <row r="24" spans="2:10" ht="15" x14ac:dyDescent="0.25">
      <c r="E24" t="s">
        <v>107</v>
      </c>
      <c r="F24" t="s">
        <v>103</v>
      </c>
      <c r="G24" t="s">
        <v>25</v>
      </c>
      <c r="H24" s="101">
        <v>1.4676981937566032</v>
      </c>
      <c r="I24" s="116">
        <v>8.1739638248823576E-2</v>
      </c>
      <c r="J24" s="118">
        <f>1-I24</f>
        <v>0.91826036175117642</v>
      </c>
    </row>
    <row r="25" spans="2:10" ht="15" x14ac:dyDescent="0.25">
      <c r="B25" t="s">
        <v>24</v>
      </c>
      <c r="E25" t="s">
        <v>107</v>
      </c>
      <c r="F25" t="s">
        <v>103</v>
      </c>
      <c r="G25" t="s">
        <v>26</v>
      </c>
      <c r="H25" s="101">
        <v>1.5417550337792065</v>
      </c>
      <c r="I25" s="116">
        <v>9.2462941979751564E-2</v>
      </c>
      <c r="J25" s="118">
        <f t="shared" ref="J25:J26" si="1">1-I25</f>
        <v>0.90753705802024842</v>
      </c>
    </row>
    <row r="26" spans="2:10" ht="15" x14ac:dyDescent="0.25">
      <c r="B26" t="s">
        <v>7</v>
      </c>
      <c r="E26" t="s">
        <v>107</v>
      </c>
      <c r="F26" t="s">
        <v>103</v>
      </c>
      <c r="G26" t="s">
        <v>27</v>
      </c>
      <c r="H26" s="101">
        <v>1.3078272833662563</v>
      </c>
      <c r="I26" s="116">
        <v>7.7136001308458949E-2</v>
      </c>
      <c r="J26" s="118">
        <f t="shared" si="1"/>
        <v>0.92286399869154101</v>
      </c>
    </row>
    <row r="27" spans="2:10" ht="15" x14ac:dyDescent="0.25">
      <c r="B27" t="s">
        <v>8</v>
      </c>
      <c r="C27" s="1">
        <v>0.54</v>
      </c>
    </row>
    <row r="28" spans="2:10" x14ac:dyDescent="0.3">
      <c r="B28" t="s">
        <v>9</v>
      </c>
      <c r="C28" s="1">
        <v>0.33</v>
      </c>
    </row>
    <row r="29" spans="2:10" x14ac:dyDescent="0.3">
      <c r="B29" t="s">
        <v>10</v>
      </c>
      <c r="C29" s="1">
        <v>0.1</v>
      </c>
    </row>
  </sheetData>
  <mergeCells count="6">
    <mergeCell ref="H1:I1"/>
    <mergeCell ref="B4:B6"/>
    <mergeCell ref="B7:B9"/>
    <mergeCell ref="D1:G1"/>
    <mergeCell ref="L1:M1"/>
    <mergeCell ref="B1:C1"/>
  </mergeCells>
  <pageMargins left="0.7" right="0.7" top="0.75" bottom="0.75" header="0.3" footer="0.3"/>
  <pageSetup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
  <sheetViews>
    <sheetView workbookViewId="0">
      <selection activeCell="K17" sqref="K17"/>
    </sheetView>
  </sheetViews>
  <sheetFormatPr defaultRowHeight="14.4" x14ac:dyDescent="0.3"/>
  <sheetData>
    <row r="4" spans="3:3" x14ac:dyDescent="0.25">
      <c r="C4" s="28"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workbookViewId="0">
      <selection activeCell="E12" sqref="E12"/>
    </sheetView>
  </sheetViews>
  <sheetFormatPr defaultColWidth="9.109375" defaultRowHeight="14.4" x14ac:dyDescent="0.3"/>
  <cols>
    <col min="1" max="1" width="9.109375" style="31"/>
    <col min="2" max="2" width="27.33203125" style="31" customWidth="1"/>
    <col min="3" max="3" width="32.33203125" style="31" customWidth="1"/>
    <col min="4" max="4" width="11.6640625" style="31" bestFit="1" customWidth="1"/>
    <col min="5" max="6" width="12.6640625" style="31" bestFit="1" customWidth="1"/>
    <col min="7" max="7" width="7.5546875" style="31" bestFit="1" customWidth="1"/>
    <col min="8" max="8" width="16.44140625" style="31" customWidth="1"/>
    <col min="9" max="9" width="20.109375" style="31" bestFit="1" customWidth="1"/>
    <col min="10" max="10" width="18" style="31" customWidth="1"/>
    <col min="11" max="12" width="9.109375" style="31"/>
    <col min="13" max="13" width="14.88671875" style="31" bestFit="1" customWidth="1"/>
    <col min="14" max="16384" width="9.109375" style="31"/>
  </cols>
  <sheetData>
    <row r="1" spans="2:13" ht="15.75" thickBot="1" x14ac:dyDescent="0.3">
      <c r="M1" s="121" t="s">
        <v>102</v>
      </c>
    </row>
    <row r="2" spans="2:13" ht="15.75" thickBot="1" x14ac:dyDescent="0.3">
      <c r="B2" s="140" t="s">
        <v>71</v>
      </c>
      <c r="C2" s="141"/>
      <c r="D2" s="141"/>
      <c r="E2" s="141"/>
      <c r="F2" s="141"/>
      <c r="G2" s="142"/>
      <c r="H2" s="140" t="s">
        <v>72</v>
      </c>
      <c r="I2" s="141"/>
      <c r="J2" s="142"/>
      <c r="M2" s="122">
        <f>J9+J20+J31+J40</f>
        <v>7472480.6444135187</v>
      </c>
    </row>
    <row r="3" spans="2:13" x14ac:dyDescent="0.3">
      <c r="B3" s="160" t="s">
        <v>73</v>
      </c>
      <c r="C3" s="161"/>
      <c r="D3" s="164" t="s">
        <v>74</v>
      </c>
      <c r="E3" s="164"/>
      <c r="F3" s="164"/>
      <c r="G3" s="165" t="s">
        <v>75</v>
      </c>
      <c r="H3" s="166" t="s">
        <v>76</v>
      </c>
      <c r="I3" s="167"/>
      <c r="J3" s="168"/>
    </row>
    <row r="4" spans="2:13" x14ac:dyDescent="0.3">
      <c r="B4" s="162"/>
      <c r="C4" s="163"/>
      <c r="D4" s="32" t="s">
        <v>77</v>
      </c>
      <c r="E4" s="32" t="s">
        <v>78</v>
      </c>
      <c r="F4" s="32" t="s">
        <v>79</v>
      </c>
      <c r="G4" s="139"/>
      <c r="H4" s="71" t="s">
        <v>80</v>
      </c>
      <c r="I4" s="88" t="s">
        <v>100</v>
      </c>
      <c r="J4" s="33" t="s">
        <v>81</v>
      </c>
    </row>
    <row r="5" spans="2:13" ht="15" x14ac:dyDescent="0.25">
      <c r="B5" s="169" t="s">
        <v>82</v>
      </c>
      <c r="C5" s="170"/>
      <c r="D5" s="34">
        <v>612421363.5</v>
      </c>
      <c r="E5" s="34">
        <v>816561818</v>
      </c>
      <c r="F5" s="34">
        <v>1020702272.5</v>
      </c>
      <c r="G5" s="35">
        <v>0.9</v>
      </c>
      <c r="H5" s="95">
        <f>'Resource Acquisition'!M26</f>
        <v>919157079.7802043</v>
      </c>
      <c r="I5" s="89">
        <f>IF(H5&lt;=E5,(1-0.5)/(E5-D5)*H5+1-(1-0.5)/(E5-D5)*E5,(1.5-1)/(F5-E5)*H5+1.5-(1.5-1)/(F5-E5)*F5)</f>
        <v>1.2512859639494049</v>
      </c>
      <c r="J5" s="98">
        <f>I5*G5</f>
        <v>1.1261573675544645</v>
      </c>
    </row>
    <row r="6" spans="2:13" ht="15" x14ac:dyDescent="0.25">
      <c r="B6" s="169" t="s">
        <v>83</v>
      </c>
      <c r="C6" s="170"/>
      <c r="D6" s="34">
        <v>933.75</v>
      </c>
      <c r="E6" s="36">
        <v>1245</v>
      </c>
      <c r="F6" s="34">
        <v>1556.25</v>
      </c>
      <c r="G6" s="35">
        <v>0.05</v>
      </c>
      <c r="H6" s="96">
        <v>2529</v>
      </c>
      <c r="I6" s="89">
        <f>IF(H6&lt;=E6,(1-0.5)/(E6-D6)*H6+1-(1-0.5)/(E6-D6)*E6,(1.5-1)/(F6-E6)*H6+1.5-(1.5-1)/(F6-E6)*F6)</f>
        <v>3.0626506024096392</v>
      </c>
      <c r="J6" s="98">
        <f>I6*G6</f>
        <v>0.15313253012048197</v>
      </c>
    </row>
    <row r="7" spans="2:13" ht="15.75" thickBot="1" x14ac:dyDescent="0.3">
      <c r="B7" s="171" t="s">
        <v>84</v>
      </c>
      <c r="C7" s="172"/>
      <c r="D7" s="37">
        <v>7.8799999999999995E-2</v>
      </c>
      <c r="E7" s="37">
        <v>8.8800000000000004E-2</v>
      </c>
      <c r="F7" s="37">
        <v>9.8799999999999999E-2</v>
      </c>
      <c r="G7" s="38">
        <v>0.05</v>
      </c>
      <c r="H7" s="97">
        <v>8.0799999999999997E-2</v>
      </c>
      <c r="I7" s="93">
        <f>IF(H7&lt;=E7,(1-0.5)/(E7-D7)*H7+1-(1-0.5)/(E7-D7)*E7,(1.5-1)/(F7-E7)*H7+1.5-(1.5-1)/(F7-E7)*F7)</f>
        <v>0.59999999999999964</v>
      </c>
      <c r="J7" s="39">
        <f>I7*G7</f>
        <v>2.9999999999999985E-2</v>
      </c>
    </row>
    <row r="8" spans="2:13" ht="15" x14ac:dyDescent="0.25">
      <c r="B8" s="40"/>
      <c r="C8" s="40"/>
      <c r="D8" s="41"/>
      <c r="E8" s="42"/>
      <c r="F8" s="43"/>
      <c r="G8" s="44"/>
      <c r="H8" s="45"/>
      <c r="I8" s="94" t="s">
        <v>11</v>
      </c>
      <c r="J8" s="91">
        <f>SUM(J5:J7)</f>
        <v>1.3092898976749465</v>
      </c>
    </row>
    <row r="9" spans="2:13" ht="15" x14ac:dyDescent="0.25">
      <c r="B9" s="40"/>
      <c r="C9" s="40"/>
      <c r="D9" s="46"/>
      <c r="E9" s="46"/>
      <c r="F9" s="40"/>
      <c r="G9" s="47"/>
      <c r="H9" s="48"/>
      <c r="I9" s="49" t="s">
        <v>85</v>
      </c>
      <c r="J9" s="50">
        <f>IF(AND(J8&gt;=0.5,J8&lt;1),(0.8*J8-0.4)*J10,IF(AND(J8&gt;=1,J8&lt;=1.5),(1.2*J8-0.8)*J10,IF(J8&gt;1.5,(1.2*1.5-0.8)*J10,0)))</f>
        <v>4443225.2867881563</v>
      </c>
    </row>
    <row r="10" spans="2:13" ht="15.75" thickBot="1" x14ac:dyDescent="0.3">
      <c r="B10" s="40"/>
      <c r="C10" s="40"/>
      <c r="D10" s="51"/>
      <c r="E10" s="52"/>
      <c r="F10" s="46"/>
      <c r="G10" s="46"/>
      <c r="H10" s="44"/>
      <c r="I10" s="53" t="s">
        <v>101</v>
      </c>
      <c r="J10" s="99">
        <v>5761833</v>
      </c>
    </row>
    <row r="11" spans="2:13" ht="15" x14ac:dyDescent="0.25">
      <c r="B11" s="40"/>
      <c r="C11" s="40"/>
      <c r="D11" s="54"/>
      <c r="E11" s="46"/>
      <c r="F11" s="46"/>
      <c r="G11" s="46"/>
      <c r="H11" s="55"/>
      <c r="I11" s="55"/>
      <c r="J11" s="56"/>
    </row>
    <row r="12" spans="2:13" ht="15" x14ac:dyDescent="0.25">
      <c r="B12" s="40"/>
      <c r="C12" s="40"/>
      <c r="D12" s="57"/>
      <c r="E12" s="46"/>
      <c r="F12" s="46"/>
      <c r="G12" s="46"/>
      <c r="H12" s="58"/>
      <c r="I12" s="55"/>
      <c r="J12" s="59"/>
    </row>
    <row r="13" spans="2:13" ht="15.75" thickBot="1" x14ac:dyDescent="0.3">
      <c r="B13" s="60"/>
      <c r="C13" s="40"/>
      <c r="D13" s="40"/>
      <c r="E13" s="40"/>
      <c r="F13" s="40"/>
      <c r="G13" s="40"/>
      <c r="H13" s="40"/>
      <c r="I13" s="40"/>
      <c r="J13" s="40"/>
    </row>
    <row r="14" spans="2:13" ht="15.75" thickBot="1" x14ac:dyDescent="0.3">
      <c r="B14" s="157" t="s">
        <v>86</v>
      </c>
      <c r="C14" s="158"/>
      <c r="D14" s="158"/>
      <c r="E14" s="158"/>
      <c r="F14" s="158"/>
      <c r="G14" s="159"/>
      <c r="H14" s="140" t="s">
        <v>72</v>
      </c>
      <c r="I14" s="141"/>
      <c r="J14" s="142"/>
    </row>
    <row r="15" spans="2:13" x14ac:dyDescent="0.3">
      <c r="B15" s="134" t="s">
        <v>80</v>
      </c>
      <c r="C15" s="135"/>
      <c r="D15" s="150" t="s">
        <v>74</v>
      </c>
      <c r="E15" s="150"/>
      <c r="F15" s="150"/>
      <c r="G15" s="139" t="s">
        <v>75</v>
      </c>
      <c r="H15" s="137" t="s">
        <v>76</v>
      </c>
      <c r="I15" s="138"/>
      <c r="J15" s="139"/>
    </row>
    <row r="16" spans="2:13" x14ac:dyDescent="0.3">
      <c r="B16" s="134"/>
      <c r="C16" s="135"/>
      <c r="D16" s="61" t="s">
        <v>87</v>
      </c>
      <c r="E16" s="61" t="s">
        <v>78</v>
      </c>
      <c r="F16" s="61" t="s">
        <v>79</v>
      </c>
      <c r="G16" s="139"/>
      <c r="H16" s="71" t="s">
        <v>80</v>
      </c>
      <c r="I16" s="88" t="s">
        <v>100</v>
      </c>
      <c r="J16" s="33" t="s">
        <v>81</v>
      </c>
    </row>
    <row r="17" spans="2:10" ht="15" x14ac:dyDescent="0.25">
      <c r="B17" s="143" t="s">
        <v>88</v>
      </c>
      <c r="C17" s="144"/>
      <c r="D17" s="62">
        <v>19500000</v>
      </c>
      <c r="E17" s="62">
        <v>26000000</v>
      </c>
      <c r="F17" s="62">
        <v>32500000</v>
      </c>
      <c r="G17" s="35">
        <v>0.6</v>
      </c>
      <c r="H17" s="73">
        <f>'Low Income'!K8</f>
        <v>35847426.412</v>
      </c>
      <c r="I17" s="89">
        <f>IF(H17&lt;=E17,(1-0.5)/(E17-D17)*H17+1-(1-0.5)/(E17-D17)*E17,(1.5-1)/(F17-E17)*H17+1.5-(1.5-1)/(F17-E17)*F17)</f>
        <v>1.7574943393846159</v>
      </c>
      <c r="J17" s="98">
        <f>I17*G17</f>
        <v>1.0544966036307695</v>
      </c>
    </row>
    <row r="18" spans="2:10" ht="15.75" thickBot="1" x14ac:dyDescent="0.3">
      <c r="B18" s="145" t="s">
        <v>89</v>
      </c>
      <c r="C18" s="146"/>
      <c r="D18" s="63">
        <v>13200000</v>
      </c>
      <c r="E18" s="63">
        <v>17600000</v>
      </c>
      <c r="F18" s="63">
        <v>22000000</v>
      </c>
      <c r="G18" s="38">
        <v>0.4</v>
      </c>
      <c r="H18" s="75">
        <f>'Low Income'!K5</f>
        <v>16333360.873699998</v>
      </c>
      <c r="I18" s="93">
        <f>IF(H18&lt;=E18,(1-0.5)/(E18-D18)*H18+1-(1-0.5)/(E18-D18)*E18,(1.5-1)/(F18-E18)*H18+1.5-(1.5-1)/(F18-E18)*F18)</f>
        <v>0.8560637356477272</v>
      </c>
      <c r="J18" s="39">
        <f>I18*G18</f>
        <v>0.34242549425909091</v>
      </c>
    </row>
    <row r="19" spans="2:10" ht="15" x14ac:dyDescent="0.25">
      <c r="B19" s="40"/>
      <c r="C19" s="40"/>
      <c r="D19" s="65"/>
      <c r="E19" s="42"/>
      <c r="F19" s="65"/>
      <c r="G19" s="40"/>
      <c r="H19" s="66"/>
      <c r="I19" s="77" t="s">
        <v>11</v>
      </c>
      <c r="J19" s="91">
        <f>SUM(J16:J18)</f>
        <v>1.3969220978898604</v>
      </c>
    </row>
    <row r="20" spans="2:10" ht="15" x14ac:dyDescent="0.25">
      <c r="B20" s="40"/>
      <c r="C20" s="40"/>
      <c r="D20" s="40"/>
      <c r="E20" s="65"/>
      <c r="F20" s="67"/>
      <c r="G20" s="65"/>
      <c r="H20" s="44"/>
      <c r="I20" s="49" t="s">
        <v>85</v>
      </c>
      <c r="J20" s="50">
        <f>IF(AND(J19&gt;=0.5,J19&lt;1),(0.8*J19-0.4)*J21,IF(AND(J19&gt;=1,J19&lt;=1.5),(1.2*J19-0.8)*J21,IF(J19&gt;1.5,(1.2*1.5-0.8)*J21,0)))</f>
        <v>2462534.3576253625</v>
      </c>
    </row>
    <row r="21" spans="2:10" ht="15.75" thickBot="1" x14ac:dyDescent="0.3">
      <c r="B21" s="40"/>
      <c r="C21" s="40"/>
      <c r="D21" s="51"/>
      <c r="E21" s="68"/>
      <c r="F21" s="67"/>
      <c r="G21" s="65"/>
      <c r="H21" s="40"/>
      <c r="I21" s="53" t="s">
        <v>101</v>
      </c>
      <c r="J21" s="99">
        <v>2810129</v>
      </c>
    </row>
    <row r="22" spans="2:10" ht="15" x14ac:dyDescent="0.25">
      <c r="B22" s="40"/>
      <c r="C22" s="40"/>
      <c r="D22" s="69"/>
      <c r="E22" s="70"/>
      <c r="F22" s="65"/>
      <c r="G22" s="65"/>
      <c r="H22" s="40"/>
      <c r="I22" s="40"/>
      <c r="J22" s="40"/>
    </row>
    <row r="23" spans="2:10" ht="15" x14ac:dyDescent="0.25">
      <c r="B23" s="40"/>
      <c r="C23" s="40"/>
      <c r="D23" s="40"/>
      <c r="E23" s="40"/>
      <c r="F23" s="40"/>
      <c r="G23" s="40"/>
      <c r="H23" s="40"/>
      <c r="I23" s="40"/>
      <c r="J23" s="40"/>
    </row>
    <row r="24" spans="2:10" ht="15.75" thickBot="1" x14ac:dyDescent="0.3">
      <c r="B24" s="60"/>
      <c r="C24" s="40"/>
      <c r="D24" s="40"/>
      <c r="E24" s="40"/>
      <c r="F24" s="40"/>
      <c r="G24" s="40"/>
      <c r="H24" s="40"/>
      <c r="I24" s="40"/>
      <c r="J24" s="40"/>
    </row>
    <row r="25" spans="2:10" ht="15.75" thickBot="1" x14ac:dyDescent="0.3">
      <c r="B25" s="147" t="s">
        <v>90</v>
      </c>
      <c r="C25" s="148"/>
      <c r="D25" s="148"/>
      <c r="E25" s="148"/>
      <c r="F25" s="148"/>
      <c r="G25" s="149"/>
      <c r="H25" s="140" t="s">
        <v>72</v>
      </c>
      <c r="I25" s="141"/>
      <c r="J25" s="142"/>
    </row>
    <row r="26" spans="2:10" x14ac:dyDescent="0.3">
      <c r="B26" s="137" t="s">
        <v>80</v>
      </c>
      <c r="C26" s="150"/>
      <c r="D26" s="150" t="s">
        <v>74</v>
      </c>
      <c r="E26" s="150"/>
      <c r="F26" s="150"/>
      <c r="G26" s="136" t="s">
        <v>75</v>
      </c>
      <c r="H26" s="137" t="s">
        <v>76</v>
      </c>
      <c r="I26" s="138"/>
      <c r="J26" s="139"/>
    </row>
    <row r="27" spans="2:10" x14ac:dyDescent="0.3">
      <c r="B27" s="137"/>
      <c r="C27" s="150"/>
      <c r="D27" s="61" t="s">
        <v>77</v>
      </c>
      <c r="E27" s="61" t="s">
        <v>78</v>
      </c>
      <c r="F27" s="61" t="s">
        <v>79</v>
      </c>
      <c r="G27" s="136"/>
      <c r="H27" s="71" t="s">
        <v>80</v>
      </c>
      <c r="I27" s="88" t="s">
        <v>100</v>
      </c>
      <c r="J27" s="33" t="s">
        <v>81</v>
      </c>
    </row>
    <row r="28" spans="2:10" ht="15" x14ac:dyDescent="0.25">
      <c r="B28" s="151" t="s">
        <v>91</v>
      </c>
      <c r="C28" s="152"/>
      <c r="D28" s="62">
        <v>772381040.25</v>
      </c>
      <c r="E28" s="62">
        <v>1029841387</v>
      </c>
      <c r="F28" s="62">
        <v>1287301733.75</v>
      </c>
      <c r="G28" s="72">
        <v>0.4</v>
      </c>
      <c r="H28" s="73">
        <f>SUM('Large Volume'!M3,'Large Volume'!M9)</f>
        <v>658010846.87200296</v>
      </c>
      <c r="I28" s="90">
        <f>IF(H28&lt;=E28,(1-0.5)/(E28-D28)*H28+1-(1-0.5)/(E28-D28)*E28,(1.5-1)/(F28-E28)*H28+1.5-(1.5-1)/(F28-E28)*F28)</f>
        <v>0.27788775082895945</v>
      </c>
      <c r="J28" s="64">
        <f>I28*G28</f>
        <v>0.11115510033158378</v>
      </c>
    </row>
    <row r="29" spans="2:10" ht="15" thickBot="1" x14ac:dyDescent="0.35">
      <c r="B29" s="153" t="s">
        <v>92</v>
      </c>
      <c r="C29" s="154"/>
      <c r="D29" s="63">
        <v>154692012.75</v>
      </c>
      <c r="E29" s="63">
        <v>206256017</v>
      </c>
      <c r="F29" s="63">
        <v>257820021.25</v>
      </c>
      <c r="G29" s="74">
        <v>0.6</v>
      </c>
      <c r="H29" s="75">
        <f>'Large Volume'!M6</f>
        <v>121416766.53566198</v>
      </c>
      <c r="I29" s="93">
        <f>IF(H29&lt;=E29,(1-0.5)/(E29-D29)*H29+1-(1-0.5)/(E29-D29)*E29,(1.5-1)/(F29-E29)*H29+1.5-(1.5-1)/(F29-E29)*F29)</f>
        <v>0.17734035885762278</v>
      </c>
      <c r="J29" s="76">
        <f>I29*G29</f>
        <v>0.10640421531457367</v>
      </c>
    </row>
    <row r="30" spans="2:10" x14ac:dyDescent="0.3">
      <c r="B30" s="40"/>
      <c r="C30" s="40"/>
      <c r="D30" s="65"/>
      <c r="E30" s="43"/>
      <c r="F30" s="65"/>
      <c r="G30" s="40"/>
      <c r="H30" s="66"/>
      <c r="I30" s="77" t="s">
        <v>11</v>
      </c>
      <c r="J30" s="91">
        <f>SUM(J27:J29)</f>
        <v>0.21755931564615744</v>
      </c>
    </row>
    <row r="31" spans="2:10" x14ac:dyDescent="0.3">
      <c r="B31" s="40"/>
      <c r="C31" s="40"/>
      <c r="D31" s="155"/>
      <c r="E31" s="155"/>
      <c r="F31" s="78"/>
      <c r="G31" s="40"/>
      <c r="H31" s="44"/>
      <c r="I31" s="49" t="s">
        <v>85</v>
      </c>
      <c r="J31" s="50">
        <f>IF(AND(J30&gt;=0.5,J30&lt;1),(0.8*J30-0.4)*J32,IF(AND(J30&gt;=1,J30&lt;=1.5),(1.2*J30-0.8)*J32,IF(J30&gt;1.5,(1.2*1.5-0.8)*J32,0)))</f>
        <v>0</v>
      </c>
    </row>
    <row r="32" spans="2:10" ht="15" thickBot="1" x14ac:dyDescent="0.35">
      <c r="B32" s="40"/>
      <c r="C32" s="40"/>
      <c r="D32" s="69"/>
      <c r="E32" s="156"/>
      <c r="F32" s="156"/>
      <c r="G32" s="40"/>
      <c r="H32" s="44"/>
      <c r="I32" s="53" t="s">
        <v>101</v>
      </c>
      <c r="J32" s="99">
        <v>1862877</v>
      </c>
    </row>
    <row r="33" spans="2:10" x14ac:dyDescent="0.3">
      <c r="B33" s="40"/>
      <c r="C33" s="40"/>
      <c r="D33" s="40"/>
      <c r="E33" s="40"/>
      <c r="F33" s="40"/>
      <c r="G33" s="40"/>
      <c r="H33" s="40"/>
      <c r="I33" s="40"/>
      <c r="J33" s="40"/>
    </row>
    <row r="34" spans="2:10" ht="15" thickBot="1" x14ac:dyDescent="0.35">
      <c r="B34" s="60"/>
      <c r="C34" s="40"/>
      <c r="D34" s="40"/>
      <c r="E34" s="40"/>
      <c r="F34" s="40"/>
      <c r="G34" s="40"/>
      <c r="H34" s="40"/>
      <c r="I34" s="40"/>
      <c r="J34" s="40"/>
    </row>
    <row r="35" spans="2:10" ht="15" thickBot="1" x14ac:dyDescent="0.35">
      <c r="B35" s="157" t="s">
        <v>93</v>
      </c>
      <c r="C35" s="158"/>
      <c r="D35" s="158"/>
      <c r="E35" s="158"/>
      <c r="F35" s="158"/>
      <c r="G35" s="159"/>
      <c r="H35" s="140" t="s">
        <v>72</v>
      </c>
      <c r="I35" s="141"/>
      <c r="J35" s="142"/>
    </row>
    <row r="36" spans="2:10" x14ac:dyDescent="0.3">
      <c r="B36" s="134" t="s">
        <v>94</v>
      </c>
      <c r="C36" s="135" t="s">
        <v>80</v>
      </c>
      <c r="D36" s="135" t="s">
        <v>74</v>
      </c>
      <c r="E36" s="135"/>
      <c r="F36" s="135"/>
      <c r="G36" s="136" t="s">
        <v>95</v>
      </c>
      <c r="H36" s="137" t="s">
        <v>76</v>
      </c>
      <c r="I36" s="138"/>
      <c r="J36" s="139"/>
    </row>
    <row r="37" spans="2:10" x14ac:dyDescent="0.3">
      <c r="B37" s="134"/>
      <c r="C37" s="135"/>
      <c r="D37" s="79" t="s">
        <v>87</v>
      </c>
      <c r="E37" s="79" t="s">
        <v>78</v>
      </c>
      <c r="F37" s="79" t="s">
        <v>79</v>
      </c>
      <c r="G37" s="136"/>
      <c r="H37" s="71" t="s">
        <v>80</v>
      </c>
      <c r="I37" s="88" t="s">
        <v>100</v>
      </c>
      <c r="J37" s="33" t="s">
        <v>81</v>
      </c>
    </row>
    <row r="38" spans="2:10" ht="29.4" thickBot="1" x14ac:dyDescent="0.35">
      <c r="B38" s="80" t="s">
        <v>96</v>
      </c>
      <c r="C38" s="81" t="s">
        <v>97</v>
      </c>
      <c r="D38" s="82">
        <v>0.24729999999999999</v>
      </c>
      <c r="E38" s="82">
        <v>0.29730000000000001</v>
      </c>
      <c r="F38" s="82">
        <v>0.3473</v>
      </c>
      <c r="G38" s="83">
        <v>1</v>
      </c>
      <c r="H38" s="92">
        <v>0.503</v>
      </c>
      <c r="I38" s="93">
        <f>IF(H38&lt;=E38,(1-0.5)/(E38-D38)*H38+1-(1-0.5)/(E38-D38)*E38,(1.5-1)/(F38-E38)*H38+1.5-(1.5-1)/(F38-E38)*F38)</f>
        <v>3.0570000000000004</v>
      </c>
      <c r="J38" s="76">
        <f>I38*G38</f>
        <v>3.0570000000000004</v>
      </c>
    </row>
    <row r="39" spans="2:10" x14ac:dyDescent="0.3">
      <c r="B39" s="40"/>
      <c r="C39" s="40"/>
      <c r="D39" s="65"/>
      <c r="E39" s="65"/>
      <c r="F39" s="65"/>
      <c r="G39" s="40"/>
      <c r="H39" s="84"/>
      <c r="I39" s="77" t="s">
        <v>11</v>
      </c>
      <c r="J39" s="91">
        <f>SUM(J38:J38)</f>
        <v>3.0570000000000004</v>
      </c>
    </row>
    <row r="40" spans="2:10" x14ac:dyDescent="0.3">
      <c r="B40" s="40"/>
      <c r="C40" s="40"/>
      <c r="D40" s="65"/>
      <c r="E40" s="43"/>
      <c r="F40" s="65"/>
      <c r="G40" s="65"/>
      <c r="H40" s="44"/>
      <c r="I40" s="49" t="s">
        <v>85</v>
      </c>
      <c r="J40" s="50">
        <f>IF(AND(J39&gt;=0.5,J39&lt;1),(0.8*J39-0.4)*J41,IF(AND(J39&gt;=1,J39&lt;=1.5),(1.2*J39-0.8)*J41,IF(J39&gt;1.5,(1.2*1.5-0.8)*J41,0)))</f>
        <v>566720.99999999988</v>
      </c>
    </row>
    <row r="41" spans="2:10" ht="15" thickBot="1" x14ac:dyDescent="0.35">
      <c r="B41" s="40"/>
      <c r="C41" s="40"/>
      <c r="D41" s="85"/>
      <c r="E41" s="85"/>
      <c r="F41" s="86"/>
      <c r="G41" s="86"/>
      <c r="H41" s="84"/>
      <c r="I41" s="53" t="s">
        <v>101</v>
      </c>
      <c r="J41" s="99">
        <v>566721</v>
      </c>
    </row>
  </sheetData>
  <mergeCells count="34">
    <mergeCell ref="B15:C16"/>
    <mergeCell ref="D15:F15"/>
    <mergeCell ref="G15:G16"/>
    <mergeCell ref="H15:J15"/>
    <mergeCell ref="B2:G2"/>
    <mergeCell ref="H2:J2"/>
    <mergeCell ref="B3:C4"/>
    <mergeCell ref="D3:F3"/>
    <mergeCell ref="G3:G4"/>
    <mergeCell ref="H3:J3"/>
    <mergeCell ref="B5:C5"/>
    <mergeCell ref="B6:C6"/>
    <mergeCell ref="B7:C7"/>
    <mergeCell ref="B14:G14"/>
    <mergeCell ref="H14:J14"/>
    <mergeCell ref="H35:J35"/>
    <mergeCell ref="B17:C17"/>
    <mergeCell ref="B18:C18"/>
    <mergeCell ref="B25:G25"/>
    <mergeCell ref="H25:J25"/>
    <mergeCell ref="B26:C27"/>
    <mergeCell ref="D26:F26"/>
    <mergeCell ref="G26:G27"/>
    <mergeCell ref="H26:J26"/>
    <mergeCell ref="B28:C28"/>
    <mergeCell ref="B29:C29"/>
    <mergeCell ref="D31:E31"/>
    <mergeCell ref="E32:F32"/>
    <mergeCell ref="B35:G35"/>
    <mergeCell ref="B36:B37"/>
    <mergeCell ref="C36:C37"/>
    <mergeCell ref="D36:F36"/>
    <mergeCell ref="G36:G37"/>
    <mergeCell ref="H36:J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E33EAF982A2C428E6EAF5AFB50057A" ma:contentTypeVersion="" ma:contentTypeDescription="Create a new document." ma:contentTypeScope="" ma:versionID="328e475d7b8149c85eae06d826ff3a95">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E1530-31B8-4F12-9C35-9474C7186900}">
  <ds:schemaRefs>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8E989D2-47B0-4F73-87CC-813B4BFE1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EE9A3A5-086E-44D7-94AA-0DBF7E13F3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Resource Acquisition</vt:lpstr>
      <vt:lpstr>Low Income</vt:lpstr>
      <vt:lpstr>Large Volume</vt:lpstr>
      <vt:lpstr>Market Transformation</vt:lpstr>
      <vt:lpstr>Scorecard Result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Kuiken, Tamara</dc:creator>
  <cp:lastModifiedBy>Josh Charles</cp:lastModifiedBy>
  <dcterms:created xsi:type="dcterms:W3CDTF">2017-07-15T13:19:29Z</dcterms:created>
  <dcterms:modified xsi:type="dcterms:W3CDTF">2018-03-22T20:03:39Z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0x01010013E33EAF982A2C428E6EAF5AFB50057A</vt:lpwstr>
  </property>
</Properties>
</file>