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drawings/drawing6.xml" ContentType="application/vnd.openxmlformats-officedocument.drawing+xml"/>
  <Override PartName="/xl/charts/chart8.xml" ContentType="application/vnd.openxmlformats-officedocument.drawingml.chart+xml"/>
  <Override PartName="/xl/drawings/drawing7.xml" ContentType="application/vnd.openxmlformats-officedocument.drawing+xml"/>
  <Override PartName="/xl/charts/chart9.xml" ContentType="application/vnd.openxmlformats-officedocument.drawingml.chart+xml"/>
  <Override PartName="/xl/drawings/drawing8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8827"/>
  <workbookPr filterPrivacy="1" checkCompatibility="1" defaultThemeVersion="124226"/>
  <bookViews>
    <workbookView xWindow="0" yWindow="0" windowWidth="25200" windowHeight="11760" tabRatio="795" firstSheet="12" activeTab="17" xr2:uid="{00000000-000D-0000-FFFF-FFFF00000000}"/>
  </bookViews>
  <sheets>
    <sheet name="Monthly Data" sheetId="2" r:id="rId1"/>
    <sheet name="Historic CDM" sheetId="25" r:id="rId2"/>
    <sheet name="Weather" sheetId="3" r:id="rId3"/>
    <sheet name="Employment" sheetId="4" r:id="rId4"/>
    <sheet name="Res OLS model" sheetId="5" r:id="rId5"/>
    <sheet name="Res Predicted Monthly" sheetId="6" r:id="rId6"/>
    <sheet name="GS &lt; 50 OLS model" sheetId="7" r:id="rId7"/>
    <sheet name="GS &lt; 50 Predicted Monthly" sheetId="8" r:id="rId8"/>
    <sheet name="GS &gt; 50 OLS model" sheetId="9" r:id="rId9"/>
    <sheet name="GS &gt; 50 Predicted Monthly" sheetId="10" r:id="rId10"/>
    <sheet name="Model Annual Summary" sheetId="13" r:id="rId11"/>
    <sheet name="Res Normalized Monthly" sheetId="14" r:id="rId12"/>
    <sheet name="GS &lt; 50 Normalized Monthly" sheetId="15" r:id="rId13"/>
    <sheet name="GS &gt; 50 Normalized Monthly" sheetId="16" r:id="rId14"/>
    <sheet name="Connection count " sheetId="18" r:id="rId15"/>
    <sheet name="Normalized Annual Summary" sheetId="19" r:id="rId16"/>
    <sheet name="kW Forecast" sheetId="20" r:id="rId17"/>
    <sheet name="CDM Adjustments" sheetId="21" r:id="rId18"/>
    <sheet name="Summary Tables" sheetId="24" r:id="rId19"/>
  </sheets>
  <calcPr calcId="171027"/>
</workbook>
</file>

<file path=xl/calcChain.xml><?xml version="1.0" encoding="utf-8"?>
<calcChain xmlns="http://schemas.openxmlformats.org/spreadsheetml/2006/main">
  <c r="O13" i="19" l="1"/>
  <c r="G13" i="19"/>
  <c r="K92" i="25"/>
  <c r="L92" i="25"/>
  <c r="L87" i="25"/>
  <c r="K87" i="25"/>
  <c r="L75" i="25"/>
  <c r="K75" i="25"/>
  <c r="L63" i="25"/>
  <c r="K63" i="25"/>
  <c r="D14" i="21"/>
  <c r="J92" i="25"/>
  <c r="L86" i="25" l="1"/>
  <c r="K86" i="25"/>
  <c r="J86" i="25"/>
  <c r="I86" i="25"/>
  <c r="J75" i="25"/>
  <c r="L74" i="25"/>
  <c r="K74" i="25"/>
  <c r="J74" i="25"/>
  <c r="I74" i="25"/>
  <c r="L43" i="25"/>
  <c r="K43" i="25"/>
  <c r="J43" i="25"/>
  <c r="I43" i="25"/>
  <c r="L31" i="25"/>
  <c r="K31" i="25"/>
  <c r="J31" i="25"/>
  <c r="I31" i="25"/>
  <c r="L19" i="25"/>
  <c r="K19" i="25"/>
  <c r="J19" i="25"/>
  <c r="K84" i="25" l="1"/>
  <c r="O17" i="20" l="1"/>
  <c r="M17" i="20" s="1"/>
  <c r="E15" i="21"/>
  <c r="D15" i="21"/>
  <c r="Y97" i="10"/>
  <c r="X97" i="10"/>
  <c r="W97" i="10"/>
  <c r="V97" i="10"/>
  <c r="U97" i="10"/>
  <c r="T97" i="10"/>
  <c r="S97" i="10"/>
  <c r="R97" i="10"/>
  <c r="Q97" i="10"/>
  <c r="P97" i="10"/>
  <c r="O97" i="10"/>
  <c r="Y96" i="10"/>
  <c r="X96" i="10"/>
  <c r="W96" i="10"/>
  <c r="V96" i="10"/>
  <c r="U96" i="10"/>
  <c r="T96" i="10"/>
  <c r="S96" i="10"/>
  <c r="R96" i="10"/>
  <c r="Q96" i="10"/>
  <c r="P96" i="10"/>
  <c r="O96" i="10"/>
  <c r="Y95" i="10"/>
  <c r="X95" i="10"/>
  <c r="W95" i="10"/>
  <c r="V95" i="10"/>
  <c r="U95" i="10"/>
  <c r="T95" i="10"/>
  <c r="S95" i="10"/>
  <c r="R95" i="10"/>
  <c r="Q95" i="10"/>
  <c r="P95" i="10"/>
  <c r="O95" i="10"/>
  <c r="Y94" i="10"/>
  <c r="X94" i="10"/>
  <c r="W94" i="10"/>
  <c r="V94" i="10"/>
  <c r="U94" i="10"/>
  <c r="T94" i="10"/>
  <c r="S94" i="10"/>
  <c r="R94" i="10"/>
  <c r="Q94" i="10"/>
  <c r="P94" i="10"/>
  <c r="O94" i="10"/>
  <c r="Y93" i="10"/>
  <c r="X93" i="10"/>
  <c r="W93" i="10"/>
  <c r="V93" i="10"/>
  <c r="U93" i="10"/>
  <c r="T93" i="10"/>
  <c r="S93" i="10"/>
  <c r="R93" i="10"/>
  <c r="Q93" i="10"/>
  <c r="P93" i="10"/>
  <c r="O93" i="10"/>
  <c r="Y92" i="10"/>
  <c r="X92" i="10"/>
  <c r="W92" i="10"/>
  <c r="V92" i="10"/>
  <c r="U92" i="10"/>
  <c r="T92" i="10"/>
  <c r="S92" i="10"/>
  <c r="R92" i="10"/>
  <c r="Q92" i="10"/>
  <c r="P92" i="10"/>
  <c r="O92" i="10"/>
  <c r="Y91" i="10"/>
  <c r="X91" i="10"/>
  <c r="W91" i="10"/>
  <c r="V91" i="10"/>
  <c r="U91" i="10"/>
  <c r="T91" i="10"/>
  <c r="S91" i="10"/>
  <c r="R91" i="10"/>
  <c r="Q91" i="10"/>
  <c r="P91" i="10"/>
  <c r="O91" i="10"/>
  <c r="Y90" i="10"/>
  <c r="X90" i="10"/>
  <c r="W90" i="10"/>
  <c r="V90" i="10"/>
  <c r="U90" i="10"/>
  <c r="T90" i="10"/>
  <c r="S90" i="10"/>
  <c r="R90" i="10"/>
  <c r="Q90" i="10"/>
  <c r="P90" i="10"/>
  <c r="O90" i="10"/>
  <c r="Y89" i="10"/>
  <c r="X89" i="10"/>
  <c r="W89" i="10"/>
  <c r="V89" i="10"/>
  <c r="U89" i="10"/>
  <c r="T89" i="10"/>
  <c r="S89" i="10"/>
  <c r="R89" i="10"/>
  <c r="Q89" i="10"/>
  <c r="P89" i="10"/>
  <c r="O89" i="10"/>
  <c r="Y88" i="10"/>
  <c r="X88" i="10"/>
  <c r="W88" i="10"/>
  <c r="V88" i="10"/>
  <c r="U88" i="10"/>
  <c r="T88" i="10"/>
  <c r="S88" i="10"/>
  <c r="R88" i="10"/>
  <c r="Q88" i="10"/>
  <c r="P88" i="10"/>
  <c r="O88" i="10"/>
  <c r="Y87" i="10"/>
  <c r="X87" i="10"/>
  <c r="W87" i="10"/>
  <c r="V87" i="10"/>
  <c r="U87" i="10"/>
  <c r="T87" i="10"/>
  <c r="S87" i="10"/>
  <c r="R87" i="10"/>
  <c r="Q87" i="10"/>
  <c r="P87" i="10"/>
  <c r="O87" i="10"/>
  <c r="Y86" i="10"/>
  <c r="X86" i="10"/>
  <c r="W86" i="10"/>
  <c r="V86" i="10"/>
  <c r="U86" i="10"/>
  <c r="T86" i="10"/>
  <c r="S86" i="10"/>
  <c r="R86" i="10"/>
  <c r="Q86" i="10"/>
  <c r="P86" i="10"/>
  <c r="O86" i="10"/>
  <c r="Y85" i="10"/>
  <c r="X85" i="10"/>
  <c r="W85" i="10"/>
  <c r="V85" i="10"/>
  <c r="U85" i="10"/>
  <c r="T85" i="10"/>
  <c r="S85" i="10"/>
  <c r="R85" i="10"/>
  <c r="Q85" i="10"/>
  <c r="P85" i="10"/>
  <c r="O85" i="10"/>
  <c r="Y84" i="10"/>
  <c r="X84" i="10"/>
  <c r="W84" i="10"/>
  <c r="V84" i="10"/>
  <c r="U84" i="10"/>
  <c r="T84" i="10"/>
  <c r="S84" i="10"/>
  <c r="R84" i="10"/>
  <c r="Q84" i="10"/>
  <c r="P84" i="10"/>
  <c r="O84" i="10"/>
  <c r="Y83" i="10"/>
  <c r="X83" i="10"/>
  <c r="W83" i="10"/>
  <c r="V83" i="10"/>
  <c r="U83" i="10"/>
  <c r="T83" i="10"/>
  <c r="S83" i="10"/>
  <c r="R83" i="10"/>
  <c r="Q83" i="10"/>
  <c r="P83" i="10"/>
  <c r="O83" i="10"/>
  <c r="Y82" i="10"/>
  <c r="X82" i="10"/>
  <c r="W82" i="10"/>
  <c r="V82" i="10"/>
  <c r="U82" i="10"/>
  <c r="T82" i="10"/>
  <c r="S82" i="10"/>
  <c r="R82" i="10"/>
  <c r="Q82" i="10"/>
  <c r="P82" i="10"/>
  <c r="O82" i="10"/>
  <c r="Y81" i="10"/>
  <c r="X81" i="10"/>
  <c r="W81" i="10"/>
  <c r="V81" i="10"/>
  <c r="U81" i="10"/>
  <c r="T81" i="10"/>
  <c r="S81" i="10"/>
  <c r="R81" i="10"/>
  <c r="Q81" i="10"/>
  <c r="P81" i="10"/>
  <c r="O81" i="10"/>
  <c r="Y80" i="10"/>
  <c r="X80" i="10"/>
  <c r="W80" i="10"/>
  <c r="V80" i="10"/>
  <c r="U80" i="10"/>
  <c r="T80" i="10"/>
  <c r="S80" i="10"/>
  <c r="R80" i="10"/>
  <c r="Q80" i="10"/>
  <c r="P80" i="10"/>
  <c r="O80" i="10"/>
  <c r="Y79" i="10"/>
  <c r="X79" i="10"/>
  <c r="W79" i="10"/>
  <c r="V79" i="10"/>
  <c r="U79" i="10"/>
  <c r="T79" i="10"/>
  <c r="S79" i="10"/>
  <c r="R79" i="10"/>
  <c r="Q79" i="10"/>
  <c r="P79" i="10"/>
  <c r="O79" i="10"/>
  <c r="Y78" i="10"/>
  <c r="X78" i="10"/>
  <c r="W78" i="10"/>
  <c r="V78" i="10"/>
  <c r="U78" i="10"/>
  <c r="T78" i="10"/>
  <c r="S78" i="10"/>
  <c r="R78" i="10"/>
  <c r="Q78" i="10"/>
  <c r="P78" i="10"/>
  <c r="O78" i="10"/>
  <c r="Y77" i="10"/>
  <c r="X77" i="10"/>
  <c r="W77" i="10"/>
  <c r="V77" i="10"/>
  <c r="U77" i="10"/>
  <c r="T77" i="10"/>
  <c r="S77" i="10"/>
  <c r="R77" i="10"/>
  <c r="Q77" i="10"/>
  <c r="P77" i="10"/>
  <c r="O77" i="10"/>
  <c r="Y76" i="10"/>
  <c r="X76" i="10"/>
  <c r="W76" i="10"/>
  <c r="V76" i="10"/>
  <c r="U76" i="10"/>
  <c r="T76" i="10"/>
  <c r="S76" i="10"/>
  <c r="R76" i="10"/>
  <c r="Q76" i="10"/>
  <c r="P76" i="10"/>
  <c r="O76" i="10"/>
  <c r="Y75" i="10"/>
  <c r="X75" i="10"/>
  <c r="W75" i="10"/>
  <c r="V75" i="10"/>
  <c r="U75" i="10"/>
  <c r="T75" i="10"/>
  <c r="S75" i="10"/>
  <c r="R75" i="10"/>
  <c r="Q75" i="10"/>
  <c r="P75" i="10"/>
  <c r="O75" i="10"/>
  <c r="Y74" i="10"/>
  <c r="X74" i="10"/>
  <c r="W74" i="10"/>
  <c r="V74" i="10"/>
  <c r="U74" i="10"/>
  <c r="T74" i="10"/>
  <c r="S74" i="10"/>
  <c r="R74" i="10"/>
  <c r="Q74" i="10"/>
  <c r="P74" i="10"/>
  <c r="O74" i="10"/>
  <c r="Y73" i="10"/>
  <c r="X73" i="10"/>
  <c r="W73" i="10"/>
  <c r="V73" i="10"/>
  <c r="U73" i="10"/>
  <c r="T73" i="10"/>
  <c r="S73" i="10"/>
  <c r="R73" i="10"/>
  <c r="Q73" i="10"/>
  <c r="P73" i="10"/>
  <c r="O73" i="10"/>
  <c r="Y72" i="10"/>
  <c r="X72" i="10"/>
  <c r="W72" i="10"/>
  <c r="V72" i="10"/>
  <c r="U72" i="10"/>
  <c r="T72" i="10"/>
  <c r="S72" i="10"/>
  <c r="R72" i="10"/>
  <c r="Q72" i="10"/>
  <c r="P72" i="10"/>
  <c r="O72" i="10"/>
  <c r="Y71" i="10"/>
  <c r="X71" i="10"/>
  <c r="W71" i="10"/>
  <c r="V71" i="10"/>
  <c r="U71" i="10"/>
  <c r="T71" i="10"/>
  <c r="S71" i="10"/>
  <c r="R71" i="10"/>
  <c r="Q71" i="10"/>
  <c r="P71" i="10"/>
  <c r="O71" i="10"/>
  <c r="Y70" i="10"/>
  <c r="X70" i="10"/>
  <c r="W70" i="10"/>
  <c r="V70" i="10"/>
  <c r="U70" i="10"/>
  <c r="T70" i="10"/>
  <c r="S70" i="10"/>
  <c r="R70" i="10"/>
  <c r="Q70" i="10"/>
  <c r="P70" i="10"/>
  <c r="O70" i="10"/>
  <c r="Y69" i="10"/>
  <c r="X69" i="10"/>
  <c r="W69" i="10"/>
  <c r="V69" i="10"/>
  <c r="U69" i="10"/>
  <c r="T69" i="10"/>
  <c r="S69" i="10"/>
  <c r="R69" i="10"/>
  <c r="Q69" i="10"/>
  <c r="P69" i="10"/>
  <c r="O69" i="10"/>
  <c r="Y68" i="10"/>
  <c r="X68" i="10"/>
  <c r="W68" i="10"/>
  <c r="V68" i="10"/>
  <c r="U68" i="10"/>
  <c r="T68" i="10"/>
  <c r="S68" i="10"/>
  <c r="R68" i="10"/>
  <c r="Q68" i="10"/>
  <c r="P68" i="10"/>
  <c r="O68" i="10"/>
  <c r="Y67" i="10"/>
  <c r="X67" i="10"/>
  <c r="W67" i="10"/>
  <c r="V67" i="10"/>
  <c r="U67" i="10"/>
  <c r="T67" i="10"/>
  <c r="S67" i="10"/>
  <c r="R67" i="10"/>
  <c r="Q67" i="10"/>
  <c r="P67" i="10"/>
  <c r="O67" i="10"/>
  <c r="Y66" i="10"/>
  <c r="X66" i="10"/>
  <c r="W66" i="10"/>
  <c r="V66" i="10"/>
  <c r="U66" i="10"/>
  <c r="T66" i="10"/>
  <c r="S66" i="10"/>
  <c r="R66" i="10"/>
  <c r="Q66" i="10"/>
  <c r="P66" i="10"/>
  <c r="O66" i="10"/>
  <c r="Y65" i="10"/>
  <c r="X65" i="10"/>
  <c r="W65" i="10"/>
  <c r="V65" i="10"/>
  <c r="U65" i="10"/>
  <c r="T65" i="10"/>
  <c r="S65" i="10"/>
  <c r="R65" i="10"/>
  <c r="Q65" i="10"/>
  <c r="P65" i="10"/>
  <c r="O65" i="10"/>
  <c r="Y64" i="10"/>
  <c r="X64" i="10"/>
  <c r="W64" i="10"/>
  <c r="V64" i="10"/>
  <c r="U64" i="10"/>
  <c r="T64" i="10"/>
  <c r="S64" i="10"/>
  <c r="R64" i="10"/>
  <c r="Q64" i="10"/>
  <c r="P64" i="10"/>
  <c r="O64" i="10"/>
  <c r="Y63" i="10"/>
  <c r="X63" i="10"/>
  <c r="W63" i="10"/>
  <c r="V63" i="10"/>
  <c r="U63" i="10"/>
  <c r="T63" i="10"/>
  <c r="S63" i="10"/>
  <c r="R63" i="10"/>
  <c r="Q63" i="10"/>
  <c r="P63" i="10"/>
  <c r="O63" i="10"/>
  <c r="Y62" i="10"/>
  <c r="X62" i="10"/>
  <c r="W62" i="10"/>
  <c r="V62" i="10"/>
  <c r="U62" i="10"/>
  <c r="T62" i="10"/>
  <c r="S62" i="10"/>
  <c r="R62" i="10"/>
  <c r="Q62" i="10"/>
  <c r="P62" i="10"/>
  <c r="O62" i="10"/>
  <c r="Y61" i="10"/>
  <c r="X61" i="10"/>
  <c r="W61" i="10"/>
  <c r="V61" i="10"/>
  <c r="U61" i="10"/>
  <c r="T61" i="10"/>
  <c r="S61" i="10"/>
  <c r="R61" i="10"/>
  <c r="Q61" i="10"/>
  <c r="P61" i="10"/>
  <c r="O61" i="10"/>
  <c r="Y60" i="10"/>
  <c r="X60" i="10"/>
  <c r="W60" i="10"/>
  <c r="V60" i="10"/>
  <c r="U60" i="10"/>
  <c r="T60" i="10"/>
  <c r="S60" i="10"/>
  <c r="R60" i="10"/>
  <c r="Q60" i="10"/>
  <c r="P60" i="10"/>
  <c r="O60" i="10"/>
  <c r="Y59" i="10"/>
  <c r="X59" i="10"/>
  <c r="W59" i="10"/>
  <c r="V59" i="10"/>
  <c r="U59" i="10"/>
  <c r="T59" i="10"/>
  <c r="S59" i="10"/>
  <c r="R59" i="10"/>
  <c r="Q59" i="10"/>
  <c r="P59" i="10"/>
  <c r="O59" i="10"/>
  <c r="Y58" i="10"/>
  <c r="X58" i="10"/>
  <c r="W58" i="10"/>
  <c r="V58" i="10"/>
  <c r="U58" i="10"/>
  <c r="T58" i="10"/>
  <c r="S58" i="10"/>
  <c r="R58" i="10"/>
  <c r="Q58" i="10"/>
  <c r="P58" i="10"/>
  <c r="O58" i="10"/>
  <c r="Y57" i="10"/>
  <c r="X57" i="10"/>
  <c r="W57" i="10"/>
  <c r="V57" i="10"/>
  <c r="U57" i="10"/>
  <c r="T57" i="10"/>
  <c r="S57" i="10"/>
  <c r="R57" i="10"/>
  <c r="Q57" i="10"/>
  <c r="P57" i="10"/>
  <c r="O57" i="10"/>
  <c r="Y56" i="10"/>
  <c r="X56" i="10"/>
  <c r="W56" i="10"/>
  <c r="V56" i="10"/>
  <c r="U56" i="10"/>
  <c r="T56" i="10"/>
  <c r="S56" i="10"/>
  <c r="R56" i="10"/>
  <c r="Q56" i="10"/>
  <c r="P56" i="10"/>
  <c r="O56" i="10"/>
  <c r="Y55" i="10"/>
  <c r="X55" i="10"/>
  <c r="W55" i="10"/>
  <c r="V55" i="10"/>
  <c r="U55" i="10"/>
  <c r="T55" i="10"/>
  <c r="S55" i="10"/>
  <c r="R55" i="10"/>
  <c r="Q55" i="10"/>
  <c r="P55" i="10"/>
  <c r="O55" i="10"/>
  <c r="Y54" i="10"/>
  <c r="X54" i="10"/>
  <c r="W54" i="10"/>
  <c r="V54" i="10"/>
  <c r="U54" i="10"/>
  <c r="T54" i="10"/>
  <c r="S54" i="10"/>
  <c r="R54" i="10"/>
  <c r="Q54" i="10"/>
  <c r="P54" i="10"/>
  <c r="O54" i="10"/>
  <c r="Y53" i="10"/>
  <c r="X53" i="10"/>
  <c r="W53" i="10"/>
  <c r="V53" i="10"/>
  <c r="U53" i="10"/>
  <c r="T53" i="10"/>
  <c r="S53" i="10"/>
  <c r="R53" i="10"/>
  <c r="Q53" i="10"/>
  <c r="P53" i="10"/>
  <c r="O53" i="10"/>
  <c r="Y52" i="10"/>
  <c r="X52" i="10"/>
  <c r="W52" i="10"/>
  <c r="V52" i="10"/>
  <c r="U52" i="10"/>
  <c r="T52" i="10"/>
  <c r="S52" i="10"/>
  <c r="R52" i="10"/>
  <c r="Q52" i="10"/>
  <c r="P52" i="10"/>
  <c r="O52" i="10"/>
  <c r="Y51" i="10"/>
  <c r="X51" i="10"/>
  <c r="W51" i="10"/>
  <c r="V51" i="10"/>
  <c r="U51" i="10"/>
  <c r="T51" i="10"/>
  <c r="S51" i="10"/>
  <c r="R51" i="10"/>
  <c r="Q51" i="10"/>
  <c r="P51" i="10"/>
  <c r="O51" i="10"/>
  <c r="Y50" i="10"/>
  <c r="X50" i="10"/>
  <c r="W50" i="10"/>
  <c r="V50" i="10"/>
  <c r="U50" i="10"/>
  <c r="T50" i="10"/>
  <c r="S50" i="10"/>
  <c r="R50" i="10"/>
  <c r="Q50" i="10"/>
  <c r="P50" i="10"/>
  <c r="O50" i="10"/>
  <c r="Y49" i="10"/>
  <c r="X49" i="10"/>
  <c r="W49" i="10"/>
  <c r="V49" i="10"/>
  <c r="U49" i="10"/>
  <c r="T49" i="10"/>
  <c r="S49" i="10"/>
  <c r="R49" i="10"/>
  <c r="Q49" i="10"/>
  <c r="P49" i="10"/>
  <c r="O49" i="10"/>
  <c r="Y48" i="10"/>
  <c r="X48" i="10"/>
  <c r="W48" i="10"/>
  <c r="V48" i="10"/>
  <c r="U48" i="10"/>
  <c r="T48" i="10"/>
  <c r="S48" i="10"/>
  <c r="R48" i="10"/>
  <c r="Q48" i="10"/>
  <c r="P48" i="10"/>
  <c r="O48" i="10"/>
  <c r="Y47" i="10"/>
  <c r="X47" i="10"/>
  <c r="W47" i="10"/>
  <c r="V47" i="10"/>
  <c r="U47" i="10"/>
  <c r="T47" i="10"/>
  <c r="S47" i="10"/>
  <c r="R47" i="10"/>
  <c r="Q47" i="10"/>
  <c r="P47" i="10"/>
  <c r="O47" i="10"/>
  <c r="Y46" i="10"/>
  <c r="X46" i="10"/>
  <c r="W46" i="10"/>
  <c r="V46" i="10"/>
  <c r="U46" i="10"/>
  <c r="T46" i="10"/>
  <c r="S46" i="10"/>
  <c r="R46" i="10"/>
  <c r="Q46" i="10"/>
  <c r="P46" i="10"/>
  <c r="O46" i="10"/>
  <c r="Y45" i="10"/>
  <c r="X45" i="10"/>
  <c r="W45" i="10"/>
  <c r="V45" i="10"/>
  <c r="U45" i="10"/>
  <c r="T45" i="10"/>
  <c r="S45" i="10"/>
  <c r="R45" i="10"/>
  <c r="Q45" i="10"/>
  <c r="P45" i="10"/>
  <c r="O45" i="10"/>
  <c r="Y44" i="10"/>
  <c r="X44" i="10"/>
  <c r="W44" i="10"/>
  <c r="V44" i="10"/>
  <c r="U44" i="10"/>
  <c r="T44" i="10"/>
  <c r="S44" i="10"/>
  <c r="R44" i="10"/>
  <c r="Q44" i="10"/>
  <c r="P44" i="10"/>
  <c r="O44" i="10"/>
  <c r="Y43" i="10"/>
  <c r="X43" i="10"/>
  <c r="W43" i="10"/>
  <c r="V43" i="10"/>
  <c r="U43" i="10"/>
  <c r="T43" i="10"/>
  <c r="S43" i="10"/>
  <c r="R43" i="10"/>
  <c r="Q43" i="10"/>
  <c r="P43" i="10"/>
  <c r="O43" i="10"/>
  <c r="Y42" i="10"/>
  <c r="X42" i="10"/>
  <c r="W42" i="10"/>
  <c r="V42" i="10"/>
  <c r="U42" i="10"/>
  <c r="T42" i="10"/>
  <c r="S42" i="10"/>
  <c r="R42" i="10"/>
  <c r="Q42" i="10"/>
  <c r="P42" i="10"/>
  <c r="O42" i="10"/>
  <c r="Y41" i="10"/>
  <c r="X41" i="10"/>
  <c r="W41" i="10"/>
  <c r="V41" i="10"/>
  <c r="U41" i="10"/>
  <c r="T41" i="10"/>
  <c r="S41" i="10"/>
  <c r="R41" i="10"/>
  <c r="Q41" i="10"/>
  <c r="P41" i="10"/>
  <c r="O41" i="10"/>
  <c r="Y40" i="10"/>
  <c r="X40" i="10"/>
  <c r="W40" i="10"/>
  <c r="V40" i="10"/>
  <c r="U40" i="10"/>
  <c r="T40" i="10"/>
  <c r="S40" i="10"/>
  <c r="R40" i="10"/>
  <c r="Q40" i="10"/>
  <c r="P40" i="10"/>
  <c r="O40" i="10"/>
  <c r="Y39" i="10"/>
  <c r="X39" i="10"/>
  <c r="W39" i="10"/>
  <c r="V39" i="10"/>
  <c r="U39" i="10"/>
  <c r="T39" i="10"/>
  <c r="S39" i="10"/>
  <c r="R39" i="10"/>
  <c r="Q39" i="10"/>
  <c r="P39" i="10"/>
  <c r="O39" i="10"/>
  <c r="Y38" i="10"/>
  <c r="X38" i="10"/>
  <c r="W38" i="10"/>
  <c r="V38" i="10"/>
  <c r="U38" i="10"/>
  <c r="T38" i="10"/>
  <c r="S38" i="10"/>
  <c r="R38" i="10"/>
  <c r="Q38" i="10"/>
  <c r="P38" i="10"/>
  <c r="O38" i="10"/>
  <c r="Y37" i="10"/>
  <c r="X37" i="10"/>
  <c r="W37" i="10"/>
  <c r="V37" i="10"/>
  <c r="U37" i="10"/>
  <c r="T37" i="10"/>
  <c r="S37" i="10"/>
  <c r="R37" i="10"/>
  <c r="Q37" i="10"/>
  <c r="P37" i="10"/>
  <c r="O37" i="10"/>
  <c r="Y36" i="10"/>
  <c r="X36" i="10"/>
  <c r="W36" i="10"/>
  <c r="V36" i="10"/>
  <c r="U36" i="10"/>
  <c r="T36" i="10"/>
  <c r="S36" i="10"/>
  <c r="R36" i="10"/>
  <c r="Q36" i="10"/>
  <c r="P36" i="10"/>
  <c r="O36" i="10"/>
  <c r="Y35" i="10"/>
  <c r="X35" i="10"/>
  <c r="W35" i="10"/>
  <c r="V35" i="10"/>
  <c r="U35" i="10"/>
  <c r="T35" i="10"/>
  <c r="S35" i="10"/>
  <c r="R35" i="10"/>
  <c r="Q35" i="10"/>
  <c r="P35" i="10"/>
  <c r="O35" i="10"/>
  <c r="Y34" i="10"/>
  <c r="X34" i="10"/>
  <c r="W34" i="10"/>
  <c r="V34" i="10"/>
  <c r="U34" i="10"/>
  <c r="T34" i="10"/>
  <c r="S34" i="10"/>
  <c r="R34" i="10"/>
  <c r="Q34" i="10"/>
  <c r="P34" i="10"/>
  <c r="O34" i="10"/>
  <c r="Y33" i="10"/>
  <c r="X33" i="10"/>
  <c r="W33" i="10"/>
  <c r="V33" i="10"/>
  <c r="U33" i="10"/>
  <c r="T33" i="10"/>
  <c r="S33" i="10"/>
  <c r="R33" i="10"/>
  <c r="Q33" i="10"/>
  <c r="P33" i="10"/>
  <c r="O33" i="10"/>
  <c r="Y32" i="10"/>
  <c r="X32" i="10"/>
  <c r="W32" i="10"/>
  <c r="V32" i="10"/>
  <c r="U32" i="10"/>
  <c r="T32" i="10"/>
  <c r="S32" i="10"/>
  <c r="R32" i="10"/>
  <c r="Q32" i="10"/>
  <c r="P32" i="10"/>
  <c r="O32" i="10"/>
  <c r="Y31" i="10"/>
  <c r="X31" i="10"/>
  <c r="W31" i="10"/>
  <c r="V31" i="10"/>
  <c r="U31" i="10"/>
  <c r="T31" i="10"/>
  <c r="S31" i="10"/>
  <c r="R31" i="10"/>
  <c r="Q31" i="10"/>
  <c r="P31" i="10"/>
  <c r="O31" i="10"/>
  <c r="Y30" i="10"/>
  <c r="X30" i="10"/>
  <c r="W30" i="10"/>
  <c r="V30" i="10"/>
  <c r="U30" i="10"/>
  <c r="T30" i="10"/>
  <c r="S30" i="10"/>
  <c r="R30" i="10"/>
  <c r="Q30" i="10"/>
  <c r="P30" i="10"/>
  <c r="O30" i="10"/>
  <c r="Y29" i="10"/>
  <c r="X29" i="10"/>
  <c r="W29" i="10"/>
  <c r="V29" i="10"/>
  <c r="U29" i="10"/>
  <c r="T29" i="10"/>
  <c r="S29" i="10"/>
  <c r="R29" i="10"/>
  <c r="Q29" i="10"/>
  <c r="P29" i="10"/>
  <c r="O29" i="10"/>
  <c r="Y28" i="10"/>
  <c r="X28" i="10"/>
  <c r="W28" i="10"/>
  <c r="V28" i="10"/>
  <c r="U28" i="10"/>
  <c r="T28" i="10"/>
  <c r="S28" i="10"/>
  <c r="R28" i="10"/>
  <c r="Q28" i="10"/>
  <c r="P28" i="10"/>
  <c r="O28" i="10"/>
  <c r="Y27" i="10"/>
  <c r="X27" i="10"/>
  <c r="W27" i="10"/>
  <c r="V27" i="10"/>
  <c r="U27" i="10"/>
  <c r="T27" i="10"/>
  <c r="S27" i="10"/>
  <c r="R27" i="10"/>
  <c r="Q27" i="10"/>
  <c r="P27" i="10"/>
  <c r="O27" i="10"/>
  <c r="Y26" i="10"/>
  <c r="X26" i="10"/>
  <c r="W26" i="10"/>
  <c r="V26" i="10"/>
  <c r="U26" i="10"/>
  <c r="T26" i="10"/>
  <c r="S26" i="10"/>
  <c r="R26" i="10"/>
  <c r="Q26" i="10"/>
  <c r="P26" i="10"/>
  <c r="O26" i="10"/>
  <c r="Y25" i="10"/>
  <c r="X25" i="10"/>
  <c r="W25" i="10"/>
  <c r="V25" i="10"/>
  <c r="U25" i="10"/>
  <c r="T25" i="10"/>
  <c r="S25" i="10"/>
  <c r="R25" i="10"/>
  <c r="Q25" i="10"/>
  <c r="P25" i="10"/>
  <c r="O25" i="10"/>
  <c r="Y24" i="10"/>
  <c r="X24" i="10"/>
  <c r="W24" i="10"/>
  <c r="V24" i="10"/>
  <c r="U24" i="10"/>
  <c r="T24" i="10"/>
  <c r="S24" i="10"/>
  <c r="R24" i="10"/>
  <c r="Q24" i="10"/>
  <c r="P24" i="10"/>
  <c r="O24" i="10"/>
  <c r="Y23" i="10"/>
  <c r="X23" i="10"/>
  <c r="W23" i="10"/>
  <c r="V23" i="10"/>
  <c r="U23" i="10"/>
  <c r="T23" i="10"/>
  <c r="S23" i="10"/>
  <c r="R23" i="10"/>
  <c r="Q23" i="10"/>
  <c r="P23" i="10"/>
  <c r="O23" i="10"/>
  <c r="Y22" i="10"/>
  <c r="X22" i="10"/>
  <c r="W22" i="10"/>
  <c r="V22" i="10"/>
  <c r="U22" i="10"/>
  <c r="T22" i="10"/>
  <c r="S22" i="10"/>
  <c r="R22" i="10"/>
  <c r="Q22" i="10"/>
  <c r="P22" i="10"/>
  <c r="O22" i="10"/>
  <c r="Y21" i="10"/>
  <c r="X21" i="10"/>
  <c r="W21" i="10"/>
  <c r="V21" i="10"/>
  <c r="U21" i="10"/>
  <c r="T21" i="10"/>
  <c r="S21" i="10"/>
  <c r="R21" i="10"/>
  <c r="Q21" i="10"/>
  <c r="P21" i="10"/>
  <c r="O21" i="10"/>
  <c r="Y20" i="10"/>
  <c r="X20" i="10"/>
  <c r="W20" i="10"/>
  <c r="V20" i="10"/>
  <c r="U20" i="10"/>
  <c r="T20" i="10"/>
  <c r="S20" i="10"/>
  <c r="R20" i="10"/>
  <c r="Q20" i="10"/>
  <c r="P20" i="10"/>
  <c r="O20" i="10"/>
  <c r="Y19" i="10"/>
  <c r="X19" i="10"/>
  <c r="W19" i="10"/>
  <c r="V19" i="10"/>
  <c r="U19" i="10"/>
  <c r="T19" i="10"/>
  <c r="S19" i="10"/>
  <c r="R19" i="10"/>
  <c r="Q19" i="10"/>
  <c r="P19" i="10"/>
  <c r="O19" i="10"/>
  <c r="Y18" i="10"/>
  <c r="X18" i="10"/>
  <c r="W18" i="10"/>
  <c r="V18" i="10"/>
  <c r="U18" i="10"/>
  <c r="T18" i="10"/>
  <c r="S18" i="10"/>
  <c r="R18" i="10"/>
  <c r="Q18" i="10"/>
  <c r="P18" i="10"/>
  <c r="O18" i="10"/>
  <c r="Y17" i="10"/>
  <c r="X17" i="10"/>
  <c r="W17" i="10"/>
  <c r="V17" i="10"/>
  <c r="U17" i="10"/>
  <c r="T17" i="10"/>
  <c r="S17" i="10"/>
  <c r="R17" i="10"/>
  <c r="Q17" i="10"/>
  <c r="P17" i="10"/>
  <c r="O17" i="10"/>
  <c r="Y16" i="10"/>
  <c r="X16" i="10"/>
  <c r="W16" i="10"/>
  <c r="V16" i="10"/>
  <c r="U16" i="10"/>
  <c r="T16" i="10"/>
  <c r="S16" i="10"/>
  <c r="R16" i="10"/>
  <c r="Q16" i="10"/>
  <c r="P16" i="10"/>
  <c r="O16" i="10"/>
  <c r="Y15" i="10"/>
  <c r="X15" i="10"/>
  <c r="W15" i="10"/>
  <c r="V15" i="10"/>
  <c r="U15" i="10"/>
  <c r="T15" i="10"/>
  <c r="S15" i="10"/>
  <c r="R15" i="10"/>
  <c r="Q15" i="10"/>
  <c r="P15" i="10"/>
  <c r="O15" i="10"/>
  <c r="Y14" i="10"/>
  <c r="X14" i="10"/>
  <c r="W14" i="10"/>
  <c r="V14" i="10"/>
  <c r="U14" i="10"/>
  <c r="T14" i="10"/>
  <c r="S14" i="10"/>
  <c r="R14" i="10"/>
  <c r="Q14" i="10"/>
  <c r="P14" i="10"/>
  <c r="O14" i="10"/>
  <c r="Y13" i="10"/>
  <c r="X13" i="10"/>
  <c r="W13" i="10"/>
  <c r="V13" i="10"/>
  <c r="U13" i="10"/>
  <c r="T13" i="10"/>
  <c r="S13" i="10"/>
  <c r="R13" i="10"/>
  <c r="Q13" i="10"/>
  <c r="P13" i="10"/>
  <c r="O13" i="10"/>
  <c r="Y12" i="10"/>
  <c r="X12" i="10"/>
  <c r="W12" i="10"/>
  <c r="V12" i="10"/>
  <c r="U12" i="10"/>
  <c r="T12" i="10"/>
  <c r="S12" i="10"/>
  <c r="R12" i="10"/>
  <c r="Q12" i="10"/>
  <c r="P12" i="10"/>
  <c r="O12" i="10"/>
  <c r="Y11" i="10"/>
  <c r="X11" i="10"/>
  <c r="W11" i="10"/>
  <c r="V11" i="10"/>
  <c r="U11" i="10"/>
  <c r="T11" i="10"/>
  <c r="S11" i="10"/>
  <c r="R11" i="10"/>
  <c r="Q11" i="10"/>
  <c r="P11" i="10"/>
  <c r="O11" i="10"/>
  <c r="Y10" i="10"/>
  <c r="X10" i="10"/>
  <c r="W10" i="10"/>
  <c r="V10" i="10"/>
  <c r="U10" i="10"/>
  <c r="T10" i="10"/>
  <c r="S10" i="10"/>
  <c r="R10" i="10"/>
  <c r="Q10" i="10"/>
  <c r="P10" i="10"/>
  <c r="O10" i="10"/>
  <c r="Y9" i="10"/>
  <c r="X9" i="10"/>
  <c r="W9" i="10"/>
  <c r="V9" i="10"/>
  <c r="U9" i="10"/>
  <c r="T9" i="10"/>
  <c r="S9" i="10"/>
  <c r="R9" i="10"/>
  <c r="Q9" i="10"/>
  <c r="P9" i="10"/>
  <c r="O9" i="10"/>
  <c r="Y8" i="10"/>
  <c r="X8" i="10"/>
  <c r="W8" i="10"/>
  <c r="V8" i="10"/>
  <c r="U8" i="10"/>
  <c r="T8" i="10"/>
  <c r="S8" i="10"/>
  <c r="R8" i="10"/>
  <c r="Q8" i="10"/>
  <c r="P8" i="10"/>
  <c r="O8" i="10"/>
  <c r="Y7" i="10"/>
  <c r="X7" i="10"/>
  <c r="W7" i="10"/>
  <c r="V7" i="10"/>
  <c r="U7" i="10"/>
  <c r="T7" i="10"/>
  <c r="S7" i="10"/>
  <c r="R7" i="10"/>
  <c r="Q7" i="10"/>
  <c r="P7" i="10"/>
  <c r="O7" i="10"/>
  <c r="Y6" i="10"/>
  <c r="X6" i="10"/>
  <c r="W6" i="10"/>
  <c r="V6" i="10"/>
  <c r="U6" i="10"/>
  <c r="T6" i="10"/>
  <c r="S6" i="10"/>
  <c r="R6" i="10"/>
  <c r="Q6" i="10"/>
  <c r="P6" i="10"/>
  <c r="O6" i="10"/>
  <c r="Y5" i="10"/>
  <c r="X5" i="10"/>
  <c r="W5" i="10"/>
  <c r="V5" i="10"/>
  <c r="U5" i="10"/>
  <c r="T5" i="10"/>
  <c r="S5" i="10"/>
  <c r="R5" i="10"/>
  <c r="Q5" i="10"/>
  <c r="P5" i="10"/>
  <c r="O5" i="10"/>
  <c r="Y4" i="10"/>
  <c r="X4" i="10"/>
  <c r="W4" i="10"/>
  <c r="V4" i="10"/>
  <c r="U4" i="10"/>
  <c r="T4" i="10"/>
  <c r="S4" i="10"/>
  <c r="R4" i="10"/>
  <c r="Q4" i="10"/>
  <c r="P4" i="10"/>
  <c r="O4" i="10"/>
  <c r="Y3" i="10"/>
  <c r="X3" i="10"/>
  <c r="W3" i="10"/>
  <c r="V3" i="10"/>
  <c r="U3" i="10"/>
  <c r="T3" i="10"/>
  <c r="S3" i="10"/>
  <c r="R3" i="10"/>
  <c r="Q3" i="10"/>
  <c r="P3" i="10"/>
  <c r="O3" i="10"/>
  <c r="Y2" i="10"/>
  <c r="X2" i="10"/>
  <c r="W2" i="10"/>
  <c r="V2" i="10"/>
  <c r="U2" i="10"/>
  <c r="T2" i="10"/>
  <c r="S2" i="10"/>
  <c r="R2" i="10"/>
  <c r="Q2" i="10"/>
  <c r="P2" i="10"/>
  <c r="O2" i="10"/>
  <c r="S97" i="8"/>
  <c r="R97" i="8"/>
  <c r="Q97" i="8"/>
  <c r="P97" i="8"/>
  <c r="O97" i="8"/>
  <c r="N97" i="8"/>
  <c r="M97" i="8"/>
  <c r="L97" i="8"/>
  <c r="S96" i="8"/>
  <c r="R96" i="8"/>
  <c r="Q96" i="8"/>
  <c r="P96" i="8"/>
  <c r="O96" i="8"/>
  <c r="N96" i="8"/>
  <c r="M96" i="8"/>
  <c r="L96" i="8"/>
  <c r="S95" i="8"/>
  <c r="R95" i="8"/>
  <c r="Q95" i="8"/>
  <c r="P95" i="8"/>
  <c r="O95" i="8"/>
  <c r="N95" i="8"/>
  <c r="M95" i="8"/>
  <c r="L95" i="8"/>
  <c r="S94" i="8"/>
  <c r="R94" i="8"/>
  <c r="Q94" i="8"/>
  <c r="P94" i="8"/>
  <c r="O94" i="8"/>
  <c r="N94" i="8"/>
  <c r="M94" i="8"/>
  <c r="L94" i="8"/>
  <c r="S93" i="8"/>
  <c r="R93" i="8"/>
  <c r="Q93" i="8"/>
  <c r="P93" i="8"/>
  <c r="O93" i="8"/>
  <c r="N93" i="8"/>
  <c r="M93" i="8"/>
  <c r="L93" i="8"/>
  <c r="S92" i="8"/>
  <c r="R92" i="8"/>
  <c r="Q92" i="8"/>
  <c r="P92" i="8"/>
  <c r="O92" i="8"/>
  <c r="N92" i="8"/>
  <c r="M92" i="8"/>
  <c r="L92" i="8"/>
  <c r="S91" i="8"/>
  <c r="R91" i="8"/>
  <c r="Q91" i="8"/>
  <c r="P91" i="8"/>
  <c r="O91" i="8"/>
  <c r="N91" i="8"/>
  <c r="M91" i="8"/>
  <c r="L91" i="8"/>
  <c r="S90" i="8"/>
  <c r="R90" i="8"/>
  <c r="Q90" i="8"/>
  <c r="P90" i="8"/>
  <c r="O90" i="8"/>
  <c r="N90" i="8"/>
  <c r="M90" i="8"/>
  <c r="L90" i="8"/>
  <c r="S89" i="8"/>
  <c r="R89" i="8"/>
  <c r="Q89" i="8"/>
  <c r="P89" i="8"/>
  <c r="O89" i="8"/>
  <c r="N89" i="8"/>
  <c r="M89" i="8"/>
  <c r="L89" i="8"/>
  <c r="S88" i="8"/>
  <c r="R88" i="8"/>
  <c r="Q88" i="8"/>
  <c r="P88" i="8"/>
  <c r="O88" i="8"/>
  <c r="N88" i="8"/>
  <c r="M88" i="8"/>
  <c r="L88" i="8"/>
  <c r="S87" i="8"/>
  <c r="R87" i="8"/>
  <c r="Q87" i="8"/>
  <c r="P87" i="8"/>
  <c r="O87" i="8"/>
  <c r="N87" i="8"/>
  <c r="M87" i="8"/>
  <c r="L87" i="8"/>
  <c r="S86" i="8"/>
  <c r="R86" i="8"/>
  <c r="Q86" i="8"/>
  <c r="P86" i="8"/>
  <c r="O86" i="8"/>
  <c r="N86" i="8"/>
  <c r="M86" i="8"/>
  <c r="L86" i="8"/>
  <c r="S85" i="8"/>
  <c r="R85" i="8"/>
  <c r="Q85" i="8"/>
  <c r="P85" i="8"/>
  <c r="O85" i="8"/>
  <c r="N85" i="8"/>
  <c r="M85" i="8"/>
  <c r="L85" i="8"/>
  <c r="S84" i="8"/>
  <c r="R84" i="8"/>
  <c r="Q84" i="8"/>
  <c r="P84" i="8"/>
  <c r="O84" i="8"/>
  <c r="N84" i="8"/>
  <c r="M84" i="8"/>
  <c r="L84" i="8"/>
  <c r="S83" i="8"/>
  <c r="R83" i="8"/>
  <c r="Q83" i="8"/>
  <c r="P83" i="8"/>
  <c r="O83" i="8"/>
  <c r="N83" i="8"/>
  <c r="M83" i="8"/>
  <c r="L83" i="8"/>
  <c r="S82" i="8"/>
  <c r="R82" i="8"/>
  <c r="Q82" i="8"/>
  <c r="P82" i="8"/>
  <c r="O82" i="8"/>
  <c r="N82" i="8"/>
  <c r="M82" i="8"/>
  <c r="L82" i="8"/>
  <c r="S81" i="8"/>
  <c r="R81" i="8"/>
  <c r="Q81" i="8"/>
  <c r="P81" i="8"/>
  <c r="O81" i="8"/>
  <c r="N81" i="8"/>
  <c r="M81" i="8"/>
  <c r="L81" i="8"/>
  <c r="S80" i="8"/>
  <c r="R80" i="8"/>
  <c r="Q80" i="8"/>
  <c r="P80" i="8"/>
  <c r="O80" i="8"/>
  <c r="N80" i="8"/>
  <c r="M80" i="8"/>
  <c r="L80" i="8"/>
  <c r="S79" i="8"/>
  <c r="R79" i="8"/>
  <c r="Q79" i="8"/>
  <c r="P79" i="8"/>
  <c r="O79" i="8"/>
  <c r="N79" i="8"/>
  <c r="M79" i="8"/>
  <c r="L79" i="8"/>
  <c r="S78" i="8"/>
  <c r="R78" i="8"/>
  <c r="Q78" i="8"/>
  <c r="P78" i="8"/>
  <c r="O78" i="8"/>
  <c r="N78" i="8"/>
  <c r="M78" i="8"/>
  <c r="L78" i="8"/>
  <c r="S77" i="8"/>
  <c r="R77" i="8"/>
  <c r="Q77" i="8"/>
  <c r="P77" i="8"/>
  <c r="O77" i="8"/>
  <c r="N77" i="8"/>
  <c r="M77" i="8"/>
  <c r="L77" i="8"/>
  <c r="S76" i="8"/>
  <c r="R76" i="8"/>
  <c r="Q76" i="8"/>
  <c r="P76" i="8"/>
  <c r="O76" i="8"/>
  <c r="N76" i="8"/>
  <c r="M76" i="8"/>
  <c r="L76" i="8"/>
  <c r="S75" i="8"/>
  <c r="R75" i="8"/>
  <c r="Q75" i="8"/>
  <c r="P75" i="8"/>
  <c r="O75" i="8"/>
  <c r="N75" i="8"/>
  <c r="M75" i="8"/>
  <c r="L75" i="8"/>
  <c r="S74" i="8"/>
  <c r="R74" i="8"/>
  <c r="Q74" i="8"/>
  <c r="P74" i="8"/>
  <c r="O74" i="8"/>
  <c r="N74" i="8"/>
  <c r="M74" i="8"/>
  <c r="L74" i="8"/>
  <c r="S73" i="8"/>
  <c r="R73" i="8"/>
  <c r="Q73" i="8"/>
  <c r="P73" i="8"/>
  <c r="O73" i="8"/>
  <c r="N73" i="8"/>
  <c r="M73" i="8"/>
  <c r="L73" i="8"/>
  <c r="S72" i="8"/>
  <c r="R72" i="8"/>
  <c r="Q72" i="8"/>
  <c r="P72" i="8"/>
  <c r="O72" i="8"/>
  <c r="N72" i="8"/>
  <c r="M72" i="8"/>
  <c r="L72" i="8"/>
  <c r="S71" i="8"/>
  <c r="R71" i="8"/>
  <c r="Q71" i="8"/>
  <c r="P71" i="8"/>
  <c r="O71" i="8"/>
  <c r="N71" i="8"/>
  <c r="M71" i="8"/>
  <c r="L71" i="8"/>
  <c r="S70" i="8"/>
  <c r="R70" i="8"/>
  <c r="Q70" i="8"/>
  <c r="P70" i="8"/>
  <c r="O70" i="8"/>
  <c r="N70" i="8"/>
  <c r="M70" i="8"/>
  <c r="L70" i="8"/>
  <c r="S69" i="8"/>
  <c r="R69" i="8"/>
  <c r="Q69" i="8"/>
  <c r="P69" i="8"/>
  <c r="O69" i="8"/>
  <c r="N69" i="8"/>
  <c r="M69" i="8"/>
  <c r="L69" i="8"/>
  <c r="S68" i="8"/>
  <c r="R68" i="8"/>
  <c r="Q68" i="8"/>
  <c r="P68" i="8"/>
  <c r="O68" i="8"/>
  <c r="N68" i="8"/>
  <c r="M68" i="8"/>
  <c r="L68" i="8"/>
  <c r="S67" i="8"/>
  <c r="R67" i="8"/>
  <c r="Q67" i="8"/>
  <c r="P67" i="8"/>
  <c r="O67" i="8"/>
  <c r="N67" i="8"/>
  <c r="M67" i="8"/>
  <c r="L67" i="8"/>
  <c r="S66" i="8"/>
  <c r="R66" i="8"/>
  <c r="Q66" i="8"/>
  <c r="P66" i="8"/>
  <c r="O66" i="8"/>
  <c r="N66" i="8"/>
  <c r="M66" i="8"/>
  <c r="L66" i="8"/>
  <c r="S65" i="8"/>
  <c r="R65" i="8"/>
  <c r="Q65" i="8"/>
  <c r="P65" i="8"/>
  <c r="O65" i="8"/>
  <c r="N65" i="8"/>
  <c r="M65" i="8"/>
  <c r="L65" i="8"/>
  <c r="S64" i="8"/>
  <c r="R64" i="8"/>
  <c r="Q64" i="8"/>
  <c r="P64" i="8"/>
  <c r="O64" i="8"/>
  <c r="N64" i="8"/>
  <c r="M64" i="8"/>
  <c r="L64" i="8"/>
  <c r="S63" i="8"/>
  <c r="R63" i="8"/>
  <c r="Q63" i="8"/>
  <c r="P63" i="8"/>
  <c r="O63" i="8"/>
  <c r="N63" i="8"/>
  <c r="M63" i="8"/>
  <c r="L63" i="8"/>
  <c r="S62" i="8"/>
  <c r="R62" i="8"/>
  <c r="Q62" i="8"/>
  <c r="P62" i="8"/>
  <c r="O62" i="8"/>
  <c r="N62" i="8"/>
  <c r="M62" i="8"/>
  <c r="L62" i="8"/>
  <c r="S61" i="8"/>
  <c r="R61" i="8"/>
  <c r="Q61" i="8"/>
  <c r="P61" i="8"/>
  <c r="O61" i="8"/>
  <c r="N61" i="8"/>
  <c r="M61" i="8"/>
  <c r="L61" i="8"/>
  <c r="S60" i="8"/>
  <c r="R60" i="8"/>
  <c r="Q60" i="8"/>
  <c r="P60" i="8"/>
  <c r="O60" i="8"/>
  <c r="N60" i="8"/>
  <c r="M60" i="8"/>
  <c r="L60" i="8"/>
  <c r="S59" i="8"/>
  <c r="R59" i="8"/>
  <c r="Q59" i="8"/>
  <c r="P59" i="8"/>
  <c r="O59" i="8"/>
  <c r="N59" i="8"/>
  <c r="M59" i="8"/>
  <c r="L59" i="8"/>
  <c r="S58" i="8"/>
  <c r="R58" i="8"/>
  <c r="Q58" i="8"/>
  <c r="P58" i="8"/>
  <c r="O58" i="8"/>
  <c r="N58" i="8"/>
  <c r="M58" i="8"/>
  <c r="L58" i="8"/>
  <c r="S57" i="8"/>
  <c r="R57" i="8"/>
  <c r="Q57" i="8"/>
  <c r="P57" i="8"/>
  <c r="O57" i="8"/>
  <c r="N57" i="8"/>
  <c r="M57" i="8"/>
  <c r="L57" i="8"/>
  <c r="S56" i="8"/>
  <c r="R56" i="8"/>
  <c r="Q56" i="8"/>
  <c r="P56" i="8"/>
  <c r="O56" i="8"/>
  <c r="N56" i="8"/>
  <c r="M56" i="8"/>
  <c r="L56" i="8"/>
  <c r="S55" i="8"/>
  <c r="R55" i="8"/>
  <c r="Q55" i="8"/>
  <c r="P55" i="8"/>
  <c r="O55" i="8"/>
  <c r="N55" i="8"/>
  <c r="M55" i="8"/>
  <c r="L55" i="8"/>
  <c r="S54" i="8"/>
  <c r="R54" i="8"/>
  <c r="Q54" i="8"/>
  <c r="P54" i="8"/>
  <c r="O54" i="8"/>
  <c r="N54" i="8"/>
  <c r="M54" i="8"/>
  <c r="L54" i="8"/>
  <c r="S53" i="8"/>
  <c r="R53" i="8"/>
  <c r="Q53" i="8"/>
  <c r="P53" i="8"/>
  <c r="O53" i="8"/>
  <c r="N53" i="8"/>
  <c r="M53" i="8"/>
  <c r="L53" i="8"/>
  <c r="S52" i="8"/>
  <c r="R52" i="8"/>
  <c r="Q52" i="8"/>
  <c r="P52" i="8"/>
  <c r="O52" i="8"/>
  <c r="N52" i="8"/>
  <c r="M52" i="8"/>
  <c r="L52" i="8"/>
  <c r="S51" i="8"/>
  <c r="R51" i="8"/>
  <c r="Q51" i="8"/>
  <c r="P51" i="8"/>
  <c r="O51" i="8"/>
  <c r="N51" i="8"/>
  <c r="M51" i="8"/>
  <c r="L51" i="8"/>
  <c r="S50" i="8"/>
  <c r="R50" i="8"/>
  <c r="Q50" i="8"/>
  <c r="P50" i="8"/>
  <c r="O50" i="8"/>
  <c r="N50" i="8"/>
  <c r="M50" i="8"/>
  <c r="L50" i="8"/>
  <c r="S49" i="8"/>
  <c r="R49" i="8"/>
  <c r="Q49" i="8"/>
  <c r="P49" i="8"/>
  <c r="O49" i="8"/>
  <c r="N49" i="8"/>
  <c r="M49" i="8"/>
  <c r="L49" i="8"/>
  <c r="S48" i="8"/>
  <c r="R48" i="8"/>
  <c r="Q48" i="8"/>
  <c r="P48" i="8"/>
  <c r="O48" i="8"/>
  <c r="N48" i="8"/>
  <c r="M48" i="8"/>
  <c r="L48" i="8"/>
  <c r="S47" i="8"/>
  <c r="R47" i="8"/>
  <c r="Q47" i="8"/>
  <c r="P47" i="8"/>
  <c r="O47" i="8"/>
  <c r="N47" i="8"/>
  <c r="M47" i="8"/>
  <c r="L47" i="8"/>
  <c r="S46" i="8"/>
  <c r="R46" i="8"/>
  <c r="Q46" i="8"/>
  <c r="P46" i="8"/>
  <c r="O46" i="8"/>
  <c r="N46" i="8"/>
  <c r="M46" i="8"/>
  <c r="L46" i="8"/>
  <c r="S45" i="8"/>
  <c r="R45" i="8"/>
  <c r="Q45" i="8"/>
  <c r="P45" i="8"/>
  <c r="O45" i="8"/>
  <c r="N45" i="8"/>
  <c r="M45" i="8"/>
  <c r="L45" i="8"/>
  <c r="S44" i="8"/>
  <c r="R44" i="8"/>
  <c r="Q44" i="8"/>
  <c r="P44" i="8"/>
  <c r="O44" i="8"/>
  <c r="N44" i="8"/>
  <c r="M44" i="8"/>
  <c r="L44" i="8"/>
  <c r="S43" i="8"/>
  <c r="R43" i="8"/>
  <c r="Q43" i="8"/>
  <c r="P43" i="8"/>
  <c r="O43" i="8"/>
  <c r="N43" i="8"/>
  <c r="M43" i="8"/>
  <c r="L43" i="8"/>
  <c r="S42" i="8"/>
  <c r="R42" i="8"/>
  <c r="Q42" i="8"/>
  <c r="P42" i="8"/>
  <c r="O42" i="8"/>
  <c r="N42" i="8"/>
  <c r="M42" i="8"/>
  <c r="L42" i="8"/>
  <c r="S41" i="8"/>
  <c r="R41" i="8"/>
  <c r="Q41" i="8"/>
  <c r="P41" i="8"/>
  <c r="O41" i="8"/>
  <c r="N41" i="8"/>
  <c r="M41" i="8"/>
  <c r="L41" i="8"/>
  <c r="S40" i="8"/>
  <c r="R40" i="8"/>
  <c r="Q40" i="8"/>
  <c r="P40" i="8"/>
  <c r="O40" i="8"/>
  <c r="N40" i="8"/>
  <c r="M40" i="8"/>
  <c r="L40" i="8"/>
  <c r="S39" i="8"/>
  <c r="R39" i="8"/>
  <c r="Q39" i="8"/>
  <c r="P39" i="8"/>
  <c r="O39" i="8"/>
  <c r="N39" i="8"/>
  <c r="M39" i="8"/>
  <c r="L39" i="8"/>
  <c r="S38" i="8"/>
  <c r="R38" i="8"/>
  <c r="Q38" i="8"/>
  <c r="P38" i="8"/>
  <c r="O38" i="8"/>
  <c r="N38" i="8"/>
  <c r="M38" i="8"/>
  <c r="L38" i="8"/>
  <c r="S37" i="8"/>
  <c r="R37" i="8"/>
  <c r="Q37" i="8"/>
  <c r="P37" i="8"/>
  <c r="O37" i="8"/>
  <c r="N37" i="8"/>
  <c r="M37" i="8"/>
  <c r="L37" i="8"/>
  <c r="S36" i="8"/>
  <c r="R36" i="8"/>
  <c r="Q36" i="8"/>
  <c r="P36" i="8"/>
  <c r="O36" i="8"/>
  <c r="N36" i="8"/>
  <c r="M36" i="8"/>
  <c r="L36" i="8"/>
  <c r="S35" i="8"/>
  <c r="R35" i="8"/>
  <c r="Q35" i="8"/>
  <c r="P35" i="8"/>
  <c r="O35" i="8"/>
  <c r="N35" i="8"/>
  <c r="M35" i="8"/>
  <c r="L35" i="8"/>
  <c r="S34" i="8"/>
  <c r="R34" i="8"/>
  <c r="Q34" i="8"/>
  <c r="P34" i="8"/>
  <c r="O34" i="8"/>
  <c r="N34" i="8"/>
  <c r="M34" i="8"/>
  <c r="L34" i="8"/>
  <c r="S33" i="8"/>
  <c r="R33" i="8"/>
  <c r="Q33" i="8"/>
  <c r="P33" i="8"/>
  <c r="O33" i="8"/>
  <c r="N33" i="8"/>
  <c r="M33" i="8"/>
  <c r="L33" i="8"/>
  <c r="S32" i="8"/>
  <c r="R32" i="8"/>
  <c r="Q32" i="8"/>
  <c r="P32" i="8"/>
  <c r="O32" i="8"/>
  <c r="N32" i="8"/>
  <c r="M32" i="8"/>
  <c r="L32" i="8"/>
  <c r="S31" i="8"/>
  <c r="R31" i="8"/>
  <c r="Q31" i="8"/>
  <c r="P31" i="8"/>
  <c r="O31" i="8"/>
  <c r="N31" i="8"/>
  <c r="M31" i="8"/>
  <c r="L31" i="8"/>
  <c r="S30" i="8"/>
  <c r="R30" i="8"/>
  <c r="Q30" i="8"/>
  <c r="P30" i="8"/>
  <c r="O30" i="8"/>
  <c r="N30" i="8"/>
  <c r="M30" i="8"/>
  <c r="L30" i="8"/>
  <c r="S29" i="8"/>
  <c r="R29" i="8"/>
  <c r="Q29" i="8"/>
  <c r="P29" i="8"/>
  <c r="O29" i="8"/>
  <c r="N29" i="8"/>
  <c r="M29" i="8"/>
  <c r="L29" i="8"/>
  <c r="S28" i="8"/>
  <c r="R28" i="8"/>
  <c r="Q28" i="8"/>
  <c r="P28" i="8"/>
  <c r="O28" i="8"/>
  <c r="N28" i="8"/>
  <c r="M28" i="8"/>
  <c r="L28" i="8"/>
  <c r="S27" i="8"/>
  <c r="R27" i="8"/>
  <c r="Q27" i="8"/>
  <c r="P27" i="8"/>
  <c r="O27" i="8"/>
  <c r="N27" i="8"/>
  <c r="M27" i="8"/>
  <c r="L27" i="8"/>
  <c r="S26" i="8"/>
  <c r="R26" i="8"/>
  <c r="Q26" i="8"/>
  <c r="P26" i="8"/>
  <c r="O26" i="8"/>
  <c r="N26" i="8"/>
  <c r="M26" i="8"/>
  <c r="L26" i="8"/>
  <c r="S25" i="8"/>
  <c r="R25" i="8"/>
  <c r="Q25" i="8"/>
  <c r="P25" i="8"/>
  <c r="O25" i="8"/>
  <c r="N25" i="8"/>
  <c r="M25" i="8"/>
  <c r="L25" i="8"/>
  <c r="S24" i="8"/>
  <c r="R24" i="8"/>
  <c r="Q24" i="8"/>
  <c r="P24" i="8"/>
  <c r="O24" i="8"/>
  <c r="N24" i="8"/>
  <c r="M24" i="8"/>
  <c r="L24" i="8"/>
  <c r="S23" i="8"/>
  <c r="R23" i="8"/>
  <c r="Q23" i="8"/>
  <c r="P23" i="8"/>
  <c r="O23" i="8"/>
  <c r="N23" i="8"/>
  <c r="M23" i="8"/>
  <c r="L23" i="8"/>
  <c r="S22" i="8"/>
  <c r="R22" i="8"/>
  <c r="Q22" i="8"/>
  <c r="P22" i="8"/>
  <c r="O22" i="8"/>
  <c r="N22" i="8"/>
  <c r="M22" i="8"/>
  <c r="L22" i="8"/>
  <c r="S21" i="8"/>
  <c r="R21" i="8"/>
  <c r="Q21" i="8"/>
  <c r="P21" i="8"/>
  <c r="O21" i="8"/>
  <c r="N21" i="8"/>
  <c r="M21" i="8"/>
  <c r="L21" i="8"/>
  <c r="S20" i="8"/>
  <c r="R20" i="8"/>
  <c r="Q20" i="8"/>
  <c r="P20" i="8"/>
  <c r="O20" i="8"/>
  <c r="N20" i="8"/>
  <c r="M20" i="8"/>
  <c r="L20" i="8"/>
  <c r="S19" i="8"/>
  <c r="R19" i="8"/>
  <c r="Q19" i="8"/>
  <c r="P19" i="8"/>
  <c r="O19" i="8"/>
  <c r="N19" i="8"/>
  <c r="M19" i="8"/>
  <c r="L19" i="8"/>
  <c r="S18" i="8"/>
  <c r="R18" i="8"/>
  <c r="Q18" i="8"/>
  <c r="P18" i="8"/>
  <c r="O18" i="8"/>
  <c r="N18" i="8"/>
  <c r="M18" i="8"/>
  <c r="L18" i="8"/>
  <c r="S17" i="8"/>
  <c r="R17" i="8"/>
  <c r="Q17" i="8"/>
  <c r="P17" i="8"/>
  <c r="O17" i="8"/>
  <c r="N17" i="8"/>
  <c r="M17" i="8"/>
  <c r="L17" i="8"/>
  <c r="S16" i="8"/>
  <c r="R16" i="8"/>
  <c r="Q16" i="8"/>
  <c r="P16" i="8"/>
  <c r="O16" i="8"/>
  <c r="N16" i="8"/>
  <c r="M16" i="8"/>
  <c r="L16" i="8"/>
  <c r="S15" i="8"/>
  <c r="R15" i="8"/>
  <c r="Q15" i="8"/>
  <c r="P15" i="8"/>
  <c r="O15" i="8"/>
  <c r="N15" i="8"/>
  <c r="M15" i="8"/>
  <c r="L15" i="8"/>
  <c r="S14" i="8"/>
  <c r="R14" i="8"/>
  <c r="Q14" i="8"/>
  <c r="P14" i="8"/>
  <c r="O14" i="8"/>
  <c r="N14" i="8"/>
  <c r="M14" i="8"/>
  <c r="L14" i="8"/>
  <c r="S13" i="8"/>
  <c r="R13" i="8"/>
  <c r="Q13" i="8"/>
  <c r="P13" i="8"/>
  <c r="O13" i="8"/>
  <c r="N13" i="8"/>
  <c r="M13" i="8"/>
  <c r="L13" i="8"/>
  <c r="S12" i="8"/>
  <c r="R12" i="8"/>
  <c r="Q12" i="8"/>
  <c r="P12" i="8"/>
  <c r="O12" i="8"/>
  <c r="N12" i="8"/>
  <c r="M12" i="8"/>
  <c r="L12" i="8"/>
  <c r="S11" i="8"/>
  <c r="R11" i="8"/>
  <c r="Q11" i="8"/>
  <c r="P11" i="8"/>
  <c r="O11" i="8"/>
  <c r="N11" i="8"/>
  <c r="M11" i="8"/>
  <c r="L11" i="8"/>
  <c r="S10" i="8"/>
  <c r="R10" i="8"/>
  <c r="Q10" i="8"/>
  <c r="P10" i="8"/>
  <c r="O10" i="8"/>
  <c r="N10" i="8"/>
  <c r="M10" i="8"/>
  <c r="L10" i="8"/>
  <c r="S9" i="8"/>
  <c r="R9" i="8"/>
  <c r="Q9" i="8"/>
  <c r="P9" i="8"/>
  <c r="O9" i="8"/>
  <c r="N9" i="8"/>
  <c r="M9" i="8"/>
  <c r="L9" i="8"/>
  <c r="S8" i="8"/>
  <c r="R8" i="8"/>
  <c r="Q8" i="8"/>
  <c r="P8" i="8"/>
  <c r="O8" i="8"/>
  <c r="N8" i="8"/>
  <c r="M8" i="8"/>
  <c r="L8" i="8"/>
  <c r="S7" i="8"/>
  <c r="R7" i="8"/>
  <c r="Q7" i="8"/>
  <c r="P7" i="8"/>
  <c r="O7" i="8"/>
  <c r="N7" i="8"/>
  <c r="M7" i="8"/>
  <c r="L7" i="8"/>
  <c r="S6" i="8"/>
  <c r="R6" i="8"/>
  <c r="Q6" i="8"/>
  <c r="P6" i="8"/>
  <c r="O6" i="8"/>
  <c r="N6" i="8"/>
  <c r="M6" i="8"/>
  <c r="L6" i="8"/>
  <c r="S5" i="8"/>
  <c r="R5" i="8"/>
  <c r="Q5" i="8"/>
  <c r="P5" i="8"/>
  <c r="O5" i="8"/>
  <c r="N5" i="8"/>
  <c r="M5" i="8"/>
  <c r="L5" i="8"/>
  <c r="S4" i="8"/>
  <c r="R4" i="8"/>
  <c r="Q4" i="8"/>
  <c r="P4" i="8"/>
  <c r="O4" i="8"/>
  <c r="N4" i="8"/>
  <c r="M4" i="8"/>
  <c r="L4" i="8"/>
  <c r="S3" i="8"/>
  <c r="R3" i="8"/>
  <c r="Q3" i="8"/>
  <c r="P3" i="8"/>
  <c r="O3" i="8"/>
  <c r="N3" i="8"/>
  <c r="M3" i="8"/>
  <c r="L3" i="8"/>
  <c r="S2" i="8"/>
  <c r="R2" i="8"/>
  <c r="Q2" i="8"/>
  <c r="P2" i="8"/>
  <c r="O2" i="8"/>
  <c r="N2" i="8"/>
  <c r="M2" i="8"/>
  <c r="L2" i="8"/>
  <c r="Q97" i="6"/>
  <c r="P97" i="6"/>
  <c r="O97" i="6"/>
  <c r="N97" i="6"/>
  <c r="M97" i="6"/>
  <c r="L97" i="6"/>
  <c r="K97" i="6"/>
  <c r="Q96" i="6"/>
  <c r="P96" i="6"/>
  <c r="O96" i="6"/>
  <c r="N96" i="6"/>
  <c r="M96" i="6"/>
  <c r="L96" i="6"/>
  <c r="K96" i="6"/>
  <c r="Q95" i="6"/>
  <c r="P95" i="6"/>
  <c r="O95" i="6"/>
  <c r="N95" i="6"/>
  <c r="M95" i="6"/>
  <c r="L95" i="6"/>
  <c r="K95" i="6"/>
  <c r="Q94" i="6"/>
  <c r="P94" i="6"/>
  <c r="O94" i="6"/>
  <c r="N94" i="6"/>
  <c r="M94" i="6"/>
  <c r="L94" i="6"/>
  <c r="K94" i="6"/>
  <c r="Q93" i="6"/>
  <c r="P93" i="6"/>
  <c r="O93" i="6"/>
  <c r="N93" i="6"/>
  <c r="M93" i="6"/>
  <c r="L93" i="6"/>
  <c r="K93" i="6"/>
  <c r="Q92" i="6"/>
  <c r="P92" i="6"/>
  <c r="O92" i="6"/>
  <c r="N92" i="6"/>
  <c r="M92" i="6"/>
  <c r="L92" i="6"/>
  <c r="K92" i="6"/>
  <c r="Q91" i="6"/>
  <c r="P91" i="6"/>
  <c r="O91" i="6"/>
  <c r="N91" i="6"/>
  <c r="M91" i="6"/>
  <c r="L91" i="6"/>
  <c r="K91" i="6"/>
  <c r="Q90" i="6"/>
  <c r="P90" i="6"/>
  <c r="O90" i="6"/>
  <c r="N90" i="6"/>
  <c r="M90" i="6"/>
  <c r="L90" i="6"/>
  <c r="K90" i="6"/>
  <c r="Q89" i="6"/>
  <c r="P89" i="6"/>
  <c r="O89" i="6"/>
  <c r="N89" i="6"/>
  <c r="M89" i="6"/>
  <c r="L89" i="6"/>
  <c r="K89" i="6"/>
  <c r="Q88" i="6"/>
  <c r="P88" i="6"/>
  <c r="O88" i="6"/>
  <c r="N88" i="6"/>
  <c r="M88" i="6"/>
  <c r="L88" i="6"/>
  <c r="K88" i="6"/>
  <c r="Q87" i="6"/>
  <c r="P87" i="6"/>
  <c r="O87" i="6"/>
  <c r="N87" i="6"/>
  <c r="M87" i="6"/>
  <c r="L87" i="6"/>
  <c r="K87" i="6"/>
  <c r="Q86" i="6"/>
  <c r="P86" i="6"/>
  <c r="O86" i="6"/>
  <c r="N86" i="6"/>
  <c r="M86" i="6"/>
  <c r="L86" i="6"/>
  <c r="K86" i="6"/>
  <c r="Q85" i="6"/>
  <c r="P85" i="6"/>
  <c r="O85" i="6"/>
  <c r="N85" i="6"/>
  <c r="M85" i="6"/>
  <c r="L85" i="6"/>
  <c r="K85" i="6"/>
  <c r="Q84" i="6"/>
  <c r="P84" i="6"/>
  <c r="O84" i="6"/>
  <c r="N84" i="6"/>
  <c r="M84" i="6"/>
  <c r="L84" i="6"/>
  <c r="K84" i="6"/>
  <c r="Q83" i="6"/>
  <c r="P83" i="6"/>
  <c r="O83" i="6"/>
  <c r="N83" i="6"/>
  <c r="M83" i="6"/>
  <c r="L83" i="6"/>
  <c r="K83" i="6"/>
  <c r="Q82" i="6"/>
  <c r="P82" i="6"/>
  <c r="O82" i="6"/>
  <c r="N82" i="6"/>
  <c r="M82" i="6"/>
  <c r="L82" i="6"/>
  <c r="K82" i="6"/>
  <c r="Q81" i="6"/>
  <c r="P81" i="6"/>
  <c r="O81" i="6"/>
  <c r="N81" i="6"/>
  <c r="M81" i="6"/>
  <c r="L81" i="6"/>
  <c r="K81" i="6"/>
  <c r="Q80" i="6"/>
  <c r="P80" i="6"/>
  <c r="O80" i="6"/>
  <c r="N80" i="6"/>
  <c r="M80" i="6"/>
  <c r="L80" i="6"/>
  <c r="K80" i="6"/>
  <c r="Q79" i="6"/>
  <c r="P79" i="6"/>
  <c r="O79" i="6"/>
  <c r="N79" i="6"/>
  <c r="M79" i="6"/>
  <c r="L79" i="6"/>
  <c r="K79" i="6"/>
  <c r="Q78" i="6"/>
  <c r="P78" i="6"/>
  <c r="O78" i="6"/>
  <c r="N78" i="6"/>
  <c r="M78" i="6"/>
  <c r="L78" i="6"/>
  <c r="K78" i="6"/>
  <c r="Q77" i="6"/>
  <c r="P77" i="6"/>
  <c r="O77" i="6"/>
  <c r="N77" i="6"/>
  <c r="M77" i="6"/>
  <c r="L77" i="6"/>
  <c r="K77" i="6"/>
  <c r="Q76" i="6"/>
  <c r="P76" i="6"/>
  <c r="O76" i="6"/>
  <c r="N76" i="6"/>
  <c r="M76" i="6"/>
  <c r="L76" i="6"/>
  <c r="K76" i="6"/>
  <c r="Q75" i="6"/>
  <c r="P75" i="6"/>
  <c r="O75" i="6"/>
  <c r="N75" i="6"/>
  <c r="M75" i="6"/>
  <c r="L75" i="6"/>
  <c r="K75" i="6"/>
  <c r="Q74" i="6"/>
  <c r="P74" i="6"/>
  <c r="O74" i="6"/>
  <c r="N74" i="6"/>
  <c r="M74" i="6"/>
  <c r="L74" i="6"/>
  <c r="K74" i="6"/>
  <c r="Q73" i="6"/>
  <c r="P73" i="6"/>
  <c r="O73" i="6"/>
  <c r="N73" i="6"/>
  <c r="M73" i="6"/>
  <c r="L73" i="6"/>
  <c r="K73" i="6"/>
  <c r="Q72" i="6"/>
  <c r="P72" i="6"/>
  <c r="O72" i="6"/>
  <c r="N72" i="6"/>
  <c r="M72" i="6"/>
  <c r="L72" i="6"/>
  <c r="K72" i="6"/>
  <c r="Q71" i="6"/>
  <c r="P71" i="6"/>
  <c r="O71" i="6"/>
  <c r="N71" i="6"/>
  <c r="M71" i="6"/>
  <c r="L71" i="6"/>
  <c r="K71" i="6"/>
  <c r="Q70" i="6"/>
  <c r="P70" i="6"/>
  <c r="O70" i="6"/>
  <c r="N70" i="6"/>
  <c r="M70" i="6"/>
  <c r="L70" i="6"/>
  <c r="K70" i="6"/>
  <c r="Q69" i="6"/>
  <c r="P69" i="6"/>
  <c r="O69" i="6"/>
  <c r="N69" i="6"/>
  <c r="M69" i="6"/>
  <c r="L69" i="6"/>
  <c r="K69" i="6"/>
  <c r="Q68" i="6"/>
  <c r="P68" i="6"/>
  <c r="O68" i="6"/>
  <c r="N68" i="6"/>
  <c r="M68" i="6"/>
  <c r="L68" i="6"/>
  <c r="K68" i="6"/>
  <c r="Q67" i="6"/>
  <c r="P67" i="6"/>
  <c r="O67" i="6"/>
  <c r="N67" i="6"/>
  <c r="M67" i="6"/>
  <c r="L67" i="6"/>
  <c r="K67" i="6"/>
  <c r="Q66" i="6"/>
  <c r="P66" i="6"/>
  <c r="O66" i="6"/>
  <c r="N66" i="6"/>
  <c r="M66" i="6"/>
  <c r="L66" i="6"/>
  <c r="K66" i="6"/>
  <c r="Q65" i="6"/>
  <c r="P65" i="6"/>
  <c r="O65" i="6"/>
  <c r="N65" i="6"/>
  <c r="M65" i="6"/>
  <c r="L65" i="6"/>
  <c r="K65" i="6"/>
  <c r="Q64" i="6"/>
  <c r="P64" i="6"/>
  <c r="O64" i="6"/>
  <c r="N64" i="6"/>
  <c r="M64" i="6"/>
  <c r="L64" i="6"/>
  <c r="K64" i="6"/>
  <c r="Q63" i="6"/>
  <c r="P63" i="6"/>
  <c r="O63" i="6"/>
  <c r="N63" i="6"/>
  <c r="M63" i="6"/>
  <c r="L63" i="6"/>
  <c r="K63" i="6"/>
  <c r="Q62" i="6"/>
  <c r="P62" i="6"/>
  <c r="O62" i="6"/>
  <c r="N62" i="6"/>
  <c r="M62" i="6"/>
  <c r="L62" i="6"/>
  <c r="K62" i="6"/>
  <c r="Q61" i="6"/>
  <c r="P61" i="6"/>
  <c r="O61" i="6"/>
  <c r="N61" i="6"/>
  <c r="M61" i="6"/>
  <c r="L61" i="6"/>
  <c r="K61" i="6"/>
  <c r="Q60" i="6"/>
  <c r="P60" i="6"/>
  <c r="O60" i="6"/>
  <c r="N60" i="6"/>
  <c r="M60" i="6"/>
  <c r="L60" i="6"/>
  <c r="K60" i="6"/>
  <c r="Q59" i="6"/>
  <c r="P59" i="6"/>
  <c r="O59" i="6"/>
  <c r="N59" i="6"/>
  <c r="M59" i="6"/>
  <c r="L59" i="6"/>
  <c r="K59" i="6"/>
  <c r="Q58" i="6"/>
  <c r="P58" i="6"/>
  <c r="O58" i="6"/>
  <c r="N58" i="6"/>
  <c r="M58" i="6"/>
  <c r="L58" i="6"/>
  <c r="K58" i="6"/>
  <c r="Q57" i="6"/>
  <c r="P57" i="6"/>
  <c r="O57" i="6"/>
  <c r="N57" i="6"/>
  <c r="M57" i="6"/>
  <c r="L57" i="6"/>
  <c r="K57" i="6"/>
  <c r="Q56" i="6"/>
  <c r="P56" i="6"/>
  <c r="O56" i="6"/>
  <c r="N56" i="6"/>
  <c r="M56" i="6"/>
  <c r="L56" i="6"/>
  <c r="K56" i="6"/>
  <c r="Q55" i="6"/>
  <c r="P55" i="6"/>
  <c r="O55" i="6"/>
  <c r="N55" i="6"/>
  <c r="M55" i="6"/>
  <c r="L55" i="6"/>
  <c r="K55" i="6"/>
  <c r="Q54" i="6"/>
  <c r="P54" i="6"/>
  <c r="O54" i="6"/>
  <c r="N54" i="6"/>
  <c r="M54" i="6"/>
  <c r="L54" i="6"/>
  <c r="K54" i="6"/>
  <c r="Q53" i="6"/>
  <c r="P53" i="6"/>
  <c r="O53" i="6"/>
  <c r="N53" i="6"/>
  <c r="M53" i="6"/>
  <c r="L53" i="6"/>
  <c r="K53" i="6"/>
  <c r="Q52" i="6"/>
  <c r="P52" i="6"/>
  <c r="O52" i="6"/>
  <c r="N52" i="6"/>
  <c r="M52" i="6"/>
  <c r="L52" i="6"/>
  <c r="K52" i="6"/>
  <c r="Q51" i="6"/>
  <c r="P51" i="6"/>
  <c r="O51" i="6"/>
  <c r="N51" i="6"/>
  <c r="M51" i="6"/>
  <c r="L51" i="6"/>
  <c r="K51" i="6"/>
  <c r="Q50" i="6"/>
  <c r="P50" i="6"/>
  <c r="O50" i="6"/>
  <c r="N50" i="6"/>
  <c r="M50" i="6"/>
  <c r="L50" i="6"/>
  <c r="K50" i="6"/>
  <c r="Q49" i="6"/>
  <c r="P49" i="6"/>
  <c r="O49" i="6"/>
  <c r="N49" i="6"/>
  <c r="M49" i="6"/>
  <c r="L49" i="6"/>
  <c r="K49" i="6"/>
  <c r="Q48" i="6"/>
  <c r="P48" i="6"/>
  <c r="O48" i="6"/>
  <c r="N48" i="6"/>
  <c r="M48" i="6"/>
  <c r="L48" i="6"/>
  <c r="K48" i="6"/>
  <c r="Q47" i="6"/>
  <c r="P47" i="6"/>
  <c r="O47" i="6"/>
  <c r="N47" i="6"/>
  <c r="M47" i="6"/>
  <c r="L47" i="6"/>
  <c r="K47" i="6"/>
  <c r="Q46" i="6"/>
  <c r="P46" i="6"/>
  <c r="O46" i="6"/>
  <c r="N46" i="6"/>
  <c r="M46" i="6"/>
  <c r="L46" i="6"/>
  <c r="K46" i="6"/>
  <c r="Q45" i="6"/>
  <c r="P45" i="6"/>
  <c r="O45" i="6"/>
  <c r="N45" i="6"/>
  <c r="M45" i="6"/>
  <c r="L45" i="6"/>
  <c r="K45" i="6"/>
  <c r="Q44" i="6"/>
  <c r="P44" i="6"/>
  <c r="O44" i="6"/>
  <c r="N44" i="6"/>
  <c r="M44" i="6"/>
  <c r="L44" i="6"/>
  <c r="K44" i="6"/>
  <c r="Q43" i="6"/>
  <c r="P43" i="6"/>
  <c r="O43" i="6"/>
  <c r="N43" i="6"/>
  <c r="M43" i="6"/>
  <c r="L43" i="6"/>
  <c r="K43" i="6"/>
  <c r="Q42" i="6"/>
  <c r="P42" i="6"/>
  <c r="O42" i="6"/>
  <c r="N42" i="6"/>
  <c r="M42" i="6"/>
  <c r="L42" i="6"/>
  <c r="K42" i="6"/>
  <c r="Q41" i="6"/>
  <c r="P41" i="6"/>
  <c r="O41" i="6"/>
  <c r="N41" i="6"/>
  <c r="M41" i="6"/>
  <c r="L41" i="6"/>
  <c r="K41" i="6"/>
  <c r="Q40" i="6"/>
  <c r="P40" i="6"/>
  <c r="O40" i="6"/>
  <c r="N40" i="6"/>
  <c r="M40" i="6"/>
  <c r="L40" i="6"/>
  <c r="K40" i="6"/>
  <c r="Q39" i="6"/>
  <c r="P39" i="6"/>
  <c r="O39" i="6"/>
  <c r="N39" i="6"/>
  <c r="M39" i="6"/>
  <c r="L39" i="6"/>
  <c r="K39" i="6"/>
  <c r="Q38" i="6"/>
  <c r="P38" i="6"/>
  <c r="O38" i="6"/>
  <c r="N38" i="6"/>
  <c r="M38" i="6"/>
  <c r="L38" i="6"/>
  <c r="K38" i="6"/>
  <c r="Q37" i="6"/>
  <c r="P37" i="6"/>
  <c r="O37" i="6"/>
  <c r="N37" i="6"/>
  <c r="M37" i="6"/>
  <c r="L37" i="6"/>
  <c r="K37" i="6"/>
  <c r="Q36" i="6"/>
  <c r="P36" i="6"/>
  <c r="O36" i="6"/>
  <c r="N36" i="6"/>
  <c r="M36" i="6"/>
  <c r="L36" i="6"/>
  <c r="K36" i="6"/>
  <c r="Q35" i="6"/>
  <c r="P35" i="6"/>
  <c r="O35" i="6"/>
  <c r="N35" i="6"/>
  <c r="M35" i="6"/>
  <c r="L35" i="6"/>
  <c r="K35" i="6"/>
  <c r="Q34" i="6"/>
  <c r="P34" i="6"/>
  <c r="O34" i="6"/>
  <c r="N34" i="6"/>
  <c r="M34" i="6"/>
  <c r="L34" i="6"/>
  <c r="K34" i="6"/>
  <c r="Q33" i="6"/>
  <c r="P33" i="6"/>
  <c r="O33" i="6"/>
  <c r="N33" i="6"/>
  <c r="M33" i="6"/>
  <c r="L33" i="6"/>
  <c r="K33" i="6"/>
  <c r="Q32" i="6"/>
  <c r="P32" i="6"/>
  <c r="O32" i="6"/>
  <c r="N32" i="6"/>
  <c r="M32" i="6"/>
  <c r="L32" i="6"/>
  <c r="K32" i="6"/>
  <c r="Q31" i="6"/>
  <c r="P31" i="6"/>
  <c r="O31" i="6"/>
  <c r="N31" i="6"/>
  <c r="M31" i="6"/>
  <c r="L31" i="6"/>
  <c r="K31" i="6"/>
  <c r="Q30" i="6"/>
  <c r="P30" i="6"/>
  <c r="O30" i="6"/>
  <c r="N30" i="6"/>
  <c r="M30" i="6"/>
  <c r="L30" i="6"/>
  <c r="K30" i="6"/>
  <c r="Q29" i="6"/>
  <c r="P29" i="6"/>
  <c r="O29" i="6"/>
  <c r="N29" i="6"/>
  <c r="M29" i="6"/>
  <c r="L29" i="6"/>
  <c r="K29" i="6"/>
  <c r="Q28" i="6"/>
  <c r="P28" i="6"/>
  <c r="O28" i="6"/>
  <c r="N28" i="6"/>
  <c r="M28" i="6"/>
  <c r="L28" i="6"/>
  <c r="K28" i="6"/>
  <c r="Q27" i="6"/>
  <c r="P27" i="6"/>
  <c r="O27" i="6"/>
  <c r="N27" i="6"/>
  <c r="M27" i="6"/>
  <c r="L27" i="6"/>
  <c r="K27" i="6"/>
  <c r="Q26" i="6"/>
  <c r="P26" i="6"/>
  <c r="O26" i="6"/>
  <c r="N26" i="6"/>
  <c r="M26" i="6"/>
  <c r="L26" i="6"/>
  <c r="K26" i="6"/>
  <c r="Q25" i="6"/>
  <c r="P25" i="6"/>
  <c r="O25" i="6"/>
  <c r="N25" i="6"/>
  <c r="M25" i="6"/>
  <c r="L25" i="6"/>
  <c r="K25" i="6"/>
  <c r="Q24" i="6"/>
  <c r="P24" i="6"/>
  <c r="O24" i="6"/>
  <c r="N24" i="6"/>
  <c r="M24" i="6"/>
  <c r="L24" i="6"/>
  <c r="K24" i="6"/>
  <c r="Q23" i="6"/>
  <c r="P23" i="6"/>
  <c r="O23" i="6"/>
  <c r="N23" i="6"/>
  <c r="M23" i="6"/>
  <c r="L23" i="6"/>
  <c r="K23" i="6"/>
  <c r="Q22" i="6"/>
  <c r="P22" i="6"/>
  <c r="O22" i="6"/>
  <c r="N22" i="6"/>
  <c r="M22" i="6"/>
  <c r="L22" i="6"/>
  <c r="K22" i="6"/>
  <c r="Q21" i="6"/>
  <c r="P21" i="6"/>
  <c r="O21" i="6"/>
  <c r="N21" i="6"/>
  <c r="M21" i="6"/>
  <c r="L21" i="6"/>
  <c r="K21" i="6"/>
  <c r="Q20" i="6"/>
  <c r="P20" i="6"/>
  <c r="O20" i="6"/>
  <c r="N20" i="6"/>
  <c r="M20" i="6"/>
  <c r="L20" i="6"/>
  <c r="K20" i="6"/>
  <c r="Q19" i="6"/>
  <c r="P19" i="6"/>
  <c r="O19" i="6"/>
  <c r="N19" i="6"/>
  <c r="M19" i="6"/>
  <c r="L19" i="6"/>
  <c r="K19" i="6"/>
  <c r="Q18" i="6"/>
  <c r="P18" i="6"/>
  <c r="O18" i="6"/>
  <c r="N18" i="6"/>
  <c r="M18" i="6"/>
  <c r="L18" i="6"/>
  <c r="K18" i="6"/>
  <c r="Q17" i="6"/>
  <c r="P17" i="6"/>
  <c r="O17" i="6"/>
  <c r="N17" i="6"/>
  <c r="M17" i="6"/>
  <c r="L17" i="6"/>
  <c r="K17" i="6"/>
  <c r="Q16" i="6"/>
  <c r="P16" i="6"/>
  <c r="O16" i="6"/>
  <c r="N16" i="6"/>
  <c r="M16" i="6"/>
  <c r="L16" i="6"/>
  <c r="K16" i="6"/>
  <c r="Q15" i="6"/>
  <c r="P15" i="6"/>
  <c r="O15" i="6"/>
  <c r="N15" i="6"/>
  <c r="M15" i="6"/>
  <c r="L15" i="6"/>
  <c r="K15" i="6"/>
  <c r="Q14" i="6"/>
  <c r="P14" i="6"/>
  <c r="O14" i="6"/>
  <c r="N14" i="6"/>
  <c r="M14" i="6"/>
  <c r="L14" i="6"/>
  <c r="K14" i="6"/>
  <c r="Q13" i="6"/>
  <c r="P13" i="6"/>
  <c r="O13" i="6"/>
  <c r="N13" i="6"/>
  <c r="M13" i="6"/>
  <c r="L13" i="6"/>
  <c r="K13" i="6"/>
  <c r="Q12" i="6"/>
  <c r="P12" i="6"/>
  <c r="O12" i="6"/>
  <c r="N12" i="6"/>
  <c r="M12" i="6"/>
  <c r="L12" i="6"/>
  <c r="K12" i="6"/>
  <c r="Q11" i="6"/>
  <c r="P11" i="6"/>
  <c r="O11" i="6"/>
  <c r="N11" i="6"/>
  <c r="M11" i="6"/>
  <c r="L11" i="6"/>
  <c r="K11" i="6"/>
  <c r="Q10" i="6"/>
  <c r="P10" i="6"/>
  <c r="O10" i="6"/>
  <c r="N10" i="6"/>
  <c r="M10" i="6"/>
  <c r="L10" i="6"/>
  <c r="K10" i="6"/>
  <c r="Q9" i="6"/>
  <c r="P9" i="6"/>
  <c r="O9" i="6"/>
  <c r="N9" i="6"/>
  <c r="M9" i="6"/>
  <c r="L9" i="6"/>
  <c r="K9" i="6"/>
  <c r="Q8" i="6"/>
  <c r="P8" i="6"/>
  <c r="O8" i="6"/>
  <c r="N8" i="6"/>
  <c r="M8" i="6"/>
  <c r="L8" i="6"/>
  <c r="K8" i="6"/>
  <c r="Q7" i="6"/>
  <c r="P7" i="6"/>
  <c r="O7" i="6"/>
  <c r="N7" i="6"/>
  <c r="M7" i="6"/>
  <c r="L7" i="6"/>
  <c r="K7" i="6"/>
  <c r="Q6" i="6"/>
  <c r="P6" i="6"/>
  <c r="O6" i="6"/>
  <c r="N6" i="6"/>
  <c r="M6" i="6"/>
  <c r="L6" i="6"/>
  <c r="K6" i="6"/>
  <c r="Q5" i="6"/>
  <c r="P5" i="6"/>
  <c r="O5" i="6"/>
  <c r="N5" i="6"/>
  <c r="M5" i="6"/>
  <c r="L5" i="6"/>
  <c r="K5" i="6"/>
  <c r="Q4" i="6"/>
  <c r="P4" i="6"/>
  <c r="O4" i="6"/>
  <c r="N4" i="6"/>
  <c r="M4" i="6"/>
  <c r="L4" i="6"/>
  <c r="K4" i="6"/>
  <c r="Q3" i="6"/>
  <c r="P3" i="6"/>
  <c r="O3" i="6"/>
  <c r="N3" i="6"/>
  <c r="M3" i="6"/>
  <c r="L3" i="6"/>
  <c r="K3" i="6"/>
  <c r="Q2" i="6"/>
  <c r="P2" i="6"/>
  <c r="O2" i="6"/>
  <c r="N2" i="6"/>
  <c r="M2" i="6"/>
  <c r="L2" i="6"/>
  <c r="K2" i="6"/>
  <c r="O16" i="20"/>
  <c r="AE12" i="19" l="1"/>
  <c r="O12" i="20"/>
  <c r="G111" i="16"/>
  <c r="G112" i="16"/>
  <c r="G113" i="16"/>
  <c r="G114" i="16"/>
  <c r="G115" i="16"/>
  <c r="G116" i="16"/>
  <c r="G117" i="16"/>
  <c r="G118" i="16"/>
  <c r="G119" i="16"/>
  <c r="G120" i="16"/>
  <c r="G121" i="16"/>
  <c r="G110" i="16"/>
  <c r="G98" i="16"/>
  <c r="G99" i="16"/>
  <c r="G100" i="16"/>
  <c r="G101" i="16"/>
  <c r="G102" i="16"/>
  <c r="G103" i="16"/>
  <c r="G104" i="16"/>
  <c r="G105" i="16"/>
  <c r="G106" i="16"/>
  <c r="G107" i="16"/>
  <c r="G108" i="16"/>
  <c r="G109" i="16"/>
  <c r="F111" i="15"/>
  <c r="F112" i="15"/>
  <c r="F113" i="15"/>
  <c r="F114" i="15"/>
  <c r="F115" i="15"/>
  <c r="F116" i="15"/>
  <c r="F117" i="15"/>
  <c r="F118" i="15"/>
  <c r="F119" i="15"/>
  <c r="F120" i="15"/>
  <c r="F121" i="15"/>
  <c r="F110" i="15"/>
  <c r="F97" i="15"/>
  <c r="F98" i="15"/>
  <c r="F99" i="15"/>
  <c r="F100" i="15"/>
  <c r="F101" i="15"/>
  <c r="F102" i="15"/>
  <c r="F103" i="15"/>
  <c r="F104" i="15"/>
  <c r="F105" i="15"/>
  <c r="F106" i="15"/>
  <c r="F107" i="15"/>
  <c r="F108" i="15"/>
  <c r="F109" i="15"/>
  <c r="I111" i="14"/>
  <c r="I112" i="14"/>
  <c r="I113" i="14"/>
  <c r="I114" i="14"/>
  <c r="I115" i="14"/>
  <c r="I116" i="14"/>
  <c r="I117" i="14"/>
  <c r="I118" i="14"/>
  <c r="I119" i="14"/>
  <c r="I120" i="14"/>
  <c r="I121" i="14"/>
  <c r="I110" i="14"/>
  <c r="I101" i="14"/>
  <c r="I102" i="14"/>
  <c r="I103" i="14"/>
  <c r="I104" i="14"/>
  <c r="I105" i="14"/>
  <c r="I106" i="14"/>
  <c r="I107" i="14"/>
  <c r="I108" i="14"/>
  <c r="I109" i="14"/>
  <c r="I96" i="14"/>
  <c r="I97" i="14"/>
  <c r="I98" i="14"/>
  <c r="I99" i="14"/>
  <c r="I100" i="14"/>
  <c r="AK98" i="2"/>
  <c r="AK99" i="2"/>
  <c r="AK100" i="2"/>
  <c r="AK101" i="2"/>
  <c r="AK102" i="2"/>
  <c r="AK103" i="2"/>
  <c r="AK104" i="2"/>
  <c r="AK105" i="2"/>
  <c r="AK106" i="2"/>
  <c r="AK107" i="2"/>
  <c r="AK108" i="2"/>
  <c r="AK109" i="2"/>
  <c r="B13" i="21"/>
  <c r="B12" i="21"/>
  <c r="J87" i="25"/>
  <c r="L44" i="25"/>
  <c r="K44" i="25"/>
  <c r="I62" i="25"/>
  <c r="I19" i="25"/>
  <c r="C5" i="21"/>
  <c r="F10" i="25"/>
  <c r="C8" i="25" s="1"/>
  <c r="Y13" i="18"/>
  <c r="V13" i="18"/>
  <c r="Y12" i="18"/>
  <c r="V12" i="18"/>
  <c r="S12" i="18"/>
  <c r="S13" i="18"/>
  <c r="O12" i="18"/>
  <c r="L12" i="18"/>
  <c r="L13" i="18"/>
  <c r="K12" i="18"/>
  <c r="H13" i="18"/>
  <c r="G13" i="18" s="1"/>
  <c r="H12" i="18"/>
  <c r="G12" i="18"/>
  <c r="D13" i="18"/>
  <c r="B98" i="2"/>
  <c r="C98" i="2"/>
  <c r="B99" i="2"/>
  <c r="C99" i="2"/>
  <c r="B100" i="2"/>
  <c r="C100" i="2"/>
  <c r="B101" i="2"/>
  <c r="C101" i="2"/>
  <c r="B102" i="2"/>
  <c r="C102" i="2"/>
  <c r="B103" i="2"/>
  <c r="C103" i="2"/>
  <c r="B104" i="2"/>
  <c r="C104" i="2"/>
  <c r="B105" i="2"/>
  <c r="C105" i="2"/>
  <c r="B106" i="2"/>
  <c r="C106" i="2"/>
  <c r="B107" i="2"/>
  <c r="C107" i="2"/>
  <c r="B108" i="2"/>
  <c r="C108" i="2"/>
  <c r="B109" i="2"/>
  <c r="C109" i="2"/>
  <c r="C12" i="18"/>
  <c r="D12" i="18" s="1"/>
  <c r="M12" i="20" l="1"/>
  <c r="N12" i="20" s="1"/>
  <c r="N16" i="20" s="1"/>
  <c r="N17" i="20" s="1"/>
  <c r="AF12" i="19"/>
  <c r="I2" i="10"/>
  <c r="I3" i="10"/>
  <c r="I4" i="10"/>
  <c r="I5" i="10"/>
  <c r="I6" i="10"/>
  <c r="I7" i="10"/>
  <c r="I8" i="10"/>
  <c r="I9" i="10"/>
  <c r="I10" i="10"/>
  <c r="I11" i="10"/>
  <c r="I12" i="10"/>
  <c r="I13" i="10"/>
  <c r="F60" i="25" l="1"/>
  <c r="L3" i="16" l="1"/>
  <c r="X3" i="16" s="1"/>
  <c r="L4" i="16"/>
  <c r="X4" i="16" s="1"/>
  <c r="L5" i="16"/>
  <c r="X5" i="16" s="1"/>
  <c r="L6" i="16"/>
  <c r="X6" i="16" s="1"/>
  <c r="L7" i="16"/>
  <c r="X7" i="16" s="1"/>
  <c r="L8" i="16"/>
  <c r="X8" i="16" s="1"/>
  <c r="L9" i="16"/>
  <c r="X9" i="16" s="1"/>
  <c r="L10" i="16"/>
  <c r="X10" i="16" s="1"/>
  <c r="L11" i="16"/>
  <c r="X11" i="16" s="1"/>
  <c r="L12" i="16"/>
  <c r="X12" i="16" s="1"/>
  <c r="L13" i="16"/>
  <c r="X13" i="16" s="1"/>
  <c r="L98" i="16"/>
  <c r="X98" i="16" s="1"/>
  <c r="L99" i="16"/>
  <c r="X99" i="16" s="1"/>
  <c r="L100" i="16"/>
  <c r="X100" i="16" s="1"/>
  <c r="L101" i="16"/>
  <c r="X101" i="16" s="1"/>
  <c r="L102" i="16"/>
  <c r="X102" i="16" s="1"/>
  <c r="L103" i="16"/>
  <c r="X103" i="16" s="1"/>
  <c r="L104" i="16"/>
  <c r="X104" i="16" s="1"/>
  <c r="L105" i="16"/>
  <c r="X105" i="16" s="1"/>
  <c r="L106" i="16"/>
  <c r="X106" i="16" s="1"/>
  <c r="L107" i="16"/>
  <c r="X107" i="16" s="1"/>
  <c r="L108" i="16"/>
  <c r="X108" i="16" s="1"/>
  <c r="L109" i="16"/>
  <c r="X109" i="16" s="1"/>
  <c r="L110" i="16"/>
  <c r="X110" i="16" s="1"/>
  <c r="L111" i="16"/>
  <c r="X111" i="16" s="1"/>
  <c r="L112" i="16"/>
  <c r="X112" i="16" s="1"/>
  <c r="L113" i="16"/>
  <c r="X113" i="16" s="1"/>
  <c r="L114" i="16"/>
  <c r="X114" i="16" s="1"/>
  <c r="L115" i="16"/>
  <c r="X115" i="16" s="1"/>
  <c r="L116" i="16"/>
  <c r="X116" i="16" s="1"/>
  <c r="L117" i="16"/>
  <c r="X117" i="16" s="1"/>
  <c r="L118" i="16"/>
  <c r="X118" i="16" s="1"/>
  <c r="L119" i="16"/>
  <c r="X119" i="16" s="1"/>
  <c r="L120" i="16"/>
  <c r="X120" i="16" s="1"/>
  <c r="L121" i="16"/>
  <c r="X121" i="16" s="1"/>
  <c r="L2" i="16"/>
  <c r="X2" i="16" s="1"/>
  <c r="L121" i="15"/>
  <c r="L120" i="15"/>
  <c r="L119" i="15"/>
  <c r="L118" i="15"/>
  <c r="L117" i="15"/>
  <c r="L116" i="15"/>
  <c r="L115" i="15"/>
  <c r="L114" i="15"/>
  <c r="L113" i="15"/>
  <c r="L112" i="15"/>
  <c r="L111" i="15"/>
  <c r="L110" i="15"/>
  <c r="L109" i="15"/>
  <c r="L108" i="15"/>
  <c r="L107" i="15"/>
  <c r="L106" i="15"/>
  <c r="L105" i="15"/>
  <c r="L104" i="15"/>
  <c r="L103" i="15"/>
  <c r="L102" i="15"/>
  <c r="L101" i="15"/>
  <c r="L100" i="15"/>
  <c r="L99" i="15"/>
  <c r="L98" i="15"/>
  <c r="L97" i="15"/>
  <c r="L96" i="15"/>
  <c r="L95" i="15"/>
  <c r="L94" i="15"/>
  <c r="L93" i="15"/>
  <c r="L92" i="15"/>
  <c r="L91" i="15"/>
  <c r="L90" i="15"/>
  <c r="L89" i="15"/>
  <c r="L88" i="15"/>
  <c r="L87" i="15"/>
  <c r="L86" i="15"/>
  <c r="L85" i="15"/>
  <c r="L84" i="15"/>
  <c r="L83" i="15"/>
  <c r="L82" i="15"/>
  <c r="L81" i="15"/>
  <c r="L80" i="15"/>
  <c r="L79" i="15"/>
  <c r="L78" i="15"/>
  <c r="L77" i="15"/>
  <c r="L76" i="15"/>
  <c r="L75" i="15"/>
  <c r="L74" i="15"/>
  <c r="L73" i="15"/>
  <c r="L72" i="15"/>
  <c r="L71" i="15"/>
  <c r="L70" i="15"/>
  <c r="L69" i="15"/>
  <c r="L68" i="15"/>
  <c r="L67" i="15"/>
  <c r="L66" i="15"/>
  <c r="L65" i="15"/>
  <c r="L64" i="15"/>
  <c r="L63" i="15"/>
  <c r="L62" i="15"/>
  <c r="L61" i="15"/>
  <c r="L60" i="15"/>
  <c r="L59" i="15"/>
  <c r="L58" i="15"/>
  <c r="L57" i="15"/>
  <c r="L56" i="15"/>
  <c r="L55" i="15"/>
  <c r="L54" i="15"/>
  <c r="L53" i="15"/>
  <c r="L52" i="15"/>
  <c r="L51" i="15"/>
  <c r="L50" i="15"/>
  <c r="L49" i="15"/>
  <c r="L48" i="15"/>
  <c r="L47" i="15"/>
  <c r="L46" i="15"/>
  <c r="L45" i="15"/>
  <c r="L44" i="15"/>
  <c r="L43" i="15"/>
  <c r="L42" i="15"/>
  <c r="L41" i="15"/>
  <c r="L40" i="15"/>
  <c r="L39" i="15"/>
  <c r="L38" i="15"/>
  <c r="L37" i="15"/>
  <c r="L36" i="15"/>
  <c r="L35" i="15"/>
  <c r="L34" i="15"/>
  <c r="L33" i="15"/>
  <c r="L32" i="15"/>
  <c r="L31" i="15"/>
  <c r="L30" i="15"/>
  <c r="L29" i="15"/>
  <c r="L28" i="15"/>
  <c r="L27" i="15"/>
  <c r="L26" i="15"/>
  <c r="L25" i="15"/>
  <c r="L24" i="15"/>
  <c r="L23" i="15"/>
  <c r="L22" i="15"/>
  <c r="L21" i="15"/>
  <c r="L20" i="15"/>
  <c r="L19" i="15"/>
  <c r="L18" i="15"/>
  <c r="L17" i="15"/>
  <c r="L16" i="15"/>
  <c r="L15" i="15"/>
  <c r="L14" i="15"/>
  <c r="L13" i="15"/>
  <c r="L12" i="15"/>
  <c r="L11" i="15"/>
  <c r="L10" i="15"/>
  <c r="L9" i="15"/>
  <c r="L8" i="15"/>
  <c r="L7" i="15"/>
  <c r="L6" i="15"/>
  <c r="L5" i="15"/>
  <c r="L4" i="15"/>
  <c r="L3" i="15"/>
  <c r="L2" i="15"/>
  <c r="K121" i="14"/>
  <c r="K120" i="14"/>
  <c r="K119" i="14"/>
  <c r="K118" i="14"/>
  <c r="K117" i="14"/>
  <c r="K116" i="14"/>
  <c r="K115" i="14"/>
  <c r="K114" i="14"/>
  <c r="K113" i="14"/>
  <c r="K112" i="14"/>
  <c r="K111" i="14"/>
  <c r="K110" i="14"/>
  <c r="K109" i="14"/>
  <c r="K108" i="14"/>
  <c r="K107" i="14"/>
  <c r="K106" i="14"/>
  <c r="K105" i="14"/>
  <c r="K104" i="14"/>
  <c r="K103" i="14"/>
  <c r="K102" i="14"/>
  <c r="K101" i="14"/>
  <c r="K100" i="14"/>
  <c r="K99" i="14"/>
  <c r="K98" i="14"/>
  <c r="K97" i="14"/>
  <c r="K96" i="14"/>
  <c r="K95" i="14"/>
  <c r="K94" i="14"/>
  <c r="K93" i="14"/>
  <c r="K92" i="14"/>
  <c r="K91" i="14"/>
  <c r="K90" i="14"/>
  <c r="K89" i="14"/>
  <c r="K88" i="14"/>
  <c r="K87" i="14"/>
  <c r="K86" i="14"/>
  <c r="K85" i="14"/>
  <c r="K84" i="14"/>
  <c r="K83" i="14"/>
  <c r="K82" i="14"/>
  <c r="K81" i="14"/>
  <c r="K80" i="14"/>
  <c r="K79" i="14"/>
  <c r="K78" i="14"/>
  <c r="K77" i="14"/>
  <c r="K76" i="14"/>
  <c r="K75" i="14"/>
  <c r="K74" i="14"/>
  <c r="K73" i="14"/>
  <c r="K72" i="14"/>
  <c r="K71" i="14"/>
  <c r="K70" i="14"/>
  <c r="K69" i="14"/>
  <c r="K68" i="14"/>
  <c r="K67" i="14"/>
  <c r="K66" i="14"/>
  <c r="K65" i="14"/>
  <c r="K64" i="14"/>
  <c r="K63" i="14"/>
  <c r="K62" i="14"/>
  <c r="K61" i="14"/>
  <c r="K60" i="14"/>
  <c r="K59" i="14"/>
  <c r="K58" i="14"/>
  <c r="K57" i="14"/>
  <c r="K56" i="14"/>
  <c r="K55" i="14"/>
  <c r="K54" i="14"/>
  <c r="K53" i="14"/>
  <c r="K52" i="14"/>
  <c r="K51" i="14"/>
  <c r="K50" i="14"/>
  <c r="K49" i="14"/>
  <c r="K48" i="14"/>
  <c r="K47" i="14"/>
  <c r="K46" i="14"/>
  <c r="K45" i="14"/>
  <c r="K44" i="14"/>
  <c r="K43" i="14"/>
  <c r="K42" i="14"/>
  <c r="K41" i="14"/>
  <c r="K40" i="14"/>
  <c r="K39" i="14"/>
  <c r="K38" i="14"/>
  <c r="K37" i="14"/>
  <c r="K36" i="14"/>
  <c r="K35" i="14"/>
  <c r="K34" i="14"/>
  <c r="K33" i="14"/>
  <c r="K32" i="14"/>
  <c r="K31" i="14"/>
  <c r="K30" i="14"/>
  <c r="K29" i="14"/>
  <c r="K28" i="14"/>
  <c r="K27" i="14"/>
  <c r="K26" i="14"/>
  <c r="K25" i="14"/>
  <c r="K24" i="14"/>
  <c r="K23" i="14"/>
  <c r="K22" i="14"/>
  <c r="K21" i="14"/>
  <c r="K20" i="14"/>
  <c r="K19" i="14"/>
  <c r="K18" i="14"/>
  <c r="K17" i="14"/>
  <c r="K16" i="14"/>
  <c r="K15" i="14"/>
  <c r="K14" i="14"/>
  <c r="K13" i="14"/>
  <c r="K12" i="14"/>
  <c r="K11" i="14"/>
  <c r="K10" i="14"/>
  <c r="K9" i="14"/>
  <c r="K8" i="14"/>
  <c r="K7" i="14"/>
  <c r="K6" i="14"/>
  <c r="K5" i="14"/>
  <c r="K4" i="14"/>
  <c r="K3" i="14"/>
  <c r="K2" i="14"/>
  <c r="C9" i="25" l="1"/>
  <c r="C10" i="25" s="1"/>
  <c r="E58" i="25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3" i="2"/>
  <c r="B4" i="2"/>
  <c r="B5" i="2"/>
  <c r="B6" i="2"/>
  <c r="B7" i="2"/>
  <c r="B8" i="2"/>
  <c r="B9" i="2"/>
  <c r="B2" i="2"/>
  <c r="M13" i="10"/>
  <c r="L13" i="10"/>
  <c r="M12" i="10"/>
  <c r="L12" i="10"/>
  <c r="M11" i="10"/>
  <c r="L11" i="10"/>
  <c r="M10" i="10"/>
  <c r="L10" i="10"/>
  <c r="M9" i="10"/>
  <c r="L9" i="10"/>
  <c r="M8" i="10"/>
  <c r="L8" i="10"/>
  <c r="M7" i="10"/>
  <c r="L7" i="10"/>
  <c r="M6" i="10"/>
  <c r="L6" i="10"/>
  <c r="M5" i="10"/>
  <c r="L5" i="10"/>
  <c r="M4" i="10"/>
  <c r="L4" i="10"/>
  <c r="M3" i="10"/>
  <c r="L3" i="10"/>
  <c r="M2" i="10"/>
  <c r="L2" i="10"/>
  <c r="M1" i="10"/>
  <c r="L1" i="10"/>
  <c r="X1" i="10" s="1"/>
  <c r="M13" i="16"/>
  <c r="Y13" i="16" s="1"/>
  <c r="K13" i="16"/>
  <c r="W13" i="16" s="1"/>
  <c r="J13" i="16"/>
  <c r="V13" i="16" s="1"/>
  <c r="I13" i="16"/>
  <c r="U13" i="16" s="1"/>
  <c r="M12" i="16"/>
  <c r="Y12" i="16" s="1"/>
  <c r="K12" i="16"/>
  <c r="W12" i="16" s="1"/>
  <c r="J12" i="16"/>
  <c r="V12" i="16" s="1"/>
  <c r="I12" i="16"/>
  <c r="M11" i="16"/>
  <c r="Y11" i="16" s="1"/>
  <c r="K11" i="16"/>
  <c r="W11" i="16" s="1"/>
  <c r="J11" i="16"/>
  <c r="V11" i="16" s="1"/>
  <c r="I11" i="16"/>
  <c r="U11" i="16"/>
  <c r="M10" i="16"/>
  <c r="Y10" i="16" s="1"/>
  <c r="K10" i="16"/>
  <c r="J10" i="16"/>
  <c r="I10" i="16"/>
  <c r="U10" i="16" s="1"/>
  <c r="M9" i="16"/>
  <c r="Y9" i="16" s="1"/>
  <c r="K9" i="16"/>
  <c r="W9" i="16" s="1"/>
  <c r="J9" i="16"/>
  <c r="V9" i="16" s="1"/>
  <c r="I9" i="16"/>
  <c r="U9" i="16" s="1"/>
  <c r="M8" i="16"/>
  <c r="Y8" i="16" s="1"/>
  <c r="K8" i="16"/>
  <c r="W8" i="16" s="1"/>
  <c r="J8" i="16"/>
  <c r="I8" i="16"/>
  <c r="U8" i="16" s="1"/>
  <c r="M7" i="16"/>
  <c r="Y7" i="16" s="1"/>
  <c r="K7" i="16"/>
  <c r="J7" i="16"/>
  <c r="V7" i="16" s="1"/>
  <c r="I7" i="16"/>
  <c r="U7" i="16" s="1"/>
  <c r="M6" i="16"/>
  <c r="Y6" i="16" s="1"/>
  <c r="K6" i="16"/>
  <c r="W6" i="16" s="1"/>
  <c r="J6" i="16"/>
  <c r="V6" i="16" s="1"/>
  <c r="I6" i="16"/>
  <c r="U6" i="16" s="1"/>
  <c r="M5" i="16"/>
  <c r="Y5" i="16" s="1"/>
  <c r="K5" i="16"/>
  <c r="W5" i="16" s="1"/>
  <c r="J5" i="16"/>
  <c r="V5" i="16" s="1"/>
  <c r="I5" i="16"/>
  <c r="U5" i="16" s="1"/>
  <c r="M4" i="16"/>
  <c r="Y4" i="16" s="1"/>
  <c r="K4" i="16"/>
  <c r="W4" i="16" s="1"/>
  <c r="J4" i="16"/>
  <c r="V4" i="16" s="1"/>
  <c r="I4" i="16"/>
  <c r="U4" i="16" s="1"/>
  <c r="M3" i="16"/>
  <c r="Y3" i="16" s="1"/>
  <c r="K3" i="16"/>
  <c r="W3" i="16" s="1"/>
  <c r="J3" i="16"/>
  <c r="V3" i="16" s="1"/>
  <c r="I3" i="16"/>
  <c r="U3" i="16" s="1"/>
  <c r="M2" i="16"/>
  <c r="Y2" i="16" s="1"/>
  <c r="K2" i="16"/>
  <c r="W2" i="16" s="1"/>
  <c r="J2" i="16"/>
  <c r="V2" i="16" s="1"/>
  <c r="I2" i="16"/>
  <c r="H97" i="16"/>
  <c r="H98" i="16" s="1"/>
  <c r="H99" i="16" s="1"/>
  <c r="H100" i="16" s="1"/>
  <c r="H96" i="16"/>
  <c r="T96" i="16" s="1"/>
  <c r="H95" i="16"/>
  <c r="T95" i="16" s="1"/>
  <c r="H94" i="16"/>
  <c r="T94" i="16" s="1"/>
  <c r="H93" i="16"/>
  <c r="H92" i="16"/>
  <c r="T92" i="16" s="1"/>
  <c r="H91" i="16"/>
  <c r="T91" i="16" s="1"/>
  <c r="H90" i="16"/>
  <c r="T90" i="16" s="1"/>
  <c r="H89" i="16"/>
  <c r="H88" i="16"/>
  <c r="T88" i="16" s="1"/>
  <c r="H87" i="16"/>
  <c r="T87" i="16" s="1"/>
  <c r="H86" i="16"/>
  <c r="T86" i="16" s="1"/>
  <c r="H85" i="16"/>
  <c r="H84" i="16"/>
  <c r="T84" i="16" s="1"/>
  <c r="H83" i="16"/>
  <c r="T83" i="16" s="1"/>
  <c r="H82" i="16"/>
  <c r="H81" i="16"/>
  <c r="H80" i="16"/>
  <c r="T80" i="16" s="1"/>
  <c r="H79" i="16"/>
  <c r="T79" i="16" s="1"/>
  <c r="H78" i="16"/>
  <c r="T78" i="16" s="1"/>
  <c r="H77" i="16"/>
  <c r="H76" i="16"/>
  <c r="H75" i="16"/>
  <c r="T75" i="16" s="1"/>
  <c r="H74" i="16"/>
  <c r="T74" i="16" s="1"/>
  <c r="H73" i="16"/>
  <c r="H72" i="16"/>
  <c r="T72" i="16" s="1"/>
  <c r="H71" i="16"/>
  <c r="T71" i="16" s="1"/>
  <c r="H70" i="16"/>
  <c r="H69" i="16"/>
  <c r="H68" i="16"/>
  <c r="T68" i="16" s="1"/>
  <c r="H67" i="16"/>
  <c r="T67" i="16" s="1"/>
  <c r="H66" i="16"/>
  <c r="T66" i="16" s="1"/>
  <c r="H65" i="16"/>
  <c r="H64" i="16"/>
  <c r="T64" i="16" s="1"/>
  <c r="H63" i="16"/>
  <c r="T63" i="16" s="1"/>
  <c r="H62" i="16"/>
  <c r="T62" i="16" s="1"/>
  <c r="H61" i="16"/>
  <c r="H60" i="16"/>
  <c r="H59" i="16"/>
  <c r="T59" i="16" s="1"/>
  <c r="H58" i="16"/>
  <c r="T58" i="16" s="1"/>
  <c r="H57" i="16"/>
  <c r="H56" i="16"/>
  <c r="H55" i="16"/>
  <c r="T55" i="16" s="1"/>
  <c r="H54" i="16"/>
  <c r="T54" i="16" s="1"/>
  <c r="H53" i="16"/>
  <c r="H52" i="16"/>
  <c r="T52" i="16" s="1"/>
  <c r="H51" i="16"/>
  <c r="T51" i="16" s="1"/>
  <c r="H50" i="16"/>
  <c r="T50" i="16" s="1"/>
  <c r="H49" i="16"/>
  <c r="H48" i="16"/>
  <c r="T48" i="16" s="1"/>
  <c r="H47" i="16"/>
  <c r="T47" i="16" s="1"/>
  <c r="H46" i="16"/>
  <c r="T46" i="16" s="1"/>
  <c r="H45" i="16"/>
  <c r="H44" i="16"/>
  <c r="T44" i="16" s="1"/>
  <c r="H43" i="16"/>
  <c r="T43" i="16" s="1"/>
  <c r="H42" i="16"/>
  <c r="T42" i="16" s="1"/>
  <c r="H41" i="16"/>
  <c r="H40" i="16"/>
  <c r="H39" i="16"/>
  <c r="T39" i="16" s="1"/>
  <c r="H38" i="16"/>
  <c r="T38" i="16" s="1"/>
  <c r="H37" i="16"/>
  <c r="H36" i="16"/>
  <c r="H35" i="16"/>
  <c r="T35" i="16" s="1"/>
  <c r="H34" i="16"/>
  <c r="T34" i="16" s="1"/>
  <c r="H33" i="16"/>
  <c r="H32" i="16"/>
  <c r="T32" i="16" s="1"/>
  <c r="H31" i="16"/>
  <c r="T31" i="16" s="1"/>
  <c r="H30" i="16"/>
  <c r="H29" i="16"/>
  <c r="H28" i="16"/>
  <c r="H27" i="16"/>
  <c r="T27" i="16" s="1"/>
  <c r="H26" i="16"/>
  <c r="T26" i="16" s="1"/>
  <c r="H25" i="16"/>
  <c r="H24" i="16"/>
  <c r="T24" i="16" s="1"/>
  <c r="H23" i="16"/>
  <c r="T23" i="16" s="1"/>
  <c r="H22" i="16"/>
  <c r="T22" i="16" s="1"/>
  <c r="H21" i="16"/>
  <c r="H20" i="16"/>
  <c r="T20" i="16" s="1"/>
  <c r="H19" i="16"/>
  <c r="T19" i="16" s="1"/>
  <c r="H18" i="16"/>
  <c r="T18" i="16" s="1"/>
  <c r="H17" i="16"/>
  <c r="H16" i="16"/>
  <c r="H15" i="16"/>
  <c r="T15" i="16" s="1"/>
  <c r="H14" i="16"/>
  <c r="T14" i="16" s="1"/>
  <c r="H13" i="16"/>
  <c r="H12" i="16"/>
  <c r="H11" i="16"/>
  <c r="T11" i="16" s="1"/>
  <c r="H10" i="16"/>
  <c r="T10" i="16" s="1"/>
  <c r="H9" i="16"/>
  <c r="T9" i="16" s="1"/>
  <c r="H8" i="16"/>
  <c r="T8" i="16" s="1"/>
  <c r="H7" i="16"/>
  <c r="T7" i="16" s="1"/>
  <c r="H6" i="16"/>
  <c r="T6" i="16" s="1"/>
  <c r="H5" i="16"/>
  <c r="T5" i="16" s="1"/>
  <c r="H4" i="16"/>
  <c r="T4" i="16" s="1"/>
  <c r="H3" i="16"/>
  <c r="T3" i="16" s="1"/>
  <c r="H2" i="16"/>
  <c r="T2" i="16" s="1"/>
  <c r="W10" i="16"/>
  <c r="W7" i="16"/>
  <c r="M1" i="16"/>
  <c r="Y1" i="16" s="1"/>
  <c r="K1" i="16"/>
  <c r="W1" i="16" s="1"/>
  <c r="J1" i="16"/>
  <c r="V1" i="16" s="1"/>
  <c r="I1" i="16"/>
  <c r="U1" i="16" s="1"/>
  <c r="H1" i="16"/>
  <c r="T1" i="16" s="1"/>
  <c r="G1" i="16"/>
  <c r="F1" i="16"/>
  <c r="R1" i="16" s="1"/>
  <c r="E1" i="16"/>
  <c r="Q1" i="16" s="1"/>
  <c r="D1" i="16"/>
  <c r="P1" i="16" s="1"/>
  <c r="K13" i="10"/>
  <c r="K12" i="10"/>
  <c r="K11" i="10"/>
  <c r="K10" i="10"/>
  <c r="K9" i="10"/>
  <c r="K8" i="10"/>
  <c r="K7" i="10"/>
  <c r="K6" i="10"/>
  <c r="K5" i="10"/>
  <c r="K4" i="10"/>
  <c r="K3" i="10"/>
  <c r="K2" i="10"/>
  <c r="K1" i="10"/>
  <c r="W1" i="10" s="1"/>
  <c r="J13" i="10"/>
  <c r="J12" i="10"/>
  <c r="J11" i="10"/>
  <c r="J10" i="10"/>
  <c r="J9" i="10"/>
  <c r="J8" i="10"/>
  <c r="J7" i="10"/>
  <c r="Z7" i="10" s="1"/>
  <c r="J6" i="10"/>
  <c r="J5" i="10"/>
  <c r="J4" i="10"/>
  <c r="J3" i="10"/>
  <c r="J2" i="10"/>
  <c r="J1" i="10"/>
  <c r="Y1" i="10"/>
  <c r="I1" i="10"/>
  <c r="H97" i="10"/>
  <c r="H96" i="10"/>
  <c r="H95" i="10"/>
  <c r="H94" i="10"/>
  <c r="H93" i="10"/>
  <c r="H92" i="10"/>
  <c r="H91" i="10"/>
  <c r="H90" i="10"/>
  <c r="H89" i="10"/>
  <c r="H88" i="10"/>
  <c r="H87" i="10"/>
  <c r="H86" i="10"/>
  <c r="H85" i="10"/>
  <c r="H84" i="10"/>
  <c r="H83" i="10"/>
  <c r="H82" i="10"/>
  <c r="H81" i="10"/>
  <c r="H80" i="10"/>
  <c r="H79" i="10"/>
  <c r="H78" i="10"/>
  <c r="H77" i="10"/>
  <c r="H76" i="10"/>
  <c r="H75" i="10"/>
  <c r="H74" i="10"/>
  <c r="H73" i="10"/>
  <c r="H72" i="10"/>
  <c r="H71" i="10"/>
  <c r="H70" i="10"/>
  <c r="H69" i="10"/>
  <c r="H68" i="10"/>
  <c r="H67" i="10"/>
  <c r="H66" i="10"/>
  <c r="H65" i="10"/>
  <c r="H64" i="10"/>
  <c r="H63" i="10"/>
  <c r="H62" i="10"/>
  <c r="H61" i="10"/>
  <c r="H60" i="10"/>
  <c r="H59" i="10"/>
  <c r="H58" i="10"/>
  <c r="H57" i="10"/>
  <c r="H56" i="10"/>
  <c r="H55" i="10"/>
  <c r="H54" i="10"/>
  <c r="H53" i="10"/>
  <c r="H52" i="10"/>
  <c r="H51" i="10"/>
  <c r="H50" i="10"/>
  <c r="H49" i="10"/>
  <c r="H48" i="10"/>
  <c r="H47" i="10"/>
  <c r="H46" i="10"/>
  <c r="H45" i="10"/>
  <c r="H44" i="10"/>
  <c r="H43" i="10"/>
  <c r="H42" i="10"/>
  <c r="H41" i="10"/>
  <c r="H40" i="10"/>
  <c r="H39" i="10"/>
  <c r="H38" i="10"/>
  <c r="H37" i="10"/>
  <c r="H36" i="10"/>
  <c r="H35" i="10"/>
  <c r="H34" i="10"/>
  <c r="H33" i="10"/>
  <c r="H32" i="10"/>
  <c r="H31" i="10"/>
  <c r="H30" i="10"/>
  <c r="H29" i="10"/>
  <c r="H28" i="10"/>
  <c r="H27" i="10"/>
  <c r="H26" i="10"/>
  <c r="H25" i="10"/>
  <c r="H24" i="10"/>
  <c r="H23" i="10"/>
  <c r="H22" i="10"/>
  <c r="H21" i="10"/>
  <c r="H20" i="10"/>
  <c r="H19" i="10"/>
  <c r="H18" i="10"/>
  <c r="Z18" i="10" s="1"/>
  <c r="H17" i="10"/>
  <c r="H16" i="10"/>
  <c r="H15" i="10"/>
  <c r="H14" i="10"/>
  <c r="H13" i="10"/>
  <c r="H12" i="10"/>
  <c r="H11" i="10"/>
  <c r="H10" i="10"/>
  <c r="H9" i="10"/>
  <c r="H8" i="10"/>
  <c r="H7" i="10"/>
  <c r="H6" i="10"/>
  <c r="H5" i="10"/>
  <c r="H4" i="10"/>
  <c r="H3" i="10"/>
  <c r="H2" i="10"/>
  <c r="H1" i="10"/>
  <c r="D1" i="10"/>
  <c r="F1" i="10"/>
  <c r="G1" i="10"/>
  <c r="E1" i="10"/>
  <c r="P2" i="2"/>
  <c r="P3" i="2"/>
  <c r="P4" i="2"/>
  <c r="P5" i="2"/>
  <c r="P6" i="2"/>
  <c r="P7" i="2"/>
  <c r="P8" i="2"/>
  <c r="P9" i="2"/>
  <c r="P10" i="2"/>
  <c r="P11" i="2"/>
  <c r="P12" i="2"/>
  <c r="P13" i="2"/>
  <c r="P14" i="2"/>
  <c r="P15" i="2"/>
  <c r="P16" i="2"/>
  <c r="P17" i="2"/>
  <c r="P18" i="2"/>
  <c r="P19" i="2"/>
  <c r="P20" i="2"/>
  <c r="P21" i="2"/>
  <c r="P22" i="2"/>
  <c r="P23" i="2"/>
  <c r="P24" i="2"/>
  <c r="P25" i="2"/>
  <c r="P26" i="2"/>
  <c r="P27" i="2"/>
  <c r="P28" i="2"/>
  <c r="P29" i="2"/>
  <c r="P30" i="2"/>
  <c r="P31" i="2"/>
  <c r="P32" i="2"/>
  <c r="P33" i="2"/>
  <c r="P34" i="2"/>
  <c r="P35" i="2"/>
  <c r="P36" i="2"/>
  <c r="P37" i="2"/>
  <c r="P38" i="2"/>
  <c r="P39" i="2"/>
  <c r="P40" i="2"/>
  <c r="P41" i="2"/>
  <c r="P42" i="2"/>
  <c r="P43" i="2"/>
  <c r="P44" i="2"/>
  <c r="P45" i="2"/>
  <c r="P46" i="2"/>
  <c r="P47" i="2"/>
  <c r="P48" i="2"/>
  <c r="P49" i="2"/>
  <c r="P50" i="2"/>
  <c r="P51" i="2"/>
  <c r="P52" i="2"/>
  <c r="P53" i="2"/>
  <c r="P54" i="2"/>
  <c r="P55" i="2"/>
  <c r="P56" i="2"/>
  <c r="P57" i="2"/>
  <c r="P58" i="2"/>
  <c r="P59" i="2"/>
  <c r="P60" i="2"/>
  <c r="P61" i="2"/>
  <c r="P62" i="2"/>
  <c r="P63" i="2"/>
  <c r="P64" i="2"/>
  <c r="P65" i="2"/>
  <c r="P66" i="2"/>
  <c r="P67" i="2"/>
  <c r="P68" i="2"/>
  <c r="P69" i="2"/>
  <c r="P70" i="2"/>
  <c r="P71" i="2"/>
  <c r="P72" i="2"/>
  <c r="P73" i="2"/>
  <c r="P74" i="2"/>
  <c r="P75" i="2"/>
  <c r="P76" i="2"/>
  <c r="P77" i="2"/>
  <c r="P78" i="2"/>
  <c r="P79" i="2"/>
  <c r="P80" i="2"/>
  <c r="P81" i="2"/>
  <c r="P82" i="2"/>
  <c r="P83" i="2"/>
  <c r="P84" i="2"/>
  <c r="P85" i="2"/>
  <c r="P86" i="2"/>
  <c r="P87" i="2"/>
  <c r="P88" i="2"/>
  <c r="P89" i="2"/>
  <c r="P90" i="2"/>
  <c r="P91" i="2"/>
  <c r="P92" i="2"/>
  <c r="P93" i="2"/>
  <c r="P94" i="2"/>
  <c r="P95" i="2"/>
  <c r="P96" i="2"/>
  <c r="P97" i="2"/>
  <c r="Q2" i="2"/>
  <c r="Q3" i="2"/>
  <c r="Q4" i="2"/>
  <c r="Q5" i="2"/>
  <c r="Q6" i="2"/>
  <c r="Q7" i="2"/>
  <c r="Q8" i="2"/>
  <c r="Q9" i="2"/>
  <c r="D9" i="16"/>
  <c r="P9" i="16" s="1"/>
  <c r="Q10" i="2"/>
  <c r="Q11" i="2"/>
  <c r="Q12" i="2"/>
  <c r="Q13" i="2"/>
  <c r="Q14" i="2"/>
  <c r="Q15" i="2"/>
  <c r="Q16" i="2"/>
  <c r="Q17" i="2"/>
  <c r="D17" i="16" s="1"/>
  <c r="P17" i="16" s="1"/>
  <c r="Q18" i="2"/>
  <c r="Q19" i="2"/>
  <c r="Q20" i="2"/>
  <c r="Q21" i="2"/>
  <c r="Q22" i="2"/>
  <c r="Q23" i="2"/>
  <c r="Q24" i="2"/>
  <c r="Q25" i="2"/>
  <c r="Q26" i="2"/>
  <c r="Q27" i="2"/>
  <c r="Q28" i="2"/>
  <c r="Q29" i="2"/>
  <c r="D29" i="16" s="1"/>
  <c r="P29" i="16" s="1"/>
  <c r="Q30" i="2"/>
  <c r="Q31" i="2"/>
  <c r="Q32" i="2"/>
  <c r="Q33" i="2"/>
  <c r="D33" i="16" s="1"/>
  <c r="P33" i="16" s="1"/>
  <c r="Q34" i="2"/>
  <c r="Q35" i="2"/>
  <c r="Q36" i="2"/>
  <c r="Q37" i="2"/>
  <c r="D37" i="16"/>
  <c r="P37" i="16" s="1"/>
  <c r="Q38" i="2"/>
  <c r="Q39" i="2"/>
  <c r="Q40" i="2"/>
  <c r="Q41" i="2"/>
  <c r="Q42" i="2"/>
  <c r="Q43" i="2"/>
  <c r="Q44" i="2"/>
  <c r="Q45" i="2"/>
  <c r="Q46" i="2"/>
  <c r="Q47" i="2"/>
  <c r="Q48" i="2"/>
  <c r="Q49" i="2"/>
  <c r="D49" i="16" s="1"/>
  <c r="P49" i="16" s="1"/>
  <c r="Q50" i="2"/>
  <c r="Q51" i="2"/>
  <c r="Q52" i="2"/>
  <c r="Q53" i="2"/>
  <c r="Q54" i="2"/>
  <c r="Q55" i="2"/>
  <c r="Q56" i="2"/>
  <c r="Q57" i="2"/>
  <c r="D57" i="16" s="1"/>
  <c r="P57" i="16" s="1"/>
  <c r="Q58" i="2"/>
  <c r="Q59" i="2"/>
  <c r="Q60" i="2"/>
  <c r="Q61" i="2"/>
  <c r="Q62" i="2"/>
  <c r="Q63" i="2"/>
  <c r="Q64" i="2"/>
  <c r="Q65" i="2"/>
  <c r="D65" i="16"/>
  <c r="P65" i="16" s="1"/>
  <c r="Q66" i="2"/>
  <c r="Q67" i="2"/>
  <c r="Q68" i="2"/>
  <c r="Q69" i="2"/>
  <c r="Q70" i="2"/>
  <c r="Q71" i="2"/>
  <c r="Q72" i="2"/>
  <c r="Q73" i="2"/>
  <c r="D73" i="16"/>
  <c r="P73" i="16" s="1"/>
  <c r="Q74" i="2"/>
  <c r="Q75" i="2"/>
  <c r="Q76" i="2"/>
  <c r="Q77" i="2"/>
  <c r="Q78" i="2"/>
  <c r="Q79" i="2"/>
  <c r="Q80" i="2"/>
  <c r="Q81" i="2"/>
  <c r="D81" i="16" s="1"/>
  <c r="P81" i="16" s="1"/>
  <c r="Q82" i="2"/>
  <c r="Q83" i="2"/>
  <c r="Q84" i="2"/>
  <c r="Q85" i="2"/>
  <c r="Q86" i="2"/>
  <c r="Q87" i="2"/>
  <c r="Q88" i="2"/>
  <c r="D88" i="16" s="1"/>
  <c r="P88" i="16" s="1"/>
  <c r="Q89" i="2"/>
  <c r="D89" i="16" s="1"/>
  <c r="P89" i="16" s="1"/>
  <c r="Q90" i="2"/>
  <c r="Q91" i="2"/>
  <c r="Q92" i="2"/>
  <c r="Q93" i="2"/>
  <c r="Q94" i="2"/>
  <c r="Q95" i="2"/>
  <c r="Q96" i="2"/>
  <c r="D96" i="16" s="1"/>
  <c r="P96" i="16" s="1"/>
  <c r="Q97" i="2"/>
  <c r="D97" i="16"/>
  <c r="P97" i="16" s="1"/>
  <c r="D37" i="10"/>
  <c r="D17" i="10"/>
  <c r="D92" i="16"/>
  <c r="P92" i="16" s="1"/>
  <c r="D92" i="10"/>
  <c r="D88" i="10"/>
  <c r="D84" i="16"/>
  <c r="P84" i="16" s="1"/>
  <c r="D84" i="10"/>
  <c r="D80" i="16"/>
  <c r="D80" i="10"/>
  <c r="D76" i="16"/>
  <c r="P76" i="16" s="1"/>
  <c r="D76" i="10"/>
  <c r="D72" i="16"/>
  <c r="D72" i="10"/>
  <c r="D68" i="16"/>
  <c r="P68" i="16" s="1"/>
  <c r="D68" i="10"/>
  <c r="D64" i="16"/>
  <c r="D64" i="10"/>
  <c r="D60" i="16"/>
  <c r="P60" i="16" s="1"/>
  <c r="D60" i="10"/>
  <c r="D56" i="16"/>
  <c r="D56" i="10"/>
  <c r="D52" i="16"/>
  <c r="P52" i="16" s="1"/>
  <c r="D52" i="10"/>
  <c r="D48" i="16"/>
  <c r="D48" i="10"/>
  <c r="D44" i="16"/>
  <c r="P44" i="16" s="1"/>
  <c r="D44" i="10"/>
  <c r="D40" i="16"/>
  <c r="D40" i="10"/>
  <c r="D36" i="16"/>
  <c r="P36" i="16" s="1"/>
  <c r="D36" i="10"/>
  <c r="D32" i="16"/>
  <c r="D32" i="10"/>
  <c r="D28" i="16"/>
  <c r="P28" i="16" s="1"/>
  <c r="D28" i="10"/>
  <c r="D24" i="16"/>
  <c r="D24" i="10"/>
  <c r="D20" i="16"/>
  <c r="P20" i="16" s="1"/>
  <c r="D20" i="10"/>
  <c r="D16" i="16"/>
  <c r="D16" i="10"/>
  <c r="D12" i="16"/>
  <c r="P12" i="16" s="1"/>
  <c r="D12" i="10"/>
  <c r="D8" i="16"/>
  <c r="D8" i="10"/>
  <c r="D4" i="16"/>
  <c r="P4" i="16" s="1"/>
  <c r="D4" i="10"/>
  <c r="D33" i="10"/>
  <c r="D9" i="10"/>
  <c r="D95" i="16"/>
  <c r="P95" i="16" s="1"/>
  <c r="D95" i="10"/>
  <c r="D83" i="16"/>
  <c r="D83" i="10"/>
  <c r="D71" i="10"/>
  <c r="D71" i="16"/>
  <c r="P71" i="16" s="1"/>
  <c r="D59" i="16"/>
  <c r="D59" i="10"/>
  <c r="D51" i="16"/>
  <c r="P51" i="16" s="1"/>
  <c r="D51" i="10"/>
  <c r="D47" i="16"/>
  <c r="D47" i="10"/>
  <c r="D43" i="16"/>
  <c r="P43" i="16" s="1"/>
  <c r="D43" i="10"/>
  <c r="D39" i="10"/>
  <c r="D39" i="16"/>
  <c r="P39" i="16" s="1"/>
  <c r="D35" i="16"/>
  <c r="P35" i="16" s="1"/>
  <c r="D35" i="10"/>
  <c r="D31" i="16"/>
  <c r="D31" i="10"/>
  <c r="D27" i="16"/>
  <c r="P27" i="16" s="1"/>
  <c r="D27" i="10"/>
  <c r="D23" i="16"/>
  <c r="D23" i="10"/>
  <c r="D19" i="16"/>
  <c r="P19" i="16" s="1"/>
  <c r="D19" i="10"/>
  <c r="D15" i="16"/>
  <c r="D15" i="10"/>
  <c r="D11" i="16"/>
  <c r="P11" i="16" s="1"/>
  <c r="D11" i="10"/>
  <c r="D7" i="10"/>
  <c r="D7" i="16"/>
  <c r="P7" i="16" s="1"/>
  <c r="D3" i="16"/>
  <c r="D3" i="10"/>
  <c r="D97" i="10"/>
  <c r="D73" i="10"/>
  <c r="D91" i="16"/>
  <c r="P91" i="16" s="1"/>
  <c r="D91" i="10"/>
  <c r="D87" i="16"/>
  <c r="P87" i="16" s="1"/>
  <c r="D87" i="10"/>
  <c r="D79" i="16"/>
  <c r="P79" i="16" s="1"/>
  <c r="D79" i="10"/>
  <c r="D75" i="16"/>
  <c r="P75" i="16" s="1"/>
  <c r="D75" i="10"/>
  <c r="D67" i="16"/>
  <c r="P67" i="16" s="1"/>
  <c r="D67" i="10"/>
  <c r="D63" i="16"/>
  <c r="P63" i="16" s="1"/>
  <c r="D63" i="10"/>
  <c r="D55" i="10"/>
  <c r="D55" i="16"/>
  <c r="D94" i="16"/>
  <c r="D94" i="10"/>
  <c r="D90" i="16"/>
  <c r="D90" i="10"/>
  <c r="D86" i="16"/>
  <c r="D86" i="10"/>
  <c r="D82" i="16"/>
  <c r="P82" i="16" s="1"/>
  <c r="D82" i="10"/>
  <c r="D78" i="16"/>
  <c r="D78" i="10"/>
  <c r="D74" i="16"/>
  <c r="P74" i="16" s="1"/>
  <c r="D74" i="10"/>
  <c r="D70" i="16"/>
  <c r="P70" i="16" s="1"/>
  <c r="D70" i="10"/>
  <c r="D66" i="16"/>
  <c r="D66" i="10"/>
  <c r="D62" i="16"/>
  <c r="P62" i="16" s="1"/>
  <c r="D62" i="10"/>
  <c r="D58" i="16"/>
  <c r="P58" i="16" s="1"/>
  <c r="D58" i="10"/>
  <c r="D54" i="16"/>
  <c r="P54" i="16" s="1"/>
  <c r="D54" i="10"/>
  <c r="D50" i="16"/>
  <c r="P50" i="16" s="1"/>
  <c r="D50" i="10"/>
  <c r="D46" i="16"/>
  <c r="P46" i="16" s="1"/>
  <c r="D46" i="10"/>
  <c r="D42" i="16"/>
  <c r="P42" i="16" s="1"/>
  <c r="D42" i="10"/>
  <c r="D38" i="16"/>
  <c r="P38" i="16" s="1"/>
  <c r="D38" i="10"/>
  <c r="D34" i="16"/>
  <c r="D34" i="10"/>
  <c r="D30" i="16"/>
  <c r="P30" i="16" s="1"/>
  <c r="D30" i="10"/>
  <c r="D26" i="16"/>
  <c r="P26" i="16" s="1"/>
  <c r="D26" i="10"/>
  <c r="D22" i="16"/>
  <c r="P22" i="16" s="1"/>
  <c r="D22" i="10"/>
  <c r="D18" i="16"/>
  <c r="P18" i="16" s="1"/>
  <c r="D18" i="10"/>
  <c r="D14" i="16"/>
  <c r="P14" i="16" s="1"/>
  <c r="D14" i="10"/>
  <c r="D10" i="16"/>
  <c r="D10" i="10"/>
  <c r="D6" i="16"/>
  <c r="P6" i="16" s="1"/>
  <c r="D6" i="10"/>
  <c r="D2" i="16"/>
  <c r="D2" i="10"/>
  <c r="J4" i="4"/>
  <c r="J3" i="4"/>
  <c r="J8" i="4"/>
  <c r="J7" i="4"/>
  <c r="C4" i="21"/>
  <c r="C8" i="21" s="1"/>
  <c r="C9" i="21" s="1"/>
  <c r="F6" i="21" s="1"/>
  <c r="O121" i="16"/>
  <c r="B121" i="16"/>
  <c r="O120" i="16"/>
  <c r="B120" i="16"/>
  <c r="O119" i="16"/>
  <c r="B119" i="16"/>
  <c r="O118" i="16"/>
  <c r="B118" i="16"/>
  <c r="O117" i="16"/>
  <c r="B117" i="16"/>
  <c r="O116" i="16"/>
  <c r="B116" i="16"/>
  <c r="O115" i="16"/>
  <c r="B115" i="16"/>
  <c r="O114" i="16"/>
  <c r="B114" i="16"/>
  <c r="O113" i="16"/>
  <c r="B113" i="16"/>
  <c r="O112" i="16"/>
  <c r="B112" i="16"/>
  <c r="O111" i="16"/>
  <c r="B111" i="16"/>
  <c r="O110" i="16"/>
  <c r="B110" i="16"/>
  <c r="O109" i="16"/>
  <c r="B109" i="16"/>
  <c r="O108" i="16"/>
  <c r="B108" i="16"/>
  <c r="O107" i="16"/>
  <c r="B107" i="16"/>
  <c r="O106" i="16"/>
  <c r="B106" i="16"/>
  <c r="O105" i="16"/>
  <c r="B105" i="16"/>
  <c r="O104" i="16"/>
  <c r="B104" i="16"/>
  <c r="O103" i="16"/>
  <c r="B103" i="16"/>
  <c r="O102" i="16"/>
  <c r="B102" i="16"/>
  <c r="O101" i="16"/>
  <c r="B101" i="16"/>
  <c r="O100" i="16"/>
  <c r="B100" i="16"/>
  <c r="O99" i="16"/>
  <c r="B99" i="16"/>
  <c r="O98" i="16"/>
  <c r="B98" i="16"/>
  <c r="O97" i="16"/>
  <c r="B97" i="16"/>
  <c r="O96" i="16"/>
  <c r="B96" i="16"/>
  <c r="O95" i="16"/>
  <c r="B95" i="16"/>
  <c r="O94" i="16"/>
  <c r="P94" i="16"/>
  <c r="B94" i="16"/>
  <c r="O93" i="16"/>
  <c r="B93" i="16"/>
  <c r="O92" i="16"/>
  <c r="B92" i="16"/>
  <c r="O91" i="16"/>
  <c r="B91" i="16"/>
  <c r="O90" i="16"/>
  <c r="P90" i="16"/>
  <c r="B90" i="16"/>
  <c r="O89" i="16"/>
  <c r="B89" i="16"/>
  <c r="O88" i="16"/>
  <c r="B88" i="16"/>
  <c r="O87" i="16"/>
  <c r="B87" i="16"/>
  <c r="O86" i="16"/>
  <c r="P86" i="16"/>
  <c r="B86" i="16"/>
  <c r="O85" i="16"/>
  <c r="B85" i="16"/>
  <c r="O84" i="16"/>
  <c r="B84" i="16"/>
  <c r="O83" i="16"/>
  <c r="P83" i="16"/>
  <c r="B83" i="16"/>
  <c r="O82" i="16"/>
  <c r="B82" i="16"/>
  <c r="O81" i="16"/>
  <c r="B81" i="16"/>
  <c r="O80" i="16"/>
  <c r="P80" i="16"/>
  <c r="B80" i="16"/>
  <c r="O79" i="16"/>
  <c r="B79" i="16"/>
  <c r="O78" i="16"/>
  <c r="P78" i="16"/>
  <c r="B78" i="16"/>
  <c r="O77" i="16"/>
  <c r="B77" i="16"/>
  <c r="O76" i="16"/>
  <c r="B76" i="16"/>
  <c r="O75" i="16"/>
  <c r="B75" i="16"/>
  <c r="O74" i="16"/>
  <c r="B74" i="16"/>
  <c r="O73" i="16"/>
  <c r="B73" i="16"/>
  <c r="O72" i="16"/>
  <c r="P72" i="16"/>
  <c r="B72" i="16"/>
  <c r="O71" i="16"/>
  <c r="B71" i="16"/>
  <c r="O70" i="16"/>
  <c r="B70" i="16"/>
  <c r="O69" i="16"/>
  <c r="B69" i="16"/>
  <c r="O68" i="16"/>
  <c r="B68" i="16"/>
  <c r="O67" i="16"/>
  <c r="B67" i="16"/>
  <c r="O66" i="16"/>
  <c r="P66" i="16"/>
  <c r="B66" i="16"/>
  <c r="O65" i="16"/>
  <c r="B65" i="16"/>
  <c r="O64" i="16"/>
  <c r="P64" i="16"/>
  <c r="B64" i="16"/>
  <c r="O63" i="16"/>
  <c r="B63" i="16"/>
  <c r="O62" i="16"/>
  <c r="B62" i="16"/>
  <c r="O61" i="16"/>
  <c r="A61" i="16"/>
  <c r="B61" i="16" s="1"/>
  <c r="O60" i="16"/>
  <c r="A60" i="16"/>
  <c r="B60" i="16" s="1"/>
  <c r="O59" i="16"/>
  <c r="P59" i="16"/>
  <c r="A59" i="16"/>
  <c r="B59" i="16" s="1"/>
  <c r="O58" i="16"/>
  <c r="A58" i="16"/>
  <c r="B58" i="16" s="1"/>
  <c r="O57" i="16"/>
  <c r="A57" i="16"/>
  <c r="B57" i="16" s="1"/>
  <c r="O56" i="16"/>
  <c r="P56" i="16"/>
  <c r="A56" i="16"/>
  <c r="B56" i="16" s="1"/>
  <c r="O55" i="16"/>
  <c r="P55" i="16"/>
  <c r="A55" i="16"/>
  <c r="B55" i="16" s="1"/>
  <c r="O54" i="16"/>
  <c r="A54" i="16"/>
  <c r="B54" i="16" s="1"/>
  <c r="O53" i="16"/>
  <c r="A53" i="16"/>
  <c r="B53" i="16" s="1"/>
  <c r="O52" i="16"/>
  <c r="A52" i="16"/>
  <c r="B52" i="16" s="1"/>
  <c r="O51" i="16"/>
  <c r="A51" i="16"/>
  <c r="B51" i="16" s="1"/>
  <c r="O50" i="16"/>
  <c r="A50" i="16"/>
  <c r="B50" i="16"/>
  <c r="O49" i="16"/>
  <c r="A49" i="16"/>
  <c r="B49" i="16" s="1"/>
  <c r="O48" i="16"/>
  <c r="P48" i="16"/>
  <c r="A48" i="16"/>
  <c r="B48" i="16" s="1"/>
  <c r="O47" i="16"/>
  <c r="P47" i="16"/>
  <c r="A47" i="16"/>
  <c r="B47" i="16" s="1"/>
  <c r="O46" i="16"/>
  <c r="A46" i="16"/>
  <c r="B46" i="16" s="1"/>
  <c r="O45" i="16"/>
  <c r="A45" i="16"/>
  <c r="B45" i="16" s="1"/>
  <c r="O44" i="16"/>
  <c r="A44" i="16"/>
  <c r="B44" i="16" s="1"/>
  <c r="O43" i="16"/>
  <c r="A43" i="16"/>
  <c r="B43" i="16" s="1"/>
  <c r="O42" i="16"/>
  <c r="A42" i="16"/>
  <c r="B42" i="16" s="1"/>
  <c r="O41" i="16"/>
  <c r="A41" i="16"/>
  <c r="B41" i="16" s="1"/>
  <c r="O40" i="16"/>
  <c r="P40" i="16"/>
  <c r="A40" i="16"/>
  <c r="B40" i="16" s="1"/>
  <c r="O39" i="16"/>
  <c r="A39" i="16"/>
  <c r="B39" i="16" s="1"/>
  <c r="O38" i="16"/>
  <c r="A38" i="16"/>
  <c r="B38" i="16" s="1"/>
  <c r="O37" i="16"/>
  <c r="A37" i="16"/>
  <c r="B37" i="16" s="1"/>
  <c r="O36" i="16"/>
  <c r="A36" i="16"/>
  <c r="B36" i="16" s="1"/>
  <c r="O35" i="16"/>
  <c r="A35" i="16"/>
  <c r="B35" i="16" s="1"/>
  <c r="O34" i="16"/>
  <c r="P34" i="16"/>
  <c r="A34" i="16"/>
  <c r="B34" i="16" s="1"/>
  <c r="O33" i="16"/>
  <c r="A33" i="16"/>
  <c r="B33" i="16" s="1"/>
  <c r="O32" i="16"/>
  <c r="P32" i="16"/>
  <c r="A32" i="16"/>
  <c r="B32" i="16" s="1"/>
  <c r="O31" i="16"/>
  <c r="P31" i="16"/>
  <c r="A31" i="16"/>
  <c r="B31" i="16" s="1"/>
  <c r="O30" i="16"/>
  <c r="A30" i="16"/>
  <c r="B30" i="16" s="1"/>
  <c r="O29" i="16"/>
  <c r="A29" i="16"/>
  <c r="B29" i="16" s="1"/>
  <c r="O28" i="16"/>
  <c r="A28" i="16"/>
  <c r="B28" i="16" s="1"/>
  <c r="O27" i="16"/>
  <c r="A27" i="16"/>
  <c r="B27" i="16" s="1"/>
  <c r="O26" i="16"/>
  <c r="A26" i="16"/>
  <c r="B26" i="16" s="1"/>
  <c r="O25" i="16"/>
  <c r="A25" i="16"/>
  <c r="B25" i="16" s="1"/>
  <c r="O24" i="16"/>
  <c r="P24" i="16"/>
  <c r="A24" i="16"/>
  <c r="B24" i="16" s="1"/>
  <c r="O23" i="16"/>
  <c r="P23" i="16"/>
  <c r="A23" i="16"/>
  <c r="B23" i="16" s="1"/>
  <c r="O22" i="16"/>
  <c r="A22" i="16"/>
  <c r="B22" i="16" s="1"/>
  <c r="O21" i="16"/>
  <c r="A21" i="16"/>
  <c r="B21" i="16" s="1"/>
  <c r="O20" i="16"/>
  <c r="A20" i="16"/>
  <c r="B20" i="16" s="1"/>
  <c r="O19" i="16"/>
  <c r="A19" i="16"/>
  <c r="B19" i="16" s="1"/>
  <c r="O18" i="16"/>
  <c r="A18" i="16"/>
  <c r="B18" i="16" s="1"/>
  <c r="O17" i="16"/>
  <c r="A17" i="16"/>
  <c r="B17" i="16" s="1"/>
  <c r="O16" i="16"/>
  <c r="P16" i="16"/>
  <c r="A16" i="16"/>
  <c r="B16" i="16" s="1"/>
  <c r="O15" i="16"/>
  <c r="P15" i="16"/>
  <c r="A15" i="16"/>
  <c r="B15" i="16" s="1"/>
  <c r="O14" i="16"/>
  <c r="A14" i="16"/>
  <c r="B14" i="16"/>
  <c r="O13" i="16"/>
  <c r="T13" i="16"/>
  <c r="A13" i="16"/>
  <c r="B13" i="16" s="1"/>
  <c r="O12" i="16"/>
  <c r="U12" i="16"/>
  <c r="T12" i="16"/>
  <c r="A12" i="16"/>
  <c r="B12" i="16" s="1"/>
  <c r="O11" i="16"/>
  <c r="A11" i="16"/>
  <c r="B11" i="16" s="1"/>
  <c r="O10" i="16"/>
  <c r="V10" i="16"/>
  <c r="P10" i="16"/>
  <c r="A10" i="16"/>
  <c r="B10" i="16" s="1"/>
  <c r="O9" i="16"/>
  <c r="A9" i="16"/>
  <c r="B9" i="16" s="1"/>
  <c r="O8" i="16"/>
  <c r="V8" i="16"/>
  <c r="P8" i="16"/>
  <c r="A8" i="16"/>
  <c r="B8" i="16" s="1"/>
  <c r="O7" i="16"/>
  <c r="A7" i="16"/>
  <c r="B7" i="16" s="1"/>
  <c r="O6" i="16"/>
  <c r="A6" i="16"/>
  <c r="B6" i="16" s="1"/>
  <c r="O5" i="16"/>
  <c r="A5" i="16"/>
  <c r="B5" i="16" s="1"/>
  <c r="O4" i="16"/>
  <c r="A4" i="16"/>
  <c r="B4" i="16" s="1"/>
  <c r="O3" i="16"/>
  <c r="P3" i="16"/>
  <c r="A3" i="16"/>
  <c r="B3" i="16" s="1"/>
  <c r="O2" i="16"/>
  <c r="U2" i="16"/>
  <c r="P2" i="16"/>
  <c r="A2" i="16"/>
  <c r="B2" i="16" s="1"/>
  <c r="S1" i="16"/>
  <c r="C1" i="16"/>
  <c r="A1" i="16"/>
  <c r="B121" i="15"/>
  <c r="B120" i="15"/>
  <c r="B119" i="15"/>
  <c r="B118" i="15"/>
  <c r="B117" i="15"/>
  <c r="B116" i="15"/>
  <c r="B115" i="15"/>
  <c r="B114" i="15"/>
  <c r="B113" i="15"/>
  <c r="B112" i="15"/>
  <c r="B111" i="15"/>
  <c r="B110" i="15"/>
  <c r="B109" i="15"/>
  <c r="B108" i="15"/>
  <c r="B107" i="15"/>
  <c r="B106" i="15"/>
  <c r="B105" i="15"/>
  <c r="B104" i="15"/>
  <c r="B103" i="15"/>
  <c r="B102" i="15"/>
  <c r="B101" i="15"/>
  <c r="B100" i="15"/>
  <c r="B99" i="15"/>
  <c r="B98" i="15"/>
  <c r="B97" i="15"/>
  <c r="B96" i="15"/>
  <c r="B95" i="15"/>
  <c r="B94" i="15"/>
  <c r="B93" i="15"/>
  <c r="B92" i="15"/>
  <c r="B91" i="15"/>
  <c r="B90" i="15"/>
  <c r="B89" i="15"/>
  <c r="B88" i="15"/>
  <c r="B87" i="15"/>
  <c r="B86" i="15"/>
  <c r="B85" i="15"/>
  <c r="B84" i="15"/>
  <c r="B83" i="15"/>
  <c r="B82" i="15"/>
  <c r="B81" i="15"/>
  <c r="B80" i="15"/>
  <c r="B79" i="15"/>
  <c r="B78" i="15"/>
  <c r="B77" i="15"/>
  <c r="B76" i="15"/>
  <c r="B75" i="15"/>
  <c r="B74" i="15"/>
  <c r="B73" i="15"/>
  <c r="B72" i="15"/>
  <c r="B71" i="15"/>
  <c r="B70" i="15"/>
  <c r="B69" i="15"/>
  <c r="B68" i="15"/>
  <c r="B67" i="15"/>
  <c r="B66" i="15"/>
  <c r="B65" i="15"/>
  <c r="B64" i="15"/>
  <c r="B63" i="15"/>
  <c r="B62" i="15"/>
  <c r="A61" i="15"/>
  <c r="B61" i="15"/>
  <c r="A60" i="15"/>
  <c r="B60" i="15"/>
  <c r="A59" i="15"/>
  <c r="B59" i="15"/>
  <c r="A58" i="15"/>
  <c r="B58" i="15"/>
  <c r="A57" i="15"/>
  <c r="B57" i="15"/>
  <c r="A56" i="15"/>
  <c r="B56" i="15"/>
  <c r="A55" i="15"/>
  <c r="B55" i="15"/>
  <c r="A54" i="15"/>
  <c r="B54" i="15"/>
  <c r="A53" i="15"/>
  <c r="B53" i="15"/>
  <c r="A52" i="15"/>
  <c r="B52" i="15"/>
  <c r="A51" i="15"/>
  <c r="B51" i="15"/>
  <c r="A50" i="15"/>
  <c r="B50" i="15" s="1"/>
  <c r="A49" i="15"/>
  <c r="B49" i="15"/>
  <c r="A48" i="15"/>
  <c r="B48" i="15"/>
  <c r="A47" i="15"/>
  <c r="B47" i="15"/>
  <c r="A46" i="15"/>
  <c r="B46" i="15"/>
  <c r="A45" i="15"/>
  <c r="B45" i="15"/>
  <c r="A44" i="15"/>
  <c r="B44" i="15"/>
  <c r="A43" i="15"/>
  <c r="B43" i="15"/>
  <c r="A42" i="15"/>
  <c r="B42" i="15"/>
  <c r="A41" i="15"/>
  <c r="B41" i="15"/>
  <c r="A40" i="15"/>
  <c r="B40" i="15"/>
  <c r="G39" i="15"/>
  <c r="P39" i="15" s="1"/>
  <c r="A39" i="15"/>
  <c r="B39" i="15"/>
  <c r="A38" i="15"/>
  <c r="B38" i="15" s="1"/>
  <c r="A37" i="15"/>
  <c r="B37" i="15"/>
  <c r="A36" i="15"/>
  <c r="B36" i="15" s="1"/>
  <c r="A35" i="15"/>
  <c r="B35" i="15"/>
  <c r="A34" i="15"/>
  <c r="B34" i="15" s="1"/>
  <c r="A33" i="15"/>
  <c r="B33" i="15"/>
  <c r="A32" i="15"/>
  <c r="B32" i="15" s="1"/>
  <c r="A31" i="15"/>
  <c r="B31" i="15"/>
  <c r="A30" i="15"/>
  <c r="B30" i="15" s="1"/>
  <c r="A29" i="15"/>
  <c r="B29" i="15"/>
  <c r="A28" i="15"/>
  <c r="B28" i="15" s="1"/>
  <c r="A27" i="15"/>
  <c r="B27" i="15"/>
  <c r="A26" i="15"/>
  <c r="B26" i="15" s="1"/>
  <c r="A25" i="15"/>
  <c r="B25" i="15"/>
  <c r="A24" i="15"/>
  <c r="B24" i="15" s="1"/>
  <c r="A23" i="15"/>
  <c r="B23" i="15"/>
  <c r="A22" i="15"/>
  <c r="B22" i="15" s="1"/>
  <c r="A21" i="15"/>
  <c r="B21" i="15"/>
  <c r="A20" i="15"/>
  <c r="B20" i="15" s="1"/>
  <c r="A19" i="15"/>
  <c r="B19" i="15"/>
  <c r="A18" i="15"/>
  <c r="B18" i="15" s="1"/>
  <c r="A17" i="15"/>
  <c r="B17" i="15"/>
  <c r="A16" i="15"/>
  <c r="B16" i="15" s="1"/>
  <c r="G15" i="15"/>
  <c r="P15" i="15" s="1"/>
  <c r="A15" i="15"/>
  <c r="B15" i="15" s="1"/>
  <c r="A14" i="15"/>
  <c r="B14" i="15"/>
  <c r="J13" i="15"/>
  <c r="S13" i="15" s="1"/>
  <c r="I13" i="15"/>
  <c r="R13" i="15" s="1"/>
  <c r="G13" i="15"/>
  <c r="P13" i="15" s="1"/>
  <c r="A13" i="15"/>
  <c r="B13" i="15"/>
  <c r="J12" i="15"/>
  <c r="S12" i="15" s="1"/>
  <c r="I12" i="15"/>
  <c r="R12" i="15" s="1"/>
  <c r="G12" i="15"/>
  <c r="P12" i="15" s="1"/>
  <c r="A12" i="15"/>
  <c r="B12" i="15" s="1"/>
  <c r="J11" i="15"/>
  <c r="S11" i="15" s="1"/>
  <c r="I11" i="15"/>
  <c r="R11" i="15" s="1"/>
  <c r="G11" i="15"/>
  <c r="P11" i="15" s="1"/>
  <c r="A11" i="15"/>
  <c r="B11" i="15" s="1"/>
  <c r="J10" i="15"/>
  <c r="S10" i="15" s="1"/>
  <c r="I10" i="15"/>
  <c r="R10" i="15" s="1"/>
  <c r="H10" i="15"/>
  <c r="Q10" i="15" s="1"/>
  <c r="G10" i="15"/>
  <c r="P10" i="15" s="1"/>
  <c r="A10" i="15"/>
  <c r="B10" i="15"/>
  <c r="J9" i="15"/>
  <c r="S9" i="15" s="1"/>
  <c r="I9" i="15"/>
  <c r="R9" i="15" s="1"/>
  <c r="G9" i="15"/>
  <c r="P9" i="15" s="1"/>
  <c r="A9" i="15"/>
  <c r="B9" i="15" s="1"/>
  <c r="J8" i="15"/>
  <c r="S8" i="15" s="1"/>
  <c r="I8" i="15"/>
  <c r="R8" i="15" s="1"/>
  <c r="G8" i="15"/>
  <c r="P8" i="15" s="1"/>
  <c r="A8" i="15"/>
  <c r="B8" i="15" s="1"/>
  <c r="J7" i="15"/>
  <c r="S7" i="15" s="1"/>
  <c r="I7" i="15"/>
  <c r="R7" i="15" s="1"/>
  <c r="G7" i="15"/>
  <c r="P7" i="15" s="1"/>
  <c r="A7" i="15"/>
  <c r="B7" i="15"/>
  <c r="J6" i="15"/>
  <c r="S6" i="15" s="1"/>
  <c r="I6" i="15"/>
  <c r="R6" i="15" s="1"/>
  <c r="G6" i="15"/>
  <c r="P6" i="15" s="1"/>
  <c r="A6" i="15"/>
  <c r="B6" i="15"/>
  <c r="J5" i="15"/>
  <c r="S5" i="15" s="1"/>
  <c r="I5" i="15"/>
  <c r="R5" i="15" s="1"/>
  <c r="G5" i="15"/>
  <c r="P5" i="15" s="1"/>
  <c r="A5" i="15"/>
  <c r="B5" i="15" s="1"/>
  <c r="J4" i="15"/>
  <c r="S4" i="15" s="1"/>
  <c r="I4" i="15"/>
  <c r="R4" i="15" s="1"/>
  <c r="G4" i="15"/>
  <c r="P4" i="15" s="1"/>
  <c r="A4" i="15"/>
  <c r="B4" i="15" s="1"/>
  <c r="J3" i="15"/>
  <c r="S3" i="15" s="1"/>
  <c r="I3" i="15"/>
  <c r="R3" i="15" s="1"/>
  <c r="G3" i="15"/>
  <c r="P3" i="15" s="1"/>
  <c r="A3" i="15"/>
  <c r="B3" i="15"/>
  <c r="J2" i="15"/>
  <c r="S2" i="15" s="1"/>
  <c r="I2" i="15"/>
  <c r="R2" i="15" s="1"/>
  <c r="G2" i="15"/>
  <c r="P2" i="15" s="1"/>
  <c r="A2" i="15"/>
  <c r="B2" i="15"/>
  <c r="J1" i="15"/>
  <c r="S1" i="15" s="1"/>
  <c r="I1" i="15"/>
  <c r="R1" i="15"/>
  <c r="H1" i="15"/>
  <c r="Q1" i="15" s="1"/>
  <c r="G1" i="15"/>
  <c r="P1" i="15"/>
  <c r="F1" i="15"/>
  <c r="O1" i="15" s="1"/>
  <c r="E1" i="15"/>
  <c r="N1" i="15"/>
  <c r="D1" i="15"/>
  <c r="M1" i="15" s="1"/>
  <c r="C1" i="15"/>
  <c r="A1" i="15"/>
  <c r="B121" i="14"/>
  <c r="B120" i="14"/>
  <c r="B119" i="14"/>
  <c r="B118" i="14"/>
  <c r="B117" i="14"/>
  <c r="B116" i="14"/>
  <c r="B115" i="14"/>
  <c r="B114" i="14"/>
  <c r="B113" i="14"/>
  <c r="B112" i="14"/>
  <c r="B111" i="14"/>
  <c r="B110" i="14"/>
  <c r="B109" i="14"/>
  <c r="B108" i="14"/>
  <c r="B107" i="14"/>
  <c r="B106" i="14"/>
  <c r="B105" i="14"/>
  <c r="B104" i="14"/>
  <c r="B103" i="14"/>
  <c r="B102" i="14"/>
  <c r="B101" i="14"/>
  <c r="B100" i="14"/>
  <c r="B99" i="14"/>
  <c r="B98" i="14"/>
  <c r="H97" i="14"/>
  <c r="P97" i="14" s="1"/>
  <c r="A97" i="14"/>
  <c r="B97" i="14"/>
  <c r="H96" i="14"/>
  <c r="P96" i="14" s="1"/>
  <c r="A96" i="14"/>
  <c r="B96" i="14" s="1"/>
  <c r="H95" i="14"/>
  <c r="P95" i="14" s="1"/>
  <c r="A95" i="14"/>
  <c r="B95" i="14" s="1"/>
  <c r="H94" i="14"/>
  <c r="P94" i="14" s="1"/>
  <c r="A94" i="14"/>
  <c r="B94" i="14"/>
  <c r="H93" i="14"/>
  <c r="P93" i="14" s="1"/>
  <c r="A93" i="14"/>
  <c r="B93" i="14"/>
  <c r="H92" i="14"/>
  <c r="P92" i="14" s="1"/>
  <c r="A92" i="14"/>
  <c r="B92" i="14" s="1"/>
  <c r="H91" i="14"/>
  <c r="P91" i="14" s="1"/>
  <c r="A91" i="14"/>
  <c r="B91" i="14" s="1"/>
  <c r="H90" i="14"/>
  <c r="P90" i="14" s="1"/>
  <c r="A90" i="14"/>
  <c r="B90" i="14"/>
  <c r="H89" i="14"/>
  <c r="P89" i="14" s="1"/>
  <c r="A89" i="14"/>
  <c r="B89" i="14"/>
  <c r="H88" i="14"/>
  <c r="P88" i="14" s="1"/>
  <c r="A88" i="14"/>
  <c r="B88" i="14" s="1"/>
  <c r="H87" i="14"/>
  <c r="P87" i="14" s="1"/>
  <c r="A87" i="14"/>
  <c r="B87" i="14" s="1"/>
  <c r="H86" i="14"/>
  <c r="P86" i="14" s="1"/>
  <c r="A86" i="14"/>
  <c r="B86" i="14"/>
  <c r="H85" i="14"/>
  <c r="P85" i="14" s="1"/>
  <c r="A85" i="14"/>
  <c r="B85" i="14"/>
  <c r="H84" i="14"/>
  <c r="P84" i="14" s="1"/>
  <c r="A84" i="14"/>
  <c r="B84" i="14" s="1"/>
  <c r="H83" i="14"/>
  <c r="P83" i="14" s="1"/>
  <c r="A83" i="14"/>
  <c r="B83" i="14" s="1"/>
  <c r="H82" i="14"/>
  <c r="P82" i="14" s="1"/>
  <c r="A82" i="14"/>
  <c r="B82" i="14"/>
  <c r="H81" i="14"/>
  <c r="P81" i="14" s="1"/>
  <c r="A81" i="14"/>
  <c r="B81" i="14"/>
  <c r="H80" i="14"/>
  <c r="P80" i="14" s="1"/>
  <c r="A80" i="14"/>
  <c r="B80" i="14" s="1"/>
  <c r="H79" i="14"/>
  <c r="P79" i="14" s="1"/>
  <c r="A79" i="14"/>
  <c r="B79" i="14" s="1"/>
  <c r="H78" i="14"/>
  <c r="P78" i="14" s="1"/>
  <c r="A78" i="14"/>
  <c r="B78" i="14"/>
  <c r="H77" i="14"/>
  <c r="P77" i="14" s="1"/>
  <c r="A77" i="14"/>
  <c r="B77" i="14"/>
  <c r="H76" i="14"/>
  <c r="P76" i="14" s="1"/>
  <c r="A76" i="14"/>
  <c r="B76" i="14" s="1"/>
  <c r="H75" i="14"/>
  <c r="P75" i="14" s="1"/>
  <c r="A75" i="14"/>
  <c r="B75" i="14" s="1"/>
  <c r="H74" i="14"/>
  <c r="P74" i="14" s="1"/>
  <c r="A74" i="14"/>
  <c r="B74" i="14"/>
  <c r="H73" i="14"/>
  <c r="P73" i="14" s="1"/>
  <c r="A73" i="14"/>
  <c r="B73" i="14"/>
  <c r="H72" i="14"/>
  <c r="P72" i="14" s="1"/>
  <c r="A72" i="14"/>
  <c r="B72" i="14" s="1"/>
  <c r="H71" i="14"/>
  <c r="P71" i="14" s="1"/>
  <c r="A71" i="14"/>
  <c r="B71" i="14" s="1"/>
  <c r="H70" i="14"/>
  <c r="P70" i="14" s="1"/>
  <c r="A70" i="14"/>
  <c r="B70" i="14"/>
  <c r="H69" i="14"/>
  <c r="P69" i="14" s="1"/>
  <c r="A69" i="14"/>
  <c r="B69" i="14"/>
  <c r="H68" i="14"/>
  <c r="P68" i="14" s="1"/>
  <c r="A68" i="14"/>
  <c r="B68" i="14" s="1"/>
  <c r="H67" i="14"/>
  <c r="P67" i="14" s="1"/>
  <c r="A67" i="14"/>
  <c r="B67" i="14" s="1"/>
  <c r="H66" i="14"/>
  <c r="P66" i="14" s="1"/>
  <c r="A66" i="14"/>
  <c r="B66" i="14"/>
  <c r="H65" i="14"/>
  <c r="P65" i="14" s="1"/>
  <c r="A65" i="14"/>
  <c r="B65" i="14"/>
  <c r="H64" i="14"/>
  <c r="P64" i="14" s="1"/>
  <c r="A64" i="14"/>
  <c r="B64" i="14" s="1"/>
  <c r="H63" i="14"/>
  <c r="P63" i="14" s="1"/>
  <c r="A63" i="14"/>
  <c r="B63" i="14" s="1"/>
  <c r="H62" i="14"/>
  <c r="P62" i="14" s="1"/>
  <c r="A62" i="14"/>
  <c r="B62" i="14"/>
  <c r="H61" i="14"/>
  <c r="P61" i="14" s="1"/>
  <c r="A61" i="14"/>
  <c r="B61" i="14"/>
  <c r="H60" i="14"/>
  <c r="P60" i="14" s="1"/>
  <c r="A60" i="14"/>
  <c r="B60" i="14" s="1"/>
  <c r="H59" i="14"/>
  <c r="P59" i="14" s="1"/>
  <c r="A59" i="14"/>
  <c r="B59" i="14" s="1"/>
  <c r="H58" i="14"/>
  <c r="P58" i="14" s="1"/>
  <c r="A58" i="14"/>
  <c r="B58" i="14"/>
  <c r="H57" i="14"/>
  <c r="P57" i="14" s="1"/>
  <c r="A57" i="14"/>
  <c r="B57" i="14"/>
  <c r="H56" i="14"/>
  <c r="P56" i="14" s="1"/>
  <c r="A56" i="14"/>
  <c r="B56" i="14" s="1"/>
  <c r="H55" i="14"/>
  <c r="P55" i="14" s="1"/>
  <c r="A55" i="14"/>
  <c r="B55" i="14" s="1"/>
  <c r="H54" i="14"/>
  <c r="P54" i="14" s="1"/>
  <c r="A54" i="14"/>
  <c r="B54" i="14"/>
  <c r="H53" i="14"/>
  <c r="P53" i="14" s="1"/>
  <c r="A53" i="14"/>
  <c r="B53" i="14"/>
  <c r="H52" i="14"/>
  <c r="P52" i="14" s="1"/>
  <c r="A52" i="14"/>
  <c r="B52" i="14" s="1"/>
  <c r="H51" i="14"/>
  <c r="P51" i="14" s="1"/>
  <c r="A51" i="14"/>
  <c r="B51" i="14" s="1"/>
  <c r="H50" i="14"/>
  <c r="P50" i="14" s="1"/>
  <c r="A50" i="14"/>
  <c r="B50" i="14"/>
  <c r="H49" i="14"/>
  <c r="P49" i="14" s="1"/>
  <c r="A49" i="14"/>
  <c r="B49" i="14"/>
  <c r="H48" i="14"/>
  <c r="P48" i="14" s="1"/>
  <c r="A48" i="14"/>
  <c r="B48" i="14" s="1"/>
  <c r="H47" i="14"/>
  <c r="P47" i="14" s="1"/>
  <c r="A47" i="14"/>
  <c r="B47" i="14" s="1"/>
  <c r="H46" i="14"/>
  <c r="P46" i="14" s="1"/>
  <c r="A46" i="14"/>
  <c r="B46" i="14"/>
  <c r="H45" i="14"/>
  <c r="P45" i="14" s="1"/>
  <c r="A45" i="14"/>
  <c r="B45" i="14"/>
  <c r="H44" i="14"/>
  <c r="P44" i="14" s="1"/>
  <c r="A44" i="14"/>
  <c r="B44" i="14" s="1"/>
  <c r="H43" i="14"/>
  <c r="P43" i="14" s="1"/>
  <c r="A43" i="14"/>
  <c r="B43" i="14" s="1"/>
  <c r="H42" i="14"/>
  <c r="P42" i="14" s="1"/>
  <c r="A42" i="14"/>
  <c r="B42" i="14"/>
  <c r="H41" i="14"/>
  <c r="P41" i="14" s="1"/>
  <c r="A41" i="14"/>
  <c r="B41" i="14"/>
  <c r="H40" i="14"/>
  <c r="P40" i="14" s="1"/>
  <c r="A40" i="14"/>
  <c r="B40" i="14" s="1"/>
  <c r="H39" i="14"/>
  <c r="P39" i="14" s="1"/>
  <c r="F39" i="14"/>
  <c r="N39" i="14" s="1"/>
  <c r="A39" i="14"/>
  <c r="B39" i="14" s="1"/>
  <c r="H38" i="14"/>
  <c r="P38" i="14" s="1"/>
  <c r="A38" i="14"/>
  <c r="B38" i="14" s="1"/>
  <c r="H37" i="14"/>
  <c r="P37" i="14" s="1"/>
  <c r="A37" i="14"/>
  <c r="B37" i="14"/>
  <c r="H36" i="14"/>
  <c r="P36" i="14" s="1"/>
  <c r="A36" i="14"/>
  <c r="B36" i="14"/>
  <c r="H35" i="14"/>
  <c r="P35" i="14" s="1"/>
  <c r="A35" i="14"/>
  <c r="B35" i="14" s="1"/>
  <c r="H34" i="14"/>
  <c r="P34" i="14" s="1"/>
  <c r="A34" i="14"/>
  <c r="B34" i="14" s="1"/>
  <c r="H33" i="14"/>
  <c r="P33" i="14" s="1"/>
  <c r="A33" i="14"/>
  <c r="B33" i="14"/>
  <c r="H32" i="14"/>
  <c r="P32" i="14" s="1"/>
  <c r="A32" i="14"/>
  <c r="B32" i="14"/>
  <c r="H31" i="14"/>
  <c r="P31" i="14" s="1"/>
  <c r="A31" i="14"/>
  <c r="B31" i="14" s="1"/>
  <c r="H30" i="14"/>
  <c r="P30" i="14" s="1"/>
  <c r="A30" i="14"/>
  <c r="B30" i="14" s="1"/>
  <c r="H29" i="14"/>
  <c r="P29" i="14" s="1"/>
  <c r="A29" i="14"/>
  <c r="B29" i="14"/>
  <c r="H28" i="14"/>
  <c r="P28" i="14" s="1"/>
  <c r="A28" i="14"/>
  <c r="B28" i="14"/>
  <c r="H27" i="14"/>
  <c r="P27" i="14" s="1"/>
  <c r="A27" i="14"/>
  <c r="B27" i="14" s="1"/>
  <c r="H26" i="14"/>
  <c r="P26" i="14" s="1"/>
  <c r="A26" i="14"/>
  <c r="B26" i="14" s="1"/>
  <c r="H25" i="14"/>
  <c r="P25" i="14" s="1"/>
  <c r="A25" i="14"/>
  <c r="B25" i="14"/>
  <c r="H24" i="14"/>
  <c r="P24" i="14" s="1"/>
  <c r="A24" i="14"/>
  <c r="B24" i="14"/>
  <c r="H23" i="14"/>
  <c r="P23" i="14" s="1"/>
  <c r="A23" i="14"/>
  <c r="B23" i="14" s="1"/>
  <c r="H22" i="14"/>
  <c r="P22" i="14" s="1"/>
  <c r="A22" i="14"/>
  <c r="B22" i="14" s="1"/>
  <c r="H21" i="14"/>
  <c r="P21" i="14" s="1"/>
  <c r="A21" i="14"/>
  <c r="B21" i="14"/>
  <c r="H20" i="14"/>
  <c r="P20" i="14" s="1"/>
  <c r="A20" i="14"/>
  <c r="B20" i="14"/>
  <c r="H19" i="14"/>
  <c r="P19" i="14" s="1"/>
  <c r="A19" i="14"/>
  <c r="B19" i="14" s="1"/>
  <c r="H18" i="14"/>
  <c r="P18" i="14" s="1"/>
  <c r="A18" i="14"/>
  <c r="B18" i="14" s="1"/>
  <c r="H17" i="14"/>
  <c r="P17" i="14" s="1"/>
  <c r="A17" i="14"/>
  <c r="B17" i="14"/>
  <c r="H16" i="14"/>
  <c r="P16" i="14" s="1"/>
  <c r="A16" i="14"/>
  <c r="B16" i="14"/>
  <c r="H15" i="14"/>
  <c r="P15" i="14" s="1"/>
  <c r="F15" i="14"/>
  <c r="N15" i="14" s="1"/>
  <c r="A15" i="14"/>
  <c r="B15" i="14"/>
  <c r="H14" i="14"/>
  <c r="P14" i="14" s="1"/>
  <c r="A14" i="14"/>
  <c r="B14" i="14" s="1"/>
  <c r="H13" i="14"/>
  <c r="P13" i="14" s="1"/>
  <c r="F13" i="14"/>
  <c r="N13" i="14" s="1"/>
  <c r="A13" i="14"/>
  <c r="B13" i="14" s="1"/>
  <c r="H12" i="14"/>
  <c r="P12" i="14" s="1"/>
  <c r="F12" i="14"/>
  <c r="N12" i="14" s="1"/>
  <c r="A12" i="14"/>
  <c r="B12" i="14" s="1"/>
  <c r="H11" i="14"/>
  <c r="P11" i="14" s="1"/>
  <c r="F11" i="14"/>
  <c r="N11" i="14" s="1"/>
  <c r="A11" i="14"/>
  <c r="B11" i="14" s="1"/>
  <c r="H10" i="14"/>
  <c r="P10" i="14" s="1"/>
  <c r="G10" i="14"/>
  <c r="O10" i="14" s="1"/>
  <c r="F10" i="14"/>
  <c r="N10" i="14" s="1"/>
  <c r="A10" i="14"/>
  <c r="B10" i="14"/>
  <c r="H9" i="14"/>
  <c r="P9" i="14" s="1"/>
  <c r="F9" i="14"/>
  <c r="N9" i="14" s="1"/>
  <c r="A9" i="14"/>
  <c r="B9" i="14"/>
  <c r="H8" i="14"/>
  <c r="P8" i="14" s="1"/>
  <c r="F8" i="14"/>
  <c r="N8" i="14" s="1"/>
  <c r="A8" i="14"/>
  <c r="B8" i="14"/>
  <c r="H7" i="14"/>
  <c r="P7" i="14" s="1"/>
  <c r="F7" i="14"/>
  <c r="N7" i="14" s="1"/>
  <c r="A7" i="14"/>
  <c r="B7" i="14"/>
  <c r="H6" i="14"/>
  <c r="P6" i="14" s="1"/>
  <c r="F6" i="14"/>
  <c r="N6" i="14" s="1"/>
  <c r="A6" i="14"/>
  <c r="B6" i="14"/>
  <c r="H5" i="14"/>
  <c r="P5" i="14" s="1"/>
  <c r="F5" i="14"/>
  <c r="N5" i="14" s="1"/>
  <c r="A5" i="14"/>
  <c r="B5" i="14"/>
  <c r="H4" i="14"/>
  <c r="P4" i="14" s="1"/>
  <c r="F4" i="14"/>
  <c r="N4" i="14" s="1"/>
  <c r="A4" i="14"/>
  <c r="B4" i="14"/>
  <c r="H3" i="14"/>
  <c r="P3" i="14" s="1"/>
  <c r="F3" i="14"/>
  <c r="N3" i="14" s="1"/>
  <c r="A3" i="14"/>
  <c r="B3" i="14"/>
  <c r="H2" i="14"/>
  <c r="P2" i="14" s="1"/>
  <c r="F2" i="14"/>
  <c r="N2" i="14" s="1"/>
  <c r="A2" i="14"/>
  <c r="B2" i="14"/>
  <c r="I1" i="14"/>
  <c r="Q1" i="14" s="1"/>
  <c r="H1" i="14"/>
  <c r="P1" i="14"/>
  <c r="G1" i="14"/>
  <c r="O1" i="14" s="1"/>
  <c r="F1" i="14"/>
  <c r="N1" i="14"/>
  <c r="E1" i="14"/>
  <c r="M1" i="14" s="1"/>
  <c r="D1" i="14"/>
  <c r="L1" i="14"/>
  <c r="C1" i="14"/>
  <c r="A1" i="14"/>
  <c r="A97" i="10"/>
  <c r="B97" i="10"/>
  <c r="A96" i="10"/>
  <c r="B96" i="10" s="1"/>
  <c r="A95" i="10"/>
  <c r="B95" i="10"/>
  <c r="A94" i="10"/>
  <c r="B94" i="10" s="1"/>
  <c r="A93" i="10"/>
  <c r="B93" i="10"/>
  <c r="A92" i="10"/>
  <c r="B92" i="10" s="1"/>
  <c r="A91" i="10"/>
  <c r="B91" i="10"/>
  <c r="A90" i="10"/>
  <c r="B90" i="10" s="1"/>
  <c r="A89" i="10"/>
  <c r="B89" i="10"/>
  <c r="A88" i="10"/>
  <c r="B88" i="10" s="1"/>
  <c r="A87" i="10"/>
  <c r="B87" i="10"/>
  <c r="A86" i="10"/>
  <c r="B86" i="10" s="1"/>
  <c r="A85" i="10"/>
  <c r="B85" i="10"/>
  <c r="A84" i="10"/>
  <c r="B84" i="10" s="1"/>
  <c r="A83" i="10"/>
  <c r="B83" i="10"/>
  <c r="A82" i="10"/>
  <c r="B82" i="10" s="1"/>
  <c r="A81" i="10"/>
  <c r="B81" i="10"/>
  <c r="A80" i="10"/>
  <c r="B80" i="10" s="1"/>
  <c r="A79" i="10"/>
  <c r="B79" i="10"/>
  <c r="A78" i="10"/>
  <c r="B78" i="10" s="1"/>
  <c r="A77" i="10"/>
  <c r="B77" i="10"/>
  <c r="A76" i="10"/>
  <c r="B76" i="10" s="1"/>
  <c r="A75" i="10"/>
  <c r="B75" i="10"/>
  <c r="A74" i="10"/>
  <c r="B74" i="10" s="1"/>
  <c r="A73" i="10"/>
  <c r="B73" i="10"/>
  <c r="A72" i="10"/>
  <c r="B72" i="10" s="1"/>
  <c r="A71" i="10"/>
  <c r="B71" i="10"/>
  <c r="A70" i="10"/>
  <c r="B70" i="10" s="1"/>
  <c r="A69" i="10"/>
  <c r="B69" i="10"/>
  <c r="A68" i="10"/>
  <c r="B68" i="10" s="1"/>
  <c r="A67" i="10"/>
  <c r="B67" i="10"/>
  <c r="A66" i="10"/>
  <c r="B66" i="10" s="1"/>
  <c r="A65" i="10"/>
  <c r="B65" i="10"/>
  <c r="A64" i="10"/>
  <c r="B64" i="10" s="1"/>
  <c r="A63" i="10"/>
  <c r="B63" i="10"/>
  <c r="A62" i="10"/>
  <c r="B62" i="10" s="1"/>
  <c r="A61" i="10"/>
  <c r="B61" i="10"/>
  <c r="A60" i="10"/>
  <c r="B60" i="10" s="1"/>
  <c r="A59" i="10"/>
  <c r="B59" i="10"/>
  <c r="A58" i="10"/>
  <c r="B58" i="10" s="1"/>
  <c r="A57" i="10"/>
  <c r="B57" i="10"/>
  <c r="A56" i="10"/>
  <c r="B56" i="10" s="1"/>
  <c r="A55" i="10"/>
  <c r="B55" i="10"/>
  <c r="A54" i="10"/>
  <c r="B54" i="10" s="1"/>
  <c r="A53" i="10"/>
  <c r="B53" i="10"/>
  <c r="A52" i="10"/>
  <c r="B52" i="10" s="1"/>
  <c r="A51" i="10"/>
  <c r="B51" i="10"/>
  <c r="A50" i="10"/>
  <c r="B50" i="10" s="1"/>
  <c r="A49" i="10"/>
  <c r="B49" i="10"/>
  <c r="A48" i="10"/>
  <c r="B48" i="10" s="1"/>
  <c r="A47" i="10"/>
  <c r="B47" i="10"/>
  <c r="A46" i="10"/>
  <c r="B46" i="10" s="1"/>
  <c r="A45" i="10"/>
  <c r="B45" i="10"/>
  <c r="A44" i="10"/>
  <c r="B44" i="10" s="1"/>
  <c r="A43" i="10"/>
  <c r="B43" i="10"/>
  <c r="A42" i="10"/>
  <c r="B42" i="10" s="1"/>
  <c r="A41" i="10"/>
  <c r="B41" i="10"/>
  <c r="A40" i="10"/>
  <c r="B40" i="10" s="1"/>
  <c r="A39" i="10"/>
  <c r="B39" i="10"/>
  <c r="A38" i="10"/>
  <c r="B38" i="10" s="1"/>
  <c r="A37" i="10"/>
  <c r="B37" i="10"/>
  <c r="A36" i="10"/>
  <c r="B36" i="10" s="1"/>
  <c r="A35" i="10"/>
  <c r="B35" i="10"/>
  <c r="A34" i="10"/>
  <c r="B34" i="10" s="1"/>
  <c r="A33" i="10"/>
  <c r="B33" i="10"/>
  <c r="A32" i="10"/>
  <c r="B32" i="10" s="1"/>
  <c r="A31" i="10"/>
  <c r="B31" i="10"/>
  <c r="A30" i="10"/>
  <c r="B30" i="10" s="1"/>
  <c r="A29" i="10"/>
  <c r="B29" i="10"/>
  <c r="A28" i="10"/>
  <c r="B28" i="10" s="1"/>
  <c r="A27" i="10"/>
  <c r="B27" i="10"/>
  <c r="A26" i="10"/>
  <c r="B26" i="10" s="1"/>
  <c r="A25" i="10"/>
  <c r="B25" i="10"/>
  <c r="A24" i="10"/>
  <c r="B24" i="10" s="1"/>
  <c r="A23" i="10"/>
  <c r="B23" i="10"/>
  <c r="A22" i="10"/>
  <c r="B22" i="10" s="1"/>
  <c r="A21" i="10"/>
  <c r="B21" i="10"/>
  <c r="A20" i="10"/>
  <c r="B20" i="10" s="1"/>
  <c r="A19" i="10"/>
  <c r="B19" i="10"/>
  <c r="A18" i="10"/>
  <c r="B18" i="10" s="1"/>
  <c r="A17" i="10"/>
  <c r="B17" i="10"/>
  <c r="A16" i="10"/>
  <c r="B16" i="10" s="1"/>
  <c r="A15" i="10"/>
  <c r="B15" i="10"/>
  <c r="A14" i="10"/>
  <c r="B14" i="10" s="1"/>
  <c r="A13" i="10"/>
  <c r="B13" i="10"/>
  <c r="A12" i="10"/>
  <c r="B12" i="10" s="1"/>
  <c r="A11" i="10"/>
  <c r="B11" i="10"/>
  <c r="A10" i="10"/>
  <c r="B10" i="10" s="1"/>
  <c r="A9" i="10"/>
  <c r="B9" i="10"/>
  <c r="A8" i="10"/>
  <c r="B8" i="10" s="1"/>
  <c r="A7" i="10"/>
  <c r="B7" i="10"/>
  <c r="A6" i="10"/>
  <c r="B6" i="10" s="1"/>
  <c r="A5" i="10"/>
  <c r="B5" i="10"/>
  <c r="A4" i="10"/>
  <c r="B4" i="10" s="1"/>
  <c r="A3" i="10"/>
  <c r="B3" i="10"/>
  <c r="A2" i="10"/>
  <c r="B2" i="10" s="1"/>
  <c r="V1" i="10"/>
  <c r="U1" i="10"/>
  <c r="T1" i="10"/>
  <c r="S1" i="10"/>
  <c r="R1" i="10"/>
  <c r="Q1" i="10"/>
  <c r="P1" i="10"/>
  <c r="C1" i="10"/>
  <c r="A1" i="10"/>
  <c r="A97" i="8"/>
  <c r="B97" i="8"/>
  <c r="A96" i="8"/>
  <c r="B96" i="8"/>
  <c r="A95" i="8"/>
  <c r="B95" i="8" s="1"/>
  <c r="A94" i="8"/>
  <c r="B94" i="8"/>
  <c r="A93" i="8"/>
  <c r="B93" i="8" s="1"/>
  <c r="A92" i="8"/>
  <c r="B92" i="8"/>
  <c r="A91" i="8"/>
  <c r="B91" i="8" s="1"/>
  <c r="A90" i="8"/>
  <c r="B90" i="8" s="1"/>
  <c r="A89" i="8"/>
  <c r="B89" i="8" s="1"/>
  <c r="A88" i="8"/>
  <c r="B88" i="8" s="1"/>
  <c r="A87" i="8"/>
  <c r="B87" i="8"/>
  <c r="A86" i="8"/>
  <c r="B86" i="8" s="1"/>
  <c r="A85" i="8"/>
  <c r="B85" i="8"/>
  <c r="A84" i="8"/>
  <c r="B84" i="8" s="1"/>
  <c r="A83" i="8"/>
  <c r="B83" i="8"/>
  <c r="A82" i="8"/>
  <c r="B82" i="8" s="1"/>
  <c r="A81" i="8"/>
  <c r="B81" i="8"/>
  <c r="A80" i="8"/>
  <c r="B80" i="8" s="1"/>
  <c r="A79" i="8"/>
  <c r="B79" i="8" s="1"/>
  <c r="A78" i="8"/>
  <c r="B78" i="8" s="1"/>
  <c r="A77" i="8"/>
  <c r="B77" i="8" s="1"/>
  <c r="A76" i="8"/>
  <c r="B76" i="8" s="1"/>
  <c r="A75" i="8"/>
  <c r="B75" i="8"/>
  <c r="A74" i="8"/>
  <c r="B74" i="8" s="1"/>
  <c r="A73" i="8"/>
  <c r="B73" i="8"/>
  <c r="A72" i="8"/>
  <c r="B72" i="8"/>
  <c r="A71" i="8"/>
  <c r="B71" i="8"/>
  <c r="A70" i="8"/>
  <c r="B70" i="8"/>
  <c r="A69" i="8"/>
  <c r="B69" i="8"/>
  <c r="A68" i="8"/>
  <c r="B68" i="8"/>
  <c r="A67" i="8"/>
  <c r="B67" i="8" s="1"/>
  <c r="A66" i="8"/>
  <c r="B66" i="8" s="1"/>
  <c r="A65" i="8"/>
  <c r="B65" i="8" s="1"/>
  <c r="A64" i="8"/>
  <c r="B64" i="8" s="1"/>
  <c r="A63" i="8"/>
  <c r="B63" i="8"/>
  <c r="A62" i="8"/>
  <c r="B62" i="8" s="1"/>
  <c r="A61" i="8"/>
  <c r="B61" i="8"/>
  <c r="A60" i="8"/>
  <c r="B60" i="8" s="1"/>
  <c r="A59" i="8"/>
  <c r="B59" i="8"/>
  <c r="A58" i="8"/>
  <c r="B58" i="8" s="1"/>
  <c r="A57" i="8"/>
  <c r="B57" i="8"/>
  <c r="A56" i="8"/>
  <c r="B56" i="8" s="1"/>
  <c r="A55" i="8"/>
  <c r="B55" i="8"/>
  <c r="A54" i="8"/>
  <c r="B54" i="8" s="1"/>
  <c r="A53" i="8"/>
  <c r="B53" i="8"/>
  <c r="A52" i="8"/>
  <c r="B52" i="8"/>
  <c r="A51" i="8"/>
  <c r="B51" i="8"/>
  <c r="A50" i="8"/>
  <c r="B50" i="8" s="1"/>
  <c r="A49" i="8"/>
  <c r="B49" i="8"/>
  <c r="A48" i="8"/>
  <c r="B48" i="8"/>
  <c r="A47" i="8"/>
  <c r="B47" i="8" s="1"/>
  <c r="A46" i="8"/>
  <c r="B46" i="8"/>
  <c r="A45" i="8"/>
  <c r="B45" i="8" s="1"/>
  <c r="A44" i="8"/>
  <c r="B44" i="8"/>
  <c r="A43" i="8"/>
  <c r="B43" i="8" s="1"/>
  <c r="A42" i="8"/>
  <c r="B42" i="8"/>
  <c r="A41" i="8"/>
  <c r="B41" i="8" s="1"/>
  <c r="A40" i="8"/>
  <c r="B40" i="8"/>
  <c r="G39" i="8"/>
  <c r="A39" i="8"/>
  <c r="B39" i="8"/>
  <c r="A38" i="8"/>
  <c r="B38" i="8" s="1"/>
  <c r="A37" i="8"/>
  <c r="B37" i="8"/>
  <c r="A36" i="8"/>
  <c r="B36" i="8" s="1"/>
  <c r="A35" i="8"/>
  <c r="B35" i="8"/>
  <c r="A34" i="8"/>
  <c r="B34" i="8"/>
  <c r="A33" i="8"/>
  <c r="B33" i="8" s="1"/>
  <c r="A32" i="8"/>
  <c r="B32" i="8"/>
  <c r="A31" i="8"/>
  <c r="B31" i="8" s="1"/>
  <c r="A30" i="8"/>
  <c r="B30" i="8"/>
  <c r="A29" i="8"/>
  <c r="B29" i="8" s="1"/>
  <c r="A28" i="8"/>
  <c r="B28" i="8"/>
  <c r="A27" i="8"/>
  <c r="B27" i="8" s="1"/>
  <c r="A26" i="8"/>
  <c r="B26" i="8" s="1"/>
  <c r="A25" i="8"/>
  <c r="B25" i="8"/>
  <c r="A24" i="8"/>
  <c r="B24" i="8" s="1"/>
  <c r="A23" i="8"/>
  <c r="B23" i="8"/>
  <c r="A22" i="8"/>
  <c r="B22" i="8" s="1"/>
  <c r="A21" i="8"/>
  <c r="B21" i="8"/>
  <c r="A20" i="8"/>
  <c r="B20" i="8" s="1"/>
  <c r="A19" i="8"/>
  <c r="B19" i="8"/>
  <c r="A18" i="8"/>
  <c r="B18" i="8"/>
  <c r="A17" i="8"/>
  <c r="B17" i="8" s="1"/>
  <c r="A16" i="8"/>
  <c r="B16" i="8"/>
  <c r="G15" i="8"/>
  <c r="A15" i="8"/>
  <c r="B15" i="8" s="1"/>
  <c r="A14" i="8"/>
  <c r="B14" i="8"/>
  <c r="J13" i="8"/>
  <c r="I13" i="8"/>
  <c r="G13" i="8"/>
  <c r="A13" i="8"/>
  <c r="B13" i="8" s="1"/>
  <c r="J12" i="8"/>
  <c r="I12" i="8"/>
  <c r="G12" i="8"/>
  <c r="A12" i="8"/>
  <c r="B12" i="8" s="1"/>
  <c r="J11" i="8"/>
  <c r="I11" i="8"/>
  <c r="G11" i="8"/>
  <c r="A11" i="8"/>
  <c r="B11" i="8"/>
  <c r="J10" i="8"/>
  <c r="I10" i="8"/>
  <c r="H10" i="8"/>
  <c r="G10" i="8"/>
  <c r="A10" i="8"/>
  <c r="B10" i="8" s="1"/>
  <c r="J9" i="8"/>
  <c r="I9" i="8"/>
  <c r="G9" i="8"/>
  <c r="A9" i="8"/>
  <c r="B9" i="8"/>
  <c r="J8" i="8"/>
  <c r="I8" i="8"/>
  <c r="G8" i="8"/>
  <c r="A8" i="8"/>
  <c r="B8" i="8" s="1"/>
  <c r="J7" i="8"/>
  <c r="I7" i="8"/>
  <c r="G7" i="8"/>
  <c r="A7" i="8"/>
  <c r="B7" i="8" s="1"/>
  <c r="J6" i="8"/>
  <c r="I6" i="8"/>
  <c r="G6" i="8"/>
  <c r="A6" i="8"/>
  <c r="B6" i="8"/>
  <c r="J5" i="8"/>
  <c r="I5" i="8"/>
  <c r="G5" i="8"/>
  <c r="A5" i="8"/>
  <c r="B5" i="8"/>
  <c r="J4" i="8"/>
  <c r="I4" i="8"/>
  <c r="G4" i="8"/>
  <c r="A4" i="8"/>
  <c r="B4" i="8" s="1"/>
  <c r="J3" i="8"/>
  <c r="I3" i="8"/>
  <c r="G3" i="8"/>
  <c r="A3" i="8"/>
  <c r="B3" i="8"/>
  <c r="J2" i="8"/>
  <c r="I2" i="8"/>
  <c r="G2" i="8"/>
  <c r="A2" i="8"/>
  <c r="B2" i="8"/>
  <c r="J1" i="8"/>
  <c r="S1" i="8" s="1"/>
  <c r="I1" i="8"/>
  <c r="R1" i="8"/>
  <c r="H1" i="8"/>
  <c r="Q1" i="8" s="1"/>
  <c r="G1" i="8"/>
  <c r="P1" i="8"/>
  <c r="F1" i="8"/>
  <c r="O1" i="8" s="1"/>
  <c r="E1" i="8"/>
  <c r="N1" i="8"/>
  <c r="D1" i="8"/>
  <c r="M1" i="8" s="1"/>
  <c r="C1" i="8"/>
  <c r="A1" i="8"/>
  <c r="H97" i="6"/>
  <c r="A97" i="6"/>
  <c r="B97" i="6"/>
  <c r="H96" i="6"/>
  <c r="A96" i="6"/>
  <c r="B96" i="6" s="1"/>
  <c r="H95" i="6"/>
  <c r="A95" i="6"/>
  <c r="B95" i="6" s="1"/>
  <c r="H94" i="6"/>
  <c r="A94" i="6"/>
  <c r="B94" i="6"/>
  <c r="H93" i="6"/>
  <c r="A93" i="6"/>
  <c r="B93" i="6"/>
  <c r="H92" i="6"/>
  <c r="A92" i="6"/>
  <c r="B92" i="6" s="1"/>
  <c r="H91" i="6"/>
  <c r="A91" i="6"/>
  <c r="B91" i="6" s="1"/>
  <c r="H90" i="6"/>
  <c r="A90" i="6"/>
  <c r="B90" i="6"/>
  <c r="H89" i="6"/>
  <c r="A89" i="6"/>
  <c r="B89" i="6"/>
  <c r="H88" i="6"/>
  <c r="A88" i="6"/>
  <c r="B88" i="6" s="1"/>
  <c r="H87" i="6"/>
  <c r="A87" i="6"/>
  <c r="B87" i="6" s="1"/>
  <c r="H86" i="6"/>
  <c r="A86" i="6"/>
  <c r="B86" i="6"/>
  <c r="H85" i="6"/>
  <c r="A85" i="6"/>
  <c r="B85" i="6"/>
  <c r="H84" i="6"/>
  <c r="A84" i="6"/>
  <c r="B84" i="6" s="1"/>
  <c r="H83" i="6"/>
  <c r="A83" i="6"/>
  <c r="B83" i="6" s="1"/>
  <c r="H82" i="6"/>
  <c r="A82" i="6"/>
  <c r="B82" i="6"/>
  <c r="H81" i="6"/>
  <c r="A81" i="6"/>
  <c r="B81" i="6"/>
  <c r="H80" i="6"/>
  <c r="A80" i="6"/>
  <c r="B80" i="6" s="1"/>
  <c r="H79" i="6"/>
  <c r="A79" i="6"/>
  <c r="B79" i="6" s="1"/>
  <c r="H78" i="6"/>
  <c r="A78" i="6"/>
  <c r="B78" i="6"/>
  <c r="H77" i="6"/>
  <c r="A77" i="6"/>
  <c r="B77" i="6"/>
  <c r="H76" i="6"/>
  <c r="A76" i="6"/>
  <c r="B76" i="6" s="1"/>
  <c r="H75" i="6"/>
  <c r="A75" i="6"/>
  <c r="B75" i="6" s="1"/>
  <c r="H74" i="6"/>
  <c r="A74" i="6"/>
  <c r="B74" i="6"/>
  <c r="H73" i="6"/>
  <c r="A73" i="6"/>
  <c r="B73" i="6"/>
  <c r="H72" i="6"/>
  <c r="A72" i="6"/>
  <c r="B72" i="6" s="1"/>
  <c r="H71" i="6"/>
  <c r="A71" i="6"/>
  <c r="B71" i="6" s="1"/>
  <c r="H70" i="6"/>
  <c r="A70" i="6"/>
  <c r="B70" i="6"/>
  <c r="H69" i="6"/>
  <c r="A69" i="6"/>
  <c r="B69" i="6"/>
  <c r="H68" i="6"/>
  <c r="A68" i="6"/>
  <c r="B68" i="6" s="1"/>
  <c r="H67" i="6"/>
  <c r="A67" i="6"/>
  <c r="B67" i="6" s="1"/>
  <c r="H66" i="6"/>
  <c r="A66" i="6"/>
  <c r="B66" i="6"/>
  <c r="H65" i="6"/>
  <c r="A65" i="6"/>
  <c r="B65" i="6"/>
  <c r="H64" i="6"/>
  <c r="A64" i="6"/>
  <c r="B64" i="6" s="1"/>
  <c r="H63" i="6"/>
  <c r="A63" i="6"/>
  <c r="B63" i="6" s="1"/>
  <c r="H62" i="6"/>
  <c r="A62" i="6"/>
  <c r="B62" i="6"/>
  <c r="H61" i="6"/>
  <c r="A61" i="6"/>
  <c r="B61" i="6"/>
  <c r="H60" i="6"/>
  <c r="A60" i="6"/>
  <c r="B60" i="6" s="1"/>
  <c r="H59" i="6"/>
  <c r="A59" i="6"/>
  <c r="B59" i="6" s="1"/>
  <c r="H58" i="6"/>
  <c r="A58" i="6"/>
  <c r="B58" i="6"/>
  <c r="H57" i="6"/>
  <c r="A57" i="6"/>
  <c r="B57" i="6"/>
  <c r="H56" i="6"/>
  <c r="A56" i="6"/>
  <c r="B56" i="6" s="1"/>
  <c r="H55" i="6"/>
  <c r="A55" i="6"/>
  <c r="B55" i="6" s="1"/>
  <c r="H54" i="6"/>
  <c r="A54" i="6"/>
  <c r="B54" i="6"/>
  <c r="H53" i="6"/>
  <c r="A53" i="6"/>
  <c r="B53" i="6"/>
  <c r="H52" i="6"/>
  <c r="A52" i="6"/>
  <c r="B52" i="6" s="1"/>
  <c r="H51" i="6"/>
  <c r="A51" i="6"/>
  <c r="B51" i="6" s="1"/>
  <c r="H50" i="6"/>
  <c r="A50" i="6"/>
  <c r="B50" i="6"/>
  <c r="H49" i="6"/>
  <c r="A49" i="6"/>
  <c r="B49" i="6"/>
  <c r="H48" i="6"/>
  <c r="A48" i="6"/>
  <c r="B48" i="6" s="1"/>
  <c r="H47" i="6"/>
  <c r="A47" i="6"/>
  <c r="B47" i="6" s="1"/>
  <c r="H46" i="6"/>
  <c r="A46" i="6"/>
  <c r="B46" i="6"/>
  <c r="H45" i="6"/>
  <c r="A45" i="6"/>
  <c r="B45" i="6"/>
  <c r="H44" i="6"/>
  <c r="A44" i="6"/>
  <c r="B44" i="6" s="1"/>
  <c r="H43" i="6"/>
  <c r="A43" i="6"/>
  <c r="B43" i="6" s="1"/>
  <c r="H42" i="6"/>
  <c r="A42" i="6"/>
  <c r="B42" i="6"/>
  <c r="H41" i="6"/>
  <c r="A41" i="6"/>
  <c r="B41" i="6"/>
  <c r="H40" i="6"/>
  <c r="A40" i="6"/>
  <c r="B40" i="6" s="1"/>
  <c r="H39" i="6"/>
  <c r="F39" i="6"/>
  <c r="A39" i="6"/>
  <c r="B39" i="6" s="1"/>
  <c r="H38" i="6"/>
  <c r="A38" i="6"/>
  <c r="B38" i="6" s="1"/>
  <c r="H37" i="6"/>
  <c r="A37" i="6"/>
  <c r="B37" i="6"/>
  <c r="H36" i="6"/>
  <c r="A36" i="6"/>
  <c r="B36" i="6"/>
  <c r="H35" i="6"/>
  <c r="A35" i="6"/>
  <c r="B35" i="6" s="1"/>
  <c r="H34" i="6"/>
  <c r="A34" i="6"/>
  <c r="B34" i="6" s="1"/>
  <c r="H33" i="6"/>
  <c r="A33" i="6"/>
  <c r="B33" i="6"/>
  <c r="H32" i="6"/>
  <c r="A32" i="6"/>
  <c r="B32" i="6"/>
  <c r="H31" i="6"/>
  <c r="A31" i="6"/>
  <c r="B31" i="6" s="1"/>
  <c r="H30" i="6"/>
  <c r="A30" i="6"/>
  <c r="B30" i="6" s="1"/>
  <c r="H29" i="6"/>
  <c r="A29" i="6"/>
  <c r="B29" i="6"/>
  <c r="H28" i="6"/>
  <c r="A28" i="6"/>
  <c r="B28" i="6"/>
  <c r="H27" i="6"/>
  <c r="A27" i="6"/>
  <c r="B27" i="6" s="1"/>
  <c r="H26" i="6"/>
  <c r="A26" i="6"/>
  <c r="B26" i="6" s="1"/>
  <c r="H25" i="6"/>
  <c r="A25" i="6"/>
  <c r="B25" i="6"/>
  <c r="H24" i="6"/>
  <c r="A24" i="6"/>
  <c r="B24" i="6"/>
  <c r="H23" i="6"/>
  <c r="A23" i="6"/>
  <c r="B23" i="6" s="1"/>
  <c r="H22" i="6"/>
  <c r="R22" i="6" s="1"/>
  <c r="A22" i="6"/>
  <c r="B22" i="6" s="1"/>
  <c r="H21" i="6"/>
  <c r="A21" i="6"/>
  <c r="B21" i="6"/>
  <c r="H20" i="6"/>
  <c r="A20" i="6"/>
  <c r="B20" i="6"/>
  <c r="H19" i="6"/>
  <c r="A19" i="6"/>
  <c r="B19" i="6" s="1"/>
  <c r="H18" i="6"/>
  <c r="A18" i="6"/>
  <c r="B18" i="6" s="1"/>
  <c r="H17" i="6"/>
  <c r="A17" i="6"/>
  <c r="B17" i="6"/>
  <c r="H16" i="6"/>
  <c r="A16" i="6"/>
  <c r="B16" i="6"/>
  <c r="H15" i="6"/>
  <c r="F15" i="6"/>
  <c r="A15" i="6"/>
  <c r="B15" i="6"/>
  <c r="H14" i="6"/>
  <c r="A14" i="6"/>
  <c r="B14" i="6" s="1"/>
  <c r="H13" i="6"/>
  <c r="F13" i="6"/>
  <c r="A13" i="6"/>
  <c r="B13" i="6" s="1"/>
  <c r="H12" i="6"/>
  <c r="F12" i="6"/>
  <c r="A12" i="6"/>
  <c r="B12" i="6" s="1"/>
  <c r="H11" i="6"/>
  <c r="F11" i="6"/>
  <c r="A11" i="6"/>
  <c r="B11" i="6" s="1"/>
  <c r="H10" i="6"/>
  <c r="G10" i="6"/>
  <c r="F10" i="6"/>
  <c r="A10" i="6"/>
  <c r="B10" i="6"/>
  <c r="H9" i="6"/>
  <c r="F9" i="6"/>
  <c r="A9" i="6"/>
  <c r="B9" i="6"/>
  <c r="H8" i="6"/>
  <c r="F8" i="6"/>
  <c r="A8" i="6"/>
  <c r="B8" i="6"/>
  <c r="H7" i="6"/>
  <c r="F7" i="6"/>
  <c r="A7" i="6"/>
  <c r="B7" i="6"/>
  <c r="H6" i="6"/>
  <c r="F6" i="6"/>
  <c r="A6" i="6"/>
  <c r="B6" i="6"/>
  <c r="H5" i="6"/>
  <c r="F5" i="6"/>
  <c r="A5" i="6"/>
  <c r="B5" i="6"/>
  <c r="H4" i="6"/>
  <c r="F4" i="6"/>
  <c r="A4" i="6"/>
  <c r="B4" i="6"/>
  <c r="H3" i="6"/>
  <c r="F3" i="6"/>
  <c r="A3" i="6"/>
  <c r="B3" i="6"/>
  <c r="H2" i="6"/>
  <c r="F2" i="6"/>
  <c r="A2" i="6"/>
  <c r="B2" i="6"/>
  <c r="I1" i="6"/>
  <c r="Q1" i="6" s="1"/>
  <c r="H1" i="6"/>
  <c r="P1" i="6"/>
  <c r="G1" i="6"/>
  <c r="O1" i="6" s="1"/>
  <c r="F1" i="6"/>
  <c r="N1" i="6"/>
  <c r="E1" i="6"/>
  <c r="M1" i="6" s="1"/>
  <c r="D1" i="6"/>
  <c r="L1" i="6"/>
  <c r="C1" i="6"/>
  <c r="A1" i="6"/>
  <c r="C261" i="3"/>
  <c r="B257" i="3"/>
  <c r="C253" i="3"/>
  <c r="Q54" i="3" s="1"/>
  <c r="Q55" i="3"/>
  <c r="P55" i="3"/>
  <c r="O55" i="3"/>
  <c r="N55" i="3"/>
  <c r="M55" i="3"/>
  <c r="L55" i="3"/>
  <c r="K55" i="3"/>
  <c r="J55" i="3"/>
  <c r="I55" i="3"/>
  <c r="H55" i="3"/>
  <c r="G55" i="3"/>
  <c r="F55" i="3"/>
  <c r="P54" i="3"/>
  <c r="O54" i="3"/>
  <c r="N54" i="3"/>
  <c r="M54" i="3"/>
  <c r="L54" i="3"/>
  <c r="K54" i="3"/>
  <c r="J54" i="3"/>
  <c r="I54" i="3"/>
  <c r="H54" i="3"/>
  <c r="G54" i="3"/>
  <c r="F54" i="3"/>
  <c r="Q53" i="3"/>
  <c r="P53" i="3"/>
  <c r="O53" i="3"/>
  <c r="N53" i="3"/>
  <c r="M53" i="3"/>
  <c r="L53" i="3"/>
  <c r="K53" i="3"/>
  <c r="J53" i="3"/>
  <c r="I53" i="3"/>
  <c r="H53" i="3"/>
  <c r="G53" i="3"/>
  <c r="F53" i="3"/>
  <c r="Q52" i="3"/>
  <c r="P52" i="3"/>
  <c r="O52" i="3"/>
  <c r="N52" i="3"/>
  <c r="M52" i="3"/>
  <c r="L52" i="3"/>
  <c r="K52" i="3"/>
  <c r="J52" i="3"/>
  <c r="I52" i="3"/>
  <c r="H52" i="3"/>
  <c r="G52" i="3"/>
  <c r="F52" i="3"/>
  <c r="Q51" i="3"/>
  <c r="P51" i="3"/>
  <c r="O51" i="3"/>
  <c r="N51" i="3"/>
  <c r="M51" i="3"/>
  <c r="L51" i="3"/>
  <c r="K51" i="3"/>
  <c r="J51" i="3"/>
  <c r="I51" i="3"/>
  <c r="H51" i="3"/>
  <c r="G51" i="3"/>
  <c r="F51" i="3"/>
  <c r="Q50" i="3"/>
  <c r="P50" i="3"/>
  <c r="O50" i="3"/>
  <c r="N50" i="3"/>
  <c r="M50" i="3"/>
  <c r="L50" i="3"/>
  <c r="K50" i="3"/>
  <c r="J50" i="3"/>
  <c r="I50" i="3"/>
  <c r="H50" i="3"/>
  <c r="G50" i="3"/>
  <c r="F50" i="3"/>
  <c r="Q49" i="3"/>
  <c r="P49" i="3"/>
  <c r="O49" i="3"/>
  <c r="N49" i="3"/>
  <c r="M49" i="3"/>
  <c r="L49" i="3"/>
  <c r="K49" i="3"/>
  <c r="J49" i="3"/>
  <c r="I49" i="3"/>
  <c r="H49" i="3"/>
  <c r="G49" i="3"/>
  <c r="F49" i="3"/>
  <c r="Q48" i="3"/>
  <c r="P48" i="3"/>
  <c r="O48" i="3"/>
  <c r="N48" i="3"/>
  <c r="M48" i="3"/>
  <c r="L48" i="3"/>
  <c r="K48" i="3"/>
  <c r="J48" i="3"/>
  <c r="I48" i="3"/>
  <c r="H48" i="3"/>
  <c r="G48" i="3"/>
  <c r="F48" i="3"/>
  <c r="Q47" i="3"/>
  <c r="P47" i="3"/>
  <c r="O47" i="3"/>
  <c r="N47" i="3"/>
  <c r="M47" i="3"/>
  <c r="L47" i="3"/>
  <c r="K47" i="3"/>
  <c r="J47" i="3"/>
  <c r="I47" i="3"/>
  <c r="H47" i="3"/>
  <c r="G47" i="3"/>
  <c r="F47" i="3"/>
  <c r="Q46" i="3"/>
  <c r="P46" i="3"/>
  <c r="O46" i="3"/>
  <c r="N46" i="3"/>
  <c r="M46" i="3"/>
  <c r="L46" i="3"/>
  <c r="K46" i="3"/>
  <c r="J46" i="3"/>
  <c r="I46" i="3"/>
  <c r="H46" i="3"/>
  <c r="G46" i="3"/>
  <c r="F46" i="3"/>
  <c r="Q45" i="3"/>
  <c r="P45" i="3"/>
  <c r="O45" i="3"/>
  <c r="N45" i="3"/>
  <c r="M45" i="3"/>
  <c r="L45" i="3"/>
  <c r="K45" i="3"/>
  <c r="J45" i="3"/>
  <c r="I45" i="3"/>
  <c r="H45" i="3"/>
  <c r="G45" i="3"/>
  <c r="F45" i="3"/>
  <c r="Q44" i="3"/>
  <c r="P44" i="3"/>
  <c r="O44" i="3"/>
  <c r="N44" i="3"/>
  <c r="M44" i="3"/>
  <c r="L44" i="3"/>
  <c r="K44" i="3"/>
  <c r="J44" i="3"/>
  <c r="I44" i="3"/>
  <c r="H44" i="3"/>
  <c r="G44" i="3"/>
  <c r="F44" i="3"/>
  <c r="Q43" i="3"/>
  <c r="P43" i="3"/>
  <c r="O43" i="3"/>
  <c r="N43" i="3"/>
  <c r="M43" i="3"/>
  <c r="L43" i="3"/>
  <c r="K43" i="3"/>
  <c r="J43" i="3"/>
  <c r="I43" i="3"/>
  <c r="H43" i="3"/>
  <c r="G43" i="3"/>
  <c r="F43" i="3"/>
  <c r="Q42" i="3"/>
  <c r="P42" i="3"/>
  <c r="O42" i="3"/>
  <c r="N42" i="3"/>
  <c r="M42" i="3"/>
  <c r="L42" i="3"/>
  <c r="K42" i="3"/>
  <c r="J42" i="3"/>
  <c r="I42" i="3"/>
  <c r="H42" i="3"/>
  <c r="G42" i="3"/>
  <c r="F42" i="3"/>
  <c r="Q41" i="3"/>
  <c r="P41" i="3"/>
  <c r="O41" i="3"/>
  <c r="N41" i="3"/>
  <c r="M41" i="3"/>
  <c r="L41" i="3"/>
  <c r="K41" i="3"/>
  <c r="J41" i="3"/>
  <c r="I41" i="3"/>
  <c r="H41" i="3"/>
  <c r="G41" i="3"/>
  <c r="F41" i="3"/>
  <c r="Q40" i="3"/>
  <c r="P40" i="3"/>
  <c r="O40" i="3"/>
  <c r="N40" i="3"/>
  <c r="M40" i="3"/>
  <c r="L40" i="3"/>
  <c r="K40" i="3"/>
  <c r="J40" i="3"/>
  <c r="I40" i="3"/>
  <c r="H40" i="3"/>
  <c r="G40" i="3"/>
  <c r="F40" i="3"/>
  <c r="Q39" i="3"/>
  <c r="P39" i="3"/>
  <c r="O39" i="3"/>
  <c r="N39" i="3"/>
  <c r="M39" i="3"/>
  <c r="L39" i="3"/>
  <c r="K39" i="3"/>
  <c r="J39" i="3"/>
  <c r="I39" i="3"/>
  <c r="H39" i="3"/>
  <c r="G39" i="3"/>
  <c r="F39" i="3"/>
  <c r="Q38" i="3"/>
  <c r="P38" i="3"/>
  <c r="O38" i="3"/>
  <c r="N38" i="3"/>
  <c r="M38" i="3"/>
  <c r="L38" i="3"/>
  <c r="K38" i="3"/>
  <c r="J38" i="3"/>
  <c r="I38" i="3"/>
  <c r="H38" i="3"/>
  <c r="G38" i="3"/>
  <c r="F38" i="3"/>
  <c r="Q37" i="3"/>
  <c r="P37" i="3"/>
  <c r="O37" i="3"/>
  <c r="N37" i="3"/>
  <c r="M37" i="3"/>
  <c r="L37" i="3"/>
  <c r="K37" i="3"/>
  <c r="J37" i="3"/>
  <c r="I37" i="3"/>
  <c r="H37" i="3"/>
  <c r="G37" i="3"/>
  <c r="F37" i="3"/>
  <c r="Q36" i="3"/>
  <c r="P36" i="3"/>
  <c r="O36" i="3"/>
  <c r="N36" i="3"/>
  <c r="M36" i="3"/>
  <c r="L36" i="3"/>
  <c r="K36" i="3"/>
  <c r="J36" i="3"/>
  <c r="I36" i="3"/>
  <c r="H36" i="3"/>
  <c r="G36" i="3"/>
  <c r="F36" i="3"/>
  <c r="Q35" i="3"/>
  <c r="P35" i="3"/>
  <c r="O35" i="3"/>
  <c r="N35" i="3"/>
  <c r="M35" i="3"/>
  <c r="L35" i="3"/>
  <c r="K35" i="3"/>
  <c r="J35" i="3"/>
  <c r="I35" i="3"/>
  <c r="H35" i="3"/>
  <c r="G35" i="3"/>
  <c r="F35" i="3"/>
  <c r="Q34" i="3"/>
  <c r="P34" i="3"/>
  <c r="O34" i="3"/>
  <c r="N34" i="3"/>
  <c r="M34" i="3"/>
  <c r="L34" i="3"/>
  <c r="K34" i="3"/>
  <c r="J34" i="3"/>
  <c r="I34" i="3"/>
  <c r="H34" i="3"/>
  <c r="G34" i="3"/>
  <c r="F34" i="3"/>
  <c r="Q23" i="3"/>
  <c r="P23" i="3"/>
  <c r="O23" i="3"/>
  <c r="N23" i="3"/>
  <c r="M23" i="3"/>
  <c r="L23" i="3"/>
  <c r="K23" i="3"/>
  <c r="J23" i="3"/>
  <c r="I23" i="3"/>
  <c r="H23" i="3"/>
  <c r="G23" i="3"/>
  <c r="F23" i="3"/>
  <c r="Q22" i="3"/>
  <c r="P22" i="3"/>
  <c r="O22" i="3"/>
  <c r="N22" i="3"/>
  <c r="M22" i="3"/>
  <c r="L22" i="3"/>
  <c r="K22" i="3"/>
  <c r="J22" i="3"/>
  <c r="I22" i="3"/>
  <c r="H22" i="3"/>
  <c r="G22" i="3"/>
  <c r="F22" i="3"/>
  <c r="Q21" i="3"/>
  <c r="P21" i="3"/>
  <c r="O21" i="3"/>
  <c r="N21" i="3"/>
  <c r="M21" i="3"/>
  <c r="L21" i="3"/>
  <c r="K21" i="3"/>
  <c r="J21" i="3"/>
  <c r="I21" i="3"/>
  <c r="H21" i="3"/>
  <c r="G21" i="3"/>
  <c r="F21" i="3"/>
  <c r="Q20" i="3"/>
  <c r="P20" i="3"/>
  <c r="O20" i="3"/>
  <c r="N20" i="3"/>
  <c r="M20" i="3"/>
  <c r="L20" i="3"/>
  <c r="K20" i="3"/>
  <c r="J20" i="3"/>
  <c r="I20" i="3"/>
  <c r="H20" i="3"/>
  <c r="G20" i="3"/>
  <c r="F20" i="3"/>
  <c r="Q19" i="3"/>
  <c r="P19" i="3"/>
  <c r="O19" i="3"/>
  <c r="N19" i="3"/>
  <c r="M19" i="3"/>
  <c r="L19" i="3"/>
  <c r="K19" i="3"/>
  <c r="J19" i="3"/>
  <c r="I19" i="3"/>
  <c r="H19" i="3"/>
  <c r="G19" i="3"/>
  <c r="F19" i="3"/>
  <c r="Q18" i="3"/>
  <c r="P18" i="3"/>
  <c r="O18" i="3"/>
  <c r="N18" i="3"/>
  <c r="M18" i="3"/>
  <c r="L18" i="3"/>
  <c r="K18" i="3"/>
  <c r="J18" i="3"/>
  <c r="I18" i="3"/>
  <c r="H18" i="3"/>
  <c r="G18" i="3"/>
  <c r="F18" i="3"/>
  <c r="Q17" i="3"/>
  <c r="P17" i="3"/>
  <c r="O17" i="3"/>
  <c r="N17" i="3"/>
  <c r="M17" i="3"/>
  <c r="L17" i="3"/>
  <c r="K17" i="3"/>
  <c r="J17" i="3"/>
  <c r="I17" i="3"/>
  <c r="H17" i="3"/>
  <c r="G17" i="3"/>
  <c r="F17" i="3"/>
  <c r="Q16" i="3"/>
  <c r="P16" i="3"/>
  <c r="O16" i="3"/>
  <c r="N16" i="3"/>
  <c r="M16" i="3"/>
  <c r="L16" i="3"/>
  <c r="K16" i="3"/>
  <c r="J16" i="3"/>
  <c r="I16" i="3"/>
  <c r="H16" i="3"/>
  <c r="G16" i="3"/>
  <c r="F16" i="3"/>
  <c r="Q15" i="3"/>
  <c r="P15" i="3"/>
  <c r="O15" i="3"/>
  <c r="N15" i="3"/>
  <c r="M15" i="3"/>
  <c r="L15" i="3"/>
  <c r="K15" i="3"/>
  <c r="J15" i="3"/>
  <c r="I15" i="3"/>
  <c r="H15" i="3"/>
  <c r="G15" i="3"/>
  <c r="F15" i="3"/>
  <c r="Q14" i="3"/>
  <c r="P14" i="3"/>
  <c r="O14" i="3"/>
  <c r="N14" i="3"/>
  <c r="M14" i="3"/>
  <c r="L14" i="3"/>
  <c r="K14" i="3"/>
  <c r="J14" i="3"/>
  <c r="I14" i="3"/>
  <c r="H14" i="3"/>
  <c r="G14" i="3"/>
  <c r="F14" i="3"/>
  <c r="Q13" i="3"/>
  <c r="P13" i="3"/>
  <c r="O13" i="3"/>
  <c r="N13" i="3"/>
  <c r="M13" i="3"/>
  <c r="L13" i="3"/>
  <c r="K13" i="3"/>
  <c r="J13" i="3"/>
  <c r="I13" i="3"/>
  <c r="H13" i="3"/>
  <c r="G13" i="3"/>
  <c r="F13" i="3"/>
  <c r="Q12" i="3"/>
  <c r="P12" i="3"/>
  <c r="O12" i="3"/>
  <c r="N12" i="3"/>
  <c r="M12" i="3"/>
  <c r="L12" i="3"/>
  <c r="K12" i="3"/>
  <c r="J12" i="3"/>
  <c r="I12" i="3"/>
  <c r="H12" i="3"/>
  <c r="G12" i="3"/>
  <c r="F12" i="3"/>
  <c r="Q11" i="3"/>
  <c r="P11" i="3"/>
  <c r="O11" i="3"/>
  <c r="N11" i="3"/>
  <c r="M11" i="3"/>
  <c r="L11" i="3"/>
  <c r="K11" i="3"/>
  <c r="J11" i="3"/>
  <c r="I11" i="3"/>
  <c r="H11" i="3"/>
  <c r="G11" i="3"/>
  <c r="F11" i="3"/>
  <c r="Q10" i="3"/>
  <c r="P10" i="3"/>
  <c r="O10" i="3"/>
  <c r="N10" i="3"/>
  <c r="M10" i="3"/>
  <c r="L10" i="3"/>
  <c r="K10" i="3"/>
  <c r="J10" i="3"/>
  <c r="I10" i="3"/>
  <c r="H10" i="3"/>
  <c r="G10" i="3"/>
  <c r="F10" i="3"/>
  <c r="Q9" i="3"/>
  <c r="P9" i="3"/>
  <c r="O9" i="3"/>
  <c r="N9" i="3"/>
  <c r="M9" i="3"/>
  <c r="L9" i="3"/>
  <c r="K9" i="3"/>
  <c r="J9" i="3"/>
  <c r="I9" i="3"/>
  <c r="H9" i="3"/>
  <c r="G9" i="3"/>
  <c r="F9" i="3"/>
  <c r="Q8" i="3"/>
  <c r="P8" i="3"/>
  <c r="O8" i="3"/>
  <c r="N8" i="3"/>
  <c r="M8" i="3"/>
  <c r="L8" i="3"/>
  <c r="K8" i="3"/>
  <c r="J8" i="3"/>
  <c r="I8" i="3"/>
  <c r="H8" i="3"/>
  <c r="G8" i="3"/>
  <c r="F8" i="3"/>
  <c r="Q7" i="3"/>
  <c r="P7" i="3"/>
  <c r="O7" i="3"/>
  <c r="N7" i="3"/>
  <c r="M7" i="3"/>
  <c r="L7" i="3"/>
  <c r="K7" i="3"/>
  <c r="J7" i="3"/>
  <c r="I7" i="3"/>
  <c r="H7" i="3"/>
  <c r="G7" i="3"/>
  <c r="F7" i="3"/>
  <c r="Q6" i="3"/>
  <c r="P6" i="3"/>
  <c r="O6" i="3"/>
  <c r="N6" i="3"/>
  <c r="M6" i="3"/>
  <c r="L6" i="3"/>
  <c r="K6" i="3"/>
  <c r="J6" i="3"/>
  <c r="I6" i="3"/>
  <c r="H6" i="3"/>
  <c r="G6" i="3"/>
  <c r="F6" i="3"/>
  <c r="Q5" i="3"/>
  <c r="P5" i="3"/>
  <c r="O5" i="3"/>
  <c r="N5" i="3"/>
  <c r="M5" i="3"/>
  <c r="L5" i="3"/>
  <c r="K5" i="3"/>
  <c r="J5" i="3"/>
  <c r="I5" i="3"/>
  <c r="H5" i="3"/>
  <c r="G5" i="3"/>
  <c r="F5" i="3"/>
  <c r="Q4" i="3"/>
  <c r="P4" i="3"/>
  <c r="O4" i="3"/>
  <c r="N4" i="3"/>
  <c r="M4" i="3"/>
  <c r="L4" i="3"/>
  <c r="K4" i="3"/>
  <c r="J4" i="3"/>
  <c r="I4" i="3"/>
  <c r="H4" i="3"/>
  <c r="G4" i="3"/>
  <c r="F4" i="3"/>
  <c r="Q3" i="3"/>
  <c r="P3" i="3"/>
  <c r="O3" i="3"/>
  <c r="N3" i="3"/>
  <c r="M3" i="3"/>
  <c r="L3" i="3"/>
  <c r="K3" i="3"/>
  <c r="J3" i="3"/>
  <c r="I3" i="3"/>
  <c r="H3" i="3"/>
  <c r="G3" i="3"/>
  <c r="F3" i="3"/>
  <c r="E3" i="3"/>
  <c r="E4" i="3"/>
  <c r="E5" i="3"/>
  <c r="E6" i="3" s="1"/>
  <c r="E7" i="3" s="1"/>
  <c r="E8" i="3" s="1"/>
  <c r="E9" i="3" s="1"/>
  <c r="E10" i="3" s="1"/>
  <c r="E11" i="3" s="1"/>
  <c r="E12" i="3" s="1"/>
  <c r="E13" i="3" s="1"/>
  <c r="E14" i="3" s="1"/>
  <c r="E15" i="3" s="1"/>
  <c r="Q2" i="3"/>
  <c r="P2" i="3"/>
  <c r="O2" i="3"/>
  <c r="N2" i="3"/>
  <c r="M2" i="3"/>
  <c r="L2" i="3"/>
  <c r="K2" i="3"/>
  <c r="J2" i="3"/>
  <c r="I2" i="3"/>
  <c r="H2" i="3"/>
  <c r="G2" i="3"/>
  <c r="F2" i="3"/>
  <c r="B81" i="25"/>
  <c r="B82" i="25" s="1"/>
  <c r="B83" i="25" s="1"/>
  <c r="B84" i="25" s="1"/>
  <c r="B85" i="25" s="1"/>
  <c r="B86" i="25" s="1"/>
  <c r="B87" i="25" s="1"/>
  <c r="D79" i="25"/>
  <c r="E79" i="25" s="1"/>
  <c r="F79" i="25" s="1"/>
  <c r="G79" i="25" s="1"/>
  <c r="H79" i="25" s="1"/>
  <c r="I79" i="25" s="1"/>
  <c r="J79" i="25" s="1"/>
  <c r="K79" i="25" s="1"/>
  <c r="L79" i="25" s="1"/>
  <c r="B69" i="25"/>
  <c r="B70" i="25" s="1"/>
  <c r="B71" i="25" s="1"/>
  <c r="B72" i="25" s="1"/>
  <c r="B73" i="25" s="1"/>
  <c r="B74" i="25" s="1"/>
  <c r="B75" i="25" s="1"/>
  <c r="D67" i="25"/>
  <c r="E67" i="25"/>
  <c r="F67" i="25" s="1"/>
  <c r="G67" i="25" s="1"/>
  <c r="H67" i="25" s="1"/>
  <c r="I67" i="25" s="1"/>
  <c r="J67" i="25" s="1"/>
  <c r="K67" i="25" s="1"/>
  <c r="L67" i="25" s="1"/>
  <c r="I63" i="25"/>
  <c r="H63" i="25"/>
  <c r="G63" i="25"/>
  <c r="F63" i="25"/>
  <c r="E63" i="25"/>
  <c r="D63" i="25"/>
  <c r="C63" i="25"/>
  <c r="L62" i="25"/>
  <c r="K62" i="25"/>
  <c r="J62" i="25"/>
  <c r="H62" i="25"/>
  <c r="G62" i="25"/>
  <c r="F62" i="25"/>
  <c r="E62" i="25"/>
  <c r="D62" i="25"/>
  <c r="C62" i="25"/>
  <c r="L61" i="25"/>
  <c r="K61" i="25"/>
  <c r="J61" i="25"/>
  <c r="I61" i="25"/>
  <c r="H61" i="25"/>
  <c r="G61" i="25"/>
  <c r="F61" i="25"/>
  <c r="E61" i="25"/>
  <c r="D61" i="25"/>
  <c r="C61" i="25"/>
  <c r="L60" i="25"/>
  <c r="K60" i="25"/>
  <c r="J60" i="25"/>
  <c r="I60" i="25"/>
  <c r="H60" i="25"/>
  <c r="G60" i="25"/>
  <c r="E60" i="25"/>
  <c r="D60" i="25"/>
  <c r="C60" i="25"/>
  <c r="L59" i="25"/>
  <c r="K59" i="25"/>
  <c r="J59" i="25"/>
  <c r="I59" i="25"/>
  <c r="H59" i="25"/>
  <c r="G59" i="25"/>
  <c r="F59" i="25"/>
  <c r="E59" i="25"/>
  <c r="D59" i="25"/>
  <c r="C59" i="25"/>
  <c r="L58" i="25"/>
  <c r="K58" i="25"/>
  <c r="J58" i="25"/>
  <c r="I58" i="25"/>
  <c r="H58" i="25"/>
  <c r="G58" i="25"/>
  <c r="F58" i="25"/>
  <c r="D58" i="25"/>
  <c r="C58" i="25"/>
  <c r="B57" i="25"/>
  <c r="B58" i="25" s="1"/>
  <c r="B59" i="25" s="1"/>
  <c r="B60" i="25" s="1"/>
  <c r="B61" i="25" s="1"/>
  <c r="B62" i="25" s="1"/>
  <c r="B63" i="25" s="1"/>
  <c r="D55" i="25"/>
  <c r="E55" i="25" s="1"/>
  <c r="F55" i="25" s="1"/>
  <c r="G55" i="25" s="1"/>
  <c r="H55" i="25" s="1"/>
  <c r="I55" i="25" s="1"/>
  <c r="J55" i="25" s="1"/>
  <c r="K55" i="25" s="1"/>
  <c r="L55" i="25" s="1"/>
  <c r="C49" i="25"/>
  <c r="I45" i="25"/>
  <c r="H45" i="25"/>
  <c r="G45" i="25"/>
  <c r="F45" i="25"/>
  <c r="E45" i="25"/>
  <c r="D45" i="25"/>
  <c r="C45" i="25"/>
  <c r="J45" i="25"/>
  <c r="B40" i="25"/>
  <c r="B41" i="25" s="1"/>
  <c r="B42" i="25" s="1"/>
  <c r="B43" i="25" s="1"/>
  <c r="D38" i="25"/>
  <c r="E38" i="25" s="1"/>
  <c r="F38" i="25" s="1"/>
  <c r="G38" i="25" s="1"/>
  <c r="H38" i="25" s="1"/>
  <c r="I38" i="25" s="1"/>
  <c r="J38" i="25" s="1"/>
  <c r="K38" i="25" s="1"/>
  <c r="L38" i="25" s="1"/>
  <c r="I33" i="25"/>
  <c r="H33" i="25"/>
  <c r="G33" i="25"/>
  <c r="F33" i="25"/>
  <c r="E33" i="25"/>
  <c r="D33" i="25"/>
  <c r="C33" i="25"/>
  <c r="J33" i="25"/>
  <c r="B28" i="25"/>
  <c r="B29" i="25" s="1"/>
  <c r="B30" i="25" s="1"/>
  <c r="B31" i="25" s="1"/>
  <c r="D26" i="25"/>
  <c r="E26" i="25" s="1"/>
  <c r="F26" i="25" s="1"/>
  <c r="G26" i="25" s="1"/>
  <c r="H26" i="25" s="1"/>
  <c r="I26" i="25" s="1"/>
  <c r="J26" i="25" s="1"/>
  <c r="K26" i="25" s="1"/>
  <c r="L26" i="25" s="1"/>
  <c r="I21" i="25"/>
  <c r="H21" i="25"/>
  <c r="G21" i="25"/>
  <c r="F21" i="25"/>
  <c r="E21" i="25"/>
  <c r="D21" i="25"/>
  <c r="C21" i="25"/>
  <c r="B16" i="25"/>
  <c r="B17" i="25"/>
  <c r="B18" i="25" s="1"/>
  <c r="B19" i="25" s="1"/>
  <c r="D14" i="25"/>
  <c r="E14" i="25" s="1"/>
  <c r="F14" i="25" s="1"/>
  <c r="G14" i="25" s="1"/>
  <c r="H14" i="25" s="1"/>
  <c r="I14" i="25" s="1"/>
  <c r="J14" i="25" s="1"/>
  <c r="K14" i="25" s="1"/>
  <c r="L14" i="25" s="1"/>
  <c r="D3" i="25"/>
  <c r="E3" i="25"/>
  <c r="F3" i="25" s="1"/>
  <c r="G3" i="25" s="1"/>
  <c r="H3" i="25" s="1"/>
  <c r="I3" i="25" s="1"/>
  <c r="J3" i="25" s="1"/>
  <c r="K3" i="25" s="1"/>
  <c r="L3" i="25" s="1"/>
  <c r="AK97" i="2"/>
  <c r="AJ97" i="2"/>
  <c r="AI97" i="2"/>
  <c r="AH97" i="2"/>
  <c r="W97" i="2"/>
  <c r="M97" i="2"/>
  <c r="L97" i="2"/>
  <c r="I97" i="2"/>
  <c r="D97" i="2"/>
  <c r="C97" i="2"/>
  <c r="AK96" i="2"/>
  <c r="AJ96" i="2"/>
  <c r="AI96" i="2"/>
  <c r="AH96" i="2"/>
  <c r="W96" i="2"/>
  <c r="M96" i="2"/>
  <c r="L96" i="2"/>
  <c r="I96" i="2"/>
  <c r="D96" i="2"/>
  <c r="C96" i="2"/>
  <c r="AK95" i="2"/>
  <c r="AJ95" i="2"/>
  <c r="AI95" i="2"/>
  <c r="AH95" i="2"/>
  <c r="E95" i="10"/>
  <c r="W95" i="2"/>
  <c r="M95" i="2"/>
  <c r="L95" i="2"/>
  <c r="I95" i="2"/>
  <c r="D95" i="2"/>
  <c r="C95" i="2"/>
  <c r="AK94" i="2"/>
  <c r="AJ94" i="2"/>
  <c r="AI94" i="2"/>
  <c r="AH94" i="2"/>
  <c r="W94" i="2"/>
  <c r="M94" i="2"/>
  <c r="L94" i="2"/>
  <c r="I94" i="2"/>
  <c r="D94" i="2"/>
  <c r="C94" i="2"/>
  <c r="AK93" i="2"/>
  <c r="AJ93" i="2"/>
  <c r="AI93" i="2"/>
  <c r="AH93" i="2"/>
  <c r="W93" i="2"/>
  <c r="M93" i="2"/>
  <c r="L93" i="2"/>
  <c r="I93" i="2"/>
  <c r="D93" i="2"/>
  <c r="C93" i="2"/>
  <c r="AK92" i="2"/>
  <c r="AJ92" i="2"/>
  <c r="AI92" i="2"/>
  <c r="AH92" i="2"/>
  <c r="W92" i="2"/>
  <c r="M92" i="2"/>
  <c r="L92" i="2"/>
  <c r="I92" i="2"/>
  <c r="D92" i="2"/>
  <c r="C92" i="2"/>
  <c r="AK91" i="2"/>
  <c r="AJ91" i="2"/>
  <c r="AI91" i="2"/>
  <c r="AH91" i="2"/>
  <c r="E91" i="10" s="1"/>
  <c r="W91" i="2"/>
  <c r="M91" i="2"/>
  <c r="L91" i="2"/>
  <c r="I91" i="2"/>
  <c r="D91" i="2"/>
  <c r="C91" i="2"/>
  <c r="AK90" i="2"/>
  <c r="AJ90" i="2"/>
  <c r="AI90" i="2"/>
  <c r="F90" i="10"/>
  <c r="AH90" i="2"/>
  <c r="W90" i="2"/>
  <c r="M90" i="2"/>
  <c r="L90" i="2"/>
  <c r="I90" i="2"/>
  <c r="D90" i="2"/>
  <c r="C90" i="2"/>
  <c r="AK89" i="2"/>
  <c r="AJ89" i="2"/>
  <c r="AI89" i="2"/>
  <c r="AH89" i="2"/>
  <c r="W89" i="2"/>
  <c r="M89" i="2"/>
  <c r="L89" i="2"/>
  <c r="I89" i="2"/>
  <c r="D89" i="2"/>
  <c r="C89" i="2"/>
  <c r="AK88" i="2"/>
  <c r="AJ88" i="2"/>
  <c r="AI88" i="2"/>
  <c r="F88" i="10"/>
  <c r="AH88" i="2"/>
  <c r="W88" i="2"/>
  <c r="M88" i="2"/>
  <c r="L88" i="2"/>
  <c r="I88" i="2"/>
  <c r="D88" i="2"/>
  <c r="C88" i="2"/>
  <c r="AM87" i="2"/>
  <c r="AK87" i="2"/>
  <c r="AJ87" i="2"/>
  <c r="AI87" i="2"/>
  <c r="AH87" i="2"/>
  <c r="E87" i="10" s="1"/>
  <c r="W87" i="2"/>
  <c r="M87" i="2"/>
  <c r="L87" i="2"/>
  <c r="I87" i="2"/>
  <c r="D87" i="2"/>
  <c r="C87" i="2"/>
  <c r="AK86" i="2"/>
  <c r="AJ86" i="2"/>
  <c r="AI86" i="2"/>
  <c r="AH86" i="2"/>
  <c r="W86" i="2"/>
  <c r="M86" i="2"/>
  <c r="L86" i="2"/>
  <c r="I86" i="2"/>
  <c r="D86" i="2"/>
  <c r="C86" i="2"/>
  <c r="AK85" i="2"/>
  <c r="AJ85" i="2"/>
  <c r="AI85" i="2"/>
  <c r="AH85" i="2"/>
  <c r="W85" i="2"/>
  <c r="M85" i="2"/>
  <c r="L85" i="2"/>
  <c r="I85" i="2"/>
  <c r="D85" i="2"/>
  <c r="C85" i="2"/>
  <c r="AK84" i="2"/>
  <c r="AJ84" i="2"/>
  <c r="AI84" i="2"/>
  <c r="AH84" i="2"/>
  <c r="W84" i="2"/>
  <c r="M84" i="2"/>
  <c r="L84" i="2"/>
  <c r="I84" i="2"/>
  <c r="D84" i="2"/>
  <c r="C84" i="2"/>
  <c r="AK83" i="2"/>
  <c r="AJ83" i="2"/>
  <c r="AI83" i="2"/>
  <c r="AH83" i="2"/>
  <c r="E83" i="10" s="1"/>
  <c r="W83" i="2"/>
  <c r="M83" i="2"/>
  <c r="L83" i="2"/>
  <c r="I83" i="2"/>
  <c r="D83" i="2"/>
  <c r="C83" i="2"/>
  <c r="AK82" i="2"/>
  <c r="AJ82" i="2"/>
  <c r="AI82" i="2"/>
  <c r="AH82" i="2"/>
  <c r="W82" i="2"/>
  <c r="M82" i="2"/>
  <c r="L82" i="2"/>
  <c r="I82" i="2"/>
  <c r="D82" i="2"/>
  <c r="C82" i="2"/>
  <c r="AK81" i="2"/>
  <c r="AJ81" i="2"/>
  <c r="AI81" i="2"/>
  <c r="AH81" i="2"/>
  <c r="W81" i="2"/>
  <c r="M81" i="2"/>
  <c r="L81" i="2"/>
  <c r="I81" i="2"/>
  <c r="D81" i="2"/>
  <c r="C81" i="2"/>
  <c r="AK80" i="2"/>
  <c r="AJ80" i="2"/>
  <c r="AI80" i="2"/>
  <c r="AH80" i="2"/>
  <c r="W80" i="2"/>
  <c r="M80" i="2"/>
  <c r="L80" i="2"/>
  <c r="I80" i="2"/>
  <c r="D80" i="2"/>
  <c r="C80" i="2"/>
  <c r="AK79" i="2"/>
  <c r="AJ79" i="2"/>
  <c r="AI79" i="2"/>
  <c r="AH79" i="2"/>
  <c r="E79" i="10" s="1"/>
  <c r="W79" i="2"/>
  <c r="M79" i="2"/>
  <c r="L79" i="2"/>
  <c r="I79" i="2"/>
  <c r="D79" i="2"/>
  <c r="C79" i="2"/>
  <c r="AK78" i="2"/>
  <c r="AJ78" i="2"/>
  <c r="AI78" i="2"/>
  <c r="AH78" i="2"/>
  <c r="W78" i="2"/>
  <c r="M78" i="2"/>
  <c r="L78" i="2"/>
  <c r="I78" i="2"/>
  <c r="D78" i="2"/>
  <c r="C78" i="2"/>
  <c r="AK77" i="2"/>
  <c r="AJ77" i="2"/>
  <c r="AI77" i="2"/>
  <c r="AH77" i="2"/>
  <c r="W77" i="2"/>
  <c r="M77" i="2"/>
  <c r="L77" i="2"/>
  <c r="I77" i="2"/>
  <c r="D77" i="2"/>
  <c r="C77" i="2"/>
  <c r="AK76" i="2"/>
  <c r="AJ76" i="2"/>
  <c r="AI76" i="2"/>
  <c r="AH76" i="2"/>
  <c r="W76" i="2"/>
  <c r="M76" i="2"/>
  <c r="L76" i="2"/>
  <c r="I76" i="2"/>
  <c r="D76" i="2"/>
  <c r="C76" i="2"/>
  <c r="AK75" i="2"/>
  <c r="AJ75" i="2"/>
  <c r="AI75" i="2"/>
  <c r="AH75" i="2"/>
  <c r="E75" i="10"/>
  <c r="W75" i="2"/>
  <c r="M75" i="2"/>
  <c r="L75" i="2"/>
  <c r="I75" i="2"/>
  <c r="D75" i="2"/>
  <c r="C75" i="2"/>
  <c r="AK74" i="2"/>
  <c r="AJ74" i="2"/>
  <c r="AI74" i="2"/>
  <c r="AH74" i="2"/>
  <c r="W74" i="2"/>
  <c r="M74" i="2"/>
  <c r="L74" i="2"/>
  <c r="I74" i="2"/>
  <c r="D74" i="2"/>
  <c r="C74" i="2"/>
  <c r="AK73" i="2"/>
  <c r="AJ73" i="2"/>
  <c r="AI73" i="2"/>
  <c r="AH73" i="2"/>
  <c r="W73" i="2"/>
  <c r="M73" i="2"/>
  <c r="L73" i="2"/>
  <c r="I73" i="2"/>
  <c r="D73" i="2"/>
  <c r="C73" i="2"/>
  <c r="AK72" i="2"/>
  <c r="AJ72" i="2"/>
  <c r="AI72" i="2"/>
  <c r="F72" i="10" s="1"/>
  <c r="AH72" i="2"/>
  <c r="W72" i="2"/>
  <c r="M72" i="2"/>
  <c r="L72" i="2"/>
  <c r="I72" i="2"/>
  <c r="D72" i="2"/>
  <c r="C72" i="2"/>
  <c r="AK71" i="2"/>
  <c r="AJ71" i="2"/>
  <c r="AI71" i="2"/>
  <c r="AH71" i="2"/>
  <c r="E71" i="10" s="1"/>
  <c r="W71" i="2"/>
  <c r="M71" i="2"/>
  <c r="L71" i="2"/>
  <c r="I71" i="2"/>
  <c r="D71" i="2"/>
  <c r="C71" i="2"/>
  <c r="AK70" i="2"/>
  <c r="AJ70" i="2"/>
  <c r="AI70" i="2"/>
  <c r="AH70" i="2"/>
  <c r="W70" i="2"/>
  <c r="M70" i="2"/>
  <c r="L70" i="2"/>
  <c r="I70" i="2"/>
  <c r="D70" i="2"/>
  <c r="C70" i="2"/>
  <c r="AK69" i="2"/>
  <c r="AJ69" i="2"/>
  <c r="AI69" i="2"/>
  <c r="AH69" i="2"/>
  <c r="W69" i="2"/>
  <c r="M69" i="2"/>
  <c r="L69" i="2"/>
  <c r="I69" i="2"/>
  <c r="D69" i="2"/>
  <c r="C69" i="2"/>
  <c r="AK68" i="2"/>
  <c r="AJ68" i="2"/>
  <c r="AI68" i="2"/>
  <c r="AH68" i="2"/>
  <c r="W68" i="2"/>
  <c r="M68" i="2"/>
  <c r="L68" i="2"/>
  <c r="I68" i="2"/>
  <c r="D68" i="2"/>
  <c r="C68" i="2"/>
  <c r="AK67" i="2"/>
  <c r="AJ67" i="2"/>
  <c r="AI67" i="2"/>
  <c r="AH67" i="2"/>
  <c r="E67" i="10"/>
  <c r="W67" i="2"/>
  <c r="M67" i="2"/>
  <c r="L67" i="2"/>
  <c r="I67" i="2"/>
  <c r="D67" i="2"/>
  <c r="C67" i="2"/>
  <c r="AK66" i="2"/>
  <c r="AJ66" i="2"/>
  <c r="AI66" i="2"/>
  <c r="AH66" i="2"/>
  <c r="W66" i="2"/>
  <c r="M66" i="2"/>
  <c r="L66" i="2"/>
  <c r="I66" i="2"/>
  <c r="D66" i="2"/>
  <c r="C66" i="2"/>
  <c r="AK65" i="2"/>
  <c r="AJ65" i="2"/>
  <c r="AI65" i="2"/>
  <c r="AH65" i="2"/>
  <c r="W65" i="2"/>
  <c r="M65" i="2"/>
  <c r="L65" i="2"/>
  <c r="I65" i="2"/>
  <c r="D65" i="2"/>
  <c r="C65" i="2"/>
  <c r="AK64" i="2"/>
  <c r="AJ64" i="2"/>
  <c r="AI64" i="2"/>
  <c r="AH64" i="2"/>
  <c r="W64" i="2"/>
  <c r="M64" i="2"/>
  <c r="L64" i="2"/>
  <c r="I64" i="2"/>
  <c r="D64" i="2"/>
  <c r="C64" i="2"/>
  <c r="AM63" i="2"/>
  <c r="AK63" i="2"/>
  <c r="AJ63" i="2"/>
  <c r="AI63" i="2"/>
  <c r="AH63" i="2"/>
  <c r="E63" i="10"/>
  <c r="W63" i="2"/>
  <c r="M63" i="2"/>
  <c r="L63" i="2"/>
  <c r="I63" i="2"/>
  <c r="D63" i="2"/>
  <c r="C63" i="2"/>
  <c r="AK62" i="2"/>
  <c r="AJ62" i="2"/>
  <c r="AI62" i="2"/>
  <c r="AH62" i="2"/>
  <c r="W62" i="2"/>
  <c r="M62" i="2"/>
  <c r="L62" i="2"/>
  <c r="I62" i="2"/>
  <c r="D62" i="2"/>
  <c r="C62" i="2"/>
  <c r="AM61" i="2"/>
  <c r="AK61" i="2"/>
  <c r="AJ61" i="2"/>
  <c r="AI61" i="2"/>
  <c r="AH61" i="2"/>
  <c r="W61" i="2"/>
  <c r="M61" i="2"/>
  <c r="L61" i="2"/>
  <c r="I61" i="2"/>
  <c r="D61" i="2"/>
  <c r="C61" i="2"/>
  <c r="AM60" i="2"/>
  <c r="AK60" i="2"/>
  <c r="AJ60" i="2"/>
  <c r="AI60" i="2"/>
  <c r="AH60" i="2"/>
  <c r="W60" i="2"/>
  <c r="M60" i="2"/>
  <c r="L60" i="2"/>
  <c r="I60" i="2"/>
  <c r="D60" i="2"/>
  <c r="C60" i="2"/>
  <c r="AM59" i="2"/>
  <c r="AK59" i="2"/>
  <c r="AJ59" i="2"/>
  <c r="AI59" i="2"/>
  <c r="AH59" i="2"/>
  <c r="E59" i="10"/>
  <c r="W59" i="2"/>
  <c r="M59" i="2"/>
  <c r="L59" i="2"/>
  <c r="I59" i="2"/>
  <c r="D59" i="2"/>
  <c r="C59" i="2"/>
  <c r="AM58" i="2"/>
  <c r="AK58" i="2"/>
  <c r="AJ58" i="2"/>
  <c r="AI58" i="2"/>
  <c r="AH58" i="2"/>
  <c r="W58" i="2"/>
  <c r="M58" i="2"/>
  <c r="L58" i="2"/>
  <c r="I58" i="2"/>
  <c r="D58" i="2"/>
  <c r="C58" i="2"/>
  <c r="AM57" i="2"/>
  <c r="AK57" i="2"/>
  <c r="AJ57" i="2"/>
  <c r="AI57" i="2"/>
  <c r="AH57" i="2"/>
  <c r="W57" i="2"/>
  <c r="M57" i="2"/>
  <c r="L57" i="2"/>
  <c r="I57" i="2"/>
  <c r="D57" i="2"/>
  <c r="C57" i="2"/>
  <c r="AM56" i="2"/>
  <c r="AK56" i="2"/>
  <c r="AJ56" i="2"/>
  <c r="AI56" i="2"/>
  <c r="AH56" i="2"/>
  <c r="W56" i="2"/>
  <c r="M56" i="2"/>
  <c r="L56" i="2"/>
  <c r="I56" i="2"/>
  <c r="D56" i="2"/>
  <c r="C56" i="2"/>
  <c r="AM55" i="2"/>
  <c r="AK55" i="2"/>
  <c r="AJ55" i="2"/>
  <c r="AI55" i="2"/>
  <c r="AH55" i="2"/>
  <c r="E55" i="10" s="1"/>
  <c r="W55" i="2"/>
  <c r="M55" i="2"/>
  <c r="L55" i="2"/>
  <c r="I55" i="2"/>
  <c r="D55" i="2"/>
  <c r="C55" i="2"/>
  <c r="AM54" i="2"/>
  <c r="AK54" i="2"/>
  <c r="AJ54" i="2"/>
  <c r="AI54" i="2"/>
  <c r="AH54" i="2"/>
  <c r="D54" i="8" s="1"/>
  <c r="W54" i="2"/>
  <c r="M54" i="2"/>
  <c r="L54" i="2"/>
  <c r="I54" i="2"/>
  <c r="D54" i="2"/>
  <c r="C54" i="2"/>
  <c r="AM53" i="2"/>
  <c r="AK53" i="2"/>
  <c r="AJ53" i="2"/>
  <c r="AI53" i="2"/>
  <c r="AH53" i="2"/>
  <c r="W53" i="2"/>
  <c r="M53" i="2"/>
  <c r="L53" i="2"/>
  <c r="I53" i="2"/>
  <c r="D53" i="2"/>
  <c r="C53" i="2"/>
  <c r="AM52" i="2"/>
  <c r="AK52" i="2"/>
  <c r="AJ52" i="2"/>
  <c r="AI52" i="2"/>
  <c r="AH52" i="2"/>
  <c r="E52" i="10" s="1"/>
  <c r="W52" i="2"/>
  <c r="M52" i="2"/>
  <c r="L52" i="2"/>
  <c r="I52" i="2"/>
  <c r="D52" i="2"/>
  <c r="C52" i="2"/>
  <c r="AM51" i="2"/>
  <c r="AK51" i="2"/>
  <c r="AJ51" i="2"/>
  <c r="AI51" i="2"/>
  <c r="AH51" i="2"/>
  <c r="E51" i="10" s="1"/>
  <c r="W51" i="2"/>
  <c r="M51" i="2"/>
  <c r="L51" i="2"/>
  <c r="I51" i="2"/>
  <c r="D51" i="2"/>
  <c r="C51" i="2"/>
  <c r="AM50" i="2"/>
  <c r="AK50" i="2"/>
  <c r="AJ50" i="2"/>
  <c r="AI50" i="2"/>
  <c r="AH50" i="2"/>
  <c r="W50" i="2"/>
  <c r="M50" i="2"/>
  <c r="L50" i="2"/>
  <c r="I50" i="2"/>
  <c r="D50" i="2"/>
  <c r="C50" i="2"/>
  <c r="AK49" i="2"/>
  <c r="AJ49" i="2"/>
  <c r="AI49" i="2"/>
  <c r="F49" i="10" s="1"/>
  <c r="AH49" i="2"/>
  <c r="W49" i="2"/>
  <c r="M49" i="2"/>
  <c r="L49" i="2"/>
  <c r="I49" i="2"/>
  <c r="D49" i="2"/>
  <c r="C49" i="2"/>
  <c r="AK48" i="2"/>
  <c r="AJ48" i="2"/>
  <c r="AI48" i="2"/>
  <c r="AH48" i="2"/>
  <c r="E48" i="10" s="1"/>
  <c r="W48" i="2"/>
  <c r="M48" i="2"/>
  <c r="L48" i="2"/>
  <c r="I48" i="2"/>
  <c r="D48" i="2"/>
  <c r="C48" i="2"/>
  <c r="AK47" i="2"/>
  <c r="AJ47" i="2"/>
  <c r="AI47" i="2"/>
  <c r="AH47" i="2"/>
  <c r="E47" i="10"/>
  <c r="W47" i="2"/>
  <c r="M47" i="2"/>
  <c r="L47" i="2"/>
  <c r="I47" i="2"/>
  <c r="D47" i="2"/>
  <c r="C47" i="2"/>
  <c r="AK46" i="2"/>
  <c r="AJ46" i="2"/>
  <c r="AI46" i="2"/>
  <c r="AH46" i="2"/>
  <c r="W46" i="2"/>
  <c r="M46" i="2"/>
  <c r="L46" i="2"/>
  <c r="I46" i="2"/>
  <c r="D46" i="2"/>
  <c r="C46" i="2"/>
  <c r="AK45" i="2"/>
  <c r="G45" i="16"/>
  <c r="S45" i="16" s="1"/>
  <c r="AJ45" i="2"/>
  <c r="AI45" i="2"/>
  <c r="F45" i="10" s="1"/>
  <c r="AH45" i="2"/>
  <c r="W45" i="2"/>
  <c r="M45" i="2"/>
  <c r="L45" i="2"/>
  <c r="I45" i="2"/>
  <c r="H45" i="2"/>
  <c r="D45" i="2"/>
  <c r="C45" i="2"/>
  <c r="AK44" i="2"/>
  <c r="AJ44" i="2"/>
  <c r="AI44" i="2"/>
  <c r="AH44" i="2"/>
  <c r="W44" i="2"/>
  <c r="M44" i="2"/>
  <c r="L44" i="2"/>
  <c r="I44" i="2"/>
  <c r="C44" i="2"/>
  <c r="AK43" i="2"/>
  <c r="AJ43" i="2"/>
  <c r="AI43" i="2"/>
  <c r="AH43" i="2"/>
  <c r="E43" i="10"/>
  <c r="W43" i="2"/>
  <c r="M43" i="2"/>
  <c r="L43" i="2"/>
  <c r="I43" i="2"/>
  <c r="C43" i="2"/>
  <c r="AK42" i="2"/>
  <c r="AJ42" i="2"/>
  <c r="AI42" i="2"/>
  <c r="AH42" i="2"/>
  <c r="W42" i="2"/>
  <c r="M42" i="2"/>
  <c r="L42" i="2"/>
  <c r="I42" i="2"/>
  <c r="C42" i="2"/>
  <c r="AK41" i="2"/>
  <c r="AJ41" i="2"/>
  <c r="AI41" i="2"/>
  <c r="AH41" i="2"/>
  <c r="E41" i="10"/>
  <c r="W41" i="2"/>
  <c r="M41" i="2"/>
  <c r="L41" i="2"/>
  <c r="I41" i="2"/>
  <c r="C41" i="2"/>
  <c r="AK40" i="2"/>
  <c r="AJ40" i="2"/>
  <c r="AI40" i="2"/>
  <c r="AH40" i="2"/>
  <c r="W40" i="2"/>
  <c r="M40" i="2"/>
  <c r="L40" i="2"/>
  <c r="I40" i="2"/>
  <c r="C40" i="2"/>
  <c r="AK39" i="2"/>
  <c r="AJ39" i="2"/>
  <c r="AI39" i="2"/>
  <c r="AH39" i="2"/>
  <c r="W39" i="2"/>
  <c r="M39" i="2"/>
  <c r="L39" i="2"/>
  <c r="I39" i="2"/>
  <c r="C39" i="2"/>
  <c r="AK38" i="2"/>
  <c r="AJ38" i="2"/>
  <c r="AI38" i="2"/>
  <c r="AH38" i="2"/>
  <c r="E38" i="10"/>
  <c r="W38" i="2"/>
  <c r="M38" i="2"/>
  <c r="L38" i="2"/>
  <c r="I38" i="2"/>
  <c r="C38" i="2"/>
  <c r="AK37" i="2"/>
  <c r="AJ37" i="2"/>
  <c r="AI37" i="2"/>
  <c r="AH37" i="2"/>
  <c r="W37" i="2"/>
  <c r="M37" i="2"/>
  <c r="L37" i="2"/>
  <c r="I37" i="2"/>
  <c r="C37" i="2"/>
  <c r="AK36" i="2"/>
  <c r="AJ36" i="2"/>
  <c r="AI36" i="2"/>
  <c r="AH36" i="2"/>
  <c r="E36" i="10" s="1"/>
  <c r="W36" i="2"/>
  <c r="M36" i="2"/>
  <c r="L36" i="2"/>
  <c r="I36" i="2"/>
  <c r="C36" i="2"/>
  <c r="AK35" i="2"/>
  <c r="AJ35" i="2"/>
  <c r="AI35" i="2"/>
  <c r="AH35" i="2"/>
  <c r="E35" i="10"/>
  <c r="W35" i="2"/>
  <c r="M35" i="2"/>
  <c r="L35" i="2"/>
  <c r="I35" i="2"/>
  <c r="C35" i="2"/>
  <c r="AK34" i="2"/>
  <c r="AJ34" i="2"/>
  <c r="AI34" i="2"/>
  <c r="F34" i="10" s="1"/>
  <c r="AH34" i="2"/>
  <c r="W34" i="2"/>
  <c r="M34" i="2"/>
  <c r="L34" i="2"/>
  <c r="I34" i="2"/>
  <c r="C34" i="2"/>
  <c r="AK33" i="2"/>
  <c r="AJ33" i="2"/>
  <c r="AI33" i="2"/>
  <c r="F33" i="10"/>
  <c r="AH33" i="2"/>
  <c r="W33" i="2"/>
  <c r="M33" i="2"/>
  <c r="L33" i="2"/>
  <c r="I33" i="2"/>
  <c r="H33" i="2"/>
  <c r="H35" i="2" s="1"/>
  <c r="C33" i="2"/>
  <c r="AK32" i="2"/>
  <c r="AJ32" i="2"/>
  <c r="AI32" i="2"/>
  <c r="AH32" i="2"/>
  <c r="E32" i="10"/>
  <c r="W32" i="2"/>
  <c r="M32" i="2"/>
  <c r="L32" i="2"/>
  <c r="I32" i="2"/>
  <c r="H32" i="2"/>
  <c r="C32" i="2"/>
  <c r="AK31" i="2"/>
  <c r="AJ31" i="2"/>
  <c r="AI31" i="2"/>
  <c r="AH31" i="2"/>
  <c r="E31" i="10"/>
  <c r="W31" i="2"/>
  <c r="M31" i="2"/>
  <c r="L31" i="2"/>
  <c r="I31" i="2"/>
  <c r="H31" i="2"/>
  <c r="C31" i="2"/>
  <c r="AK30" i="2"/>
  <c r="AJ30" i="2"/>
  <c r="AI30" i="2"/>
  <c r="AH30" i="2"/>
  <c r="W30" i="2"/>
  <c r="M30" i="2"/>
  <c r="L30" i="2"/>
  <c r="I30" i="2"/>
  <c r="H30" i="2"/>
  <c r="C30" i="2"/>
  <c r="AK29" i="2"/>
  <c r="AJ29" i="2"/>
  <c r="AI29" i="2"/>
  <c r="F29" i="10"/>
  <c r="AH29" i="2"/>
  <c r="W29" i="2"/>
  <c r="V29" i="2"/>
  <c r="M29" i="2"/>
  <c r="L29" i="2"/>
  <c r="I29" i="2"/>
  <c r="C29" i="2"/>
  <c r="AK28" i="2"/>
  <c r="AJ28" i="2"/>
  <c r="AI28" i="2"/>
  <c r="AH28" i="2"/>
  <c r="E28" i="10"/>
  <c r="W28" i="2"/>
  <c r="M28" i="2"/>
  <c r="L28" i="2"/>
  <c r="I28" i="2"/>
  <c r="C28" i="2"/>
  <c r="AM27" i="2"/>
  <c r="AK27" i="2"/>
  <c r="AJ27" i="2"/>
  <c r="AI27" i="2"/>
  <c r="AH27" i="2"/>
  <c r="W27" i="2"/>
  <c r="M27" i="2"/>
  <c r="C27" i="2"/>
  <c r="AK26" i="2"/>
  <c r="AJ26" i="2"/>
  <c r="AI26" i="2"/>
  <c r="AH26" i="2"/>
  <c r="W26" i="2"/>
  <c r="M26" i="2"/>
  <c r="C26" i="2"/>
  <c r="BC25" i="2"/>
  <c r="BB25" i="2"/>
  <c r="BA25" i="2"/>
  <c r="AZ25" i="2"/>
  <c r="M25" i="10"/>
  <c r="AY25" i="2"/>
  <c r="L25" i="16" s="1"/>
  <c r="X25" i="16" s="1"/>
  <c r="AX25" i="2"/>
  <c r="AW25" i="2"/>
  <c r="AV25" i="2"/>
  <c r="AU25" i="2"/>
  <c r="AT25" i="2"/>
  <c r="AS25" i="2"/>
  <c r="AR25" i="2"/>
  <c r="AQ25" i="2"/>
  <c r="I25" i="10" s="1"/>
  <c r="AP25" i="2"/>
  <c r="AP37" i="2"/>
  <c r="AP49" i="2" s="1"/>
  <c r="AP61" i="2" s="1"/>
  <c r="AP73" i="2" s="1"/>
  <c r="AP85" i="2" s="1"/>
  <c r="AP97" i="2" s="1"/>
  <c r="AM25" i="2"/>
  <c r="AK25" i="2"/>
  <c r="AJ25" i="2"/>
  <c r="AI25" i="2"/>
  <c r="AH25" i="2"/>
  <c r="W25" i="2"/>
  <c r="M25" i="2"/>
  <c r="C25" i="2"/>
  <c r="BC24" i="2"/>
  <c r="BB24" i="2"/>
  <c r="BA24" i="2"/>
  <c r="AZ24" i="2"/>
  <c r="M24" i="10" s="1"/>
  <c r="AY24" i="2"/>
  <c r="L24" i="16" s="1"/>
  <c r="X24" i="16" s="1"/>
  <c r="L24" i="10"/>
  <c r="AY36" i="2"/>
  <c r="L36" i="16" s="1"/>
  <c r="X36" i="16" s="1"/>
  <c r="AX24" i="2"/>
  <c r="AW24" i="2"/>
  <c r="AV24" i="2"/>
  <c r="AV36" i="2"/>
  <c r="AU24" i="2"/>
  <c r="AU36" i="2"/>
  <c r="AT24" i="2"/>
  <c r="AS24" i="2"/>
  <c r="AR24" i="2"/>
  <c r="AR36" i="2"/>
  <c r="AR48" i="2"/>
  <c r="I48" i="15"/>
  <c r="R48" i="15" s="1"/>
  <c r="AQ24" i="2"/>
  <c r="I24" i="10" s="1"/>
  <c r="AP24" i="2"/>
  <c r="AP36" i="2"/>
  <c r="AP48" i="2"/>
  <c r="AP60" i="2" s="1"/>
  <c r="AP72" i="2" s="1"/>
  <c r="AP84" i="2" s="1"/>
  <c r="AP96" i="2" s="1"/>
  <c r="AM24" i="2"/>
  <c r="AK24" i="2"/>
  <c r="AJ24" i="2"/>
  <c r="AI24" i="2"/>
  <c r="AH24" i="2"/>
  <c r="W24" i="2"/>
  <c r="M24" i="2"/>
  <c r="C24" i="2"/>
  <c r="BC23" i="2"/>
  <c r="BB23" i="2"/>
  <c r="BA23" i="2"/>
  <c r="BA35" i="2"/>
  <c r="AZ23" i="2"/>
  <c r="M23" i="10"/>
  <c r="AY23" i="2"/>
  <c r="L23" i="16" s="1"/>
  <c r="X23" i="16" s="1"/>
  <c r="L23" i="10"/>
  <c r="AX23" i="2"/>
  <c r="AW23" i="2"/>
  <c r="AV23" i="2"/>
  <c r="AU23" i="2"/>
  <c r="AU35" i="2"/>
  <c r="AT23" i="2"/>
  <c r="AS23" i="2"/>
  <c r="AS35" i="2"/>
  <c r="AR23" i="2"/>
  <c r="AQ23" i="2"/>
  <c r="I23" i="10" s="1"/>
  <c r="AP23" i="2"/>
  <c r="AP35" i="2"/>
  <c r="AP47" i="2"/>
  <c r="AP59" i="2" s="1"/>
  <c r="AP71" i="2" s="1"/>
  <c r="AP83" i="2" s="1"/>
  <c r="AP95" i="2" s="1"/>
  <c r="AM23" i="2"/>
  <c r="AK23" i="2"/>
  <c r="AJ23" i="2"/>
  <c r="AI23" i="2"/>
  <c r="AH23" i="2"/>
  <c r="W23" i="2"/>
  <c r="M23" i="2"/>
  <c r="C23" i="2"/>
  <c r="BD22" i="2"/>
  <c r="BD34" i="2"/>
  <c r="BC22" i="2"/>
  <c r="BB22" i="2"/>
  <c r="BA22" i="2"/>
  <c r="AZ22" i="2"/>
  <c r="M22" i="10"/>
  <c r="AY22" i="2"/>
  <c r="L22" i="16" s="1"/>
  <c r="X22" i="16" s="1"/>
  <c r="AX22" i="2"/>
  <c r="AW22" i="2"/>
  <c r="AV22" i="2"/>
  <c r="AV34" i="2"/>
  <c r="AU22" i="2"/>
  <c r="AT22" i="2"/>
  <c r="AS22" i="2"/>
  <c r="AR22" i="2"/>
  <c r="AQ22" i="2"/>
  <c r="I22" i="10" s="1"/>
  <c r="AP22" i="2"/>
  <c r="AP34" i="2"/>
  <c r="AP46" i="2"/>
  <c r="AP58" i="2" s="1"/>
  <c r="AP70" i="2" s="1"/>
  <c r="AP82" i="2" s="1"/>
  <c r="AP94" i="2" s="1"/>
  <c r="AM22" i="2"/>
  <c r="AK22" i="2"/>
  <c r="AJ22" i="2"/>
  <c r="AI22" i="2"/>
  <c r="AH22" i="2"/>
  <c r="W22" i="2"/>
  <c r="M22" i="2"/>
  <c r="C22" i="2"/>
  <c r="BC21" i="2"/>
  <c r="BB21" i="2"/>
  <c r="BA21" i="2"/>
  <c r="BA33" i="2"/>
  <c r="AZ21" i="2"/>
  <c r="M21" i="10" s="1"/>
  <c r="AY21" i="2"/>
  <c r="L21" i="16" s="1"/>
  <c r="X21" i="16" s="1"/>
  <c r="AX21" i="2"/>
  <c r="AW21" i="2"/>
  <c r="AV21" i="2"/>
  <c r="AU21" i="2"/>
  <c r="AU33" i="2" s="1"/>
  <c r="AT21" i="2"/>
  <c r="AT33" i="2"/>
  <c r="AS21" i="2"/>
  <c r="AS33" i="2" s="1"/>
  <c r="AR21" i="2"/>
  <c r="AQ21" i="2"/>
  <c r="I21" i="10" s="1"/>
  <c r="AP21" i="2"/>
  <c r="AP33" i="2" s="1"/>
  <c r="AP45" i="2" s="1"/>
  <c r="AP57" i="2" s="1"/>
  <c r="AP69" i="2" s="1"/>
  <c r="AP81" i="2" s="1"/>
  <c r="AP93" i="2" s="1"/>
  <c r="AM21" i="2"/>
  <c r="AK21" i="2"/>
  <c r="AJ21" i="2"/>
  <c r="AI21" i="2"/>
  <c r="AH21" i="2"/>
  <c r="W21" i="2"/>
  <c r="M21" i="2"/>
  <c r="C21" i="2"/>
  <c r="BC20" i="2"/>
  <c r="BB20" i="2"/>
  <c r="BA20" i="2"/>
  <c r="BA32" i="2" s="1"/>
  <c r="AZ20" i="2"/>
  <c r="M20" i="10"/>
  <c r="AY20" i="2"/>
  <c r="L20" i="16" s="1"/>
  <c r="X20" i="16" s="1"/>
  <c r="AX20" i="2"/>
  <c r="K20" i="16"/>
  <c r="W20" i="16" s="1"/>
  <c r="AW20" i="2"/>
  <c r="AV20" i="2"/>
  <c r="AV32" i="2" s="1"/>
  <c r="AV44" i="2" s="1"/>
  <c r="AU20" i="2"/>
  <c r="AU32" i="2" s="1"/>
  <c r="AT20" i="2"/>
  <c r="AS20" i="2"/>
  <c r="AS32" i="2" s="1"/>
  <c r="AS44" i="2" s="1"/>
  <c r="AR20" i="2"/>
  <c r="AR32" i="2"/>
  <c r="AQ20" i="2"/>
  <c r="I20" i="10" s="1"/>
  <c r="AP20" i="2"/>
  <c r="AP32" i="2"/>
  <c r="AP44" i="2"/>
  <c r="AP56" i="2" s="1"/>
  <c r="AP68" i="2" s="1"/>
  <c r="AP80" i="2" s="1"/>
  <c r="AP92" i="2" s="1"/>
  <c r="AM20" i="2"/>
  <c r="AK20" i="2"/>
  <c r="AJ20" i="2"/>
  <c r="AI20" i="2"/>
  <c r="AH20" i="2"/>
  <c r="W20" i="2"/>
  <c r="M20" i="2"/>
  <c r="C20" i="2"/>
  <c r="BC19" i="2"/>
  <c r="BB19" i="2"/>
  <c r="BA19" i="2"/>
  <c r="BA31" i="2"/>
  <c r="J31" i="8" s="1"/>
  <c r="AZ19" i="2"/>
  <c r="M19" i="10"/>
  <c r="AY19" i="2"/>
  <c r="AX19" i="2"/>
  <c r="AW19" i="2"/>
  <c r="AW31" i="2" s="1"/>
  <c r="AW43" i="2" s="1"/>
  <c r="AV19" i="2"/>
  <c r="AU19" i="2"/>
  <c r="AU31" i="2"/>
  <c r="AT19" i="2"/>
  <c r="AT31" i="2" s="1"/>
  <c r="AS19" i="2"/>
  <c r="AS31" i="2"/>
  <c r="AR19" i="2"/>
  <c r="AQ19" i="2"/>
  <c r="I19" i="10" s="1"/>
  <c r="I19" i="16"/>
  <c r="AP19" i="2"/>
  <c r="AP31" i="2"/>
  <c r="AP43" i="2" s="1"/>
  <c r="AP55" i="2" s="1"/>
  <c r="AP67" i="2"/>
  <c r="AP79" i="2" s="1"/>
  <c r="AP91" i="2" s="1"/>
  <c r="AM19" i="2"/>
  <c r="AK19" i="2"/>
  <c r="AJ19" i="2"/>
  <c r="AI19" i="2"/>
  <c r="AH19" i="2"/>
  <c r="W19" i="2"/>
  <c r="M19" i="2"/>
  <c r="C19" i="2"/>
  <c r="BC18" i="2"/>
  <c r="BB18" i="2"/>
  <c r="BA18" i="2"/>
  <c r="AZ18" i="2"/>
  <c r="M18" i="10" s="1"/>
  <c r="AY18" i="2"/>
  <c r="L18" i="16" s="1"/>
  <c r="X18" i="16" s="1"/>
  <c r="AX18" i="2"/>
  <c r="AW18" i="2"/>
  <c r="AV18" i="2"/>
  <c r="AU18" i="2"/>
  <c r="AT18" i="2"/>
  <c r="AS18" i="2"/>
  <c r="AS30" i="2" s="1"/>
  <c r="AR18" i="2"/>
  <c r="AR30" i="2" s="1"/>
  <c r="AQ18" i="2"/>
  <c r="I18" i="10" s="1"/>
  <c r="AP18" i="2"/>
  <c r="AP30" i="2"/>
  <c r="AP42" i="2" s="1"/>
  <c r="AP54" i="2" s="1"/>
  <c r="AP66" i="2" s="1"/>
  <c r="AP78" i="2" s="1"/>
  <c r="AP90" i="2" s="1"/>
  <c r="AM18" i="2"/>
  <c r="AK18" i="2"/>
  <c r="AJ18" i="2"/>
  <c r="AI18" i="2"/>
  <c r="AH18" i="2"/>
  <c r="W18" i="2"/>
  <c r="M18" i="2"/>
  <c r="C18" i="2"/>
  <c r="BC17" i="2"/>
  <c r="BB17" i="2"/>
  <c r="BB29" i="2"/>
  <c r="BA17" i="2"/>
  <c r="BA29" i="2" s="1"/>
  <c r="J29" i="8" s="1"/>
  <c r="AZ17" i="2"/>
  <c r="M17" i="10" s="1"/>
  <c r="AY17" i="2"/>
  <c r="L17" i="16" s="1"/>
  <c r="X17" i="16" s="1"/>
  <c r="AY29" i="2"/>
  <c r="L29" i="10" s="1"/>
  <c r="AX17" i="2"/>
  <c r="AW17" i="2"/>
  <c r="AV17" i="2"/>
  <c r="AU17" i="2"/>
  <c r="AT17" i="2"/>
  <c r="AS17" i="2"/>
  <c r="AS29" i="2"/>
  <c r="AS41" i="2" s="1"/>
  <c r="AR17" i="2"/>
  <c r="AQ17" i="2"/>
  <c r="I17" i="10" s="1"/>
  <c r="AP17" i="2"/>
  <c r="AP29" i="2" s="1"/>
  <c r="AP41" i="2" s="1"/>
  <c r="AP53" i="2"/>
  <c r="AP65" i="2" s="1"/>
  <c r="AP77" i="2" s="1"/>
  <c r="AP89" i="2" s="1"/>
  <c r="AM17" i="2"/>
  <c r="AK17" i="2"/>
  <c r="AJ17" i="2"/>
  <c r="AI17" i="2"/>
  <c r="AH17" i="2"/>
  <c r="W17" i="2"/>
  <c r="M17" i="2"/>
  <c r="C17" i="2"/>
  <c r="BC16" i="2"/>
  <c r="BB16" i="2"/>
  <c r="BA16" i="2"/>
  <c r="BA28" i="2" s="1"/>
  <c r="BA40" i="2" s="1"/>
  <c r="AZ16" i="2"/>
  <c r="M16" i="10"/>
  <c r="AY16" i="2"/>
  <c r="L16" i="16" s="1"/>
  <c r="X16" i="16" s="1"/>
  <c r="L16" i="10"/>
  <c r="AX16" i="2"/>
  <c r="AW16" i="2"/>
  <c r="AV16" i="2"/>
  <c r="AV28" i="2" s="1"/>
  <c r="AV40" i="2" s="1"/>
  <c r="AV52" i="2" s="1"/>
  <c r="AU16" i="2"/>
  <c r="AU28" i="2"/>
  <c r="AT16" i="2"/>
  <c r="AS16" i="2"/>
  <c r="AS28" i="2"/>
  <c r="AR16" i="2"/>
  <c r="AR28" i="2" s="1"/>
  <c r="AQ16" i="2"/>
  <c r="I16" i="10" s="1"/>
  <c r="AP16" i="2"/>
  <c r="AP28" i="2"/>
  <c r="AP40" i="2" s="1"/>
  <c r="AP52" i="2" s="1"/>
  <c r="AP64" i="2" s="1"/>
  <c r="AP76" i="2" s="1"/>
  <c r="AP88" i="2" s="1"/>
  <c r="AM16" i="2"/>
  <c r="AK16" i="2"/>
  <c r="AJ16" i="2"/>
  <c r="AI16" i="2"/>
  <c r="AH16" i="2"/>
  <c r="W16" i="2"/>
  <c r="M16" i="2"/>
  <c r="C16" i="2"/>
  <c r="BC15" i="2"/>
  <c r="BB15" i="2"/>
  <c r="BA15" i="2"/>
  <c r="AZ15" i="2"/>
  <c r="M15" i="10"/>
  <c r="AY15" i="2"/>
  <c r="L15" i="16" s="1"/>
  <c r="X15" i="16" s="1"/>
  <c r="L15" i="10"/>
  <c r="AX15" i="2"/>
  <c r="AX27" i="2" s="1"/>
  <c r="AW15" i="2"/>
  <c r="AV15" i="2"/>
  <c r="AU15" i="2"/>
  <c r="AT15" i="2"/>
  <c r="AT27" i="2" s="1"/>
  <c r="AS15" i="2"/>
  <c r="AR15" i="2"/>
  <c r="AQ15" i="2"/>
  <c r="I15" i="10" s="1"/>
  <c r="AP15" i="2"/>
  <c r="AP27" i="2" s="1"/>
  <c r="AP39" i="2" s="1"/>
  <c r="AP51" i="2" s="1"/>
  <c r="AP63" i="2" s="1"/>
  <c r="AP75" i="2" s="1"/>
  <c r="AP87" i="2" s="1"/>
  <c r="AK15" i="2"/>
  <c r="AJ15" i="2"/>
  <c r="AI15" i="2"/>
  <c r="F15" i="10"/>
  <c r="AH15" i="2"/>
  <c r="W15" i="2"/>
  <c r="M15" i="2"/>
  <c r="C15" i="2"/>
  <c r="BC14" i="2"/>
  <c r="BB14" i="2"/>
  <c r="BB26" i="2" s="1"/>
  <c r="BA14" i="2"/>
  <c r="BA26" i="2"/>
  <c r="AZ14" i="2"/>
  <c r="M14" i="10"/>
  <c r="AY14" i="2"/>
  <c r="L14" i="16" s="1"/>
  <c r="X14" i="16" s="1"/>
  <c r="L14" i="10"/>
  <c r="AX14" i="2"/>
  <c r="AW14" i="2"/>
  <c r="AW26" i="2" s="1"/>
  <c r="J26" i="10" s="1"/>
  <c r="AV14" i="2"/>
  <c r="AV26" i="2"/>
  <c r="AU14" i="2"/>
  <c r="AU26" i="2"/>
  <c r="AU38" i="2" s="1"/>
  <c r="AU50" i="2" s="1"/>
  <c r="AT14" i="2"/>
  <c r="AS14" i="2"/>
  <c r="AS26" i="2"/>
  <c r="AS38" i="2"/>
  <c r="AR14" i="2"/>
  <c r="AR26" i="2"/>
  <c r="AQ14" i="2"/>
  <c r="I14" i="10" s="1"/>
  <c r="AP14" i="2"/>
  <c r="AP26" i="2" s="1"/>
  <c r="AP38" i="2" s="1"/>
  <c r="AP50" i="2" s="1"/>
  <c r="AP62" i="2" s="1"/>
  <c r="AP74" i="2" s="1"/>
  <c r="AP86" i="2" s="1"/>
  <c r="AM14" i="2"/>
  <c r="AK14" i="2"/>
  <c r="G14" i="10" s="1"/>
  <c r="AJ14" i="2"/>
  <c r="AI14" i="2"/>
  <c r="AH14" i="2"/>
  <c r="E14" i="10" s="1"/>
  <c r="W14" i="2"/>
  <c r="M14" i="2"/>
  <c r="C14" i="2"/>
  <c r="BD13" i="2"/>
  <c r="BD25" i="2" s="1"/>
  <c r="AK13" i="2"/>
  <c r="AJ13" i="2"/>
  <c r="AI13" i="2"/>
  <c r="AH13" i="2"/>
  <c r="W13" i="2"/>
  <c r="M13" i="2"/>
  <c r="C13" i="2"/>
  <c r="BD12" i="2"/>
  <c r="G12" i="6"/>
  <c r="AK12" i="2"/>
  <c r="AJ12" i="2"/>
  <c r="AI12" i="2"/>
  <c r="AH12" i="2"/>
  <c r="E12" i="10"/>
  <c r="W12" i="2"/>
  <c r="M12" i="2"/>
  <c r="C12" i="2"/>
  <c r="BD11" i="2"/>
  <c r="BD23" i="2"/>
  <c r="H23" i="8" s="1"/>
  <c r="AK11" i="2"/>
  <c r="AJ11" i="2"/>
  <c r="AI11" i="2"/>
  <c r="F11" i="10" s="1"/>
  <c r="AH11" i="2"/>
  <c r="E11" i="10"/>
  <c r="Z11" i="10" s="1"/>
  <c r="W11" i="2"/>
  <c r="M11" i="2"/>
  <c r="C11" i="2"/>
  <c r="AK10" i="2"/>
  <c r="AJ10" i="2"/>
  <c r="AI10" i="2"/>
  <c r="AH10" i="2"/>
  <c r="E10" i="10"/>
  <c r="Z10" i="10" s="1"/>
  <c r="W10" i="2"/>
  <c r="M10" i="2"/>
  <c r="C10" i="2"/>
  <c r="BD9" i="2"/>
  <c r="AK9" i="2"/>
  <c r="G9" i="16" s="1"/>
  <c r="S9" i="16" s="1"/>
  <c r="AJ9" i="2"/>
  <c r="AI9" i="2"/>
  <c r="F9" i="10"/>
  <c r="AH9" i="2"/>
  <c r="E9" i="10" s="1"/>
  <c r="W9" i="2"/>
  <c r="M9" i="2"/>
  <c r="C9" i="2"/>
  <c r="BD8" i="2"/>
  <c r="H8" i="15" s="1"/>
  <c r="Q8" i="15" s="1"/>
  <c r="AK8" i="2"/>
  <c r="AJ8" i="2"/>
  <c r="AI8" i="2"/>
  <c r="F8" i="10"/>
  <c r="AH8" i="2"/>
  <c r="W8" i="2"/>
  <c r="M8" i="2"/>
  <c r="C8" i="2"/>
  <c r="BD7" i="2"/>
  <c r="AK7" i="2"/>
  <c r="AJ7" i="2"/>
  <c r="AI7" i="2"/>
  <c r="AH7" i="2"/>
  <c r="E7" i="10"/>
  <c r="W7" i="2"/>
  <c r="M7" i="2"/>
  <c r="C51" i="25" s="1"/>
  <c r="C7" i="2"/>
  <c r="BD6" i="2"/>
  <c r="AK6" i="2"/>
  <c r="AJ6" i="2"/>
  <c r="AI6" i="2"/>
  <c r="AH6" i="2"/>
  <c r="E6" i="10"/>
  <c r="W6" i="2"/>
  <c r="M6" i="2"/>
  <c r="C6" i="2"/>
  <c r="BD5" i="2"/>
  <c r="AK5" i="2"/>
  <c r="G5" i="16" s="1"/>
  <c r="S5" i="16" s="1"/>
  <c r="AJ5" i="2"/>
  <c r="AI5" i="2"/>
  <c r="F5" i="10"/>
  <c r="AH5" i="2"/>
  <c r="E5" i="10" s="1"/>
  <c r="W5" i="2"/>
  <c r="M5" i="2"/>
  <c r="C5" i="2"/>
  <c r="BD4" i="2"/>
  <c r="H4" i="15" s="1"/>
  <c r="Q4" i="15" s="1"/>
  <c r="AK4" i="2"/>
  <c r="AJ4" i="2"/>
  <c r="AI4" i="2"/>
  <c r="AH4" i="2"/>
  <c r="D4" i="8" s="1"/>
  <c r="W4" i="2"/>
  <c r="M4" i="2"/>
  <c r="C4" i="2"/>
  <c r="AM11" i="19" s="1"/>
  <c r="BD3" i="2"/>
  <c r="BD15" i="2"/>
  <c r="AK3" i="2"/>
  <c r="AJ3" i="2"/>
  <c r="AI3" i="2"/>
  <c r="AH3" i="2"/>
  <c r="E3" i="10"/>
  <c r="W3" i="2"/>
  <c r="M3" i="2"/>
  <c r="C3" i="2"/>
  <c r="BD2" i="2"/>
  <c r="AK2" i="2"/>
  <c r="G2" i="16" s="1"/>
  <c r="S2" i="16" s="1"/>
  <c r="AJ2" i="2"/>
  <c r="AI2" i="2"/>
  <c r="AH2" i="2"/>
  <c r="E2" i="10"/>
  <c r="W2" i="2"/>
  <c r="M2" i="2"/>
  <c r="C2" i="2"/>
  <c r="AA9" i="19" s="1"/>
  <c r="J14" i="10"/>
  <c r="AZ27" i="2"/>
  <c r="M27" i="10"/>
  <c r="M15" i="16"/>
  <c r="Y15" i="16" s="1"/>
  <c r="K20" i="10"/>
  <c r="AW36" i="2"/>
  <c r="J24" i="16"/>
  <c r="J24" i="10"/>
  <c r="K14" i="16"/>
  <c r="W14" i="16" s="1"/>
  <c r="AW27" i="2"/>
  <c r="J15" i="16"/>
  <c r="J15" i="10"/>
  <c r="AQ28" i="2"/>
  <c r="I28" i="10" s="1"/>
  <c r="I16" i="16"/>
  <c r="U16" i="16" s="1"/>
  <c r="AW29" i="2"/>
  <c r="J17" i="16"/>
  <c r="V17" i="16" s="1"/>
  <c r="J17" i="10"/>
  <c r="AQ30" i="2"/>
  <c r="I30" i="10" s="1"/>
  <c r="I18" i="16"/>
  <c r="U18" i="16" s="1"/>
  <c r="J19" i="16"/>
  <c r="V19" i="16" s="1"/>
  <c r="AQ32" i="2"/>
  <c r="I32" i="10" s="1"/>
  <c r="AQ34" i="2"/>
  <c r="I34" i="10" s="1"/>
  <c r="I22" i="16"/>
  <c r="U22" i="16" s="1"/>
  <c r="AZ35" i="2"/>
  <c r="M35" i="10"/>
  <c r="M23" i="16"/>
  <c r="Y23" i="16" s="1"/>
  <c r="K24" i="16"/>
  <c r="W24" i="16" s="1"/>
  <c r="K24" i="10"/>
  <c r="AZ37" i="2"/>
  <c r="M37" i="10"/>
  <c r="M25" i="16"/>
  <c r="Y25" i="16" s="1"/>
  <c r="AZ29" i="2"/>
  <c r="M29" i="10"/>
  <c r="M17" i="16"/>
  <c r="Y17" i="16" s="1"/>
  <c r="K18" i="16"/>
  <c r="W18" i="16" s="1"/>
  <c r="K18" i="10"/>
  <c r="AZ33" i="2"/>
  <c r="M33" i="10"/>
  <c r="M21" i="16"/>
  <c r="Y21" i="16" s="1"/>
  <c r="K17" i="16"/>
  <c r="W17" i="16" s="1"/>
  <c r="K17" i="10"/>
  <c r="AZ30" i="2"/>
  <c r="M30" i="10"/>
  <c r="M18" i="16"/>
  <c r="Y18" i="16" s="1"/>
  <c r="K19" i="16"/>
  <c r="W19" i="16" s="1"/>
  <c r="K19" i="10"/>
  <c r="M20" i="16"/>
  <c r="Y20" i="16" s="1"/>
  <c r="K21" i="16"/>
  <c r="W21" i="16" s="1"/>
  <c r="K21" i="10"/>
  <c r="AZ34" i="2"/>
  <c r="M34" i="10"/>
  <c r="M22" i="16"/>
  <c r="Y22" i="16" s="1"/>
  <c r="AW35" i="2"/>
  <c r="J23" i="16"/>
  <c r="V23" i="16" s="1"/>
  <c r="J23" i="10"/>
  <c r="AQ36" i="2"/>
  <c r="I36" i="10" s="1"/>
  <c r="I24" i="16"/>
  <c r="AW37" i="2"/>
  <c r="J25" i="16"/>
  <c r="V25" i="16" s="1"/>
  <c r="J25" i="10"/>
  <c r="K16" i="16"/>
  <c r="W16" i="16" s="1"/>
  <c r="K16" i="10"/>
  <c r="AZ31" i="2"/>
  <c r="M31" i="10" s="1"/>
  <c r="M19" i="16"/>
  <c r="Y19" i="16" s="1"/>
  <c r="K22" i="16"/>
  <c r="W22" i="16" s="1"/>
  <c r="K22" i="10"/>
  <c r="AQ35" i="2"/>
  <c r="I35" i="10" s="1"/>
  <c r="I23" i="16"/>
  <c r="U23" i="16" s="1"/>
  <c r="AQ37" i="2"/>
  <c r="I37" i="10" s="1"/>
  <c r="I25" i="16"/>
  <c r="U25" i="16" s="1"/>
  <c r="O5" i="18"/>
  <c r="AQ26" i="2"/>
  <c r="I26" i="10" s="1"/>
  <c r="I14" i="16"/>
  <c r="U14" i="16" s="1"/>
  <c r="K15" i="16"/>
  <c r="W15" i="16" s="1"/>
  <c r="AZ28" i="2"/>
  <c r="M28" i="10"/>
  <c r="M16" i="16"/>
  <c r="Y16" i="16" s="1"/>
  <c r="AZ26" i="2"/>
  <c r="M26" i="10" s="1"/>
  <c r="M14" i="16"/>
  <c r="Y14" i="16" s="1"/>
  <c r="AW28" i="2"/>
  <c r="J16" i="16"/>
  <c r="V16" i="16" s="1"/>
  <c r="J16" i="10"/>
  <c r="AQ29" i="2"/>
  <c r="I29" i="10" s="1"/>
  <c r="I17" i="16"/>
  <c r="U17" i="16" s="1"/>
  <c r="J18" i="16"/>
  <c r="V18" i="16" s="1"/>
  <c r="AQ31" i="2"/>
  <c r="I31" i="10" s="1"/>
  <c r="AW32" i="2"/>
  <c r="J20" i="16"/>
  <c r="V20" i="16" s="1"/>
  <c r="J20" i="10"/>
  <c r="AQ33" i="2"/>
  <c r="I33" i="10" s="1"/>
  <c r="I21" i="16"/>
  <c r="U21" i="16" s="1"/>
  <c r="K23" i="16"/>
  <c r="W23" i="16" s="1"/>
  <c r="K23" i="10"/>
  <c r="AZ36" i="2"/>
  <c r="M36" i="10"/>
  <c r="M24" i="16"/>
  <c r="Y24" i="16" s="1"/>
  <c r="K25" i="16"/>
  <c r="W25" i="16" s="1"/>
  <c r="K25" i="10"/>
  <c r="F4" i="10"/>
  <c r="F7" i="10"/>
  <c r="BC26" i="2"/>
  <c r="D15" i="6"/>
  <c r="E15" i="10"/>
  <c r="I16" i="6"/>
  <c r="G16" i="16"/>
  <c r="S16" i="16" s="1"/>
  <c r="G16" i="10"/>
  <c r="F17" i="10"/>
  <c r="I18" i="6"/>
  <c r="G18" i="16"/>
  <c r="S18" i="16" s="1"/>
  <c r="G18" i="10"/>
  <c r="AX31" i="2"/>
  <c r="F21" i="10"/>
  <c r="D23" i="6"/>
  <c r="E23" i="10"/>
  <c r="AM35" i="2"/>
  <c r="G35" i="15"/>
  <c r="P35" i="15" s="1"/>
  <c r="BC36" i="2"/>
  <c r="D25" i="6"/>
  <c r="E25" i="10"/>
  <c r="G27" i="16"/>
  <c r="S27" i="16" s="1"/>
  <c r="G27" i="10"/>
  <c r="E28" i="6"/>
  <c r="F28" i="10"/>
  <c r="G31" i="16"/>
  <c r="S31" i="16" s="1"/>
  <c r="G31" i="10"/>
  <c r="E32" i="6"/>
  <c r="F32" i="10"/>
  <c r="F35" i="10"/>
  <c r="G37" i="16"/>
  <c r="S37" i="16" s="1"/>
  <c r="G37" i="10"/>
  <c r="F43" i="10"/>
  <c r="D44" i="8"/>
  <c r="E44" i="10"/>
  <c r="E60" i="6"/>
  <c r="F60" i="10"/>
  <c r="I62" i="6"/>
  <c r="G62" i="16"/>
  <c r="S62" i="16" s="1"/>
  <c r="G62" i="10"/>
  <c r="F63" i="10"/>
  <c r="D65" i="8"/>
  <c r="E65" i="10"/>
  <c r="D77" i="8"/>
  <c r="E77" i="10"/>
  <c r="D85" i="8"/>
  <c r="E85" i="10"/>
  <c r="F89" i="8"/>
  <c r="G89" i="16"/>
  <c r="S113" i="16" s="1"/>
  <c r="G89" i="10"/>
  <c r="F94" i="10"/>
  <c r="E96" i="6"/>
  <c r="F96" i="10"/>
  <c r="I11" i="6"/>
  <c r="G11" i="16"/>
  <c r="S11" i="16" s="1"/>
  <c r="G11" i="10"/>
  <c r="I12" i="6"/>
  <c r="G12" i="16"/>
  <c r="S12" i="16" s="1"/>
  <c r="G12" i="10"/>
  <c r="Z12" i="10" s="1"/>
  <c r="G13" i="16"/>
  <c r="S13" i="16" s="1"/>
  <c r="G13" i="10"/>
  <c r="D16" i="8"/>
  <c r="E16" i="10"/>
  <c r="D18" i="8"/>
  <c r="E18" i="10"/>
  <c r="BC31" i="2"/>
  <c r="D22" i="8"/>
  <c r="E22" i="10"/>
  <c r="AM70" i="2"/>
  <c r="AX35" i="2"/>
  <c r="I24" i="6"/>
  <c r="G24" i="16"/>
  <c r="S24" i="16" s="1"/>
  <c r="G24" i="10"/>
  <c r="I26" i="6"/>
  <c r="G26" i="16"/>
  <c r="S26" i="16" s="1"/>
  <c r="G26" i="10"/>
  <c r="D33" i="6"/>
  <c r="E33" i="10"/>
  <c r="I34" i="6"/>
  <c r="G34" i="16"/>
  <c r="S34" i="16" s="1"/>
  <c r="G34" i="10"/>
  <c r="F38" i="8"/>
  <c r="G38" i="16"/>
  <c r="G38" i="10"/>
  <c r="D50" i="8"/>
  <c r="E50" i="10"/>
  <c r="E54" i="10"/>
  <c r="F58" i="6"/>
  <c r="I61" i="6"/>
  <c r="G61" i="16"/>
  <c r="G61" i="10"/>
  <c r="D62" i="8"/>
  <c r="E62" i="10"/>
  <c r="F64" i="8"/>
  <c r="G64" i="16"/>
  <c r="S64" i="16" s="1"/>
  <c r="G64" i="10"/>
  <c r="E65" i="6"/>
  <c r="F65" i="10"/>
  <c r="I66" i="6"/>
  <c r="G66" i="16"/>
  <c r="S66" i="16" s="1"/>
  <c r="G66" i="10"/>
  <c r="E75" i="6"/>
  <c r="F75" i="10"/>
  <c r="G2" i="10"/>
  <c r="G3" i="16"/>
  <c r="S3" i="16" s="1"/>
  <c r="G3" i="10"/>
  <c r="I4" i="6"/>
  <c r="G4" i="16"/>
  <c r="S4" i="16" s="1"/>
  <c r="G4" i="10"/>
  <c r="F6" i="8"/>
  <c r="G6" i="16"/>
  <c r="S6" i="16" s="1"/>
  <c r="G6" i="10"/>
  <c r="G7" i="16"/>
  <c r="S7" i="16" s="1"/>
  <c r="G7" i="10"/>
  <c r="I8" i="6"/>
  <c r="G8" i="16"/>
  <c r="S8" i="16" s="1"/>
  <c r="G8" i="10"/>
  <c r="F10" i="8"/>
  <c r="G10" i="16"/>
  <c r="S10" i="16" s="1"/>
  <c r="G10" i="10"/>
  <c r="D13" i="6"/>
  <c r="E13" i="10"/>
  <c r="AM26" i="2"/>
  <c r="F16" i="10"/>
  <c r="BB28" i="2"/>
  <c r="G17" i="16"/>
  <c r="S17" i="16" s="1"/>
  <c r="G17" i="10"/>
  <c r="F18" i="10"/>
  <c r="BB30" i="2"/>
  <c r="G19" i="16"/>
  <c r="S19" i="16" s="1"/>
  <c r="G19" i="10"/>
  <c r="F20" i="10"/>
  <c r="BB32" i="2"/>
  <c r="G21" i="16"/>
  <c r="S21" i="16" s="1"/>
  <c r="G21" i="10"/>
  <c r="F22" i="10"/>
  <c r="BB34" i="2"/>
  <c r="BC35" i="2"/>
  <c r="D24" i="8"/>
  <c r="E24" i="10"/>
  <c r="F24" i="6"/>
  <c r="BC37" i="2"/>
  <c r="D26" i="8"/>
  <c r="E26" i="10"/>
  <c r="F27" i="10"/>
  <c r="F28" i="8"/>
  <c r="G28" i="16"/>
  <c r="S28" i="16" s="1"/>
  <c r="G28" i="10"/>
  <c r="I30" i="6"/>
  <c r="G30" i="16"/>
  <c r="S30" i="16" s="1"/>
  <c r="G30" i="10"/>
  <c r="F31" i="10"/>
  <c r="F32" i="8"/>
  <c r="G32" i="16"/>
  <c r="S32" i="16" s="1"/>
  <c r="G32" i="10"/>
  <c r="D34" i="8"/>
  <c r="E34" i="10"/>
  <c r="G35" i="16"/>
  <c r="S35" i="16" s="1"/>
  <c r="G35" i="10"/>
  <c r="F37" i="10"/>
  <c r="G39" i="16"/>
  <c r="S39" i="16" s="1"/>
  <c r="G39" i="10"/>
  <c r="F41" i="10"/>
  <c r="D42" i="8"/>
  <c r="E42" i="10"/>
  <c r="G43" i="16"/>
  <c r="S43" i="16" s="1"/>
  <c r="G43" i="10"/>
  <c r="I45" i="6"/>
  <c r="G45" i="10"/>
  <c r="F46" i="10"/>
  <c r="G47" i="16"/>
  <c r="S47" i="16" s="1"/>
  <c r="G47" i="10"/>
  <c r="E48" i="6"/>
  <c r="F48" i="10"/>
  <c r="I49" i="6"/>
  <c r="G49" i="16"/>
  <c r="S49" i="16" s="1"/>
  <c r="G49" i="10"/>
  <c r="F50" i="10"/>
  <c r="F52" i="8"/>
  <c r="G52" i="10"/>
  <c r="G52" i="16"/>
  <c r="S52" i="16" s="1"/>
  <c r="D53" i="6"/>
  <c r="E53" i="10"/>
  <c r="F54" i="10"/>
  <c r="F56" i="8"/>
  <c r="G56" i="16"/>
  <c r="S56" i="16" s="1"/>
  <c r="G56" i="10"/>
  <c r="D57" i="6"/>
  <c r="E57" i="10"/>
  <c r="G57" i="8"/>
  <c r="F58" i="10"/>
  <c r="F60" i="8"/>
  <c r="G60" i="16"/>
  <c r="S60" i="16" s="1"/>
  <c r="G60" i="10"/>
  <c r="D61" i="6"/>
  <c r="R61" i="6" s="1"/>
  <c r="E61" i="10"/>
  <c r="G61" i="8"/>
  <c r="F62" i="10"/>
  <c r="I63" i="6"/>
  <c r="R63" i="6" s="1"/>
  <c r="G63" i="16"/>
  <c r="S63" i="16" s="1"/>
  <c r="G63" i="10"/>
  <c r="D64" i="8"/>
  <c r="E64" i="10"/>
  <c r="D66" i="6"/>
  <c r="E66" i="10"/>
  <c r="D68" i="6"/>
  <c r="E68" i="10"/>
  <c r="D70" i="6"/>
  <c r="E70" i="10"/>
  <c r="D72" i="6"/>
  <c r="E72" i="10"/>
  <c r="D74" i="6"/>
  <c r="E74" i="10"/>
  <c r="D76" i="8"/>
  <c r="E76" i="10"/>
  <c r="D78" i="8"/>
  <c r="E78" i="10"/>
  <c r="D80" i="8"/>
  <c r="E80" i="10"/>
  <c r="D82" i="8"/>
  <c r="E82" i="10"/>
  <c r="D84" i="8"/>
  <c r="E84" i="10"/>
  <c r="D86" i="8"/>
  <c r="E86" i="10"/>
  <c r="I88" i="6"/>
  <c r="G88" i="16"/>
  <c r="S112" i="16" s="1"/>
  <c r="G88" i="10"/>
  <c r="E89" i="6"/>
  <c r="F89" i="10"/>
  <c r="I90" i="6"/>
  <c r="G90" i="16"/>
  <c r="S114" i="16" s="1"/>
  <c r="G90" i="10"/>
  <c r="E91" i="6"/>
  <c r="F91" i="10"/>
  <c r="I92" i="6"/>
  <c r="G92" i="16"/>
  <c r="S116" i="16" s="1"/>
  <c r="G92" i="10"/>
  <c r="E93" i="6"/>
  <c r="F93" i="10"/>
  <c r="I94" i="6"/>
  <c r="G94" i="16"/>
  <c r="G94" i="10"/>
  <c r="E95" i="6"/>
  <c r="F95" i="10"/>
  <c r="I96" i="6"/>
  <c r="G96" i="16"/>
  <c r="G96" i="10"/>
  <c r="E97" i="6"/>
  <c r="F97" i="10"/>
  <c r="F2" i="10"/>
  <c r="F3" i="10"/>
  <c r="F10" i="10"/>
  <c r="BB27" i="2"/>
  <c r="F19" i="10"/>
  <c r="BB31" i="2"/>
  <c r="I20" i="6"/>
  <c r="G20" i="16"/>
  <c r="S20" i="16" s="1"/>
  <c r="G20" i="10"/>
  <c r="BB33" i="2"/>
  <c r="I22" i="6"/>
  <c r="G22" i="16"/>
  <c r="S22" i="16" s="1"/>
  <c r="G22" i="10"/>
  <c r="I29" i="6"/>
  <c r="G29" i="16"/>
  <c r="S29" i="16" s="1"/>
  <c r="G29" i="10"/>
  <c r="F30" i="10"/>
  <c r="I33" i="6"/>
  <c r="G33" i="16"/>
  <c r="S33" i="16" s="1"/>
  <c r="G33" i="10"/>
  <c r="F39" i="10"/>
  <c r="D40" i="8"/>
  <c r="E40" i="10"/>
  <c r="I50" i="6"/>
  <c r="G50" i="16"/>
  <c r="S50" i="16" s="1"/>
  <c r="G50" i="10"/>
  <c r="E56" i="6"/>
  <c r="F56" i="10"/>
  <c r="G59" i="8"/>
  <c r="D73" i="8"/>
  <c r="E73" i="10"/>
  <c r="F91" i="8"/>
  <c r="G91" i="16"/>
  <c r="G91" i="10"/>
  <c r="F97" i="8"/>
  <c r="G97" i="16"/>
  <c r="S121" i="16" s="1"/>
  <c r="G97" i="10"/>
  <c r="I14" i="6"/>
  <c r="G14" i="16"/>
  <c r="S14" i="16" s="1"/>
  <c r="BC29" i="2"/>
  <c r="AM66" i="2"/>
  <c r="D20" i="8"/>
  <c r="E20" i="10"/>
  <c r="AM32" i="2"/>
  <c r="BC33" i="2"/>
  <c r="F25" i="10"/>
  <c r="BB37" i="2"/>
  <c r="D27" i="6"/>
  <c r="E27" i="10"/>
  <c r="D29" i="6"/>
  <c r="E29" i="10"/>
  <c r="E36" i="6"/>
  <c r="F36" i="10"/>
  <c r="E40" i="6"/>
  <c r="F40" i="10"/>
  <c r="E44" i="6"/>
  <c r="F44" i="10"/>
  <c r="G50" i="8"/>
  <c r="G54" i="8"/>
  <c r="D58" i="8"/>
  <c r="E58" i="10"/>
  <c r="G68" i="10"/>
  <c r="E4" i="10"/>
  <c r="D5" i="6"/>
  <c r="D8" i="8"/>
  <c r="E8" i="10"/>
  <c r="D9" i="6"/>
  <c r="F12" i="10"/>
  <c r="F13" i="10"/>
  <c r="F14" i="10"/>
  <c r="I15" i="6"/>
  <c r="G15" i="16"/>
  <c r="S15" i="16" s="1"/>
  <c r="G15" i="10"/>
  <c r="BC28" i="2"/>
  <c r="D17" i="6"/>
  <c r="E17" i="10"/>
  <c r="AM29" i="2"/>
  <c r="F29" i="6" s="1"/>
  <c r="T17" i="16"/>
  <c r="BC30" i="2"/>
  <c r="D19" i="6"/>
  <c r="E19" i="10"/>
  <c r="BC32" i="2"/>
  <c r="D21" i="6"/>
  <c r="E21" i="10"/>
  <c r="AM33" i="2"/>
  <c r="G33" i="8" s="1"/>
  <c r="T21" i="16"/>
  <c r="BC34" i="2"/>
  <c r="G23" i="16"/>
  <c r="S23" i="16" s="1"/>
  <c r="G23" i="10"/>
  <c r="Z23" i="10" s="1"/>
  <c r="F24" i="10"/>
  <c r="BB36" i="2"/>
  <c r="U24" i="16"/>
  <c r="G25" i="16"/>
  <c r="S25" i="16" s="1"/>
  <c r="G25" i="10"/>
  <c r="F26" i="10"/>
  <c r="D30" i="8"/>
  <c r="E30" i="10"/>
  <c r="F36" i="8"/>
  <c r="G36" i="16"/>
  <c r="G36" i="10"/>
  <c r="E38" i="6"/>
  <c r="F38" i="10"/>
  <c r="D39" i="6"/>
  <c r="E39" i="10"/>
  <c r="I40" i="6"/>
  <c r="G40" i="16"/>
  <c r="S40" i="16" s="1"/>
  <c r="G40" i="10"/>
  <c r="E42" i="6"/>
  <c r="F42" i="10"/>
  <c r="I44" i="6"/>
  <c r="G44" i="16"/>
  <c r="S44" i="16" s="1"/>
  <c r="G44" i="10"/>
  <c r="D45" i="6"/>
  <c r="E45" i="10"/>
  <c r="D49" i="6"/>
  <c r="E49" i="10"/>
  <c r="G51" i="16"/>
  <c r="S51" i="16" s="1"/>
  <c r="G51" i="10"/>
  <c r="G52" i="8"/>
  <c r="F53" i="10"/>
  <c r="I55" i="6"/>
  <c r="G55" i="16"/>
  <c r="S55" i="16" s="1"/>
  <c r="G55" i="10"/>
  <c r="D56" i="8"/>
  <c r="E56" i="10"/>
  <c r="F57" i="10"/>
  <c r="I59" i="6"/>
  <c r="G59" i="16"/>
  <c r="S59" i="16" s="1"/>
  <c r="G59" i="10"/>
  <c r="D60" i="8"/>
  <c r="E60" i="10"/>
  <c r="F61" i="10"/>
  <c r="G63" i="8"/>
  <c r="E64" i="6"/>
  <c r="F64" i="10"/>
  <c r="I65" i="6"/>
  <c r="G65" i="16"/>
  <c r="S65" i="16" s="1"/>
  <c r="G65" i="10"/>
  <c r="F66" i="10"/>
  <c r="F67" i="8"/>
  <c r="G67" i="16"/>
  <c r="S67" i="16" s="1"/>
  <c r="G67" i="10"/>
  <c r="E68" i="6"/>
  <c r="F68" i="10"/>
  <c r="I69" i="6"/>
  <c r="G69" i="16"/>
  <c r="G69" i="10"/>
  <c r="F70" i="10"/>
  <c r="F71" i="8"/>
  <c r="G71" i="16"/>
  <c r="G71" i="10"/>
  <c r="I73" i="6"/>
  <c r="G73" i="16"/>
  <c r="S73" i="16" s="1"/>
  <c r="G73" i="10"/>
  <c r="F74" i="10"/>
  <c r="I75" i="6"/>
  <c r="G75" i="16"/>
  <c r="S75" i="16" s="1"/>
  <c r="G75" i="10"/>
  <c r="E76" i="6"/>
  <c r="F76" i="10"/>
  <c r="I77" i="6"/>
  <c r="G77" i="16"/>
  <c r="S77" i="16" s="1"/>
  <c r="G77" i="10"/>
  <c r="F78" i="10"/>
  <c r="I79" i="6"/>
  <c r="G79" i="16"/>
  <c r="S79" i="16" s="1"/>
  <c r="G79" i="10"/>
  <c r="E80" i="6"/>
  <c r="F80" i="10"/>
  <c r="G81" i="16"/>
  <c r="S81" i="16" s="1"/>
  <c r="G81" i="10"/>
  <c r="F82" i="10"/>
  <c r="F83" i="8"/>
  <c r="G83" i="16"/>
  <c r="S83" i="16" s="1"/>
  <c r="G83" i="10"/>
  <c r="E84" i="6"/>
  <c r="F84" i="10"/>
  <c r="F85" i="8"/>
  <c r="G85" i="16"/>
  <c r="S85" i="16" s="1"/>
  <c r="G85" i="10"/>
  <c r="F86" i="10"/>
  <c r="F87" i="8"/>
  <c r="G87" i="16"/>
  <c r="G87" i="10"/>
  <c r="D88" i="8"/>
  <c r="E88" i="10"/>
  <c r="D90" i="8"/>
  <c r="E90" i="10"/>
  <c r="D92" i="8"/>
  <c r="E92" i="10"/>
  <c r="D94" i="8"/>
  <c r="E94" i="10"/>
  <c r="D96" i="8"/>
  <c r="E96" i="10"/>
  <c r="F6" i="10"/>
  <c r="G41" i="16"/>
  <c r="S41" i="16" s="1"/>
  <c r="G41" i="10"/>
  <c r="I46" i="6"/>
  <c r="G46" i="16"/>
  <c r="S46" i="16" s="1"/>
  <c r="G46" i="10"/>
  <c r="F47" i="10"/>
  <c r="F48" i="8"/>
  <c r="G48" i="16"/>
  <c r="S48" i="16" s="1"/>
  <c r="G48" i="10"/>
  <c r="E52" i="6"/>
  <c r="F52" i="10"/>
  <c r="I54" i="6"/>
  <c r="G54" i="16"/>
  <c r="S54" i="16" s="1"/>
  <c r="G54" i="10"/>
  <c r="G55" i="8"/>
  <c r="I58" i="6"/>
  <c r="G58" i="16"/>
  <c r="S58" i="16" s="1"/>
  <c r="G58" i="10"/>
  <c r="D69" i="8"/>
  <c r="E69" i="10"/>
  <c r="D81" i="8"/>
  <c r="E81" i="10"/>
  <c r="E92" i="6"/>
  <c r="F92" i="10"/>
  <c r="F93" i="8"/>
  <c r="G93" i="16"/>
  <c r="S117" i="16" s="1"/>
  <c r="G93" i="10"/>
  <c r="I95" i="6"/>
  <c r="G95" i="16"/>
  <c r="S119" i="16" s="1"/>
  <c r="G95" i="10"/>
  <c r="BC27" i="2"/>
  <c r="V15" i="16"/>
  <c r="F23" i="10"/>
  <c r="BB35" i="2"/>
  <c r="D37" i="6"/>
  <c r="E37" i="10"/>
  <c r="I42" i="6"/>
  <c r="G42" i="16"/>
  <c r="S42" i="16" s="1"/>
  <c r="G42" i="10"/>
  <c r="D46" i="8"/>
  <c r="E46" i="10"/>
  <c r="F51" i="10"/>
  <c r="I53" i="6"/>
  <c r="G53" i="16"/>
  <c r="S53" i="16" s="1"/>
  <c r="G53" i="10"/>
  <c r="F55" i="10"/>
  <c r="I57" i="6"/>
  <c r="G57" i="16"/>
  <c r="S57" i="16" s="1"/>
  <c r="G57" i="10"/>
  <c r="F59" i="10"/>
  <c r="I70" i="6"/>
  <c r="G70" i="16"/>
  <c r="S70" i="16" s="1"/>
  <c r="G70" i="10"/>
  <c r="E71" i="6"/>
  <c r="F71" i="10"/>
  <c r="I72" i="6"/>
  <c r="G72" i="16"/>
  <c r="S72" i="16" s="1"/>
  <c r="G72" i="10"/>
  <c r="E73" i="6"/>
  <c r="F73" i="10"/>
  <c r="I74" i="6"/>
  <c r="G74" i="16"/>
  <c r="G74" i="10"/>
  <c r="I76" i="6"/>
  <c r="G76" i="16"/>
  <c r="G76" i="10"/>
  <c r="E77" i="6"/>
  <c r="F77" i="10"/>
  <c r="I78" i="6"/>
  <c r="G78" i="16"/>
  <c r="G78" i="10"/>
  <c r="E79" i="6"/>
  <c r="F79" i="10"/>
  <c r="I80" i="6"/>
  <c r="G80" i="16"/>
  <c r="S80" i="16" s="1"/>
  <c r="G80" i="10"/>
  <c r="E81" i="6"/>
  <c r="F81" i="10"/>
  <c r="I82" i="6"/>
  <c r="G82" i="16"/>
  <c r="S82" i="16" s="1"/>
  <c r="G82" i="10"/>
  <c r="E83" i="6"/>
  <c r="F83" i="10"/>
  <c r="I84" i="6"/>
  <c r="G84" i="10"/>
  <c r="G84" i="16"/>
  <c r="S84" i="16" s="1"/>
  <c r="E85" i="6"/>
  <c r="F85" i="10"/>
  <c r="I86" i="6"/>
  <c r="G86" i="16"/>
  <c r="G86" i="10"/>
  <c r="E87" i="6"/>
  <c r="F87" i="10"/>
  <c r="D89" i="8"/>
  <c r="E89" i="10"/>
  <c r="D93" i="8"/>
  <c r="E93" i="10"/>
  <c r="D97" i="8"/>
  <c r="E97" i="10"/>
  <c r="I32" i="15"/>
  <c r="R32" i="15" s="1"/>
  <c r="AR44" i="2"/>
  <c r="I44" i="15" s="1"/>
  <c r="R44" i="15" s="1"/>
  <c r="E57" i="6"/>
  <c r="AM31" i="2"/>
  <c r="F31" i="6" s="1"/>
  <c r="AT35" i="2"/>
  <c r="AM62" i="2"/>
  <c r="I97" i="6"/>
  <c r="AS40" i="2"/>
  <c r="AU45" i="2"/>
  <c r="AS53" i="2"/>
  <c r="F26" i="6"/>
  <c r="G26" i="8"/>
  <c r="F26" i="14"/>
  <c r="N26" i="14" s="1"/>
  <c r="AM74" i="2"/>
  <c r="AM38" i="2"/>
  <c r="G26" i="15"/>
  <c r="P26" i="15" s="1"/>
  <c r="J26" i="15"/>
  <c r="S26" i="15" s="1"/>
  <c r="J26" i="8"/>
  <c r="BA38" i="2"/>
  <c r="AU47" i="2"/>
  <c r="H36" i="2"/>
  <c r="H34" i="2"/>
  <c r="I48" i="8"/>
  <c r="AR60" i="2"/>
  <c r="J28" i="15"/>
  <c r="S28" i="15" s="1"/>
  <c r="J28" i="8"/>
  <c r="AU43" i="2"/>
  <c r="AM80" i="2"/>
  <c r="J32" i="8"/>
  <c r="J32" i="15"/>
  <c r="S32" i="15" s="1"/>
  <c r="BA44" i="2"/>
  <c r="H15" i="15"/>
  <c r="Q15" i="15" s="1"/>
  <c r="G15" i="6"/>
  <c r="G15" i="14"/>
  <c r="O15" i="14" s="1"/>
  <c r="H15" i="8"/>
  <c r="BD27" i="2"/>
  <c r="AV46" i="2"/>
  <c r="G34" i="14"/>
  <c r="O34" i="14" s="1"/>
  <c r="H34" i="15"/>
  <c r="Q34" i="15" s="1"/>
  <c r="G34" i="6"/>
  <c r="H34" i="8"/>
  <c r="BD46" i="2"/>
  <c r="H2" i="15"/>
  <c r="Q2" i="15" s="1"/>
  <c r="G2" i="6"/>
  <c r="H2" i="8"/>
  <c r="G2" i="14"/>
  <c r="O2" i="14" s="1"/>
  <c r="H5" i="15"/>
  <c r="Q5" i="15" s="1"/>
  <c r="H5" i="8"/>
  <c r="G5" i="14"/>
  <c r="O5" i="14" s="1"/>
  <c r="H7" i="15"/>
  <c r="Q7" i="15" s="1"/>
  <c r="G7" i="14"/>
  <c r="O7" i="14" s="1"/>
  <c r="G7" i="6"/>
  <c r="H7" i="8"/>
  <c r="G16" i="15"/>
  <c r="P16" i="15" s="1"/>
  <c r="F16" i="14"/>
  <c r="N16" i="14" s="1"/>
  <c r="F16" i="6"/>
  <c r="G16" i="8"/>
  <c r="J24" i="15"/>
  <c r="S24" i="15" s="1"/>
  <c r="J24" i="8"/>
  <c r="AV27" i="2"/>
  <c r="F29" i="14"/>
  <c r="N29" i="14" s="1"/>
  <c r="J33" i="15"/>
  <c r="S33" i="15" s="1"/>
  <c r="G35" i="8"/>
  <c r="F35" i="14"/>
  <c r="N35" i="14" s="1"/>
  <c r="J35" i="15"/>
  <c r="S35" i="15" s="1"/>
  <c r="AS43" i="2"/>
  <c r="AM47" i="2"/>
  <c r="BA47" i="2"/>
  <c r="G51" i="15"/>
  <c r="P51" i="15" s="1"/>
  <c r="F51" i="14"/>
  <c r="N51" i="14" s="1"/>
  <c r="G51" i="8"/>
  <c r="F51" i="6"/>
  <c r="J35" i="8"/>
  <c r="I22" i="15"/>
  <c r="R22" i="15" s="1"/>
  <c r="I22" i="8"/>
  <c r="J23" i="15"/>
  <c r="S23" i="15" s="1"/>
  <c r="J23" i="8"/>
  <c r="I26" i="15"/>
  <c r="R26" i="15" s="1"/>
  <c r="I26" i="8"/>
  <c r="G27" i="15"/>
  <c r="P27" i="15" s="1"/>
  <c r="F27" i="14"/>
  <c r="N27" i="14" s="1"/>
  <c r="G27" i="8"/>
  <c r="F27" i="6"/>
  <c r="AT29" i="2"/>
  <c r="AR34" i="2"/>
  <c r="F60" i="14"/>
  <c r="N60" i="14" s="1"/>
  <c r="G60" i="15"/>
  <c r="P60" i="15" s="1"/>
  <c r="G108" i="15"/>
  <c r="P108" i="15" s="1"/>
  <c r="G60" i="8"/>
  <c r="F60" i="6"/>
  <c r="AM64" i="2"/>
  <c r="F70" i="14"/>
  <c r="N70" i="14" s="1"/>
  <c r="G70" i="8"/>
  <c r="F70" i="6"/>
  <c r="G70" i="15"/>
  <c r="P70" i="15" s="1"/>
  <c r="I14" i="15"/>
  <c r="R14" i="15" s="1"/>
  <c r="I14" i="8"/>
  <c r="BD14" i="2"/>
  <c r="I17" i="8"/>
  <c r="I17" i="15"/>
  <c r="R17" i="15" s="1"/>
  <c r="BD17" i="2"/>
  <c r="F18" i="14"/>
  <c r="N18" i="14" s="1"/>
  <c r="G18" i="8"/>
  <c r="F18" i="6"/>
  <c r="G18" i="15"/>
  <c r="P18" i="15" s="1"/>
  <c r="J18" i="15"/>
  <c r="S18" i="15" s="1"/>
  <c r="J18" i="8"/>
  <c r="U19" i="16"/>
  <c r="I21" i="15"/>
  <c r="R21" i="15" s="1"/>
  <c r="I21" i="8"/>
  <c r="G22" i="15"/>
  <c r="P22" i="15" s="1"/>
  <c r="F22" i="14"/>
  <c r="N22" i="14" s="1"/>
  <c r="G22" i="8"/>
  <c r="F22" i="6"/>
  <c r="J22" i="15"/>
  <c r="S22" i="15" s="1"/>
  <c r="J22" i="8"/>
  <c r="V24" i="16"/>
  <c r="I25" i="8"/>
  <c r="I25" i="15"/>
  <c r="R25" i="15" s="1"/>
  <c r="C50" i="25"/>
  <c r="E50" i="25" s="1"/>
  <c r="AM28" i="2"/>
  <c r="AU29" i="2"/>
  <c r="AM30" i="2"/>
  <c r="BA30" i="2"/>
  <c r="AM34" i="2"/>
  <c r="AS34" i="2"/>
  <c r="BA34" i="2"/>
  <c r="AM36" i="2"/>
  <c r="AS36" i="2"/>
  <c r="BA36" i="2"/>
  <c r="AR37" i="2"/>
  <c r="AV37" i="2"/>
  <c r="BA41" i="2"/>
  <c r="F50" i="14"/>
  <c r="N50" i="14" s="1"/>
  <c r="F50" i="6"/>
  <c r="F81" i="8"/>
  <c r="I81" i="6"/>
  <c r="J33" i="8"/>
  <c r="H3" i="15"/>
  <c r="Q3" i="15" s="1"/>
  <c r="G3" i="14"/>
  <c r="O3" i="14" s="1"/>
  <c r="H3" i="8"/>
  <c r="G3" i="6"/>
  <c r="R3" i="6" s="1"/>
  <c r="H6" i="15"/>
  <c r="Q6" i="15" s="1"/>
  <c r="G6" i="14"/>
  <c r="O6" i="14" s="1"/>
  <c r="H6" i="8"/>
  <c r="G6" i="6"/>
  <c r="R6" i="6" s="1"/>
  <c r="G8" i="14"/>
  <c r="O8" i="14" s="1"/>
  <c r="H8" i="8"/>
  <c r="H9" i="15"/>
  <c r="Q9" i="15" s="1"/>
  <c r="G9" i="6"/>
  <c r="I15" i="15"/>
  <c r="R15" i="15" s="1"/>
  <c r="I15" i="8"/>
  <c r="T16" i="16"/>
  <c r="J16" i="15"/>
  <c r="S16" i="15" s="1"/>
  <c r="J16" i="8"/>
  <c r="I19" i="8"/>
  <c r="I19" i="15"/>
  <c r="R19" i="15" s="1"/>
  <c r="BD19" i="2"/>
  <c r="F20" i="6"/>
  <c r="F20" i="14"/>
  <c r="N20" i="14" s="1"/>
  <c r="G20" i="8"/>
  <c r="G20" i="15"/>
  <c r="P20" i="15" s="1"/>
  <c r="J20" i="15"/>
  <c r="S20" i="15" s="1"/>
  <c r="J20" i="8"/>
  <c r="I23" i="15"/>
  <c r="R23" i="15" s="1"/>
  <c r="I23" i="8"/>
  <c r="H23" i="15"/>
  <c r="Q23" i="15" s="1"/>
  <c r="F24" i="14"/>
  <c r="N24" i="14" s="1"/>
  <c r="G24" i="15"/>
  <c r="P24" i="15" s="1"/>
  <c r="G24" i="8"/>
  <c r="AR27" i="2"/>
  <c r="J29" i="15"/>
  <c r="S29" i="15" s="1"/>
  <c r="AU30" i="2"/>
  <c r="J31" i="15"/>
  <c r="S31" i="15" s="1"/>
  <c r="AU34" i="2"/>
  <c r="AT37" i="2"/>
  <c r="AX37" i="2"/>
  <c r="BA43" i="2"/>
  <c r="AV56" i="2"/>
  <c r="AS45" i="2"/>
  <c r="BA45" i="2"/>
  <c r="AS47" i="2"/>
  <c r="AU48" i="2"/>
  <c r="G5" i="6"/>
  <c r="G27" i="24"/>
  <c r="T8" i="20"/>
  <c r="C28" i="24"/>
  <c r="K10" i="19"/>
  <c r="E4" i="24" s="1"/>
  <c r="AE8" i="19"/>
  <c r="M8" i="20" s="1"/>
  <c r="AM5" i="19"/>
  <c r="AN5" i="19" s="1"/>
  <c r="V11" i="18"/>
  <c r="G46" i="24" s="1"/>
  <c r="Y8" i="18"/>
  <c r="D47" i="24" s="1"/>
  <c r="V7" i="18"/>
  <c r="C46" i="24"/>
  <c r="S6" i="18"/>
  <c r="Y4" i="18"/>
  <c r="E12" i="20"/>
  <c r="G25" i="24" s="1"/>
  <c r="E10" i="20"/>
  <c r="E25" i="24" s="1"/>
  <c r="E8" i="20"/>
  <c r="C25" i="24" s="1"/>
  <c r="AM12" i="19"/>
  <c r="AN12" i="19" s="1"/>
  <c r="K11" i="19"/>
  <c r="F4" i="24" s="1"/>
  <c r="C10" i="19"/>
  <c r="E3" i="24" s="1"/>
  <c r="AM7" i="19"/>
  <c r="AN7" i="19" s="1"/>
  <c r="K7" i="19"/>
  <c r="AI5" i="19"/>
  <c r="R5" i="20" s="1"/>
  <c r="C5" i="19"/>
  <c r="S11" i="18"/>
  <c r="G45" i="24" s="1"/>
  <c r="Y9" i="18"/>
  <c r="E47" i="24" s="1"/>
  <c r="G9" i="18"/>
  <c r="E42" i="24" s="1"/>
  <c r="V8" i="18"/>
  <c r="D46" i="24" s="1"/>
  <c r="C8" i="18"/>
  <c r="D41" i="24" s="1"/>
  <c r="S7" i="18"/>
  <c r="C45" i="24" s="1"/>
  <c r="Y5" i="18"/>
  <c r="G5" i="18"/>
  <c r="V4" i="18"/>
  <c r="C4" i="18"/>
  <c r="T11" i="20"/>
  <c r="F28" i="24" s="1"/>
  <c r="T9" i="20"/>
  <c r="D28" i="24" s="1"/>
  <c r="T7" i="20"/>
  <c r="T5" i="20"/>
  <c r="AI12" i="19"/>
  <c r="G8" i="24" s="1"/>
  <c r="C12" i="19"/>
  <c r="G3" i="24" s="1"/>
  <c r="AI11" i="19"/>
  <c r="F8" i="24" s="1"/>
  <c r="C11" i="19"/>
  <c r="F3" i="24"/>
  <c r="AE10" i="19"/>
  <c r="AF10" i="19"/>
  <c r="AM8" i="19"/>
  <c r="C9" i="24" s="1"/>
  <c r="K8" i="19"/>
  <c r="C4" i="24" s="1"/>
  <c r="AI7" i="19"/>
  <c r="AJ7" i="19" s="1"/>
  <c r="C7" i="19"/>
  <c r="AI6" i="19"/>
  <c r="R6" i="20" s="1"/>
  <c r="C6" i="19"/>
  <c r="AE5" i="19"/>
  <c r="M5" i="20" s="1"/>
  <c r="Y10" i="18"/>
  <c r="F47" i="24" s="1"/>
  <c r="G10" i="18"/>
  <c r="F42" i="24" s="1"/>
  <c r="V9" i="18"/>
  <c r="E46" i="24" s="1"/>
  <c r="C9" i="18"/>
  <c r="S8" i="18"/>
  <c r="D45" i="24" s="1"/>
  <c r="Y6" i="18"/>
  <c r="G6" i="18"/>
  <c r="V5" i="18"/>
  <c r="C5" i="18"/>
  <c r="D5" i="18" s="1"/>
  <c r="S4" i="18"/>
  <c r="H7" i="24"/>
  <c r="C8" i="19"/>
  <c r="C3" i="24" s="1"/>
  <c r="V10" i="18"/>
  <c r="F46" i="24" s="1"/>
  <c r="O11" i="20"/>
  <c r="F27" i="24" s="1"/>
  <c r="O9" i="20"/>
  <c r="D27" i="24" s="1"/>
  <c r="O7" i="20"/>
  <c r="O5" i="20"/>
  <c r="AM9" i="19"/>
  <c r="D9" i="24" s="1"/>
  <c r="AE7" i="19"/>
  <c r="M7" i="20" s="1"/>
  <c r="N7" i="20" s="1"/>
  <c r="C10" i="18"/>
  <c r="F41" i="24" s="1"/>
  <c r="Y7" i="18"/>
  <c r="C47" i="24" s="1"/>
  <c r="S5" i="18"/>
  <c r="AE11" i="19"/>
  <c r="F7" i="24" s="1"/>
  <c r="K9" i="19"/>
  <c r="D4" i="24" s="1"/>
  <c r="Y11" i="18"/>
  <c r="G47" i="24"/>
  <c r="S9" i="18"/>
  <c r="E45" i="24" s="1"/>
  <c r="G7" i="18"/>
  <c r="C42" i="24" s="1"/>
  <c r="E9" i="20"/>
  <c r="D25" i="24" s="1"/>
  <c r="AI8" i="19"/>
  <c r="C8" i="24" s="1"/>
  <c r="V6" i="18"/>
  <c r="E11" i="20"/>
  <c r="F25" i="24" s="1"/>
  <c r="AE6" i="19"/>
  <c r="AF6" i="19" s="1"/>
  <c r="E5" i="20"/>
  <c r="G11" i="18"/>
  <c r="G42" i="24" s="1"/>
  <c r="E7" i="20"/>
  <c r="E8" i="8"/>
  <c r="J15" i="8"/>
  <c r="J15" i="15"/>
  <c r="S15" i="15" s="1"/>
  <c r="I18" i="15"/>
  <c r="R18" i="15" s="1"/>
  <c r="I18" i="8"/>
  <c r="BD18" i="2"/>
  <c r="G19" i="15"/>
  <c r="P19" i="15" s="1"/>
  <c r="F19" i="14"/>
  <c r="N19" i="14" s="1"/>
  <c r="F19" i="6"/>
  <c r="G19" i="8"/>
  <c r="J19" i="15"/>
  <c r="S19" i="15" s="1"/>
  <c r="J19" i="8"/>
  <c r="H22" i="8"/>
  <c r="G22" i="6"/>
  <c r="H22" i="15"/>
  <c r="Q22" i="15" s="1"/>
  <c r="G22" i="14"/>
  <c r="O22" i="14" s="1"/>
  <c r="G23" i="15"/>
  <c r="P23" i="15" s="1"/>
  <c r="F23" i="6"/>
  <c r="F23" i="14"/>
  <c r="N23" i="14" s="1"/>
  <c r="G23" i="8"/>
  <c r="AS27" i="2"/>
  <c r="BA27" i="2"/>
  <c r="BA39" i="2" s="1"/>
  <c r="AX29" i="2"/>
  <c r="AX41" i="2" s="1"/>
  <c r="K41" i="10" s="1"/>
  <c r="AV30" i="2"/>
  <c r="AX33" i="2"/>
  <c r="I36" i="8"/>
  <c r="I36" i="15"/>
  <c r="R36" i="15" s="1"/>
  <c r="AU37" i="2"/>
  <c r="AT43" i="2"/>
  <c r="AX43" i="2"/>
  <c r="AX55" i="2" s="1"/>
  <c r="K55" i="10" s="1"/>
  <c r="AT47" i="2"/>
  <c r="AV48" i="2"/>
  <c r="G52" i="15"/>
  <c r="P52" i="15" s="1"/>
  <c r="F52" i="14"/>
  <c r="F52" i="6"/>
  <c r="G54" i="15"/>
  <c r="P54" i="15" s="1"/>
  <c r="F54" i="14"/>
  <c r="N54" i="14" s="1"/>
  <c r="F102" i="14"/>
  <c r="N102" i="14" s="1"/>
  <c r="F54" i="6"/>
  <c r="F56" i="14"/>
  <c r="N56" i="14" s="1"/>
  <c r="G56" i="15"/>
  <c r="P56" i="15" s="1"/>
  <c r="G56" i="8"/>
  <c r="F56" i="6"/>
  <c r="G58" i="15"/>
  <c r="P58" i="15" s="1"/>
  <c r="F58" i="14"/>
  <c r="N58" i="14" s="1"/>
  <c r="F106" i="14"/>
  <c r="N106" i="14" s="1"/>
  <c r="G58" i="8"/>
  <c r="G62" i="15"/>
  <c r="P62" i="15" s="1"/>
  <c r="G62" i="8"/>
  <c r="G66" i="15"/>
  <c r="P66" i="15" s="1"/>
  <c r="F66" i="14"/>
  <c r="N66" i="14" s="1"/>
  <c r="F114" i="14"/>
  <c r="N114" i="14" s="1"/>
  <c r="G66" i="8"/>
  <c r="F66" i="6"/>
  <c r="AM68" i="2"/>
  <c r="AM72" i="2"/>
  <c r="I5" i="6"/>
  <c r="H11" i="15"/>
  <c r="Q11" i="15" s="1"/>
  <c r="G11" i="14"/>
  <c r="O11" i="14" s="1"/>
  <c r="G11" i="6"/>
  <c r="H11" i="8"/>
  <c r="G12" i="14"/>
  <c r="O12" i="14" s="1"/>
  <c r="H12" i="8"/>
  <c r="H13" i="15"/>
  <c r="Q13" i="15" s="1"/>
  <c r="G13" i="6"/>
  <c r="G14" i="15"/>
  <c r="P14" i="15" s="1"/>
  <c r="F14" i="14"/>
  <c r="N14" i="14" s="1"/>
  <c r="G14" i="8"/>
  <c r="F14" i="6"/>
  <c r="J14" i="15"/>
  <c r="S14" i="15" s="1"/>
  <c r="J14" i="8"/>
  <c r="I16" i="15"/>
  <c r="R16" i="15" s="1"/>
  <c r="I16" i="8"/>
  <c r="BD16" i="2"/>
  <c r="G17" i="15"/>
  <c r="P17" i="15" s="1"/>
  <c r="F17" i="14"/>
  <c r="N17" i="14" s="1"/>
  <c r="G17" i="8"/>
  <c r="F17" i="6"/>
  <c r="J17" i="8"/>
  <c r="J17" i="15"/>
  <c r="S17" i="15" s="1"/>
  <c r="I20" i="15"/>
  <c r="R20" i="15" s="1"/>
  <c r="I20" i="8"/>
  <c r="BD20" i="2"/>
  <c r="F21" i="14"/>
  <c r="N21" i="14" s="1"/>
  <c r="G21" i="15"/>
  <c r="P21" i="15" s="1"/>
  <c r="G21" i="8"/>
  <c r="F21" i="6"/>
  <c r="J21" i="15"/>
  <c r="S21" i="15" s="1"/>
  <c r="J21" i="8"/>
  <c r="I24" i="15"/>
  <c r="R24" i="15" s="1"/>
  <c r="I24" i="8"/>
  <c r="BD24" i="2"/>
  <c r="G25" i="15"/>
  <c r="P25" i="15" s="1"/>
  <c r="F25" i="14"/>
  <c r="N25" i="14" s="1"/>
  <c r="G25" i="8"/>
  <c r="T25" i="16"/>
  <c r="J25" i="15"/>
  <c r="S25" i="15" s="1"/>
  <c r="J25" i="8"/>
  <c r="AT26" i="2"/>
  <c r="AX26" i="2"/>
  <c r="AU27" i="2"/>
  <c r="AT28" i="2"/>
  <c r="AX28" i="2"/>
  <c r="AR29" i="2"/>
  <c r="AR41" i="2" s="1"/>
  <c r="AV29" i="2"/>
  <c r="AT30" i="2"/>
  <c r="AX30" i="2"/>
  <c r="AR31" i="2"/>
  <c r="AV31" i="2"/>
  <c r="AV43" i="2" s="1"/>
  <c r="AT32" i="2"/>
  <c r="AX32" i="2"/>
  <c r="AR33" i="2"/>
  <c r="AV33" i="2"/>
  <c r="AV45" i="2" s="1"/>
  <c r="AV57" i="2" s="1"/>
  <c r="E34" i="8"/>
  <c r="AT34" i="2"/>
  <c r="AX34" i="2"/>
  <c r="AR35" i="2"/>
  <c r="AV35" i="2"/>
  <c r="BD35" i="2"/>
  <c r="AT36" i="2"/>
  <c r="AX36" i="2"/>
  <c r="AX48" i="2" s="1"/>
  <c r="K48" i="10" s="1"/>
  <c r="AM37" i="2"/>
  <c r="AS37" i="2"/>
  <c r="BA37" i="2"/>
  <c r="AR38" i="2"/>
  <c r="I38" i="8" s="1"/>
  <c r="AV38" i="2"/>
  <c r="AU40" i="2"/>
  <c r="AU44" i="2"/>
  <c r="F53" i="14"/>
  <c r="G53" i="15"/>
  <c r="P53" i="15" s="1"/>
  <c r="G53" i="8"/>
  <c r="G55" i="15"/>
  <c r="F55" i="14"/>
  <c r="N55" i="14" s="1"/>
  <c r="F55" i="6"/>
  <c r="F57" i="14"/>
  <c r="G57" i="15"/>
  <c r="P57" i="15" s="1"/>
  <c r="F57" i="6"/>
  <c r="G59" i="15"/>
  <c r="F59" i="14"/>
  <c r="N59" i="14" s="1"/>
  <c r="F107" i="14"/>
  <c r="N107" i="14" s="1"/>
  <c r="F59" i="6"/>
  <c r="S61" i="16"/>
  <c r="F61" i="14"/>
  <c r="N61" i="14" s="1"/>
  <c r="F109" i="14"/>
  <c r="N109" i="14" s="1"/>
  <c r="G61" i="15"/>
  <c r="F61" i="6"/>
  <c r="G63" i="15"/>
  <c r="P63" i="15" s="1"/>
  <c r="F63" i="14"/>
  <c r="N63" i="14" s="1"/>
  <c r="F111" i="14"/>
  <c r="N111" i="14" s="1"/>
  <c r="F63" i="6"/>
  <c r="AM65" i="2"/>
  <c r="AM67" i="2"/>
  <c r="AM69" i="2"/>
  <c r="AM71" i="2"/>
  <c r="AM73" i="2"/>
  <c r="AM75" i="2"/>
  <c r="AM77" i="2"/>
  <c r="AM81" i="2"/>
  <c r="AM83" i="2"/>
  <c r="G87" i="15"/>
  <c r="P87" i="15" s="1"/>
  <c r="F87" i="14"/>
  <c r="N87" i="14" s="1"/>
  <c r="G87" i="8"/>
  <c r="F87" i="6"/>
  <c r="G4" i="6"/>
  <c r="F25" i="6"/>
  <c r="F53" i="6"/>
  <c r="F62" i="6"/>
  <c r="H13" i="8"/>
  <c r="I28" i="8"/>
  <c r="I32" i="8"/>
  <c r="H12" i="15"/>
  <c r="Q12" i="15" s="1"/>
  <c r="G50" i="15"/>
  <c r="I89" i="6"/>
  <c r="E58" i="8"/>
  <c r="E90" i="8"/>
  <c r="I2" i="6"/>
  <c r="I10" i="6"/>
  <c r="I28" i="6"/>
  <c r="I38" i="6"/>
  <c r="I48" i="6"/>
  <c r="I52" i="6"/>
  <c r="E58" i="6"/>
  <c r="E59" i="6"/>
  <c r="I60" i="6"/>
  <c r="E66" i="6"/>
  <c r="E67" i="6"/>
  <c r="I67" i="6"/>
  <c r="E74" i="6"/>
  <c r="E82" i="6"/>
  <c r="I83" i="6"/>
  <c r="E90" i="6"/>
  <c r="I91" i="6"/>
  <c r="E12" i="8"/>
  <c r="E18" i="8"/>
  <c r="E22" i="8"/>
  <c r="E26" i="8"/>
  <c r="E30" i="8"/>
  <c r="E54" i="8"/>
  <c r="F77" i="8"/>
  <c r="E78" i="8"/>
  <c r="E94" i="8"/>
  <c r="I6" i="6"/>
  <c r="I32" i="6"/>
  <c r="I36" i="6"/>
  <c r="E3" i="6"/>
  <c r="E4" i="6"/>
  <c r="E7" i="6"/>
  <c r="R7" i="6" s="1"/>
  <c r="E8" i="6"/>
  <c r="E12" i="6"/>
  <c r="E13" i="6"/>
  <c r="E16" i="6"/>
  <c r="E17" i="6"/>
  <c r="E18" i="6"/>
  <c r="E19" i="6"/>
  <c r="E20" i="6"/>
  <c r="E21" i="6"/>
  <c r="E22" i="6"/>
  <c r="E23" i="6"/>
  <c r="E24" i="6"/>
  <c r="E25" i="6"/>
  <c r="E26" i="6"/>
  <c r="E27" i="6"/>
  <c r="E30" i="6"/>
  <c r="E31" i="6"/>
  <c r="E34" i="6"/>
  <c r="E35" i="6"/>
  <c r="E37" i="6"/>
  <c r="R37" i="6" s="1"/>
  <c r="E39" i="6"/>
  <c r="E41" i="6"/>
  <c r="E43" i="6"/>
  <c r="E46" i="6"/>
  <c r="R46" i="6" s="1"/>
  <c r="E47" i="6"/>
  <c r="E50" i="6"/>
  <c r="E51" i="6"/>
  <c r="E53" i="6"/>
  <c r="E61" i="6"/>
  <c r="I85" i="6"/>
  <c r="I93" i="6"/>
  <c r="E16" i="8"/>
  <c r="E50" i="8"/>
  <c r="F79" i="8"/>
  <c r="E82" i="8"/>
  <c r="E86" i="8"/>
  <c r="F95" i="8"/>
  <c r="E54" i="6"/>
  <c r="E55" i="6"/>
  <c r="I56" i="6"/>
  <c r="E62" i="6"/>
  <c r="E63" i="6"/>
  <c r="I64" i="6"/>
  <c r="E70" i="6"/>
  <c r="I71" i="6"/>
  <c r="E78" i="6"/>
  <c r="E86" i="6"/>
  <c r="I87" i="6"/>
  <c r="E94" i="6"/>
  <c r="E4" i="8"/>
  <c r="E20" i="8"/>
  <c r="E24" i="8"/>
  <c r="E46" i="8"/>
  <c r="E62" i="8"/>
  <c r="H98" i="14"/>
  <c r="P98" i="14" s="1"/>
  <c r="D3" i="6"/>
  <c r="D3" i="8"/>
  <c r="E5" i="8"/>
  <c r="D11" i="6"/>
  <c r="R11" i="6" s="1"/>
  <c r="D11" i="8"/>
  <c r="D31" i="6"/>
  <c r="D31" i="8"/>
  <c r="F39" i="15"/>
  <c r="O39" i="15" s="1"/>
  <c r="I39" i="14"/>
  <c r="Q39" i="14" s="1"/>
  <c r="F39" i="8"/>
  <c r="D47" i="6"/>
  <c r="D47" i="8"/>
  <c r="E72" i="8"/>
  <c r="E88" i="8"/>
  <c r="D95" i="8"/>
  <c r="D95" i="6"/>
  <c r="E2" i="6"/>
  <c r="E6" i="6"/>
  <c r="E10" i="6"/>
  <c r="E14" i="6"/>
  <c r="R14" i="6" s="1"/>
  <c r="E72" i="6"/>
  <c r="E88" i="6"/>
  <c r="E2" i="8"/>
  <c r="E6" i="8"/>
  <c r="E10" i="8"/>
  <c r="E14" i="8"/>
  <c r="F34" i="15"/>
  <c r="O34" i="15" s="1"/>
  <c r="I34" i="14"/>
  <c r="Q34" i="14" s="1"/>
  <c r="F34" i="8"/>
  <c r="D36" i="8"/>
  <c r="D36" i="6"/>
  <c r="F41" i="15"/>
  <c r="O41" i="15" s="1"/>
  <c r="I41" i="14"/>
  <c r="Q41" i="14" s="1"/>
  <c r="F41" i="8"/>
  <c r="E49" i="8"/>
  <c r="D52" i="8"/>
  <c r="D52" i="6"/>
  <c r="I54" i="14"/>
  <c r="Q54" i="14" s="1"/>
  <c r="F54" i="15"/>
  <c r="O54" i="15" s="1"/>
  <c r="F54" i="8"/>
  <c r="D63" i="6"/>
  <c r="D63" i="8"/>
  <c r="F70" i="15"/>
  <c r="O70" i="15" s="1"/>
  <c r="I70" i="14"/>
  <c r="Q70" i="14" s="1"/>
  <c r="F70" i="8"/>
  <c r="D79" i="8"/>
  <c r="D79" i="6"/>
  <c r="D2" i="8"/>
  <c r="D2" i="6"/>
  <c r="I7" i="14"/>
  <c r="Q7" i="14" s="1"/>
  <c r="F7" i="15"/>
  <c r="O7" i="15" s="1"/>
  <c r="F7" i="8"/>
  <c r="D10" i="8"/>
  <c r="D10" i="6"/>
  <c r="R10" i="6" s="1"/>
  <c r="F13" i="15"/>
  <c r="O13" i="15" s="1"/>
  <c r="I13" i="14"/>
  <c r="Q13" i="14" s="1"/>
  <c r="F13" i="8"/>
  <c r="I18" i="14"/>
  <c r="Q18" i="14" s="1"/>
  <c r="F18" i="15"/>
  <c r="O18" i="15" s="1"/>
  <c r="F18" i="8"/>
  <c r="I24" i="14"/>
  <c r="Q24" i="14" s="1"/>
  <c r="F24" i="15"/>
  <c r="O24" i="15" s="1"/>
  <c r="F24" i="8"/>
  <c r="E33" i="8"/>
  <c r="E36" i="8"/>
  <c r="D38" i="8"/>
  <c r="D38" i="6"/>
  <c r="E40" i="8"/>
  <c r="D41" i="6"/>
  <c r="D41" i="8"/>
  <c r="D59" i="6"/>
  <c r="D59" i="8"/>
  <c r="F66" i="15"/>
  <c r="O66" i="15" s="1"/>
  <c r="I66" i="14"/>
  <c r="Q66" i="14" s="1"/>
  <c r="F66" i="8"/>
  <c r="E68" i="8"/>
  <c r="D75" i="8"/>
  <c r="D75" i="6"/>
  <c r="E84" i="8"/>
  <c r="F4" i="15"/>
  <c r="O4" i="15" s="1"/>
  <c r="I4" i="14"/>
  <c r="Q4" i="14" s="1"/>
  <c r="F4" i="8"/>
  <c r="D7" i="6"/>
  <c r="D7" i="8"/>
  <c r="E9" i="8"/>
  <c r="F12" i="15"/>
  <c r="O12" i="15" s="1"/>
  <c r="I12" i="14"/>
  <c r="Q12" i="14" s="1"/>
  <c r="F12" i="8"/>
  <c r="E15" i="8"/>
  <c r="E28" i="8"/>
  <c r="F30" i="15"/>
  <c r="O30" i="15" s="1"/>
  <c r="I30" i="14"/>
  <c r="Q30" i="14" s="1"/>
  <c r="F30" i="8"/>
  <c r="D32" i="8"/>
  <c r="D32" i="6"/>
  <c r="D35" i="6"/>
  <c r="R35" i="6" s="1"/>
  <c r="D35" i="8"/>
  <c r="E38" i="8"/>
  <c r="E42" i="8"/>
  <c r="D43" i="6"/>
  <c r="D43" i="8"/>
  <c r="E45" i="8"/>
  <c r="D48" i="8"/>
  <c r="D48" i="6"/>
  <c r="R48" i="6" s="1"/>
  <c r="D51" i="6"/>
  <c r="D51" i="8"/>
  <c r="D55" i="6"/>
  <c r="D55" i="8"/>
  <c r="F62" i="15"/>
  <c r="O62" i="15" s="1"/>
  <c r="I62" i="14"/>
  <c r="Q62" i="14" s="1"/>
  <c r="F62" i="8"/>
  <c r="E64" i="8"/>
  <c r="D71" i="8"/>
  <c r="D71" i="6"/>
  <c r="F78" i="15"/>
  <c r="O78" i="15" s="1"/>
  <c r="I78" i="14"/>
  <c r="Q78" i="14" s="1"/>
  <c r="F78" i="8"/>
  <c r="E80" i="8"/>
  <c r="D87" i="8"/>
  <c r="D87" i="6"/>
  <c r="F94" i="15"/>
  <c r="O94" i="15" s="1"/>
  <c r="I94" i="14"/>
  <c r="Q94" i="14" s="1"/>
  <c r="F94" i="8"/>
  <c r="E96" i="8"/>
  <c r="F8" i="15"/>
  <c r="O8" i="15" s="1"/>
  <c r="I8" i="14"/>
  <c r="Q8" i="14" s="1"/>
  <c r="F8" i="8"/>
  <c r="E56" i="8"/>
  <c r="F86" i="15"/>
  <c r="O86" i="15" s="1"/>
  <c r="I86" i="14"/>
  <c r="Q86" i="14" s="1"/>
  <c r="F86" i="8"/>
  <c r="E11" i="8"/>
  <c r="F16" i="15"/>
  <c r="O16" i="15" s="1"/>
  <c r="I16" i="14"/>
  <c r="Q16" i="14" s="1"/>
  <c r="F16" i="8"/>
  <c r="F20" i="15"/>
  <c r="O20" i="15" s="1"/>
  <c r="I20" i="14"/>
  <c r="Q20" i="14" s="1"/>
  <c r="F20" i="8"/>
  <c r="F22" i="15"/>
  <c r="O22" i="15" s="1"/>
  <c r="I22" i="14"/>
  <c r="Q22" i="14" s="1"/>
  <c r="F22" i="8"/>
  <c r="F26" i="15"/>
  <c r="O26" i="15" s="1"/>
  <c r="I26" i="14"/>
  <c r="Q26" i="14" s="1"/>
  <c r="F26" i="8"/>
  <c r="D28" i="8"/>
  <c r="D28" i="6"/>
  <c r="I35" i="14"/>
  <c r="Q35" i="14" s="1"/>
  <c r="F35" i="15"/>
  <c r="O35" i="15" s="1"/>
  <c r="F35" i="8"/>
  <c r="F43" i="15"/>
  <c r="O43" i="15" s="1"/>
  <c r="I43" i="14"/>
  <c r="Q43" i="14" s="1"/>
  <c r="F43" i="8"/>
  <c r="I46" i="14"/>
  <c r="Q46" i="14" s="1"/>
  <c r="F46" i="15"/>
  <c r="O46" i="15" s="1"/>
  <c r="F46" i="8"/>
  <c r="I51" i="14"/>
  <c r="Q51" i="14" s="1"/>
  <c r="F51" i="15"/>
  <c r="O51" i="15" s="1"/>
  <c r="F51" i="8"/>
  <c r="E52" i="8"/>
  <c r="F82" i="15"/>
  <c r="O82" i="15" s="1"/>
  <c r="I82" i="14"/>
  <c r="Q82" i="14" s="1"/>
  <c r="F82" i="8"/>
  <c r="D91" i="8"/>
  <c r="D91" i="6"/>
  <c r="I3" i="14"/>
  <c r="Q3" i="14" s="1"/>
  <c r="F3" i="15"/>
  <c r="O3" i="15" s="1"/>
  <c r="F3" i="8"/>
  <c r="D6" i="8"/>
  <c r="D6" i="6"/>
  <c r="D12" i="8"/>
  <c r="D12" i="6"/>
  <c r="F17" i="15"/>
  <c r="O17" i="15" s="1"/>
  <c r="I17" i="14"/>
  <c r="Q17" i="14" s="1"/>
  <c r="F17" i="8"/>
  <c r="I19" i="14"/>
  <c r="Q19" i="14" s="1"/>
  <c r="F19" i="15"/>
  <c r="O19" i="15" s="1"/>
  <c r="F19" i="8"/>
  <c r="F21" i="15"/>
  <c r="O21" i="15" s="1"/>
  <c r="I21" i="14"/>
  <c r="Q21" i="14" s="1"/>
  <c r="F21" i="8"/>
  <c r="I23" i="14"/>
  <c r="Q23" i="14" s="1"/>
  <c r="F23" i="15"/>
  <c r="O23" i="15" s="1"/>
  <c r="F23" i="8"/>
  <c r="F25" i="15"/>
  <c r="O25" i="15" s="1"/>
  <c r="I25" i="14"/>
  <c r="Q25" i="14" s="1"/>
  <c r="F25" i="8"/>
  <c r="I27" i="14"/>
  <c r="Q27" i="14" s="1"/>
  <c r="F27" i="15"/>
  <c r="O27" i="15" s="1"/>
  <c r="F27" i="8"/>
  <c r="E29" i="8"/>
  <c r="F31" i="15"/>
  <c r="O31" i="15" s="1"/>
  <c r="I31" i="14"/>
  <c r="Q31" i="14" s="1"/>
  <c r="F31" i="8"/>
  <c r="E32" i="8"/>
  <c r="F37" i="15"/>
  <c r="O37" i="15" s="1"/>
  <c r="I37" i="14"/>
  <c r="Q37" i="14" s="1"/>
  <c r="F37" i="8"/>
  <c r="E44" i="8"/>
  <c r="F47" i="15"/>
  <c r="O47" i="15" s="1"/>
  <c r="I47" i="14"/>
  <c r="Q47" i="14" s="1"/>
  <c r="F47" i="8"/>
  <c r="E48" i="8"/>
  <c r="I50" i="14"/>
  <c r="Q50" i="14" s="1"/>
  <c r="F50" i="15"/>
  <c r="O50" i="15" s="1"/>
  <c r="F50" i="8"/>
  <c r="F58" i="15"/>
  <c r="O58" i="15" s="1"/>
  <c r="I58" i="14"/>
  <c r="Q58" i="14" s="1"/>
  <c r="F58" i="8"/>
  <c r="E60" i="8"/>
  <c r="T60" i="8" s="1"/>
  <c r="D67" i="8"/>
  <c r="D67" i="6"/>
  <c r="F74" i="15"/>
  <c r="O74" i="15" s="1"/>
  <c r="I74" i="14"/>
  <c r="Q74" i="14" s="1"/>
  <c r="F74" i="8"/>
  <c r="E76" i="8"/>
  <c r="D83" i="8"/>
  <c r="D83" i="6"/>
  <c r="F90" i="15"/>
  <c r="O90" i="15" s="1"/>
  <c r="I90" i="14"/>
  <c r="F90" i="8"/>
  <c r="E92" i="8"/>
  <c r="I3" i="6"/>
  <c r="E5" i="6"/>
  <c r="I7" i="6"/>
  <c r="E9" i="6"/>
  <c r="E11" i="6"/>
  <c r="I13" i="6"/>
  <c r="E15" i="6"/>
  <c r="R15" i="6" s="1"/>
  <c r="I17" i="6"/>
  <c r="I19" i="6"/>
  <c r="I21" i="6"/>
  <c r="I23" i="6"/>
  <c r="I25" i="6"/>
  <c r="I27" i="6"/>
  <c r="E29" i="6"/>
  <c r="I31" i="6"/>
  <c r="R31" i="6" s="1"/>
  <c r="E33" i="6"/>
  <c r="I35" i="6"/>
  <c r="I37" i="6"/>
  <c r="I39" i="6"/>
  <c r="I41" i="6"/>
  <c r="I43" i="6"/>
  <c r="E45" i="6"/>
  <c r="I47" i="6"/>
  <c r="E49" i="6"/>
  <c r="I51" i="6"/>
  <c r="F5" i="15"/>
  <c r="O5" i="15" s="1"/>
  <c r="I5" i="14"/>
  <c r="Q5" i="14" s="1"/>
  <c r="F9" i="15"/>
  <c r="O9" i="15" s="1"/>
  <c r="I9" i="14"/>
  <c r="Q9" i="14" s="1"/>
  <c r="F14" i="15"/>
  <c r="O14" i="15" s="1"/>
  <c r="I14" i="14"/>
  <c r="Q14" i="14" s="1"/>
  <c r="F15" i="15"/>
  <c r="O15" i="15" s="1"/>
  <c r="I15" i="14"/>
  <c r="Q15" i="14" s="1"/>
  <c r="F29" i="15"/>
  <c r="O29" i="15" s="1"/>
  <c r="I29" i="14"/>
  <c r="Q29" i="14" s="1"/>
  <c r="F33" i="15"/>
  <c r="O33" i="15" s="1"/>
  <c r="I33" i="14"/>
  <c r="Q33" i="14" s="1"/>
  <c r="F40" i="15"/>
  <c r="O40" i="15" s="1"/>
  <c r="I40" i="14"/>
  <c r="Q40" i="14" s="1"/>
  <c r="F42" i="15"/>
  <c r="O42" i="15" s="1"/>
  <c r="I42" i="14"/>
  <c r="Q42" i="14" s="1"/>
  <c r="F44" i="15"/>
  <c r="O44" i="15" s="1"/>
  <c r="I44" i="14"/>
  <c r="Q44" i="14" s="1"/>
  <c r="I45" i="14"/>
  <c r="Q45" i="14" s="1"/>
  <c r="F45" i="15"/>
  <c r="O45" i="15" s="1"/>
  <c r="F49" i="15"/>
  <c r="O49" i="15" s="1"/>
  <c r="I49" i="14"/>
  <c r="Q49" i="14" s="1"/>
  <c r="F53" i="15"/>
  <c r="O53" i="15" s="1"/>
  <c r="I53" i="14"/>
  <c r="Q53" i="14" s="1"/>
  <c r="F57" i="15"/>
  <c r="O57" i="15" s="1"/>
  <c r="I57" i="14"/>
  <c r="Q57" i="14" s="1"/>
  <c r="I61" i="14"/>
  <c r="Q61" i="14" s="1"/>
  <c r="F61" i="15"/>
  <c r="O61" i="15" s="1"/>
  <c r="F65" i="15"/>
  <c r="O65" i="15" s="1"/>
  <c r="I65" i="14"/>
  <c r="Q65" i="14" s="1"/>
  <c r="I69" i="14"/>
  <c r="Q69" i="14" s="1"/>
  <c r="F69" i="15"/>
  <c r="O69" i="15" s="1"/>
  <c r="E71" i="8"/>
  <c r="F73" i="15"/>
  <c r="O73" i="15" s="1"/>
  <c r="I73" i="14"/>
  <c r="Q73" i="14" s="1"/>
  <c r="E75" i="8"/>
  <c r="I77" i="14"/>
  <c r="Q77" i="14" s="1"/>
  <c r="F77" i="15"/>
  <c r="O77" i="15" s="1"/>
  <c r="E79" i="8"/>
  <c r="I81" i="14"/>
  <c r="Q81" i="14" s="1"/>
  <c r="F81" i="15"/>
  <c r="O81" i="15" s="1"/>
  <c r="E83" i="8"/>
  <c r="I85" i="14"/>
  <c r="Q85" i="14" s="1"/>
  <c r="F85" i="15"/>
  <c r="O85" i="15" s="1"/>
  <c r="E87" i="8"/>
  <c r="I89" i="14"/>
  <c r="Q89" i="14" s="1"/>
  <c r="F89" i="15"/>
  <c r="O89" i="15" s="1"/>
  <c r="E91" i="8"/>
  <c r="I93" i="14"/>
  <c r="Q93" i="14" s="1"/>
  <c r="F93" i="15"/>
  <c r="O93" i="15" s="1"/>
  <c r="E95" i="8"/>
  <c r="Q97" i="14"/>
  <c r="O97" i="15"/>
  <c r="F2" i="8"/>
  <c r="D5" i="8"/>
  <c r="D9" i="8"/>
  <c r="D13" i="8"/>
  <c r="F14" i="8"/>
  <c r="D15" i="8"/>
  <c r="D17" i="8"/>
  <c r="D19" i="8"/>
  <c r="D21" i="8"/>
  <c r="D23" i="8"/>
  <c r="D25" i="8"/>
  <c r="D27" i="8"/>
  <c r="D29" i="8"/>
  <c r="D33" i="8"/>
  <c r="D37" i="8"/>
  <c r="D39" i="8"/>
  <c r="F40" i="8"/>
  <c r="F42" i="8"/>
  <c r="F44" i="8"/>
  <c r="D45" i="8"/>
  <c r="D49" i="8"/>
  <c r="D53" i="8"/>
  <c r="D57" i="8"/>
  <c r="D61" i="8"/>
  <c r="D66" i="8"/>
  <c r="D68" i="8"/>
  <c r="D70" i="8"/>
  <c r="D72" i="8"/>
  <c r="I2" i="14"/>
  <c r="Q2" i="14" s="1"/>
  <c r="F2" i="15"/>
  <c r="O2" i="15" s="1"/>
  <c r="F6" i="15"/>
  <c r="O6" i="15" s="1"/>
  <c r="I6" i="14"/>
  <c r="Q6" i="14" s="1"/>
  <c r="F10" i="15"/>
  <c r="O10" i="15" s="1"/>
  <c r="I10" i="14"/>
  <c r="Q10" i="14" s="1"/>
  <c r="I11" i="14"/>
  <c r="Q11" i="14" s="1"/>
  <c r="F11" i="15"/>
  <c r="O11" i="15" s="1"/>
  <c r="F28" i="15"/>
  <c r="O28" i="15" s="1"/>
  <c r="I28" i="14"/>
  <c r="Q28" i="14" s="1"/>
  <c r="F32" i="15"/>
  <c r="O32" i="15" s="1"/>
  <c r="I32" i="14"/>
  <c r="Q32" i="14" s="1"/>
  <c r="F36" i="15"/>
  <c r="O36" i="15" s="1"/>
  <c r="I36" i="14"/>
  <c r="Q36" i="14" s="1"/>
  <c r="F38" i="15"/>
  <c r="O38" i="15" s="1"/>
  <c r="I38" i="14"/>
  <c r="Q38" i="14" s="1"/>
  <c r="F48" i="15"/>
  <c r="O48" i="15" s="1"/>
  <c r="I48" i="14"/>
  <c r="Q48" i="14" s="1"/>
  <c r="F52" i="15"/>
  <c r="O52" i="15" s="1"/>
  <c r="I52" i="14"/>
  <c r="Q52" i="14" s="1"/>
  <c r="F56" i="15"/>
  <c r="O56" i="15" s="1"/>
  <c r="I56" i="14"/>
  <c r="Q56" i="14" s="1"/>
  <c r="F60" i="15"/>
  <c r="O60" i="15" s="1"/>
  <c r="I60" i="14"/>
  <c r="Q60" i="14" s="1"/>
  <c r="F64" i="15"/>
  <c r="O64" i="15" s="1"/>
  <c r="I64" i="14"/>
  <c r="Q64" i="14" s="1"/>
  <c r="F68" i="15"/>
  <c r="O68" i="15" s="1"/>
  <c r="I68" i="14"/>
  <c r="Q68" i="14" s="1"/>
  <c r="F68" i="8"/>
  <c r="F72" i="15"/>
  <c r="O72" i="15" s="1"/>
  <c r="I72" i="14"/>
  <c r="Q72" i="14" s="1"/>
  <c r="F72" i="8"/>
  <c r="F76" i="15"/>
  <c r="O76" i="15" s="1"/>
  <c r="F76" i="8"/>
  <c r="F80" i="15"/>
  <c r="O80" i="15" s="1"/>
  <c r="I80" i="14"/>
  <c r="Q80" i="14" s="1"/>
  <c r="F80" i="8"/>
  <c r="F84" i="15"/>
  <c r="O84" i="15" s="1"/>
  <c r="I84" i="14"/>
  <c r="Q84" i="14" s="1"/>
  <c r="F84" i="8"/>
  <c r="F88" i="15"/>
  <c r="I88" i="14"/>
  <c r="Q88" i="14" s="1"/>
  <c r="F88" i="8"/>
  <c r="F92" i="15"/>
  <c r="I92" i="14"/>
  <c r="F92" i="8"/>
  <c r="F96" i="15"/>
  <c r="O96" i="15" s="1"/>
  <c r="Q96" i="14"/>
  <c r="F96" i="8"/>
  <c r="E3" i="8"/>
  <c r="E7" i="8"/>
  <c r="E13" i="8"/>
  <c r="E17" i="8"/>
  <c r="E19" i="8"/>
  <c r="E21" i="8"/>
  <c r="E23" i="8"/>
  <c r="E25" i="8"/>
  <c r="E27" i="8"/>
  <c r="E31" i="8"/>
  <c r="E35" i="8"/>
  <c r="E37" i="8"/>
  <c r="E39" i="8"/>
  <c r="E41" i="8"/>
  <c r="E43" i="8"/>
  <c r="E47" i="8"/>
  <c r="E51" i="8"/>
  <c r="E53" i="8"/>
  <c r="E55" i="8"/>
  <c r="E57" i="8"/>
  <c r="E59" i="8"/>
  <c r="E61" i="8"/>
  <c r="E63" i="8"/>
  <c r="F65" i="8"/>
  <c r="E66" i="8"/>
  <c r="F69" i="8"/>
  <c r="E70" i="8"/>
  <c r="F73" i="8"/>
  <c r="D74" i="8"/>
  <c r="F55" i="15"/>
  <c r="O55" i="15" s="1"/>
  <c r="I55" i="14"/>
  <c r="Q55" i="14" s="1"/>
  <c r="F59" i="15"/>
  <c r="O59" i="15" s="1"/>
  <c r="I59" i="14"/>
  <c r="Q59" i="14" s="1"/>
  <c r="F63" i="15"/>
  <c r="O63" i="15" s="1"/>
  <c r="I63" i="14"/>
  <c r="Q63" i="14" s="1"/>
  <c r="E65" i="8"/>
  <c r="F67" i="15"/>
  <c r="O67" i="15" s="1"/>
  <c r="I67" i="14"/>
  <c r="Q67" i="14" s="1"/>
  <c r="E69" i="8"/>
  <c r="F71" i="15"/>
  <c r="O71" i="15" s="1"/>
  <c r="I71" i="14"/>
  <c r="Q71" i="14" s="1"/>
  <c r="E73" i="8"/>
  <c r="F75" i="15"/>
  <c r="O75" i="15" s="1"/>
  <c r="I75" i="14"/>
  <c r="Q75" i="14" s="1"/>
  <c r="E77" i="8"/>
  <c r="F79" i="15"/>
  <c r="O79" i="15" s="1"/>
  <c r="I79" i="14"/>
  <c r="Q79" i="14" s="1"/>
  <c r="E81" i="8"/>
  <c r="F83" i="15"/>
  <c r="O83" i="15" s="1"/>
  <c r="I83" i="14"/>
  <c r="Q83" i="14" s="1"/>
  <c r="E85" i="8"/>
  <c r="F87" i="15"/>
  <c r="O87" i="15" s="1"/>
  <c r="I87" i="14"/>
  <c r="Q87" i="14" s="1"/>
  <c r="E89" i="8"/>
  <c r="F91" i="15"/>
  <c r="I91" i="14"/>
  <c r="Q91" i="14" s="1"/>
  <c r="E93" i="8"/>
  <c r="F95" i="15"/>
  <c r="I95" i="14"/>
  <c r="Q95" i="14" s="1"/>
  <c r="E97" i="8"/>
  <c r="D4" i="6"/>
  <c r="D8" i="6"/>
  <c r="D14" i="6"/>
  <c r="D16" i="6"/>
  <c r="D18" i="6"/>
  <c r="D20" i="6"/>
  <c r="D22" i="6"/>
  <c r="D24" i="6"/>
  <c r="D26" i="6"/>
  <c r="D30" i="6"/>
  <c r="D34" i="6"/>
  <c r="D40" i="6"/>
  <c r="D42" i="6"/>
  <c r="D44" i="6"/>
  <c r="D46" i="6"/>
  <c r="D50" i="6"/>
  <c r="D54" i="6"/>
  <c r="D56" i="6"/>
  <c r="D58" i="6"/>
  <c r="D60" i="6"/>
  <c r="D62" i="6"/>
  <c r="D64" i="6"/>
  <c r="D65" i="6"/>
  <c r="D69" i="6"/>
  <c r="D73" i="6"/>
  <c r="D76" i="6"/>
  <c r="D77" i="6"/>
  <c r="D78" i="6"/>
  <c r="D80" i="6"/>
  <c r="D81" i="6"/>
  <c r="D82" i="6"/>
  <c r="D84" i="6"/>
  <c r="D85" i="6"/>
  <c r="D86" i="6"/>
  <c r="D88" i="6"/>
  <c r="D89" i="6"/>
  <c r="D90" i="6"/>
  <c r="D92" i="6"/>
  <c r="D93" i="6"/>
  <c r="D94" i="6"/>
  <c r="R94" i="6" s="1"/>
  <c r="D96" i="6"/>
  <c r="D97" i="6"/>
  <c r="F5" i="8"/>
  <c r="F9" i="8"/>
  <c r="F11" i="8"/>
  <c r="F15" i="8"/>
  <c r="F29" i="8"/>
  <c r="F33" i="8"/>
  <c r="F45" i="8"/>
  <c r="F49" i="8"/>
  <c r="F53" i="8"/>
  <c r="F55" i="8"/>
  <c r="F57" i="8"/>
  <c r="F59" i="8"/>
  <c r="F61" i="8"/>
  <c r="F63" i="8"/>
  <c r="E74" i="8"/>
  <c r="F75" i="8"/>
  <c r="I76" i="14"/>
  <c r="Q76" i="14" s="1"/>
  <c r="G118" i="15"/>
  <c r="P118" i="15" s="1"/>
  <c r="G9" i="24"/>
  <c r="O18" i="20"/>
  <c r="I27" i="24"/>
  <c r="C7" i="24"/>
  <c r="AQ45" i="2"/>
  <c r="I45" i="10" s="1"/>
  <c r="I33" i="16"/>
  <c r="U33" i="16" s="1"/>
  <c r="AZ38" i="2"/>
  <c r="M38" i="10"/>
  <c r="M26" i="16"/>
  <c r="Y26" i="16" s="1"/>
  <c r="AQ38" i="2"/>
  <c r="I38" i="10" s="1"/>
  <c r="I26" i="16"/>
  <c r="U26" i="16" s="1"/>
  <c r="AQ47" i="2"/>
  <c r="I35" i="16"/>
  <c r="U35" i="16" s="1"/>
  <c r="AQ48" i="2"/>
  <c r="I48" i="10" s="1"/>
  <c r="I36" i="16"/>
  <c r="U36" i="16" s="1"/>
  <c r="AZ47" i="2"/>
  <c r="M47" i="16" s="1"/>
  <c r="Y47" i="16" s="1"/>
  <c r="M35" i="16"/>
  <c r="Y35" i="16" s="1"/>
  <c r="AQ46" i="2"/>
  <c r="I46" i="10" s="1"/>
  <c r="I34" i="16"/>
  <c r="U34" i="16" s="1"/>
  <c r="AW39" i="2"/>
  <c r="J39" i="10" s="1"/>
  <c r="J27" i="16"/>
  <c r="V27" i="16" s="1"/>
  <c r="J27" i="10"/>
  <c r="K32" i="16"/>
  <c r="W32" i="16" s="1"/>
  <c r="K32" i="10"/>
  <c r="K30" i="16"/>
  <c r="W30" i="16" s="1"/>
  <c r="K30" i="10"/>
  <c r="K28" i="16"/>
  <c r="W28" i="16" s="1"/>
  <c r="K28" i="10"/>
  <c r="K33" i="16"/>
  <c r="W33" i="16" s="1"/>
  <c r="K33" i="10"/>
  <c r="AM43" i="2"/>
  <c r="F31" i="14"/>
  <c r="N31" i="14" s="1"/>
  <c r="K27" i="16"/>
  <c r="W27" i="16"/>
  <c r="K35" i="16"/>
  <c r="W35" i="16" s="1"/>
  <c r="K35" i="10"/>
  <c r="AW40" i="2"/>
  <c r="J28" i="16"/>
  <c r="V28" i="16" s="1"/>
  <c r="J28" i="10"/>
  <c r="AZ42" i="2"/>
  <c r="M42" i="10" s="1"/>
  <c r="M30" i="16"/>
  <c r="Y30" i="16" s="1"/>
  <c r="AZ45" i="2"/>
  <c r="M33" i="16"/>
  <c r="Y33" i="16" s="1"/>
  <c r="AW41" i="2"/>
  <c r="J29" i="16"/>
  <c r="V29" i="16" s="1"/>
  <c r="J29" i="10"/>
  <c r="AQ40" i="2"/>
  <c r="I40" i="10" s="1"/>
  <c r="I28" i="16"/>
  <c r="U28" i="16" s="1"/>
  <c r="K26" i="16"/>
  <c r="W26" i="16" s="1"/>
  <c r="AW48" i="2"/>
  <c r="J36" i="16"/>
  <c r="V36" i="16" s="1"/>
  <c r="J36" i="10"/>
  <c r="AM79" i="2"/>
  <c r="K36" i="16"/>
  <c r="W36" i="16" s="1"/>
  <c r="K36" i="10"/>
  <c r="G31" i="15"/>
  <c r="P31" i="15" s="1"/>
  <c r="AQ41" i="2"/>
  <c r="I41" i="10" s="1"/>
  <c r="I29" i="16"/>
  <c r="U29" i="16" s="1"/>
  <c r="AQ49" i="2"/>
  <c r="I37" i="16"/>
  <c r="U37" i="16" s="1"/>
  <c r="AZ43" i="2"/>
  <c r="M43" i="10" s="1"/>
  <c r="M31" i="16"/>
  <c r="Y31" i="16" s="1"/>
  <c r="AZ46" i="2"/>
  <c r="M34" i="16"/>
  <c r="Y34" i="16" s="1"/>
  <c r="AZ49" i="2"/>
  <c r="AZ61" i="2" s="1"/>
  <c r="M37" i="16"/>
  <c r="Y37" i="16" s="1"/>
  <c r="J31" i="16"/>
  <c r="V31" i="16" s="1"/>
  <c r="J31" i="10"/>
  <c r="AQ42" i="2"/>
  <c r="I42" i="10" s="1"/>
  <c r="I30" i="16"/>
  <c r="U30" i="16" s="1"/>
  <c r="K43" i="16"/>
  <c r="W43" i="16" s="1"/>
  <c r="K43" i="10"/>
  <c r="AW49" i="2"/>
  <c r="J37" i="16"/>
  <c r="V37" i="16" s="1"/>
  <c r="J37" i="10"/>
  <c r="AZ39" i="2"/>
  <c r="M27" i="16"/>
  <c r="Y27" i="16" s="1"/>
  <c r="F99" i="14"/>
  <c r="N99" i="14" s="1"/>
  <c r="K29" i="16"/>
  <c r="W29" i="16" s="1"/>
  <c r="K29" i="10"/>
  <c r="K37" i="16"/>
  <c r="W37" i="16" s="1"/>
  <c r="K37" i="10"/>
  <c r="K31" i="16"/>
  <c r="W31" i="16" s="1"/>
  <c r="K31" i="10"/>
  <c r="AZ48" i="2"/>
  <c r="M48" i="10" s="1"/>
  <c r="M36" i="16"/>
  <c r="Y36" i="16" s="1"/>
  <c r="AW44" i="2"/>
  <c r="J32" i="16"/>
  <c r="V32" i="16" s="1"/>
  <c r="J32" i="10"/>
  <c r="AQ43" i="2"/>
  <c r="I31" i="16"/>
  <c r="U31" i="16" s="1"/>
  <c r="AZ40" i="2"/>
  <c r="M40" i="10" s="1"/>
  <c r="M28" i="16"/>
  <c r="Y28" i="16" s="1"/>
  <c r="AB9" i="19"/>
  <c r="AW47" i="2"/>
  <c r="AW59" i="2" s="1"/>
  <c r="J35" i="16"/>
  <c r="V35" i="16" s="1"/>
  <c r="J35" i="10"/>
  <c r="AZ41" i="2"/>
  <c r="M41" i="10"/>
  <c r="M29" i="16"/>
  <c r="Y29" i="16" s="1"/>
  <c r="AQ44" i="2"/>
  <c r="I44" i="10" s="1"/>
  <c r="I32" i="16"/>
  <c r="U32" i="16" s="1"/>
  <c r="AW38" i="2"/>
  <c r="J26" i="16"/>
  <c r="V26" i="16" s="1"/>
  <c r="Z16" i="10"/>
  <c r="Z24" i="10"/>
  <c r="T33" i="16"/>
  <c r="BC43" i="2"/>
  <c r="BC55" i="2" s="1"/>
  <c r="BB41" i="2"/>
  <c r="T41" i="16"/>
  <c r="F33" i="6"/>
  <c r="BC46" i="2"/>
  <c r="BC44" i="2"/>
  <c r="BC56" i="2" s="1"/>
  <c r="T29" i="16"/>
  <c r="BC41" i="2"/>
  <c r="BB45" i="2"/>
  <c r="BC49" i="2"/>
  <c r="BC61" i="2" s="1"/>
  <c r="BC47" i="2"/>
  <c r="BB44" i="2"/>
  <c r="BB40" i="2"/>
  <c r="AX47" i="2"/>
  <c r="F33" i="14"/>
  <c r="N33" i="14" s="1"/>
  <c r="BC39" i="2"/>
  <c r="BB48" i="2"/>
  <c r="BC42" i="2"/>
  <c r="BC40" i="2"/>
  <c r="BC45" i="2"/>
  <c r="BB43" i="2"/>
  <c r="BB39" i="2"/>
  <c r="BC48" i="2"/>
  <c r="T37" i="16"/>
  <c r="T36" i="16"/>
  <c r="T28" i="16"/>
  <c r="AM45" i="2"/>
  <c r="G33" i="15"/>
  <c r="P33" i="15" s="1"/>
  <c r="F62" i="14"/>
  <c r="N62" i="14" s="1"/>
  <c r="BB47" i="2"/>
  <c r="BB38" i="2"/>
  <c r="BB50" i="2" s="1"/>
  <c r="BB49" i="2"/>
  <c r="BB61" i="2" s="1"/>
  <c r="BB46" i="2"/>
  <c r="BB42" i="2"/>
  <c r="BC38" i="2"/>
  <c r="G111" i="15"/>
  <c r="P111" i="15" s="1"/>
  <c r="F104" i="14"/>
  <c r="N104" i="14" s="1"/>
  <c r="H6" i="18"/>
  <c r="C6" i="18"/>
  <c r="R8" i="20"/>
  <c r="S8" i="20" s="1"/>
  <c r="G104" i="15"/>
  <c r="P104" i="15" s="1"/>
  <c r="G100" i="15"/>
  <c r="P100" i="15" s="1"/>
  <c r="G105" i="15"/>
  <c r="P105" i="15" s="1"/>
  <c r="AR56" i="2"/>
  <c r="AR68" i="2" s="1"/>
  <c r="H27" i="24"/>
  <c r="AF8" i="19"/>
  <c r="AN8" i="19"/>
  <c r="D10" i="18"/>
  <c r="I44" i="8"/>
  <c r="E41" i="24"/>
  <c r="G114" i="15"/>
  <c r="P114" i="15" s="1"/>
  <c r="AR45" i="2"/>
  <c r="AR57" i="2" s="1"/>
  <c r="AT59" i="2"/>
  <c r="AX45" i="2"/>
  <c r="J43" i="8"/>
  <c r="J43" i="15"/>
  <c r="S43" i="15" s="1"/>
  <c r="BA55" i="2"/>
  <c r="AX49" i="2"/>
  <c r="AU42" i="2"/>
  <c r="G36" i="15"/>
  <c r="P36" i="15" s="1"/>
  <c r="S36" i="16"/>
  <c r="F36" i="14"/>
  <c r="N36" i="14" s="1"/>
  <c r="G36" i="8"/>
  <c r="F36" i="6"/>
  <c r="R36" i="6" s="1"/>
  <c r="AM48" i="2"/>
  <c r="F48" i="6" s="1"/>
  <c r="AM84" i="2"/>
  <c r="J30" i="15"/>
  <c r="S30" i="15" s="1"/>
  <c r="J30" i="8"/>
  <c r="BA42" i="2"/>
  <c r="F47" i="14"/>
  <c r="N47" i="14" s="1"/>
  <c r="G47" i="15"/>
  <c r="P47" i="15" s="1"/>
  <c r="G47" i="8"/>
  <c r="F47" i="6"/>
  <c r="AM95" i="2"/>
  <c r="AV39" i="2"/>
  <c r="S74" i="16"/>
  <c r="F74" i="14"/>
  <c r="N74" i="14" s="1"/>
  <c r="G74" i="8"/>
  <c r="G74" i="15"/>
  <c r="P74" i="15" s="1"/>
  <c r="F74" i="6"/>
  <c r="M10" i="20"/>
  <c r="R5" i="6"/>
  <c r="M16" i="20"/>
  <c r="G110" i="15"/>
  <c r="P110" i="15" s="1"/>
  <c r="F103" i="14"/>
  <c r="N103" i="14" s="1"/>
  <c r="G79" i="15"/>
  <c r="P79" i="15" s="1"/>
  <c r="G79" i="8"/>
  <c r="F79" i="14"/>
  <c r="N79" i="14" s="1"/>
  <c r="F79" i="6"/>
  <c r="S71" i="16"/>
  <c r="F71" i="14"/>
  <c r="N71" i="14" s="1"/>
  <c r="G71" i="15"/>
  <c r="P71" i="15" s="1"/>
  <c r="F71" i="6"/>
  <c r="G71" i="8"/>
  <c r="AV50" i="2"/>
  <c r="F37" i="14"/>
  <c r="N37" i="14" s="1"/>
  <c r="G37" i="15"/>
  <c r="P37" i="15" s="1"/>
  <c r="G37" i="8"/>
  <c r="F37" i="6"/>
  <c r="AM85" i="2"/>
  <c r="AM49" i="2"/>
  <c r="G49" i="8" s="1"/>
  <c r="AV47" i="2"/>
  <c r="AX44" i="2"/>
  <c r="AX42" i="2"/>
  <c r="AX40" i="2"/>
  <c r="K40" i="10" s="1"/>
  <c r="AT38" i="2"/>
  <c r="AV42" i="2"/>
  <c r="J27" i="15"/>
  <c r="S27" i="15" s="1"/>
  <c r="J27" i="8"/>
  <c r="AS57" i="2"/>
  <c r="I56" i="8"/>
  <c r="G43" i="8"/>
  <c r="AT49" i="2"/>
  <c r="G19" i="6"/>
  <c r="R19" i="6" s="1"/>
  <c r="G19" i="14"/>
  <c r="O19" i="14" s="1"/>
  <c r="H19" i="8"/>
  <c r="H19" i="15"/>
  <c r="Q19" i="15" s="1"/>
  <c r="BD31" i="2"/>
  <c r="BD43" i="2" s="1"/>
  <c r="J41" i="8"/>
  <c r="J41" i="15"/>
  <c r="S41" i="15" s="1"/>
  <c r="BA53" i="2"/>
  <c r="I37" i="15"/>
  <c r="R37" i="15" s="1"/>
  <c r="AR49" i="2"/>
  <c r="I37" i="8"/>
  <c r="J34" i="15"/>
  <c r="S34" i="15" s="1"/>
  <c r="J34" i="8"/>
  <c r="BA46" i="2"/>
  <c r="T30" i="16"/>
  <c r="AS42" i="2"/>
  <c r="G64" i="15"/>
  <c r="P64" i="15" s="1"/>
  <c r="F64" i="14"/>
  <c r="N64" i="14" s="1"/>
  <c r="G64" i="8"/>
  <c r="F64" i="6"/>
  <c r="I34" i="8"/>
  <c r="AR46" i="2"/>
  <c r="AR58" i="2" s="1"/>
  <c r="I34" i="15"/>
  <c r="R34" i="15" s="1"/>
  <c r="AT41" i="2"/>
  <c r="G99" i="15"/>
  <c r="P99" i="15" s="1"/>
  <c r="G45" i="15"/>
  <c r="P45" i="15" s="1"/>
  <c r="F45" i="14"/>
  <c r="N45" i="14" s="1"/>
  <c r="F45" i="6"/>
  <c r="H46" i="15"/>
  <c r="Q46" i="15" s="1"/>
  <c r="G46" i="14"/>
  <c r="O46" i="14" s="1"/>
  <c r="G46" i="6"/>
  <c r="H46" i="8"/>
  <c r="BD58" i="2"/>
  <c r="G27" i="14"/>
  <c r="O27" i="14" s="1"/>
  <c r="H27" i="15"/>
  <c r="Q27" i="15" s="1"/>
  <c r="H27" i="8"/>
  <c r="G27" i="6"/>
  <c r="BD39" i="2"/>
  <c r="J40" i="15"/>
  <c r="S40" i="15" s="1"/>
  <c r="AS52" i="2"/>
  <c r="F81" i="14"/>
  <c r="N81" i="14" s="1"/>
  <c r="G81" i="8"/>
  <c r="F81" i="6"/>
  <c r="G81" i="15"/>
  <c r="P81" i="15" s="1"/>
  <c r="G73" i="15"/>
  <c r="P73" i="15" s="1"/>
  <c r="F73" i="14"/>
  <c r="N73" i="14" s="1"/>
  <c r="F73" i="6"/>
  <c r="G73" i="8"/>
  <c r="F65" i="14"/>
  <c r="N65" i="14" s="1"/>
  <c r="G65" i="15"/>
  <c r="P65" i="15" s="1"/>
  <c r="F65" i="6"/>
  <c r="G65" i="8"/>
  <c r="AU52" i="2"/>
  <c r="AS49" i="2"/>
  <c r="H35" i="15"/>
  <c r="Q35" i="15" s="1"/>
  <c r="H35" i="8"/>
  <c r="G35" i="14"/>
  <c r="O35" i="14" s="1"/>
  <c r="G35" i="6"/>
  <c r="BD47" i="2"/>
  <c r="AT46" i="2"/>
  <c r="I31" i="15"/>
  <c r="R31" i="15" s="1"/>
  <c r="I29" i="15"/>
  <c r="R29" i="15" s="1"/>
  <c r="I29" i="8"/>
  <c r="G24" i="14"/>
  <c r="O24" i="14" s="1"/>
  <c r="H24" i="15"/>
  <c r="Q24" i="15" s="1"/>
  <c r="BD36" i="2"/>
  <c r="G102" i="15"/>
  <c r="P102" i="15" s="1"/>
  <c r="H18" i="15"/>
  <c r="Q18" i="15" s="1"/>
  <c r="G18" i="14"/>
  <c r="O18" i="14" s="1"/>
  <c r="H18" i="8"/>
  <c r="G18" i="6"/>
  <c r="BD30" i="2"/>
  <c r="J45" i="15"/>
  <c r="S45" i="15" s="1"/>
  <c r="J45" i="8"/>
  <c r="BA57" i="2"/>
  <c r="AU46" i="2"/>
  <c r="AV49" i="2"/>
  <c r="F28" i="14"/>
  <c r="N28" i="14" s="1"/>
  <c r="G28" i="15"/>
  <c r="P28" i="15" s="1"/>
  <c r="G28" i="8"/>
  <c r="F28" i="6"/>
  <c r="AM40" i="2"/>
  <c r="AM76" i="2"/>
  <c r="G101" i="15"/>
  <c r="P101" i="15" s="1"/>
  <c r="G77" i="8"/>
  <c r="G77" i="15"/>
  <c r="P77" i="15" s="1"/>
  <c r="S69" i="16"/>
  <c r="F69" i="14"/>
  <c r="N69" i="14" s="1"/>
  <c r="F69" i="6"/>
  <c r="I38" i="15"/>
  <c r="R38" i="15" s="1"/>
  <c r="AR50" i="2"/>
  <c r="AR62" i="2" s="1"/>
  <c r="I35" i="8"/>
  <c r="T35" i="8" s="1"/>
  <c r="AT44" i="2"/>
  <c r="AT42" i="2"/>
  <c r="AT40" i="2"/>
  <c r="H16" i="15"/>
  <c r="Q16" i="15" s="1"/>
  <c r="G16" i="14"/>
  <c r="O16" i="14" s="1"/>
  <c r="H16" i="8"/>
  <c r="G16" i="6"/>
  <c r="BD28" i="2"/>
  <c r="F72" i="14"/>
  <c r="N72" i="14" s="1"/>
  <c r="F72" i="6"/>
  <c r="AT55" i="2"/>
  <c r="AS39" i="2"/>
  <c r="AU60" i="2"/>
  <c r="AV68" i="2"/>
  <c r="AV64" i="2"/>
  <c r="I27" i="15"/>
  <c r="R27" i="15" s="1"/>
  <c r="I27" i="8"/>
  <c r="AR39" i="2"/>
  <c r="J36" i="15"/>
  <c r="S36" i="15" s="1"/>
  <c r="J36" i="8"/>
  <c r="BA48" i="2"/>
  <c r="AS46" i="2"/>
  <c r="G30" i="15"/>
  <c r="P30" i="15" s="1"/>
  <c r="F30" i="14"/>
  <c r="N30" i="14" s="1"/>
  <c r="G30" i="8"/>
  <c r="F30" i="6"/>
  <c r="AM42" i="2"/>
  <c r="AM78" i="2"/>
  <c r="H14" i="15"/>
  <c r="Q14" i="15" s="1"/>
  <c r="G14" i="14"/>
  <c r="O14" i="14" s="1"/>
  <c r="H14" i="8"/>
  <c r="G14" i="6"/>
  <c r="BD26" i="2"/>
  <c r="H26" i="8" s="1"/>
  <c r="F108" i="14"/>
  <c r="N108" i="14" s="1"/>
  <c r="AT45" i="2"/>
  <c r="AS55" i="2"/>
  <c r="AV58" i="2"/>
  <c r="J44" i="15"/>
  <c r="S44" i="15" s="1"/>
  <c r="J44" i="8"/>
  <c r="BA56" i="2"/>
  <c r="G80" i="15"/>
  <c r="P80" i="15" s="1"/>
  <c r="F80" i="6"/>
  <c r="R80" i="6" s="1"/>
  <c r="G80" i="8"/>
  <c r="F80" i="14"/>
  <c r="N80" i="14" s="1"/>
  <c r="AU55" i="2"/>
  <c r="J38" i="15"/>
  <c r="S38" i="15" s="1"/>
  <c r="J38" i="8"/>
  <c r="BA50" i="2"/>
  <c r="AU57" i="2"/>
  <c r="E7" i="24"/>
  <c r="G7" i="24"/>
  <c r="G83" i="15"/>
  <c r="P83" i="15" s="1"/>
  <c r="F83" i="14"/>
  <c r="N83" i="14" s="1"/>
  <c r="F83" i="6"/>
  <c r="G83" i="8"/>
  <c r="F75" i="14"/>
  <c r="N75" i="14" s="1"/>
  <c r="G75" i="15"/>
  <c r="P75" i="15" s="1"/>
  <c r="F67" i="14"/>
  <c r="N67" i="14" s="1"/>
  <c r="F67" i="6"/>
  <c r="AU56" i="2"/>
  <c r="J37" i="8"/>
  <c r="AT48" i="2"/>
  <c r="AX46" i="2"/>
  <c r="K46" i="16" s="1"/>
  <c r="W46" i="16" s="1"/>
  <c r="AV41" i="2"/>
  <c r="AU39" i="2"/>
  <c r="H20" i="15"/>
  <c r="Q20" i="15" s="1"/>
  <c r="G20" i="14"/>
  <c r="O20" i="14" s="1"/>
  <c r="H20" i="8"/>
  <c r="G20" i="6"/>
  <c r="BD32" i="2"/>
  <c r="G68" i="15"/>
  <c r="P68" i="15" s="1"/>
  <c r="F68" i="14"/>
  <c r="N68" i="14" s="1"/>
  <c r="G68" i="8"/>
  <c r="F68" i="6"/>
  <c r="AV60" i="2"/>
  <c r="AU49" i="2"/>
  <c r="AS59" i="2"/>
  <c r="AS48" i="2"/>
  <c r="G34" i="15"/>
  <c r="P34" i="15" s="1"/>
  <c r="F34" i="14"/>
  <c r="N34" i="14" s="1"/>
  <c r="F34" i="6"/>
  <c r="R34" i="6" s="1"/>
  <c r="G34" i="8"/>
  <c r="AM82" i="2"/>
  <c r="AM46" i="2"/>
  <c r="AU41" i="2"/>
  <c r="AU53" i="2" s="1"/>
  <c r="AT39" i="2"/>
  <c r="H17" i="15"/>
  <c r="Q17" i="15" s="1"/>
  <c r="G17" i="14"/>
  <c r="O17" i="14" s="1"/>
  <c r="H17" i="8"/>
  <c r="G17" i="6"/>
  <c r="BD29" i="2"/>
  <c r="J47" i="15"/>
  <c r="S47" i="15" s="1"/>
  <c r="J47" i="8"/>
  <c r="BA59" i="2"/>
  <c r="AS56" i="2"/>
  <c r="I60" i="15"/>
  <c r="R60" i="15" s="1"/>
  <c r="AR72" i="2"/>
  <c r="I60" i="8"/>
  <c r="AU59" i="2"/>
  <c r="AS50" i="2"/>
  <c r="G38" i="15"/>
  <c r="P38" i="15" s="1"/>
  <c r="F38" i="14"/>
  <c r="N38" i="14" s="1"/>
  <c r="F38" i="6"/>
  <c r="G38" i="8"/>
  <c r="S38" i="16"/>
  <c r="AM86" i="2"/>
  <c r="T53" i="16"/>
  <c r="AS65" i="2"/>
  <c r="R2" i="6"/>
  <c r="Q109" i="14"/>
  <c r="O105" i="15"/>
  <c r="Q101" i="14"/>
  <c r="Q100" i="14"/>
  <c r="Q103" i="14"/>
  <c r="O108" i="15"/>
  <c r="O106" i="15"/>
  <c r="J27" i="24"/>
  <c r="Q107" i="14"/>
  <c r="Q99" i="14"/>
  <c r="O102" i="15"/>
  <c r="Q98" i="14"/>
  <c r="O99" i="15"/>
  <c r="Q108" i="14"/>
  <c r="O109" i="15"/>
  <c r="Q105" i="14"/>
  <c r="O101" i="15"/>
  <c r="O98" i="15"/>
  <c r="Q106" i="14"/>
  <c r="K48" i="16"/>
  <c r="W48" i="16" s="1"/>
  <c r="AZ53" i="2"/>
  <c r="M53" i="10"/>
  <c r="M41" i="16"/>
  <c r="Y41" i="16" s="1"/>
  <c r="AZ51" i="2"/>
  <c r="M51" i="10" s="1"/>
  <c r="M61" i="10"/>
  <c r="M49" i="16"/>
  <c r="Y49" i="16" s="1"/>
  <c r="AQ53" i="2"/>
  <c r="I53" i="10" s="1"/>
  <c r="I41" i="16"/>
  <c r="U41" i="16" s="1"/>
  <c r="AQ52" i="2"/>
  <c r="I52" i="10" s="1"/>
  <c r="I40" i="16"/>
  <c r="U40" i="16" s="1"/>
  <c r="AW51" i="2"/>
  <c r="J39" i="16"/>
  <c r="V39" i="16" s="1"/>
  <c r="I47" i="16"/>
  <c r="U47" i="16" s="1"/>
  <c r="F43" i="14"/>
  <c r="N43" i="14" s="1"/>
  <c r="K40" i="16"/>
  <c r="W40" i="16" s="1"/>
  <c r="J43" i="10"/>
  <c r="AZ54" i="2"/>
  <c r="M54" i="10" s="1"/>
  <c r="M42" i="16"/>
  <c r="Y42" i="16" s="1"/>
  <c r="AZ59" i="2"/>
  <c r="M59" i="10"/>
  <c r="AZ50" i="2"/>
  <c r="M50" i="10"/>
  <c r="M38" i="16"/>
  <c r="Y38" i="16" s="1"/>
  <c r="J38" i="10"/>
  <c r="G43" i="15"/>
  <c r="P43" i="15" s="1"/>
  <c r="K55" i="16"/>
  <c r="W55" i="16" s="1"/>
  <c r="K42" i="16"/>
  <c r="W42" i="16" s="1"/>
  <c r="K42" i="10"/>
  <c r="K49" i="16"/>
  <c r="W49" i="16" s="1"/>
  <c r="K49" i="10"/>
  <c r="K45" i="16"/>
  <c r="W45" i="16" s="1"/>
  <c r="K45" i="10"/>
  <c r="AQ56" i="2"/>
  <c r="I56" i="10" s="1"/>
  <c r="I44" i="16"/>
  <c r="U44" i="16" s="1"/>
  <c r="AZ52" i="2"/>
  <c r="M52" i="10"/>
  <c r="M40" i="16"/>
  <c r="Y40" i="16" s="1"/>
  <c r="AZ60" i="2"/>
  <c r="M60" i="10" s="1"/>
  <c r="M48" i="16"/>
  <c r="Y48" i="16" s="1"/>
  <c r="AQ54" i="2"/>
  <c r="I54" i="10" s="1"/>
  <c r="I42" i="16"/>
  <c r="U42" i="16" s="1"/>
  <c r="AZ55" i="2"/>
  <c r="M55" i="10"/>
  <c r="M43" i="16"/>
  <c r="Y43" i="16" s="1"/>
  <c r="M45" i="16"/>
  <c r="Y45" i="16" s="1"/>
  <c r="AQ58" i="2"/>
  <c r="I58" i="10" s="1"/>
  <c r="I46" i="16"/>
  <c r="U46" i="16" s="1"/>
  <c r="AQ60" i="2"/>
  <c r="I60" i="10" s="1"/>
  <c r="I48" i="16"/>
  <c r="U48" i="16" s="1"/>
  <c r="AQ50" i="2"/>
  <c r="I50" i="10" s="1"/>
  <c r="I38" i="16"/>
  <c r="U38" i="16" s="1"/>
  <c r="K46" i="10"/>
  <c r="K41" i="16"/>
  <c r="W41" i="16" s="1"/>
  <c r="K44" i="16"/>
  <c r="W44" i="16" s="1"/>
  <c r="K44" i="10"/>
  <c r="K47" i="16"/>
  <c r="W47" i="16" s="1"/>
  <c r="J47" i="16"/>
  <c r="V47" i="16" s="1"/>
  <c r="J47" i="10"/>
  <c r="J44" i="10"/>
  <c r="AW61" i="2"/>
  <c r="J49" i="16"/>
  <c r="V49" i="16" s="1"/>
  <c r="J49" i="10"/>
  <c r="AZ58" i="2"/>
  <c r="M58" i="10" s="1"/>
  <c r="AW60" i="2"/>
  <c r="J48" i="10"/>
  <c r="J48" i="16"/>
  <c r="V48" i="16" s="1"/>
  <c r="J41" i="10"/>
  <c r="AW52" i="2"/>
  <c r="J40" i="16"/>
  <c r="V40" i="16" s="1"/>
  <c r="J40" i="10"/>
  <c r="AQ57" i="2"/>
  <c r="I57" i="10" s="1"/>
  <c r="I45" i="16"/>
  <c r="U45" i="16" s="1"/>
  <c r="T40" i="16"/>
  <c r="BB60" i="2"/>
  <c r="BB58" i="2"/>
  <c r="BC60" i="2"/>
  <c r="BB51" i="2"/>
  <c r="BB52" i="2"/>
  <c r="BC57" i="2"/>
  <c r="BC58" i="2"/>
  <c r="F110" i="14"/>
  <c r="N110" i="14" s="1"/>
  <c r="T45" i="16"/>
  <c r="BC54" i="2"/>
  <c r="BC59" i="2"/>
  <c r="BC53" i="2"/>
  <c r="BC50" i="2"/>
  <c r="BB54" i="2"/>
  <c r="BB59" i="2"/>
  <c r="BB55" i="2"/>
  <c r="BC52" i="2"/>
  <c r="BC51" i="2"/>
  <c r="BB56" i="2"/>
  <c r="BB57" i="2"/>
  <c r="BB53" i="2"/>
  <c r="F86" i="14"/>
  <c r="N86" i="14" s="1"/>
  <c r="F86" i="6"/>
  <c r="R86" i="6" s="1"/>
  <c r="G86" i="8"/>
  <c r="G86" i="15"/>
  <c r="P86" i="15" s="1"/>
  <c r="AU62" i="2"/>
  <c r="AV61" i="2"/>
  <c r="G113" i="15"/>
  <c r="P113" i="15" s="1"/>
  <c r="G121" i="15"/>
  <c r="P121" i="15" s="1"/>
  <c r="AV54" i="2"/>
  <c r="F84" i="14"/>
  <c r="N84" i="14" s="1"/>
  <c r="G84" i="15"/>
  <c r="P84" i="15" s="1"/>
  <c r="F84" i="6"/>
  <c r="G84" i="8"/>
  <c r="AU54" i="2"/>
  <c r="AU71" i="2"/>
  <c r="I72" i="15"/>
  <c r="R72" i="15" s="1"/>
  <c r="AR84" i="2"/>
  <c r="I72" i="8"/>
  <c r="J59" i="8"/>
  <c r="J59" i="15"/>
  <c r="S59" i="15" s="1"/>
  <c r="BA71" i="2"/>
  <c r="G46" i="15"/>
  <c r="P46" i="15" s="1"/>
  <c r="F46" i="14"/>
  <c r="N46" i="14" s="1"/>
  <c r="F46" i="6"/>
  <c r="AM94" i="2"/>
  <c r="G46" i="8"/>
  <c r="AS60" i="2"/>
  <c r="AV72" i="2"/>
  <c r="AV55" i="2"/>
  <c r="AS67" i="2"/>
  <c r="H26" i="15"/>
  <c r="Q26" i="15" s="1"/>
  <c r="G26" i="14"/>
  <c r="O26" i="14" s="1"/>
  <c r="G26" i="6"/>
  <c r="R26" i="6" s="1"/>
  <c r="BD38" i="2"/>
  <c r="S78" i="16"/>
  <c r="F78" i="14"/>
  <c r="N78" i="14" s="1"/>
  <c r="G78" i="15"/>
  <c r="P78" i="15" s="1"/>
  <c r="F78" i="6"/>
  <c r="G78" i="8"/>
  <c r="AS58" i="2"/>
  <c r="AU72" i="2"/>
  <c r="AX53" i="2"/>
  <c r="G28" i="6"/>
  <c r="R28" i="6" s="1"/>
  <c r="H28" i="8"/>
  <c r="G28" i="14"/>
  <c r="O28" i="14" s="1"/>
  <c r="AT54" i="2"/>
  <c r="I50" i="15"/>
  <c r="R50" i="15" s="1"/>
  <c r="I50" i="8"/>
  <c r="G40" i="15"/>
  <c r="P40" i="15" s="1"/>
  <c r="F40" i="14"/>
  <c r="N40" i="14" s="1"/>
  <c r="AM88" i="2"/>
  <c r="F40" i="6"/>
  <c r="G40" i="8"/>
  <c r="AT58" i="2"/>
  <c r="AT53" i="2"/>
  <c r="I46" i="15"/>
  <c r="R46" i="15" s="1"/>
  <c r="I46" i="8"/>
  <c r="AS54" i="2"/>
  <c r="H31" i="15"/>
  <c r="Q31" i="15" s="1"/>
  <c r="H31" i="8"/>
  <c r="G31" i="14"/>
  <c r="O31" i="14" s="1"/>
  <c r="G31" i="6"/>
  <c r="AX52" i="2"/>
  <c r="G49" i="15"/>
  <c r="P49" i="15" s="1"/>
  <c r="F49" i="14"/>
  <c r="N49" i="14" s="1"/>
  <c r="AM97" i="2"/>
  <c r="F49" i="6"/>
  <c r="AV62" i="2"/>
  <c r="G48" i="15"/>
  <c r="P48" i="15" s="1"/>
  <c r="F48" i="14"/>
  <c r="N48" i="14" s="1"/>
  <c r="AM96" i="2"/>
  <c r="G48" i="8"/>
  <c r="I45" i="15"/>
  <c r="R45" i="15" s="1"/>
  <c r="I45" i="8"/>
  <c r="T65" i="16"/>
  <c r="AS77" i="2"/>
  <c r="F115" i="14"/>
  <c r="N115" i="14" s="1"/>
  <c r="J50" i="15"/>
  <c r="S50" i="15" s="1"/>
  <c r="J50" i="8"/>
  <c r="BA62" i="2"/>
  <c r="AT57" i="2"/>
  <c r="J48" i="15"/>
  <c r="S48" i="15" s="1"/>
  <c r="J48" i="8"/>
  <c r="BA60" i="2"/>
  <c r="I39" i="15"/>
  <c r="R39" i="15" s="1"/>
  <c r="AR51" i="2"/>
  <c r="I39" i="8"/>
  <c r="AS62" i="2"/>
  <c r="I108" i="15"/>
  <c r="R108" i="15" s="1"/>
  <c r="T56" i="16"/>
  <c r="AS68" i="2"/>
  <c r="H29" i="15"/>
  <c r="Q29" i="15" s="1"/>
  <c r="G29" i="6"/>
  <c r="H29" i="8"/>
  <c r="G29" i="14"/>
  <c r="O29" i="14" s="1"/>
  <c r="BD41" i="2"/>
  <c r="F82" i="6"/>
  <c r="G82" i="15"/>
  <c r="P82" i="15" s="1"/>
  <c r="G82" i="8"/>
  <c r="F82" i="14"/>
  <c r="N82" i="14" s="1"/>
  <c r="AU61" i="2"/>
  <c r="H32" i="15"/>
  <c r="Q32" i="15" s="1"/>
  <c r="G32" i="14"/>
  <c r="O32" i="14" s="1"/>
  <c r="G32" i="6"/>
  <c r="H32" i="8"/>
  <c r="BD44" i="2"/>
  <c r="AV53" i="2"/>
  <c r="AT60" i="2"/>
  <c r="AU68" i="2"/>
  <c r="AU67" i="2"/>
  <c r="J56" i="15"/>
  <c r="S56" i="15" s="1"/>
  <c r="J56" i="8"/>
  <c r="BA68" i="2"/>
  <c r="G42" i="15"/>
  <c r="P42" i="15" s="1"/>
  <c r="F42" i="14"/>
  <c r="N42" i="14" s="1"/>
  <c r="AM90" i="2"/>
  <c r="G42" i="8"/>
  <c r="F42" i="6"/>
  <c r="AV80" i="2"/>
  <c r="AS51" i="2"/>
  <c r="AT52" i="2"/>
  <c r="AX60" i="2"/>
  <c r="G36" i="14"/>
  <c r="O36" i="14" s="1"/>
  <c r="H36" i="15"/>
  <c r="Q36" i="15" s="1"/>
  <c r="G36" i="6"/>
  <c r="H36" i="8"/>
  <c r="BD48" i="2"/>
  <c r="I41" i="15"/>
  <c r="R41" i="15" s="1"/>
  <c r="AR53" i="2"/>
  <c r="I41" i="8"/>
  <c r="F113" i="14"/>
  <c r="N113" i="14" s="1"/>
  <c r="AS64" i="2"/>
  <c r="H39" i="15"/>
  <c r="Q39" i="15" s="1"/>
  <c r="G39" i="14"/>
  <c r="O39" i="14" s="1"/>
  <c r="G39" i="6"/>
  <c r="R39" i="6"/>
  <c r="BD51" i="2"/>
  <c r="H39" i="8"/>
  <c r="F112" i="14"/>
  <c r="N112" i="14" s="1"/>
  <c r="I49" i="15"/>
  <c r="R49" i="15" s="1"/>
  <c r="AR61" i="2"/>
  <c r="I49" i="8"/>
  <c r="AT61" i="2"/>
  <c r="T57" i="16"/>
  <c r="AS69" i="2"/>
  <c r="AT50" i="2"/>
  <c r="AV59" i="2"/>
  <c r="F85" i="14"/>
  <c r="N85" i="14" s="1"/>
  <c r="G85" i="15"/>
  <c r="P85" i="15" s="1"/>
  <c r="G85" i="8"/>
  <c r="F85" i="6"/>
  <c r="AV51" i="2"/>
  <c r="G95" i="15"/>
  <c r="P95" i="15" s="1"/>
  <c r="G95" i="8"/>
  <c r="F95" i="6"/>
  <c r="F95" i="14"/>
  <c r="N95" i="14" s="1"/>
  <c r="J55" i="8"/>
  <c r="J55" i="15"/>
  <c r="S55" i="15" s="1"/>
  <c r="BA67" i="2"/>
  <c r="AT71" i="2"/>
  <c r="G116" i="15"/>
  <c r="P116" i="15" s="1"/>
  <c r="AX58" i="2"/>
  <c r="AU69" i="2"/>
  <c r="AT67" i="2"/>
  <c r="AT56" i="2"/>
  <c r="S76" i="16"/>
  <c r="G76" i="15"/>
  <c r="P76" i="15" s="1"/>
  <c r="F76" i="14"/>
  <c r="N76" i="14" s="1"/>
  <c r="F76" i="6"/>
  <c r="G76" i="8"/>
  <c r="T49" i="16"/>
  <c r="AS61" i="2"/>
  <c r="J46" i="15"/>
  <c r="S46" i="15" s="1"/>
  <c r="J46" i="8"/>
  <c r="BA58" i="2"/>
  <c r="J53" i="15"/>
  <c r="S53" i="15" s="1"/>
  <c r="J53" i="8"/>
  <c r="BA65" i="2"/>
  <c r="I68" i="15"/>
  <c r="R68" i="15" s="1"/>
  <c r="AR80" i="2"/>
  <c r="I68" i="8"/>
  <c r="AX54" i="2"/>
  <c r="K54" i="10" s="1"/>
  <c r="F119" i="14"/>
  <c r="N119" i="14" s="1"/>
  <c r="AT51" i="2"/>
  <c r="AS71" i="2"/>
  <c r="F116" i="14"/>
  <c r="N116" i="14" s="1"/>
  <c r="AU51" i="2"/>
  <c r="AV70" i="2"/>
  <c r="AV76" i="2"/>
  <c r="F120" i="14"/>
  <c r="N120" i="14" s="1"/>
  <c r="F117" i="14"/>
  <c r="N117" i="14" s="1"/>
  <c r="AU58" i="2"/>
  <c r="J57" i="8"/>
  <c r="J57" i="15"/>
  <c r="S57" i="15" s="1"/>
  <c r="BA69" i="2"/>
  <c r="H30" i="15"/>
  <c r="Q30" i="15" s="1"/>
  <c r="G30" i="14"/>
  <c r="O30" i="14" s="1"/>
  <c r="H30" i="8"/>
  <c r="G30" i="6"/>
  <c r="R30" i="6"/>
  <c r="BD42" i="2"/>
  <c r="H47" i="15"/>
  <c r="Q47" i="15" s="1"/>
  <c r="G47" i="14"/>
  <c r="O47" i="14" s="1"/>
  <c r="G47" i="6"/>
  <c r="R47" i="6" s="1"/>
  <c r="H47" i="8"/>
  <c r="BD59" i="2"/>
  <c r="AU64" i="2"/>
  <c r="F121" i="14"/>
  <c r="N121" i="14" s="1"/>
  <c r="G58" i="14"/>
  <c r="O58" i="14" s="1"/>
  <c r="H58" i="15"/>
  <c r="Q58" i="15" s="1"/>
  <c r="H58" i="8"/>
  <c r="BD70" i="2"/>
  <c r="G58" i="6"/>
  <c r="R58" i="6"/>
  <c r="G112" i="15"/>
  <c r="P112" i="15" s="1"/>
  <c r="J39" i="8"/>
  <c r="J39" i="15"/>
  <c r="S39" i="15" s="1"/>
  <c r="BA51" i="2"/>
  <c r="AX67" i="2"/>
  <c r="AX56" i="2"/>
  <c r="G119" i="15"/>
  <c r="P119" i="15" s="1"/>
  <c r="J42" i="15"/>
  <c r="S42" i="15" s="1"/>
  <c r="J42" i="8"/>
  <c r="BA54" i="2"/>
  <c r="AX61" i="2"/>
  <c r="K61" i="16" s="1"/>
  <c r="W61" i="16" s="1"/>
  <c r="AX57" i="2"/>
  <c r="O110" i="15"/>
  <c r="O113" i="15"/>
  <c r="O111" i="15"/>
  <c r="Q111" i="14"/>
  <c r="Q119" i="14"/>
  <c r="Q115" i="14"/>
  <c r="O121" i="15"/>
  <c r="Q120" i="14"/>
  <c r="Q110" i="14"/>
  <c r="Q118" i="14"/>
  <c r="Q117" i="14"/>
  <c r="O114" i="15"/>
  <c r="O118" i="15"/>
  <c r="Q112" i="14"/>
  <c r="Q113" i="14"/>
  <c r="Q121" i="14"/>
  <c r="O120" i="15"/>
  <c r="O117" i="15"/>
  <c r="K58" i="16"/>
  <c r="W58" i="16" s="1"/>
  <c r="K58" i="10"/>
  <c r="K52" i="16"/>
  <c r="W52" i="16" s="1"/>
  <c r="K52" i="10"/>
  <c r="AZ70" i="2"/>
  <c r="M70" i="10"/>
  <c r="M58" i="16"/>
  <c r="Y58" i="16" s="1"/>
  <c r="AZ71" i="2"/>
  <c r="M71" i="10" s="1"/>
  <c r="M59" i="16"/>
  <c r="Y59" i="16" s="1"/>
  <c r="K54" i="16"/>
  <c r="W54" i="16" s="1"/>
  <c r="AW71" i="2"/>
  <c r="J59" i="16"/>
  <c r="V59" i="16" s="1"/>
  <c r="J59" i="10"/>
  <c r="AQ66" i="2"/>
  <c r="I66" i="10" s="1"/>
  <c r="I54" i="16"/>
  <c r="U54" i="16" s="1"/>
  <c r="AZ62" i="2"/>
  <c r="M62" i="10"/>
  <c r="M50" i="16"/>
  <c r="Y50" i="16" s="1"/>
  <c r="AW63" i="2"/>
  <c r="J51" i="16"/>
  <c r="V51" i="16" s="1"/>
  <c r="J51" i="10"/>
  <c r="AQ64" i="2"/>
  <c r="I64" i="10" s="1"/>
  <c r="I52" i="16"/>
  <c r="U52" i="16" s="1"/>
  <c r="AZ65" i="2"/>
  <c r="M65" i="10"/>
  <c r="M53" i="16"/>
  <c r="Y53" i="16" s="1"/>
  <c r="K56" i="16"/>
  <c r="W56" i="16" s="1"/>
  <c r="K56" i="10"/>
  <c r="AW64" i="2"/>
  <c r="J52" i="16"/>
  <c r="V52" i="16" s="1"/>
  <c r="J52" i="10"/>
  <c r="AW72" i="2"/>
  <c r="J60" i="16"/>
  <c r="V60" i="16" s="1"/>
  <c r="J60" i="10"/>
  <c r="AQ72" i="2"/>
  <c r="I72" i="10" s="1"/>
  <c r="I60" i="16"/>
  <c r="U60" i="16" s="1"/>
  <c r="K60" i="16"/>
  <c r="W60" i="16" s="1"/>
  <c r="K60" i="10"/>
  <c r="K53" i="16"/>
  <c r="W53" i="16" s="1"/>
  <c r="K53" i="10"/>
  <c r="AQ62" i="2"/>
  <c r="I62" i="10" s="1"/>
  <c r="I50" i="16"/>
  <c r="U50" i="16" s="1"/>
  <c r="AQ70" i="2"/>
  <c r="I70" i="10" s="1"/>
  <c r="I58" i="16"/>
  <c r="U58" i="16" s="1"/>
  <c r="AZ72" i="2"/>
  <c r="M72" i="10" s="1"/>
  <c r="M60" i="16"/>
  <c r="Y60" i="16" s="1"/>
  <c r="AZ73" i="2"/>
  <c r="M73" i="10"/>
  <c r="M61" i="16"/>
  <c r="Y61" i="16" s="1"/>
  <c r="K57" i="16"/>
  <c r="W57" i="16" s="1"/>
  <c r="K57" i="10"/>
  <c r="K67" i="16"/>
  <c r="W67" i="16" s="1"/>
  <c r="K67" i="10"/>
  <c r="AQ69" i="2"/>
  <c r="I69" i="10" s="1"/>
  <c r="I57" i="16"/>
  <c r="U57" i="16" s="1"/>
  <c r="AW73" i="2"/>
  <c r="J61" i="16"/>
  <c r="V61" i="16" s="1"/>
  <c r="J61" i="10"/>
  <c r="AZ67" i="2"/>
  <c r="M67" i="10"/>
  <c r="M55" i="16"/>
  <c r="Y55" i="16" s="1"/>
  <c r="AZ64" i="2"/>
  <c r="M64" i="10"/>
  <c r="M52" i="16"/>
  <c r="Y52" i="16" s="1"/>
  <c r="AQ68" i="2"/>
  <c r="I68" i="10" s="1"/>
  <c r="I56" i="16"/>
  <c r="AZ66" i="2"/>
  <c r="M66" i="10"/>
  <c r="M54" i="16"/>
  <c r="Y54" i="16" s="1"/>
  <c r="AQ65" i="2"/>
  <c r="I65" i="10" s="1"/>
  <c r="I53" i="16"/>
  <c r="U53" i="16" s="1"/>
  <c r="AZ63" i="2"/>
  <c r="M63" i="10"/>
  <c r="M51" i="16"/>
  <c r="Y51" i="16" s="1"/>
  <c r="BB65" i="2"/>
  <c r="BB67" i="2"/>
  <c r="BC71" i="2"/>
  <c r="BC62" i="2"/>
  <c r="BC65" i="2"/>
  <c r="BC69" i="2"/>
  <c r="BC73" i="2"/>
  <c r="BB63" i="2"/>
  <c r="BB72" i="2"/>
  <c r="BB68" i="2"/>
  <c r="U56" i="16"/>
  <c r="BC72" i="2"/>
  <c r="BB69" i="2"/>
  <c r="BC64" i="2"/>
  <c r="BB71" i="2"/>
  <c r="BB66" i="2"/>
  <c r="BC67" i="2"/>
  <c r="BC70" i="2"/>
  <c r="BC68" i="2"/>
  <c r="BB62" i="2"/>
  <c r="BB73" i="2"/>
  <c r="BB70" i="2"/>
  <c r="BC63" i="2"/>
  <c r="BC66" i="2"/>
  <c r="BB64" i="2"/>
  <c r="J54" i="15"/>
  <c r="S54" i="15" s="1"/>
  <c r="J54" i="8"/>
  <c r="BA66" i="2"/>
  <c r="AX70" i="2"/>
  <c r="AV63" i="2"/>
  <c r="AT73" i="2"/>
  <c r="AT70" i="2"/>
  <c r="AT66" i="2"/>
  <c r="AX65" i="2"/>
  <c r="H38" i="15"/>
  <c r="Q38" i="15" s="1"/>
  <c r="H38" i="8"/>
  <c r="G38" i="14"/>
  <c r="O38" i="14" s="1"/>
  <c r="G38" i="6"/>
  <c r="R38" i="6"/>
  <c r="BD50" i="2"/>
  <c r="AV69" i="2"/>
  <c r="J71" i="15"/>
  <c r="S71" i="15" s="1"/>
  <c r="J71" i="8"/>
  <c r="BA83" i="2"/>
  <c r="I84" i="15"/>
  <c r="R84" i="15" s="1"/>
  <c r="I84" i="8"/>
  <c r="AR96" i="2"/>
  <c r="AX73" i="2"/>
  <c r="H59" i="15"/>
  <c r="Q59" i="15" s="1"/>
  <c r="G59" i="14"/>
  <c r="O59" i="14" s="1"/>
  <c r="G59" i="6"/>
  <c r="R59" i="6" s="1"/>
  <c r="H59" i="8"/>
  <c r="BD71" i="2"/>
  <c r="G42" i="14"/>
  <c r="O42" i="14" s="1"/>
  <c r="H42" i="8"/>
  <c r="G42" i="6"/>
  <c r="R42" i="6"/>
  <c r="BD54" i="2"/>
  <c r="H42" i="15"/>
  <c r="Q42" i="15" s="1"/>
  <c r="AV88" i="2"/>
  <c r="AV82" i="2"/>
  <c r="AU63" i="2"/>
  <c r="AT63" i="2"/>
  <c r="S91" i="16"/>
  <c r="J101" i="15"/>
  <c r="S101" i="15" s="1"/>
  <c r="AU81" i="2"/>
  <c r="J67" i="8"/>
  <c r="J67" i="15"/>
  <c r="S67" i="15" s="1"/>
  <c r="BA79" i="2"/>
  <c r="T69" i="16"/>
  <c r="AS81" i="2"/>
  <c r="I53" i="15"/>
  <c r="R53" i="15" s="1"/>
  <c r="AR65" i="2"/>
  <c r="I53" i="8"/>
  <c r="J68" i="15"/>
  <c r="S68" i="15" s="1"/>
  <c r="J68" i="8"/>
  <c r="BA80" i="2"/>
  <c r="AU73" i="2"/>
  <c r="H41" i="15"/>
  <c r="Q41" i="15" s="1"/>
  <c r="G41" i="14"/>
  <c r="O41" i="14" s="1"/>
  <c r="G41" i="6"/>
  <c r="BD53" i="2"/>
  <c r="H41" i="8"/>
  <c r="I51" i="15"/>
  <c r="R51" i="15" s="1"/>
  <c r="I51" i="8"/>
  <c r="AR63" i="2"/>
  <c r="AT69" i="2"/>
  <c r="I57" i="15"/>
  <c r="R57" i="15" s="1"/>
  <c r="I57" i="8"/>
  <c r="AR69" i="2"/>
  <c r="AX64" i="2"/>
  <c r="H43" i="15"/>
  <c r="Q43" i="15" s="1"/>
  <c r="G43" i="14"/>
  <c r="O43" i="14" s="1"/>
  <c r="G43" i="6"/>
  <c r="BD55" i="2"/>
  <c r="H43" i="8"/>
  <c r="I58" i="15"/>
  <c r="R58" i="15" s="1"/>
  <c r="AR70" i="2"/>
  <c r="I58" i="8"/>
  <c r="F88" i="14"/>
  <c r="N88" i="14" s="1"/>
  <c r="G88" i="15"/>
  <c r="P88" i="15" s="1"/>
  <c r="F88" i="6"/>
  <c r="G88" i="8"/>
  <c r="I62" i="15"/>
  <c r="R62" i="15" s="1"/>
  <c r="AR74" i="2"/>
  <c r="I62" i="8"/>
  <c r="AS79" i="2"/>
  <c r="T60" i="16"/>
  <c r="AS72" i="2"/>
  <c r="I120" i="15"/>
  <c r="R120" i="15" s="1"/>
  <c r="AU66" i="2"/>
  <c r="AU74" i="2"/>
  <c r="S86" i="16"/>
  <c r="J105" i="15"/>
  <c r="S105" i="15" s="1"/>
  <c r="AX72" i="2"/>
  <c r="AS63" i="2"/>
  <c r="H44" i="8"/>
  <c r="H44" i="15"/>
  <c r="Q44" i="15" s="1"/>
  <c r="BD56" i="2"/>
  <c r="G44" i="14"/>
  <c r="O44" i="14" s="1"/>
  <c r="G44" i="6"/>
  <c r="AX69" i="2"/>
  <c r="H106" i="15"/>
  <c r="Q106" i="15" s="1"/>
  <c r="AU76" i="2"/>
  <c r="J69" i="15"/>
  <c r="S69" i="15" s="1"/>
  <c r="J69" i="8"/>
  <c r="BA81" i="2"/>
  <c r="AS83" i="2"/>
  <c r="AX66" i="2"/>
  <c r="I80" i="15"/>
  <c r="R80" i="15" s="1"/>
  <c r="I80" i="8"/>
  <c r="AR92" i="2"/>
  <c r="J65" i="8"/>
  <c r="J65" i="15"/>
  <c r="S65" i="15" s="1"/>
  <c r="BA77" i="2"/>
  <c r="AT79" i="2"/>
  <c r="AT83" i="2"/>
  <c r="AT62" i="2"/>
  <c r="T39" i="8"/>
  <c r="AT72" i="2"/>
  <c r="AV65" i="2"/>
  <c r="AU65" i="2"/>
  <c r="AS80" i="2"/>
  <c r="J98" i="15"/>
  <c r="S98" i="15" s="1"/>
  <c r="T77" i="16"/>
  <c r="AS89" i="2"/>
  <c r="AS66" i="2"/>
  <c r="AS70" i="2"/>
  <c r="AV84" i="2"/>
  <c r="J107" i="15"/>
  <c r="S107" i="15" s="1"/>
  <c r="S92" i="16"/>
  <c r="AU83" i="2"/>
  <c r="AV73" i="2"/>
  <c r="G70" i="14"/>
  <c r="O70" i="14" s="1"/>
  <c r="H70" i="15"/>
  <c r="Q70" i="15" s="1"/>
  <c r="H70" i="8"/>
  <c r="G70" i="6"/>
  <c r="BD82" i="2"/>
  <c r="T61" i="16"/>
  <c r="AS73" i="2"/>
  <c r="I61" i="15"/>
  <c r="R61" i="15" s="1"/>
  <c r="I61" i="8"/>
  <c r="AR73" i="2"/>
  <c r="G90" i="15"/>
  <c r="P90" i="15" s="1"/>
  <c r="F90" i="14"/>
  <c r="N90" i="14" s="1"/>
  <c r="F90" i="6"/>
  <c r="G90" i="8"/>
  <c r="J104" i="15"/>
  <c r="S104" i="15" s="1"/>
  <c r="F96" i="6"/>
  <c r="G96" i="15"/>
  <c r="P96" i="15" s="1"/>
  <c r="G96" i="8"/>
  <c r="F96" i="14"/>
  <c r="N96" i="14" s="1"/>
  <c r="G97" i="15"/>
  <c r="P97" i="15" s="1"/>
  <c r="F97" i="14"/>
  <c r="N97" i="14" s="1"/>
  <c r="G97" i="8"/>
  <c r="F97" i="6"/>
  <c r="AT65" i="2"/>
  <c r="AX68" i="2"/>
  <c r="AX79" i="2"/>
  <c r="J51" i="15"/>
  <c r="S51" i="15" s="1"/>
  <c r="J51" i="8"/>
  <c r="BA63" i="2"/>
  <c r="G106" i="14"/>
  <c r="O106" i="14" s="1"/>
  <c r="AU70" i="2"/>
  <c r="I116" i="15"/>
  <c r="R116" i="15" s="1"/>
  <c r="J58" i="15"/>
  <c r="S58" i="15" s="1"/>
  <c r="J58" i="8"/>
  <c r="T58" i="8" s="1"/>
  <c r="BA70" i="2"/>
  <c r="AT68" i="2"/>
  <c r="J103" i="15"/>
  <c r="S103" i="15" s="1"/>
  <c r="AV71" i="2"/>
  <c r="G51" i="14"/>
  <c r="O51" i="14" s="1"/>
  <c r="H51" i="15"/>
  <c r="Q51" i="15" s="1"/>
  <c r="G51" i="6"/>
  <c r="R51" i="6" s="1"/>
  <c r="H51" i="8"/>
  <c r="BD63" i="2"/>
  <c r="AS76" i="2"/>
  <c r="H48" i="15"/>
  <c r="Q48" i="15" s="1"/>
  <c r="G48" i="14"/>
  <c r="O48" i="14" s="1"/>
  <c r="H48" i="8"/>
  <c r="BD60" i="2"/>
  <c r="G48" i="6"/>
  <c r="AT64" i="2"/>
  <c r="AV92" i="2"/>
  <c r="AU79" i="2"/>
  <c r="AU80" i="2"/>
  <c r="AS74" i="2"/>
  <c r="J60" i="15"/>
  <c r="S60" i="15" s="1"/>
  <c r="J60" i="8"/>
  <c r="BA72" i="2"/>
  <c r="J62" i="15"/>
  <c r="S62" i="15" s="1"/>
  <c r="J62" i="8"/>
  <c r="BA74" i="2"/>
  <c r="AV74" i="2"/>
  <c r="I98" i="15"/>
  <c r="R98" i="15" s="1"/>
  <c r="AU84" i="2"/>
  <c r="AV67" i="2"/>
  <c r="F94" i="14"/>
  <c r="N94" i="14" s="1"/>
  <c r="G94" i="15"/>
  <c r="P94" i="15" s="1"/>
  <c r="F94" i="6"/>
  <c r="G94" i="8"/>
  <c r="AV66" i="2"/>
  <c r="AZ84" i="2"/>
  <c r="M84" i="10"/>
  <c r="M72" i="16"/>
  <c r="Y72" i="16" s="1"/>
  <c r="AZ83" i="2"/>
  <c r="M83" i="10"/>
  <c r="M71" i="16"/>
  <c r="Y71" i="16" s="1"/>
  <c r="K69" i="16"/>
  <c r="W69" i="16" s="1"/>
  <c r="K69" i="10"/>
  <c r="AQ77" i="2"/>
  <c r="I77" i="10" s="1"/>
  <c r="I65" i="16"/>
  <c r="U65" i="16" s="1"/>
  <c r="AZ76" i="2"/>
  <c r="M76" i="10"/>
  <c r="M64" i="16"/>
  <c r="Y64" i="16" s="1"/>
  <c r="AZ85" i="2"/>
  <c r="M85" i="10"/>
  <c r="M73" i="16"/>
  <c r="Y73" i="16" s="1"/>
  <c r="AW75" i="2"/>
  <c r="J63" i="16"/>
  <c r="V63" i="16" s="1"/>
  <c r="J63" i="10"/>
  <c r="AZ79" i="2"/>
  <c r="M79" i="10"/>
  <c r="M67" i="16"/>
  <c r="Y67" i="16" s="1"/>
  <c r="K72" i="16"/>
  <c r="W72" i="16" s="1"/>
  <c r="K72" i="10"/>
  <c r="K73" i="16"/>
  <c r="W73" i="16" s="1"/>
  <c r="K73" i="10"/>
  <c r="AQ80" i="2"/>
  <c r="I80" i="10" s="1"/>
  <c r="I68" i="16"/>
  <c r="U68" i="16" s="1"/>
  <c r="AW85" i="2"/>
  <c r="J73" i="16"/>
  <c r="V73" i="16" s="1"/>
  <c r="J73" i="10"/>
  <c r="AQ82" i="2"/>
  <c r="I82" i="10" s="1"/>
  <c r="I70" i="16"/>
  <c r="U70" i="16" s="1"/>
  <c r="AQ84" i="2"/>
  <c r="I84" i="10" s="1"/>
  <c r="I72" i="16"/>
  <c r="U72" i="16" s="1"/>
  <c r="AW76" i="2"/>
  <c r="J64" i="16"/>
  <c r="V64" i="16" s="1"/>
  <c r="J64" i="10"/>
  <c r="AZ77" i="2"/>
  <c r="M77" i="10" s="1"/>
  <c r="M65" i="16"/>
  <c r="Y65" i="16" s="1"/>
  <c r="AQ76" i="2"/>
  <c r="I76" i="10" s="1"/>
  <c r="I64" i="16"/>
  <c r="U64" i="16" s="1"/>
  <c r="AW83" i="2"/>
  <c r="J71" i="16"/>
  <c r="V71" i="16" s="1"/>
  <c r="J71" i="10"/>
  <c r="AZ82" i="2"/>
  <c r="M82" i="10"/>
  <c r="M70" i="16"/>
  <c r="Y70" i="16" s="1"/>
  <c r="K68" i="16"/>
  <c r="W68" i="16" s="1"/>
  <c r="K68" i="10"/>
  <c r="K70" i="16"/>
  <c r="W70" i="16" s="1"/>
  <c r="K70" i="10"/>
  <c r="AZ78" i="2"/>
  <c r="M78" i="10" s="1"/>
  <c r="M66" i="16"/>
  <c r="Y66" i="16" s="1"/>
  <c r="AQ74" i="2"/>
  <c r="I74" i="10" s="1"/>
  <c r="I62" i="16"/>
  <c r="K79" i="16"/>
  <c r="W79" i="16" s="1"/>
  <c r="K79" i="10"/>
  <c r="K66" i="16"/>
  <c r="W66" i="16" s="1"/>
  <c r="K66" i="10"/>
  <c r="K64" i="16"/>
  <c r="W64" i="16" s="1"/>
  <c r="K64" i="10"/>
  <c r="K65" i="16"/>
  <c r="W65" i="16" s="1"/>
  <c r="K65" i="10"/>
  <c r="AZ75" i="2"/>
  <c r="M75" i="10"/>
  <c r="M63" i="16"/>
  <c r="Y63" i="16" s="1"/>
  <c r="AQ81" i="2"/>
  <c r="I81" i="10" s="1"/>
  <c r="I69" i="16"/>
  <c r="U69" i="16" s="1"/>
  <c r="AW84" i="2"/>
  <c r="J72" i="16"/>
  <c r="V72" i="16" s="1"/>
  <c r="J72" i="10"/>
  <c r="AZ74" i="2"/>
  <c r="M74" i="10" s="1"/>
  <c r="M62" i="16"/>
  <c r="Y62" i="16" s="1"/>
  <c r="AQ78" i="2"/>
  <c r="I78" i="10" s="1"/>
  <c r="I66" i="16"/>
  <c r="U66" i="16" s="1"/>
  <c r="BB85" i="2"/>
  <c r="BC76" i="2"/>
  <c r="BB80" i="2"/>
  <c r="BB75" i="2"/>
  <c r="BC74" i="2"/>
  <c r="BC79" i="2"/>
  <c r="BB83" i="2"/>
  <c r="BC77" i="2"/>
  <c r="BB79" i="2"/>
  <c r="BB76" i="2"/>
  <c r="BB74" i="2"/>
  <c r="BC75" i="2"/>
  <c r="BB82" i="2"/>
  <c r="BC82" i="2"/>
  <c r="BB81" i="2"/>
  <c r="BC84" i="2"/>
  <c r="BB84" i="2"/>
  <c r="BC81" i="2"/>
  <c r="BC78" i="2"/>
  <c r="BC80" i="2"/>
  <c r="BB78" i="2"/>
  <c r="BC85" i="2"/>
  <c r="BC83" i="2"/>
  <c r="BB77" i="2"/>
  <c r="S94" i="16"/>
  <c r="AV86" i="2"/>
  <c r="AU77" i="2"/>
  <c r="J77" i="15"/>
  <c r="S77" i="15" s="1"/>
  <c r="J77" i="8"/>
  <c r="BA89" i="2"/>
  <c r="AS95" i="2"/>
  <c r="AU85" i="2"/>
  <c r="J79" i="15"/>
  <c r="S79" i="15" s="1"/>
  <c r="J79" i="8"/>
  <c r="BA91" i="2"/>
  <c r="AV94" i="2"/>
  <c r="AX85" i="2"/>
  <c r="I96" i="15"/>
  <c r="R96" i="15" s="1"/>
  <c r="I96" i="8"/>
  <c r="AV81" i="2"/>
  <c r="AT78" i="2"/>
  <c r="AT82" i="2"/>
  <c r="AT85" i="2"/>
  <c r="AV79" i="2"/>
  <c r="AU96" i="2"/>
  <c r="J74" i="15"/>
  <c r="S74" i="15" s="1"/>
  <c r="J74" i="8"/>
  <c r="BA86" i="2"/>
  <c r="J108" i="15"/>
  <c r="S108" i="15" s="1"/>
  <c r="G63" i="14"/>
  <c r="O63" i="14" s="1"/>
  <c r="H63" i="15"/>
  <c r="Q63" i="15" s="1"/>
  <c r="G63" i="6"/>
  <c r="H63" i="8"/>
  <c r="BD75" i="2"/>
  <c r="G99" i="14"/>
  <c r="O99" i="14" s="1"/>
  <c r="AX91" i="2"/>
  <c r="AV85" i="2"/>
  <c r="AU95" i="2"/>
  <c r="AS92" i="2"/>
  <c r="AT91" i="2"/>
  <c r="J113" i="15"/>
  <c r="S113" i="15" s="1"/>
  <c r="AX78" i="2"/>
  <c r="J81" i="15"/>
  <c r="S81" i="15" s="1"/>
  <c r="J81" i="8"/>
  <c r="BA93" i="2"/>
  <c r="AU88" i="2"/>
  <c r="AX84" i="2"/>
  <c r="AS91" i="2"/>
  <c r="I74" i="15"/>
  <c r="R74" i="15" s="1"/>
  <c r="AR86" i="2"/>
  <c r="I74" i="8"/>
  <c r="H55" i="15"/>
  <c r="Q55" i="15" s="1"/>
  <c r="G55" i="14"/>
  <c r="O55" i="14" s="1"/>
  <c r="G55" i="6"/>
  <c r="R55" i="6" s="1"/>
  <c r="H55" i="8"/>
  <c r="BD67" i="2"/>
  <c r="AX76" i="2"/>
  <c r="I69" i="8"/>
  <c r="I69" i="15"/>
  <c r="R69" i="15" s="1"/>
  <c r="AR81" i="2"/>
  <c r="AT81" i="2"/>
  <c r="I99" i="15"/>
  <c r="R99" i="15" s="1"/>
  <c r="AU93" i="2"/>
  <c r="AU75" i="2"/>
  <c r="G107" i="14"/>
  <c r="O107" i="14" s="1"/>
  <c r="AX77" i="2"/>
  <c r="J102" i="15"/>
  <c r="S102" i="15" s="1"/>
  <c r="AU92" i="2"/>
  <c r="H99" i="15"/>
  <c r="Q99" i="15" s="1"/>
  <c r="AT80" i="2"/>
  <c r="J72" i="15"/>
  <c r="S72" i="15" s="1"/>
  <c r="J72" i="8"/>
  <c r="BA84" i="2"/>
  <c r="AT76" i="2"/>
  <c r="G60" i="14"/>
  <c r="O60" i="14" s="1"/>
  <c r="H60" i="8"/>
  <c r="G60" i="6"/>
  <c r="BD72" i="2"/>
  <c r="H60" i="15"/>
  <c r="Q60" i="15" s="1"/>
  <c r="T76" i="16"/>
  <c r="AS88" i="2"/>
  <c r="AU82" i="2"/>
  <c r="J99" i="15"/>
  <c r="S99" i="15" s="1"/>
  <c r="AT77" i="2"/>
  <c r="I109" i="15"/>
  <c r="R109" i="15" s="1"/>
  <c r="H118" i="15"/>
  <c r="Q118" i="15" s="1"/>
  <c r="AV96" i="2"/>
  <c r="AS78" i="2"/>
  <c r="AT84" i="2"/>
  <c r="U62" i="16"/>
  <c r="AT74" i="2"/>
  <c r="I92" i="15"/>
  <c r="R92" i="15" s="1"/>
  <c r="I92" i="8"/>
  <c r="AX81" i="2"/>
  <c r="AS75" i="2"/>
  <c r="AS84" i="2"/>
  <c r="I110" i="15"/>
  <c r="R110" i="15" s="1"/>
  <c r="I70" i="15"/>
  <c r="R70" i="15" s="1"/>
  <c r="AR82" i="2"/>
  <c r="I70" i="8"/>
  <c r="J116" i="15"/>
  <c r="S116" i="15" s="1"/>
  <c r="I65" i="15"/>
  <c r="R65" i="15" s="1"/>
  <c r="I65" i="8"/>
  <c r="AR77" i="2"/>
  <c r="J115" i="15"/>
  <c r="S115" i="15" s="1"/>
  <c r="AT75" i="2"/>
  <c r="H54" i="15"/>
  <c r="Q54" i="15" s="1"/>
  <c r="G54" i="14"/>
  <c r="O54" i="14" s="1"/>
  <c r="G54" i="6"/>
  <c r="H54" i="8"/>
  <c r="BD66" i="2"/>
  <c r="H71" i="15"/>
  <c r="Q71" i="15" s="1"/>
  <c r="G71" i="14"/>
  <c r="O71" i="14" s="1"/>
  <c r="H71" i="8"/>
  <c r="G71" i="6"/>
  <c r="BD83" i="2"/>
  <c r="H107" i="15"/>
  <c r="Q107" i="15" s="1"/>
  <c r="J119" i="15"/>
  <c r="S119" i="15" s="1"/>
  <c r="J66" i="15"/>
  <c r="S66" i="15" s="1"/>
  <c r="J66" i="8"/>
  <c r="BA78" i="2"/>
  <c r="J70" i="15"/>
  <c r="S70" i="15" s="1"/>
  <c r="J70" i="8"/>
  <c r="BA82" i="2"/>
  <c r="I73" i="8"/>
  <c r="AR85" i="2"/>
  <c r="I73" i="15"/>
  <c r="R73" i="15" s="1"/>
  <c r="AV78" i="2"/>
  <c r="J110" i="15"/>
  <c r="S110" i="15" s="1"/>
  <c r="AS86" i="2"/>
  <c r="AU91" i="2"/>
  <c r="AV83" i="2"/>
  <c r="J106" i="15"/>
  <c r="S106" i="15" s="1"/>
  <c r="J63" i="15"/>
  <c r="S63" i="15" s="1"/>
  <c r="J63" i="8"/>
  <c r="BA75" i="2"/>
  <c r="AX80" i="2"/>
  <c r="T73" i="16"/>
  <c r="AS85" i="2"/>
  <c r="H82" i="15"/>
  <c r="Q82" i="15" s="1"/>
  <c r="G82" i="14"/>
  <c r="O82" i="14" s="1"/>
  <c r="G82" i="6"/>
  <c r="R82" i="6" s="1"/>
  <c r="H82" i="8"/>
  <c r="BD94" i="2"/>
  <c r="G118" i="14"/>
  <c r="O118" i="14" s="1"/>
  <c r="T70" i="16"/>
  <c r="AS82" i="2"/>
  <c r="AV77" i="2"/>
  <c r="AT95" i="2"/>
  <c r="J117" i="15"/>
  <c r="S117" i="15" s="1"/>
  <c r="G56" i="14"/>
  <c r="O56" i="14" s="1"/>
  <c r="H56" i="8"/>
  <c r="H56" i="15"/>
  <c r="Q56" i="15" s="1"/>
  <c r="BD68" i="2"/>
  <c r="G56" i="6"/>
  <c r="R56" i="6" s="1"/>
  <c r="AU86" i="2"/>
  <c r="AU78" i="2"/>
  <c r="I106" i="15"/>
  <c r="R106" i="15" s="1"/>
  <c r="I105" i="15"/>
  <c r="R105" i="15" s="1"/>
  <c r="I63" i="15"/>
  <c r="R63" i="15" s="1"/>
  <c r="I63" i="8"/>
  <c r="AR75" i="2"/>
  <c r="G53" i="14"/>
  <c r="O53" i="14" s="1"/>
  <c r="H53" i="15"/>
  <c r="Q53" i="15" s="1"/>
  <c r="G53" i="6"/>
  <c r="H53" i="8"/>
  <c r="BD65" i="2"/>
  <c r="J80" i="15"/>
  <c r="S80" i="15" s="1"/>
  <c r="J80" i="8"/>
  <c r="BA92" i="2"/>
  <c r="I101" i="15"/>
  <c r="R101" i="15" s="1"/>
  <c r="T81" i="16"/>
  <c r="AS93" i="2"/>
  <c r="S103" i="16"/>
  <c r="S115" i="16"/>
  <c r="J83" i="15"/>
  <c r="S83" i="15" s="1"/>
  <c r="J83" i="8"/>
  <c r="BA95" i="2"/>
  <c r="H50" i="15"/>
  <c r="Q50" i="15" s="1"/>
  <c r="G50" i="14"/>
  <c r="O50" i="14" s="1"/>
  <c r="G50" i="6"/>
  <c r="H50" i="8"/>
  <c r="BD62" i="2"/>
  <c r="AV75" i="2"/>
  <c r="AX82" i="2"/>
  <c r="K82" i="16"/>
  <c r="W82" i="16" s="1"/>
  <c r="K82" i="10"/>
  <c r="K77" i="16"/>
  <c r="W77" i="16" s="1"/>
  <c r="K77" i="10"/>
  <c r="K76" i="16"/>
  <c r="W76" i="16" s="1"/>
  <c r="K76" i="10"/>
  <c r="K78" i="16"/>
  <c r="W78" i="16" s="1"/>
  <c r="K78" i="10"/>
  <c r="K85" i="16"/>
  <c r="W85" i="16" s="1"/>
  <c r="K85" i="10"/>
  <c r="AQ90" i="2"/>
  <c r="I90" i="10" s="1"/>
  <c r="I78" i="16"/>
  <c r="AQ93" i="2"/>
  <c r="I93" i="10" s="1"/>
  <c r="I93" i="16"/>
  <c r="I105" i="16" s="1"/>
  <c r="I117" i="16" s="1"/>
  <c r="U117" i="16" s="1"/>
  <c r="I81" i="16"/>
  <c r="U81" i="16" s="1"/>
  <c r="AZ87" i="2"/>
  <c r="M87" i="10"/>
  <c r="M75" i="16"/>
  <c r="Y75" i="16" s="1"/>
  <c r="AQ86" i="2"/>
  <c r="I86" i="10" s="1"/>
  <c r="I74" i="16"/>
  <c r="U74" i="16" s="1"/>
  <c r="AZ94" i="2"/>
  <c r="M94" i="10" s="1"/>
  <c r="M82" i="16"/>
  <c r="Y82" i="16" s="1"/>
  <c r="AW97" i="2"/>
  <c r="J85" i="16"/>
  <c r="V85" i="16" s="1"/>
  <c r="J85" i="10"/>
  <c r="AZ88" i="2"/>
  <c r="M88" i="10"/>
  <c r="M76" i="16"/>
  <c r="Y76" i="16" s="1"/>
  <c r="AQ89" i="2"/>
  <c r="I89" i="10" s="1"/>
  <c r="I77" i="16"/>
  <c r="U77" i="16" s="1"/>
  <c r="AZ90" i="2"/>
  <c r="M90" i="10"/>
  <c r="M78" i="16"/>
  <c r="Y78" i="16" s="1"/>
  <c r="AW95" i="2"/>
  <c r="J83" i="16"/>
  <c r="V83" i="16" s="1"/>
  <c r="J83" i="10"/>
  <c r="AQ96" i="2"/>
  <c r="I96" i="10" s="1"/>
  <c r="I84" i="16"/>
  <c r="U84" i="16" s="1"/>
  <c r="AZ96" i="2"/>
  <c r="M96" i="10"/>
  <c r="M84" i="16"/>
  <c r="Y84" i="16" s="1"/>
  <c r="K81" i="16"/>
  <c r="W81" i="16" s="1"/>
  <c r="K81" i="10"/>
  <c r="AQ88" i="2"/>
  <c r="I88" i="10" s="1"/>
  <c r="I88" i="16"/>
  <c r="I100" i="16" s="1"/>
  <c r="I112" i="16" s="1"/>
  <c r="U112" i="16" s="1"/>
  <c r="I76" i="16"/>
  <c r="U76" i="16" s="1"/>
  <c r="AW88" i="2"/>
  <c r="J76" i="16"/>
  <c r="V76" i="16" s="1"/>
  <c r="J76" i="10"/>
  <c r="AQ94" i="2"/>
  <c r="I94" i="10" s="1"/>
  <c r="I82" i="16"/>
  <c r="AZ91" i="2"/>
  <c r="M79" i="16"/>
  <c r="Y79" i="16" s="1"/>
  <c r="AW87" i="2"/>
  <c r="J87" i="16"/>
  <c r="J75" i="16"/>
  <c r="J75" i="10"/>
  <c r="AZ86" i="2"/>
  <c r="M86" i="10"/>
  <c r="M74" i="16"/>
  <c r="Y74" i="16" s="1"/>
  <c r="AZ95" i="2"/>
  <c r="M95" i="10" s="1"/>
  <c r="M83" i="16"/>
  <c r="Y83" i="16" s="1"/>
  <c r="K80" i="16"/>
  <c r="W80" i="16" s="1"/>
  <c r="K80" i="10"/>
  <c r="K84" i="16"/>
  <c r="W84" i="16" s="1"/>
  <c r="K84" i="10"/>
  <c r="K91" i="16"/>
  <c r="W91" i="16" s="1"/>
  <c r="K91" i="10"/>
  <c r="AW96" i="2"/>
  <c r="J84" i="16"/>
  <c r="V84" i="16" s="1"/>
  <c r="J84" i="10"/>
  <c r="AZ89" i="2"/>
  <c r="M89" i="10" s="1"/>
  <c r="M77" i="16"/>
  <c r="Y77" i="16" s="1"/>
  <c r="AQ92" i="2"/>
  <c r="I92" i="10" s="1"/>
  <c r="I80" i="16"/>
  <c r="U80" i="16" s="1"/>
  <c r="AZ97" i="2"/>
  <c r="M97" i="10"/>
  <c r="M85" i="16"/>
  <c r="Y85" i="16" s="1"/>
  <c r="BC93" i="2"/>
  <c r="BB94" i="2"/>
  <c r="U82" i="16"/>
  <c r="BC89" i="2"/>
  <c r="BB87" i="2"/>
  <c r="BC97" i="2"/>
  <c r="BC90" i="2"/>
  <c r="BC96" i="2"/>
  <c r="BB86" i="2"/>
  <c r="BB91" i="2"/>
  <c r="BC91" i="2"/>
  <c r="BC88" i="2"/>
  <c r="BC95" i="2"/>
  <c r="BC92" i="2"/>
  <c r="BB96" i="2"/>
  <c r="BC94" i="2"/>
  <c r="BB95" i="2"/>
  <c r="BC86" i="2"/>
  <c r="BB92" i="2"/>
  <c r="BB89" i="2"/>
  <c r="BB90" i="2"/>
  <c r="BB93" i="2"/>
  <c r="BC87" i="2"/>
  <c r="BB88" i="2"/>
  <c r="BB97" i="2"/>
  <c r="G98" i="14"/>
  <c r="O98" i="14" s="1"/>
  <c r="H65" i="15"/>
  <c r="Q65" i="15" s="1"/>
  <c r="G65" i="14"/>
  <c r="O65" i="14" s="1"/>
  <c r="H65" i="8"/>
  <c r="G65" i="6"/>
  <c r="R65" i="6" s="1"/>
  <c r="BD77" i="2"/>
  <c r="J120" i="15"/>
  <c r="S120" i="15" s="1"/>
  <c r="AX89" i="2"/>
  <c r="K89" i="16"/>
  <c r="W89" i="16" s="1"/>
  <c r="H67" i="15"/>
  <c r="Q67" i="15" s="1"/>
  <c r="G67" i="14"/>
  <c r="O67" i="14" s="1"/>
  <c r="H67" i="8"/>
  <c r="BD79" i="2"/>
  <c r="G67" i="6"/>
  <c r="R67" i="6" s="1"/>
  <c r="H103" i="15"/>
  <c r="Q103" i="15" s="1"/>
  <c r="AX90" i="2"/>
  <c r="K90" i="10" s="1"/>
  <c r="AU97" i="2"/>
  <c r="H62" i="15"/>
  <c r="Q62" i="15" s="1"/>
  <c r="G62" i="14"/>
  <c r="O62" i="14" s="1"/>
  <c r="H62" i="8"/>
  <c r="BD74" i="2"/>
  <c r="G62" i="6"/>
  <c r="R62" i="6" s="1"/>
  <c r="H98" i="15"/>
  <c r="Q98" i="15" s="1"/>
  <c r="I75" i="15"/>
  <c r="R75" i="15" s="1"/>
  <c r="I75" i="8"/>
  <c r="AR87" i="2"/>
  <c r="G104" i="14"/>
  <c r="O104" i="14" s="1"/>
  <c r="AV95" i="2"/>
  <c r="I121" i="15"/>
  <c r="R121" i="15" s="1"/>
  <c r="J114" i="15"/>
  <c r="S114" i="15" s="1"/>
  <c r="G119" i="14"/>
  <c r="O119" i="14" s="1"/>
  <c r="I113" i="15"/>
  <c r="R113" i="15" s="1"/>
  <c r="I82" i="15"/>
  <c r="R82" i="15" s="1"/>
  <c r="I82" i="8"/>
  <c r="AR94" i="2"/>
  <c r="AX93" i="2"/>
  <c r="K93" i="10"/>
  <c r="AT86" i="2"/>
  <c r="AU94" i="2"/>
  <c r="H108" i="15"/>
  <c r="Q108" i="15" s="1"/>
  <c r="G108" i="14"/>
  <c r="O108" i="14" s="1"/>
  <c r="J84" i="15"/>
  <c r="S84" i="15" s="1"/>
  <c r="J84" i="8"/>
  <c r="BA96" i="2"/>
  <c r="J96" i="15"/>
  <c r="S96" i="15" s="1"/>
  <c r="V75" i="16"/>
  <c r="AU87" i="2"/>
  <c r="AX88" i="2"/>
  <c r="AX96" i="2"/>
  <c r="K96" i="10" s="1"/>
  <c r="U78" i="16"/>
  <c r="AT90" i="2"/>
  <c r="AV93" i="2"/>
  <c r="J89" i="15"/>
  <c r="S89" i="15" s="1"/>
  <c r="J89" i="8"/>
  <c r="S118" i="16"/>
  <c r="H94" i="15"/>
  <c r="Q94" i="15" s="1"/>
  <c r="H94" i="8"/>
  <c r="G94" i="6"/>
  <c r="G94" i="14"/>
  <c r="O94" i="14" s="1"/>
  <c r="AV87" i="2"/>
  <c r="J95" i="15"/>
  <c r="S95" i="15" s="1"/>
  <c r="J95" i="8"/>
  <c r="AU90" i="2"/>
  <c r="G68" i="14"/>
  <c r="O68" i="14" s="1"/>
  <c r="H68" i="8"/>
  <c r="H68" i="15"/>
  <c r="Q68" i="15" s="1"/>
  <c r="BD80" i="2"/>
  <c r="G68" i="6"/>
  <c r="J111" i="15"/>
  <c r="S111" i="15" s="1"/>
  <c r="AV90" i="2"/>
  <c r="AR97" i="2"/>
  <c r="I85" i="15"/>
  <c r="R85" i="15" s="1"/>
  <c r="I85" i="8"/>
  <c r="J118" i="15"/>
  <c r="S118" i="15" s="1"/>
  <c r="J78" i="15"/>
  <c r="S78" i="15" s="1"/>
  <c r="J78" i="8"/>
  <c r="BA90" i="2"/>
  <c r="J90" i="8" s="1"/>
  <c r="H83" i="15"/>
  <c r="Q83" i="15" s="1"/>
  <c r="G83" i="14"/>
  <c r="O83" i="14" s="1"/>
  <c r="H83" i="8"/>
  <c r="BD95" i="2"/>
  <c r="H95" i="8" s="1"/>
  <c r="G83" i="6"/>
  <c r="H119" i="15"/>
  <c r="Q119" i="15" s="1"/>
  <c r="G102" i="14"/>
  <c r="O102" i="14" s="1"/>
  <c r="AT87" i="2"/>
  <c r="I118" i="15"/>
  <c r="R118" i="15" s="1"/>
  <c r="AS87" i="2"/>
  <c r="S109" i="16"/>
  <c r="H72" i="15"/>
  <c r="Q72" i="15" s="1"/>
  <c r="H120" i="15"/>
  <c r="Q120" i="15" s="1"/>
  <c r="G72" i="14"/>
  <c r="O72" i="14" s="1"/>
  <c r="H72" i="8"/>
  <c r="BD84" i="2"/>
  <c r="G72" i="6"/>
  <c r="R72" i="6"/>
  <c r="AT88" i="2"/>
  <c r="AT92" i="2"/>
  <c r="I81" i="15"/>
  <c r="R81" i="15" s="1"/>
  <c r="AR93" i="2"/>
  <c r="I81" i="8"/>
  <c r="I86" i="15"/>
  <c r="R86" i="15" s="1"/>
  <c r="I86" i="8"/>
  <c r="H111" i="15"/>
  <c r="Q111" i="15" s="1"/>
  <c r="J86" i="15"/>
  <c r="S86" i="15" s="1"/>
  <c r="J86" i="8"/>
  <c r="AV91" i="2"/>
  <c r="AT94" i="2"/>
  <c r="J91" i="15"/>
  <c r="S91" i="15" s="1"/>
  <c r="J91" i="8"/>
  <c r="AU89" i="2"/>
  <c r="T89" i="16"/>
  <c r="G101" i="14"/>
  <c r="O101" i="14" s="1"/>
  <c r="AX92" i="2"/>
  <c r="K92" i="10"/>
  <c r="AT96" i="2"/>
  <c r="AT89" i="2"/>
  <c r="AX94" i="2"/>
  <c r="J92" i="15"/>
  <c r="S92" i="15" s="1"/>
  <c r="J92" i="8"/>
  <c r="H101" i="15"/>
  <c r="Q101" i="15" s="1"/>
  <c r="I111" i="15"/>
  <c r="R111" i="15" s="1"/>
  <c r="H104" i="15"/>
  <c r="Q104" i="15" s="1"/>
  <c r="AV89" i="2"/>
  <c r="T82" i="16"/>
  <c r="AS94" i="2"/>
  <c r="T85" i="16"/>
  <c r="AS97" i="2"/>
  <c r="S102" i="16"/>
  <c r="J75" i="15"/>
  <c r="S75" i="15" s="1"/>
  <c r="J75" i="8"/>
  <c r="BA87" i="2"/>
  <c r="J82" i="15"/>
  <c r="S82" i="15" s="1"/>
  <c r="J82" i="8"/>
  <c r="BA94" i="2"/>
  <c r="G66" i="14"/>
  <c r="O66" i="14" s="1"/>
  <c r="H66" i="8"/>
  <c r="G66" i="6"/>
  <c r="R66" i="6" s="1"/>
  <c r="BD78" i="2"/>
  <c r="H78" i="15" s="1"/>
  <c r="Q78" i="15" s="1"/>
  <c r="H66" i="15"/>
  <c r="Q66" i="15" s="1"/>
  <c r="H102" i="15"/>
  <c r="Q102" i="15" s="1"/>
  <c r="I77" i="15"/>
  <c r="R77" i="15" s="1"/>
  <c r="AR89" i="2"/>
  <c r="I77" i="8"/>
  <c r="AS96" i="2"/>
  <c r="AS90" i="2"/>
  <c r="AT93" i="2"/>
  <c r="I117" i="15"/>
  <c r="R117" i="15" s="1"/>
  <c r="G103" i="14"/>
  <c r="O103" i="14" s="1"/>
  <c r="J93" i="15"/>
  <c r="S93" i="15" s="1"/>
  <c r="J93" i="8"/>
  <c r="AV97" i="2"/>
  <c r="G75" i="14"/>
  <c r="O75" i="14" s="1"/>
  <c r="H75" i="15"/>
  <c r="Q75" i="15" s="1"/>
  <c r="BD87" i="2"/>
  <c r="H87" i="8" s="1"/>
  <c r="H75" i="8"/>
  <c r="G75" i="6"/>
  <c r="G111" i="14"/>
  <c r="O111" i="14" s="1"/>
  <c r="AT97" i="2"/>
  <c r="AX97" i="2"/>
  <c r="K97" i="10"/>
  <c r="K92" i="16"/>
  <c r="W92" i="16" s="1"/>
  <c r="M97" i="16"/>
  <c r="Y97" i="16" s="1"/>
  <c r="K88" i="16"/>
  <c r="K100" i="16" s="1"/>
  <c r="K112" i="16" s="1"/>
  <c r="W112" i="16" s="1"/>
  <c r="K88" i="10"/>
  <c r="K93" i="16"/>
  <c r="W93" i="16" s="1"/>
  <c r="K89" i="10"/>
  <c r="M95" i="16"/>
  <c r="Y95" i="16" s="1"/>
  <c r="M88" i="16"/>
  <c r="Y88" i="16" s="1"/>
  <c r="M96" i="16"/>
  <c r="K97" i="16"/>
  <c r="K109" i="16" s="1"/>
  <c r="J96" i="16"/>
  <c r="J108" i="16" s="1"/>
  <c r="J96" i="10"/>
  <c r="M86" i="16"/>
  <c r="Y86" i="16" s="1"/>
  <c r="J88" i="16"/>
  <c r="V88" i="16" s="1"/>
  <c r="J88" i="10"/>
  <c r="M90" i="16"/>
  <c r="Y90" i="16" s="1"/>
  <c r="M94" i="16"/>
  <c r="Y94" i="16" s="1"/>
  <c r="K103" i="16"/>
  <c r="K115" i="16" s="1"/>
  <c r="W115" i="16" s="1"/>
  <c r="K94" i="16"/>
  <c r="K106" i="16" s="1"/>
  <c r="K118" i="16" s="1"/>
  <c r="W118" i="16" s="1"/>
  <c r="K94" i="10"/>
  <c r="K90" i="16"/>
  <c r="K102" i="16" s="1"/>
  <c r="K114" i="16" s="1"/>
  <c r="W114" i="16" s="1"/>
  <c r="M89" i="16"/>
  <c r="Y89" i="16" s="1"/>
  <c r="J95" i="16"/>
  <c r="J107" i="16" s="1"/>
  <c r="J95" i="10"/>
  <c r="J97" i="16"/>
  <c r="J109" i="16" s="1"/>
  <c r="J97" i="10"/>
  <c r="M87" i="16"/>
  <c r="G116" i="14"/>
  <c r="O116" i="14" s="1"/>
  <c r="H114" i="15"/>
  <c r="Q114" i="15" s="1"/>
  <c r="I94" i="15"/>
  <c r="R94" i="15" s="1"/>
  <c r="I94" i="8"/>
  <c r="V96" i="16"/>
  <c r="G78" i="14"/>
  <c r="O78" i="14" s="1"/>
  <c r="H78" i="8"/>
  <c r="G78" i="6"/>
  <c r="R78" i="6"/>
  <c r="I93" i="15"/>
  <c r="R93" i="15" s="1"/>
  <c r="I93" i="8"/>
  <c r="G84" i="14"/>
  <c r="O84" i="14" s="1"/>
  <c r="H84" i="15"/>
  <c r="Q84" i="15" s="1"/>
  <c r="G84" i="6"/>
  <c r="H84" i="8"/>
  <c r="BD96" i="2"/>
  <c r="G95" i="6"/>
  <c r="R95" i="6" s="1"/>
  <c r="G95" i="14"/>
  <c r="O95" i="14" s="1"/>
  <c r="J90" i="15"/>
  <c r="S90" i="15" s="1"/>
  <c r="T93" i="16"/>
  <c r="I87" i="15"/>
  <c r="R87" i="15" s="1"/>
  <c r="I87" i="8"/>
  <c r="G110" i="14"/>
  <c r="O110" i="14" s="1"/>
  <c r="G115" i="14"/>
  <c r="O115" i="14" s="1"/>
  <c r="G113" i="14"/>
  <c r="O113" i="14" s="1"/>
  <c r="G87" i="14"/>
  <c r="O87" i="14" s="1"/>
  <c r="G87" i="6"/>
  <c r="J94" i="15"/>
  <c r="S94" i="15" s="1"/>
  <c r="J94" i="8"/>
  <c r="I97" i="15"/>
  <c r="R97" i="15" s="1"/>
  <c r="I97" i="8"/>
  <c r="H116" i="15"/>
  <c r="Q116" i="15" s="1"/>
  <c r="H110" i="15"/>
  <c r="Q110" i="15" s="1"/>
  <c r="H115" i="15"/>
  <c r="Q115" i="15" s="1"/>
  <c r="G77" i="14"/>
  <c r="O77" i="14" s="1"/>
  <c r="H77" i="15"/>
  <c r="Q77" i="15" s="1"/>
  <c r="H77" i="8"/>
  <c r="BD89" i="2"/>
  <c r="G77" i="6"/>
  <c r="H113" i="15"/>
  <c r="Q113" i="15" s="1"/>
  <c r="G114" i="14"/>
  <c r="O114" i="14" s="1"/>
  <c r="G120" i="14"/>
  <c r="O120" i="14" s="1"/>
  <c r="J96" i="8"/>
  <c r="H74" i="15"/>
  <c r="Q74" i="15" s="1"/>
  <c r="H74" i="8"/>
  <c r="P13" i="18"/>
  <c r="J99" i="16"/>
  <c r="V99" i="16" s="1"/>
  <c r="V87" i="16"/>
  <c r="H89" i="15"/>
  <c r="Q89" i="15" s="1"/>
  <c r="G89" i="14"/>
  <c r="O89" i="14" s="1"/>
  <c r="H89" i="8"/>
  <c r="G89" i="6"/>
  <c r="H96" i="15"/>
  <c r="Q96" i="15" s="1"/>
  <c r="G96" i="14"/>
  <c r="O96" i="14" s="1"/>
  <c r="H96" i="8"/>
  <c r="G96" i="6"/>
  <c r="R96" i="6"/>
  <c r="T97" i="16"/>
  <c r="T98" i="16"/>
  <c r="W106" i="16"/>
  <c r="T99" i="16"/>
  <c r="D6" i="18"/>
  <c r="H10" i="18"/>
  <c r="J87" i="8"/>
  <c r="J87" i="15"/>
  <c r="S87" i="15" s="1"/>
  <c r="G80" i="6"/>
  <c r="H80" i="15"/>
  <c r="Q80" i="15" s="1"/>
  <c r="G80" i="14"/>
  <c r="O80" i="14" s="1"/>
  <c r="H80" i="8"/>
  <c r="BD92" i="2"/>
  <c r="G79" i="6"/>
  <c r="R79" i="6" s="1"/>
  <c r="G79" i="14"/>
  <c r="O79" i="14" s="1"/>
  <c r="H79" i="15"/>
  <c r="Q79" i="15" s="1"/>
  <c r="BD91" i="2"/>
  <c r="H79" i="8"/>
  <c r="M91" i="10"/>
  <c r="M91" i="16"/>
  <c r="Y91" i="16" s="1"/>
  <c r="J87" i="10"/>
  <c r="I89" i="8"/>
  <c r="I89" i="15"/>
  <c r="R89" i="15" s="1"/>
  <c r="G74" i="14"/>
  <c r="O74" i="14" s="1"/>
  <c r="BD86" i="2"/>
  <c r="G74" i="6"/>
  <c r="E16" i="3"/>
  <c r="R13" i="6"/>
  <c r="J18" i="10"/>
  <c r="AW30" i="2"/>
  <c r="AW33" i="2"/>
  <c r="J21" i="16"/>
  <c r="V21" i="16" s="1"/>
  <c r="J21" i="10"/>
  <c r="G32" i="8"/>
  <c r="F32" i="6"/>
  <c r="R32" i="6"/>
  <c r="G32" i="15"/>
  <c r="P32" i="15" s="1"/>
  <c r="F32" i="14"/>
  <c r="N32" i="14" s="1"/>
  <c r="AM44" i="2"/>
  <c r="O11" i="18"/>
  <c r="K4" i="18"/>
  <c r="O7" i="18"/>
  <c r="AM10" i="19"/>
  <c r="AI9" i="19"/>
  <c r="R9" i="20" s="1"/>
  <c r="S9" i="20" s="1"/>
  <c r="AA12" i="19"/>
  <c r="AB12" i="19" s="1"/>
  <c r="J7" i="20"/>
  <c r="J10" i="20"/>
  <c r="O10" i="18"/>
  <c r="O9" i="18"/>
  <c r="O8" i="18"/>
  <c r="D44" i="24" s="1"/>
  <c r="J5" i="20"/>
  <c r="J12" i="20"/>
  <c r="AA8" i="19"/>
  <c r="AB8" i="19" s="1"/>
  <c r="AA11" i="19"/>
  <c r="H11" i="20" s="1"/>
  <c r="T12" i="20"/>
  <c r="G28" i="24" s="1"/>
  <c r="E67" i="8"/>
  <c r="F67" i="10"/>
  <c r="G68" i="16"/>
  <c r="S68" i="16" s="1"/>
  <c r="I68" i="6"/>
  <c r="R68" i="6" s="1"/>
  <c r="E69" i="6"/>
  <c r="F69" i="10"/>
  <c r="BD21" i="2"/>
  <c r="G9" i="14"/>
  <c r="O9" i="14" s="1"/>
  <c r="H9" i="8"/>
  <c r="G25" i="6"/>
  <c r="H25" i="8"/>
  <c r="H25" i="15"/>
  <c r="Q25" i="15" s="1"/>
  <c r="G25" i="14"/>
  <c r="O25" i="14" s="1"/>
  <c r="BD37" i="2"/>
  <c r="AQ27" i="2"/>
  <c r="I27" i="10" s="1"/>
  <c r="I15" i="16"/>
  <c r="U15" i="16" s="1"/>
  <c r="J22" i="10"/>
  <c r="AW34" i="2"/>
  <c r="J22" i="16"/>
  <c r="V22" i="16" s="1"/>
  <c r="K11" i="18"/>
  <c r="K7" i="18"/>
  <c r="K10" i="18"/>
  <c r="L10" i="18" s="1"/>
  <c r="K6" i="18"/>
  <c r="L7" i="18" s="1"/>
  <c r="K9" i="18"/>
  <c r="L9" i="18" s="1"/>
  <c r="K8" i="18"/>
  <c r="K14" i="10"/>
  <c r="F35" i="6"/>
  <c r="AA10" i="19"/>
  <c r="AB10" i="19" s="1"/>
  <c r="AA6" i="19"/>
  <c r="AB6" i="19" s="1"/>
  <c r="J8" i="20"/>
  <c r="C26" i="24" s="1"/>
  <c r="AA5" i="19"/>
  <c r="H5" i="20" s="1"/>
  <c r="I5" i="20" s="1"/>
  <c r="J9" i="20"/>
  <c r="D26" i="24" s="1"/>
  <c r="AZ32" i="2"/>
  <c r="L18" i="10"/>
  <c r="AY30" i="2"/>
  <c r="L30" i="16" s="1"/>
  <c r="X30" i="16" s="1"/>
  <c r="L21" i="10"/>
  <c r="AY33" i="2"/>
  <c r="L33" i="16" s="1"/>
  <c r="X33" i="16" s="1"/>
  <c r="L22" i="10"/>
  <c r="AY34" i="2"/>
  <c r="L34" i="16" s="1"/>
  <c r="X34" i="16" s="1"/>
  <c r="L36" i="10"/>
  <c r="AY48" i="2"/>
  <c r="L48" i="16" s="1"/>
  <c r="X48" i="16" s="1"/>
  <c r="AY26" i="2"/>
  <c r="L26" i="16" s="1"/>
  <c r="X26" i="16" s="1"/>
  <c r="AY32" i="2"/>
  <c r="L32" i="16" s="1"/>
  <c r="X32" i="16" s="1"/>
  <c r="AY37" i="2"/>
  <c r="L37" i="16" s="1"/>
  <c r="X37" i="16" s="1"/>
  <c r="D29" i="10"/>
  <c r="D65" i="10"/>
  <c r="D57" i="10"/>
  <c r="D49" i="10"/>
  <c r="D89" i="10"/>
  <c r="D81" i="10"/>
  <c r="J63" i="25"/>
  <c r="B11" i="21" s="1"/>
  <c r="D93" i="16"/>
  <c r="P93" i="16" s="1"/>
  <c r="D93" i="10"/>
  <c r="D85" i="16"/>
  <c r="P85" i="16" s="1"/>
  <c r="D85" i="10"/>
  <c r="D77" i="16"/>
  <c r="P77" i="16" s="1"/>
  <c r="D77" i="10"/>
  <c r="D69" i="16"/>
  <c r="P69" i="16" s="1"/>
  <c r="D69" i="10"/>
  <c r="D61" i="16"/>
  <c r="P61" i="16" s="1"/>
  <c r="D61" i="10"/>
  <c r="D53" i="16"/>
  <c r="P53" i="16" s="1"/>
  <c r="D53" i="10"/>
  <c r="D45" i="16"/>
  <c r="P45" i="16" s="1"/>
  <c r="D45" i="10"/>
  <c r="D41" i="16"/>
  <c r="P41" i="16" s="1"/>
  <c r="D41" i="10"/>
  <c r="D25" i="16"/>
  <c r="P25" i="16" s="1"/>
  <c r="D25" i="10"/>
  <c r="D21" i="16"/>
  <c r="P21" i="16" s="1"/>
  <c r="D21" i="10"/>
  <c r="D13" i="16"/>
  <c r="P13" i="16" s="1"/>
  <c r="D13" i="10"/>
  <c r="D5" i="16"/>
  <c r="P5" i="16" s="1"/>
  <c r="D5" i="10"/>
  <c r="C43" i="24"/>
  <c r="F44" i="24"/>
  <c r="J33" i="10"/>
  <c r="AW45" i="2"/>
  <c r="J33" i="16"/>
  <c r="V33" i="16" s="1"/>
  <c r="J21" i="25"/>
  <c r="L21" i="25"/>
  <c r="L32" i="10"/>
  <c r="AY44" i="2"/>
  <c r="L44" i="16" s="1"/>
  <c r="X44" i="16" s="1"/>
  <c r="L33" i="10"/>
  <c r="AY45" i="2"/>
  <c r="L45" i="16" s="1"/>
  <c r="X45" i="16" s="1"/>
  <c r="L30" i="10"/>
  <c r="AY42" i="2"/>
  <c r="L42" i="16" s="1"/>
  <c r="X42" i="16" s="1"/>
  <c r="G43" i="24"/>
  <c r="E26" i="24"/>
  <c r="E9" i="24"/>
  <c r="AN10" i="19"/>
  <c r="F44" i="14"/>
  <c r="N44" i="14" s="1"/>
  <c r="F44" i="6"/>
  <c r="G44" i="8"/>
  <c r="G44" i="15"/>
  <c r="P44" i="15" s="1"/>
  <c r="AM92" i="2"/>
  <c r="J30" i="16"/>
  <c r="V30" i="16" s="1"/>
  <c r="AW42" i="2"/>
  <c r="J42" i="16" s="1"/>
  <c r="V42" i="16" s="1"/>
  <c r="J30" i="10"/>
  <c r="H91" i="8"/>
  <c r="G91" i="14"/>
  <c r="O91" i="14" s="1"/>
  <c r="H91" i="15"/>
  <c r="Q91" i="15" s="1"/>
  <c r="G91" i="6"/>
  <c r="H92" i="8"/>
  <c r="G92" i="6"/>
  <c r="G92" i="14"/>
  <c r="O92" i="14" s="1"/>
  <c r="H92" i="15"/>
  <c r="Q92" i="15" s="1"/>
  <c r="E6" i="24"/>
  <c r="G26" i="24"/>
  <c r="G44" i="24"/>
  <c r="H44" i="24"/>
  <c r="AY38" i="2"/>
  <c r="L38" i="16" s="1"/>
  <c r="X38" i="16" s="1"/>
  <c r="I27" i="16"/>
  <c r="U27" i="16" s="1"/>
  <c r="AQ39" i="2"/>
  <c r="I39" i="10" s="1"/>
  <c r="H21" i="15"/>
  <c r="Q21" i="15" s="1"/>
  <c r="BD33" i="2"/>
  <c r="H21" i="8"/>
  <c r="G21" i="14"/>
  <c r="O21" i="14" s="1"/>
  <c r="G21" i="6"/>
  <c r="F6" i="24"/>
  <c r="C44" i="24"/>
  <c r="E17" i="3"/>
  <c r="H86" i="15"/>
  <c r="Q86" i="15" s="1"/>
  <c r="H86" i="8"/>
  <c r="G86" i="6"/>
  <c r="G86" i="14"/>
  <c r="O86" i="14" s="1"/>
  <c r="L37" i="10"/>
  <c r="AY49" i="2"/>
  <c r="L49" i="16" s="1"/>
  <c r="X49" i="16" s="1"/>
  <c r="D43" i="24"/>
  <c r="L8" i="18"/>
  <c r="AB5" i="19"/>
  <c r="L48" i="10"/>
  <c r="AY60" i="2"/>
  <c r="L60" i="16" s="1"/>
  <c r="X60" i="16" s="1"/>
  <c r="L34" i="10"/>
  <c r="AY46" i="2"/>
  <c r="L46" i="16" s="1"/>
  <c r="X46" i="16" s="1"/>
  <c r="M32" i="10"/>
  <c r="AZ44" i="2"/>
  <c r="M32" i="16"/>
  <c r="Y32" i="16" s="1"/>
  <c r="F43" i="24"/>
  <c r="AW46" i="2"/>
  <c r="J46" i="16" s="1"/>
  <c r="V46" i="16" s="1"/>
  <c r="J34" i="16"/>
  <c r="V34" i="16" s="1"/>
  <c r="J34" i="10"/>
  <c r="G37" i="14"/>
  <c r="O37" i="14" s="1"/>
  <c r="H37" i="8"/>
  <c r="H37" i="15"/>
  <c r="Q37" i="15" s="1"/>
  <c r="G37" i="6"/>
  <c r="BD49" i="2"/>
  <c r="G49" i="6" s="1"/>
  <c r="C6" i="24"/>
  <c r="H12" i="20"/>
  <c r="I12" i="20" s="1"/>
  <c r="L45" i="10"/>
  <c r="AY57" i="2"/>
  <c r="L57" i="16" s="1"/>
  <c r="X57" i="16" s="1"/>
  <c r="AY56" i="2"/>
  <c r="L56" i="16" s="1"/>
  <c r="X56" i="16" s="1"/>
  <c r="AW58" i="2"/>
  <c r="J58" i="10" s="1"/>
  <c r="M44" i="10"/>
  <c r="AZ56" i="2"/>
  <c r="M56" i="10" s="1"/>
  <c r="M44" i="16"/>
  <c r="Y44" i="16" s="1"/>
  <c r="AY58" i="2"/>
  <c r="L58" i="16" s="1"/>
  <c r="X58" i="16" s="1"/>
  <c r="H49" i="15"/>
  <c r="Q49" i="15" s="1"/>
  <c r="BD61" i="2"/>
  <c r="G61" i="14" s="1"/>
  <c r="G49" i="14"/>
  <c r="O49" i="14" s="1"/>
  <c r="AY61" i="2"/>
  <c r="L61" i="16" s="1"/>
  <c r="X61" i="16" s="1"/>
  <c r="I39" i="16"/>
  <c r="U39" i="16" s="1"/>
  <c r="AQ51" i="2"/>
  <c r="I51" i="10" s="1"/>
  <c r="L42" i="10"/>
  <c r="AY54" i="2"/>
  <c r="L54" i="16" s="1"/>
  <c r="X54" i="16" s="1"/>
  <c r="Z33" i="10"/>
  <c r="AY50" i="2"/>
  <c r="L50" i="16" s="1"/>
  <c r="X50" i="16" s="1"/>
  <c r="AW54" i="2"/>
  <c r="J54" i="16" s="1"/>
  <c r="V54" i="16" s="1"/>
  <c r="J42" i="10"/>
  <c r="J45" i="10"/>
  <c r="AW57" i="2"/>
  <c r="J45" i="16"/>
  <c r="V45" i="16" s="1"/>
  <c r="L60" i="10"/>
  <c r="AY72" i="2"/>
  <c r="L72" i="16" s="1"/>
  <c r="X72" i="16" s="1"/>
  <c r="E18" i="3"/>
  <c r="H33" i="8"/>
  <c r="BD45" i="2"/>
  <c r="G45" i="6" s="1"/>
  <c r="G33" i="14"/>
  <c r="O33" i="14" s="1"/>
  <c r="G33" i="6"/>
  <c r="R33" i="6"/>
  <c r="H33" i="15"/>
  <c r="Q33" i="15" s="1"/>
  <c r="G92" i="8"/>
  <c r="F92" i="14"/>
  <c r="N92" i="14" s="1"/>
  <c r="F92" i="6"/>
  <c r="R92" i="6" s="1"/>
  <c r="G92" i="15"/>
  <c r="P92" i="15" s="1"/>
  <c r="J57" i="10"/>
  <c r="AW69" i="2"/>
  <c r="AW81" i="2" s="1"/>
  <c r="J57" i="16"/>
  <c r="V57" i="16" s="1"/>
  <c r="M56" i="16"/>
  <c r="Y56" i="16" s="1"/>
  <c r="AZ68" i="2"/>
  <c r="M68" i="10" s="1"/>
  <c r="AW70" i="2"/>
  <c r="J70" i="10" s="1"/>
  <c r="J58" i="16"/>
  <c r="V58" i="16" s="1"/>
  <c r="AY62" i="2"/>
  <c r="L62" i="16" s="1"/>
  <c r="X62" i="16" s="1"/>
  <c r="AY70" i="2"/>
  <c r="L70" i="16" s="1"/>
  <c r="X70" i="16" s="1"/>
  <c r="L57" i="10"/>
  <c r="AY69" i="2"/>
  <c r="L69" i="16" s="1"/>
  <c r="X69" i="16" s="1"/>
  <c r="G45" i="14"/>
  <c r="O45" i="14" s="1"/>
  <c r="AW66" i="2"/>
  <c r="J66" i="10" s="1"/>
  <c r="J54" i="10"/>
  <c r="AY73" i="2"/>
  <c r="L73" i="16" s="1"/>
  <c r="X73" i="16" s="1"/>
  <c r="H61" i="8"/>
  <c r="G61" i="6"/>
  <c r="BD73" i="2"/>
  <c r="H73" i="15" s="1"/>
  <c r="E19" i="3"/>
  <c r="E20" i="3" s="1"/>
  <c r="E21" i="3" s="1"/>
  <c r="E22" i="3" s="1"/>
  <c r="L72" i="10"/>
  <c r="AY84" i="2"/>
  <c r="L84" i="16" s="1"/>
  <c r="X84" i="16" s="1"/>
  <c r="L54" i="10"/>
  <c r="AY66" i="2"/>
  <c r="L66" i="16" s="1"/>
  <c r="X66" i="16" s="1"/>
  <c r="I51" i="16"/>
  <c r="U51" i="16" s="1"/>
  <c r="AQ63" i="2"/>
  <c r="I63" i="10" s="1"/>
  <c r="AY68" i="2"/>
  <c r="L68" i="16" s="1"/>
  <c r="X68" i="16" s="1"/>
  <c r="AY78" i="2"/>
  <c r="L78" i="16" s="1"/>
  <c r="X78" i="16" s="1"/>
  <c r="L69" i="10"/>
  <c r="L68" i="10"/>
  <c r="BD85" i="2"/>
  <c r="BD97" i="2" s="1"/>
  <c r="G73" i="14"/>
  <c r="O73" i="14" s="1"/>
  <c r="G73" i="6"/>
  <c r="H73" i="8"/>
  <c r="L73" i="10"/>
  <c r="AW78" i="2"/>
  <c r="AW90" i="2" s="1"/>
  <c r="J66" i="16"/>
  <c r="V66" i="16" s="1"/>
  <c r="L62" i="10"/>
  <c r="AW82" i="2"/>
  <c r="J82" i="16" s="1"/>
  <c r="V82" i="16" s="1"/>
  <c r="J70" i="16"/>
  <c r="V70" i="16" s="1"/>
  <c r="J69" i="16"/>
  <c r="V69" i="16" s="1"/>
  <c r="J69" i="10"/>
  <c r="I63" i="16"/>
  <c r="U63" i="16" s="1"/>
  <c r="L84" i="10"/>
  <c r="AY96" i="2"/>
  <c r="L96" i="16" s="1"/>
  <c r="X96" i="16" s="1"/>
  <c r="L70" i="10"/>
  <c r="AY82" i="2"/>
  <c r="L82" i="16" s="1"/>
  <c r="X82" i="16" s="1"/>
  <c r="AZ80" i="2"/>
  <c r="M80" i="16" s="1"/>
  <c r="Y80" i="16" s="1"/>
  <c r="M68" i="16"/>
  <c r="Y68" i="16" s="1"/>
  <c r="M80" i="10"/>
  <c r="AZ92" i="2"/>
  <c r="M92" i="10" s="1"/>
  <c r="AY94" i="2"/>
  <c r="L94" i="16" s="1"/>
  <c r="X94" i="16" s="1"/>
  <c r="J78" i="16"/>
  <c r="V78" i="16" s="1"/>
  <c r="J78" i="10"/>
  <c r="J82" i="10"/>
  <c r="AW94" i="2"/>
  <c r="J94" i="10" s="1"/>
  <c r="H85" i="15"/>
  <c r="Q85" i="15" s="1"/>
  <c r="H85" i="8"/>
  <c r="G85" i="14"/>
  <c r="O85" i="14" s="1"/>
  <c r="G85" i="6"/>
  <c r="R85" i="6" s="1"/>
  <c r="J94" i="16"/>
  <c r="V94" i="16" s="1"/>
  <c r="M92" i="16"/>
  <c r="Y92" i="16" s="1"/>
  <c r="B15" i="21" l="1"/>
  <c r="C35" i="24"/>
  <c r="L12" i="21"/>
  <c r="L18" i="21" s="1"/>
  <c r="AJ6" i="19"/>
  <c r="R7" i="20"/>
  <c r="S7" i="20" s="1"/>
  <c r="AB11" i="19"/>
  <c r="R12" i="20"/>
  <c r="AJ12" i="19"/>
  <c r="AJ5" i="19"/>
  <c r="AF5" i="19"/>
  <c r="AJ9" i="19"/>
  <c r="AJ13" i="19"/>
  <c r="AJ8" i="19"/>
  <c r="M6" i="20"/>
  <c r="R11" i="20"/>
  <c r="S11" i="20" s="1"/>
  <c r="D8" i="24"/>
  <c r="AJ11" i="19"/>
  <c r="H6" i="20"/>
  <c r="AN9" i="19"/>
  <c r="T27" i="8"/>
  <c r="T53" i="8"/>
  <c r="T21" i="8"/>
  <c r="T44" i="8"/>
  <c r="T12" i="8"/>
  <c r="T80" i="8"/>
  <c r="T51" i="8"/>
  <c r="T87" i="8"/>
  <c r="T28" i="8"/>
  <c r="T17" i="8"/>
  <c r="T6" i="8"/>
  <c r="T7" i="8"/>
  <c r="T37" i="8"/>
  <c r="T32" i="8"/>
  <c r="T94" i="8"/>
  <c r="T36" i="8"/>
  <c r="T77" i="8"/>
  <c r="T16" i="8"/>
  <c r="T13" i="8"/>
  <c r="T19" i="8"/>
  <c r="T2" i="8"/>
  <c r="Z13" i="10"/>
  <c r="Z42" i="10"/>
  <c r="Z22" i="10"/>
  <c r="Z37" i="10"/>
  <c r="Z84" i="10"/>
  <c r="Z36" i="10"/>
  <c r="Z14" i="10"/>
  <c r="Z60" i="10"/>
  <c r="Z32" i="10"/>
  <c r="Z48" i="10"/>
  <c r="Z30" i="10"/>
  <c r="Z72" i="10"/>
  <c r="Z29" i="10"/>
  <c r="Z54" i="10"/>
  <c r="Z70" i="10"/>
  <c r="Z21" i="10"/>
  <c r="P8" i="18"/>
  <c r="P9" i="18"/>
  <c r="O26" i="3"/>
  <c r="D11" i="14" s="1"/>
  <c r="L11" i="14" s="1"/>
  <c r="AF13" i="19"/>
  <c r="I7" i="24" s="1"/>
  <c r="J26" i="3"/>
  <c r="D6" i="14" s="1"/>
  <c r="L6" i="14" s="1"/>
  <c r="K21" i="25"/>
  <c r="L45" i="25"/>
  <c r="Q26" i="3"/>
  <c r="G80" i="3" s="1"/>
  <c r="D13" i="15" s="1"/>
  <c r="M13" i="15" s="1"/>
  <c r="H16" i="20"/>
  <c r="H6" i="24"/>
  <c r="H9" i="24"/>
  <c r="AN13" i="19"/>
  <c r="H7" i="18"/>
  <c r="G6" i="24"/>
  <c r="H10" i="20"/>
  <c r="I10" i="20" s="1"/>
  <c r="P10" i="18"/>
  <c r="P11" i="18"/>
  <c r="N18" i="20"/>
  <c r="M18" i="20" s="1"/>
  <c r="H8" i="20"/>
  <c r="I8" i="20" s="1"/>
  <c r="L11" i="18"/>
  <c r="AF11" i="19"/>
  <c r="M11" i="20"/>
  <c r="N11" i="20" s="1"/>
  <c r="N5" i="20"/>
  <c r="E44" i="24"/>
  <c r="O13" i="18"/>
  <c r="I44" i="24" s="1"/>
  <c r="S5" i="20"/>
  <c r="S12" i="20"/>
  <c r="S16" i="20" s="1"/>
  <c r="E43" i="24"/>
  <c r="E48" i="24" s="1"/>
  <c r="H11" i="18"/>
  <c r="D9" i="18"/>
  <c r="G26" i="3"/>
  <c r="G70" i="3" s="1"/>
  <c r="E3" i="16" s="1"/>
  <c r="K26" i="3"/>
  <c r="D7" i="14" s="1"/>
  <c r="L7" i="14" s="1"/>
  <c r="N26" i="3"/>
  <c r="G77" i="3" s="1"/>
  <c r="E10" i="16" s="1"/>
  <c r="E22" i="16" s="1"/>
  <c r="E34" i="16" s="1"/>
  <c r="O58" i="3"/>
  <c r="E11" i="14" s="1"/>
  <c r="M11" i="14" s="1"/>
  <c r="R49" i="6"/>
  <c r="R71" i="6"/>
  <c r="R27" i="6"/>
  <c r="R12" i="6"/>
  <c r="D4" i="13" s="1"/>
  <c r="R50" i="6"/>
  <c r="R70" i="6"/>
  <c r="R16" i="6"/>
  <c r="R18" i="6"/>
  <c r="R87" i="6"/>
  <c r="R53" i="6"/>
  <c r="R73" i="6"/>
  <c r="R45" i="6"/>
  <c r="R21" i="6"/>
  <c r="R44" i="6"/>
  <c r="R25" i="6"/>
  <c r="R74" i="6"/>
  <c r="R84" i="6"/>
  <c r="R83" i="6"/>
  <c r="R54" i="6"/>
  <c r="R60" i="6"/>
  <c r="R4" i="6"/>
  <c r="J90" i="16"/>
  <c r="J102" i="16" s="1"/>
  <c r="J90" i="10"/>
  <c r="Q73" i="15"/>
  <c r="H121" i="15"/>
  <c r="Q121" i="15" s="1"/>
  <c r="G97" i="6"/>
  <c r="R97" i="6" s="1"/>
  <c r="H97" i="15"/>
  <c r="Q97" i="15" s="1"/>
  <c r="H97" i="8"/>
  <c r="G97" i="14"/>
  <c r="O97" i="14" s="1"/>
  <c r="AW93" i="2"/>
  <c r="J81" i="16"/>
  <c r="V81" i="16" s="1"/>
  <c r="J81" i="10"/>
  <c r="H5" i="21"/>
  <c r="J5" i="21"/>
  <c r="O61" i="14"/>
  <c r="G109" i="14"/>
  <c r="O109" i="14" s="1"/>
  <c r="L66" i="10"/>
  <c r="Z66" i="10" s="1"/>
  <c r="H45" i="8"/>
  <c r="BD57" i="2"/>
  <c r="L49" i="10"/>
  <c r="L46" i="10"/>
  <c r="J46" i="10"/>
  <c r="H87" i="15"/>
  <c r="Q87" i="15" s="1"/>
  <c r="H95" i="15"/>
  <c r="Q95" i="15" s="1"/>
  <c r="BD90" i="2"/>
  <c r="I94" i="16"/>
  <c r="I106" i="16" s="1"/>
  <c r="I96" i="16"/>
  <c r="I89" i="16"/>
  <c r="I86" i="16"/>
  <c r="I98" i="16" s="1"/>
  <c r="T63" i="8"/>
  <c r="T65" i="8"/>
  <c r="G121" i="14"/>
  <c r="O121" i="14" s="1"/>
  <c r="L82" i="10"/>
  <c r="Z82" i="10" s="1"/>
  <c r="AY90" i="2"/>
  <c r="L96" i="10"/>
  <c r="AQ75" i="2"/>
  <c r="AY74" i="2"/>
  <c r="AY85" i="2"/>
  <c r="AY81" i="2"/>
  <c r="L56" i="10"/>
  <c r="H61" i="15"/>
  <c r="L61" i="10"/>
  <c r="H45" i="15"/>
  <c r="Q45" i="15" s="1"/>
  <c r="L58" i="10"/>
  <c r="Z58" i="10" s="1"/>
  <c r="L50" i="10"/>
  <c r="L38" i="10"/>
  <c r="H49" i="8"/>
  <c r="L44" i="10"/>
  <c r="Z44" i="10" s="1"/>
  <c r="L26" i="10"/>
  <c r="K96" i="16"/>
  <c r="W96" i="16" s="1"/>
  <c r="I92" i="16"/>
  <c r="I90" i="16"/>
  <c r="I102" i="16" s="1"/>
  <c r="I114" i="16" s="1"/>
  <c r="U114" i="16" s="1"/>
  <c r="L94" i="10"/>
  <c r="Z94" i="10" s="1"/>
  <c r="L78" i="10"/>
  <c r="Z78" i="10" s="1"/>
  <c r="AY80" i="2"/>
  <c r="T62" i="8"/>
  <c r="H28" i="15"/>
  <c r="Q28" i="15" s="1"/>
  <c r="BD40" i="2"/>
  <c r="AM93" i="2"/>
  <c r="G45" i="8"/>
  <c r="M49" i="10"/>
  <c r="R20" i="6"/>
  <c r="O95" i="15"/>
  <c r="T68" i="8"/>
  <c r="T9" i="8"/>
  <c r="T20" i="8"/>
  <c r="P59" i="15"/>
  <c r="G107" i="15"/>
  <c r="P107" i="15" s="1"/>
  <c r="I28" i="15"/>
  <c r="R28" i="15" s="1"/>
  <c r="AR40" i="2"/>
  <c r="K61" i="10"/>
  <c r="J38" i="16"/>
  <c r="V38" i="16" s="1"/>
  <c r="AW50" i="2"/>
  <c r="J44" i="16"/>
  <c r="V44" i="16" s="1"/>
  <c r="AW56" i="2"/>
  <c r="M39" i="10"/>
  <c r="M39" i="16"/>
  <c r="Y39" i="16" s="1"/>
  <c r="M45" i="10"/>
  <c r="Z45" i="10" s="1"/>
  <c r="AZ57" i="2"/>
  <c r="T74" i="8"/>
  <c r="Q92" i="14"/>
  <c r="O88" i="15"/>
  <c r="T5" i="8"/>
  <c r="F77" i="6"/>
  <c r="R77" i="6" s="1"/>
  <c r="F77" i="14"/>
  <c r="N77" i="14" s="1"/>
  <c r="G69" i="15"/>
  <c r="G69" i="8"/>
  <c r="P61" i="15"/>
  <c r="G109" i="15"/>
  <c r="P109" i="15" s="1"/>
  <c r="N53" i="14"/>
  <c r="F101" i="14"/>
  <c r="N101" i="14" s="1"/>
  <c r="I35" i="15"/>
  <c r="R35" i="15" s="1"/>
  <c r="AR47" i="2"/>
  <c r="N52" i="14"/>
  <c r="F100" i="14"/>
  <c r="N100" i="14" s="1"/>
  <c r="E51" i="25"/>
  <c r="C52" i="25"/>
  <c r="AX39" i="2"/>
  <c r="K27" i="10"/>
  <c r="BA52" i="2"/>
  <c r="J40" i="8"/>
  <c r="I30" i="8"/>
  <c r="I30" i="15"/>
  <c r="R30" i="15" s="1"/>
  <c r="AR42" i="2"/>
  <c r="J43" i="16"/>
  <c r="V43" i="16" s="1"/>
  <c r="AW55" i="2"/>
  <c r="AX59" i="2"/>
  <c r="K47" i="10"/>
  <c r="I43" i="10"/>
  <c r="I43" i="16"/>
  <c r="U43" i="16" s="1"/>
  <c r="AQ55" i="2"/>
  <c r="AM91" i="2"/>
  <c r="F43" i="6"/>
  <c r="R43" i="6" s="1"/>
  <c r="M47" i="10"/>
  <c r="O92" i="15"/>
  <c r="T25" i="8"/>
  <c r="T11" i="8"/>
  <c r="T46" i="8"/>
  <c r="T50" i="8"/>
  <c r="R17" i="6"/>
  <c r="P50" i="15"/>
  <c r="G98" i="15"/>
  <c r="P98" i="15" s="1"/>
  <c r="F75" i="6"/>
  <c r="R75" i="6" s="1"/>
  <c r="G75" i="8"/>
  <c r="T75" i="8" s="1"/>
  <c r="G67" i="8"/>
  <c r="G67" i="15"/>
  <c r="P55" i="15"/>
  <c r="G103" i="15"/>
  <c r="P103" i="15" s="1"/>
  <c r="BA49" i="2"/>
  <c r="J37" i="15"/>
  <c r="S37" i="15" s="1"/>
  <c r="K34" i="10"/>
  <c r="Z34" i="10" s="1"/>
  <c r="K34" i="16"/>
  <c r="W34" i="16" s="1"/>
  <c r="I33" i="8"/>
  <c r="T33" i="8" s="1"/>
  <c r="I33" i="15"/>
  <c r="R33" i="15" s="1"/>
  <c r="AR43" i="2"/>
  <c r="I31" i="8"/>
  <c r="AX38" i="2"/>
  <c r="K26" i="10"/>
  <c r="G24" i="6"/>
  <c r="R24" i="6" s="1"/>
  <c r="H24" i="8"/>
  <c r="T24" i="8" s="1"/>
  <c r="G72" i="8"/>
  <c r="T72" i="8" s="1"/>
  <c r="G72" i="15"/>
  <c r="AN11" i="19"/>
  <c r="F9" i="24"/>
  <c r="M46" i="10"/>
  <c r="M46" i="16"/>
  <c r="Y46" i="16" s="1"/>
  <c r="I49" i="10"/>
  <c r="I49" i="16"/>
  <c r="U49" i="16" s="1"/>
  <c r="AQ61" i="2"/>
  <c r="J41" i="16"/>
  <c r="V41" i="16" s="1"/>
  <c r="AW53" i="2"/>
  <c r="I47" i="10"/>
  <c r="AQ59" i="2"/>
  <c r="O91" i="15"/>
  <c r="T70" i="8"/>
  <c r="T23" i="8"/>
  <c r="R29" i="6"/>
  <c r="Q90" i="14"/>
  <c r="T15" i="8"/>
  <c r="T38" i="8"/>
  <c r="N57" i="14"/>
  <c r="F105" i="14"/>
  <c r="N105" i="14" s="1"/>
  <c r="T86" i="8"/>
  <c r="T82" i="8"/>
  <c r="D6" i="24"/>
  <c r="H9" i="20"/>
  <c r="I9" i="20" s="1"/>
  <c r="T3" i="8"/>
  <c r="AE9" i="19"/>
  <c r="AI10" i="19"/>
  <c r="K12" i="19"/>
  <c r="G4" i="24" s="1"/>
  <c r="O6" i="20"/>
  <c r="N6" i="20" s="1"/>
  <c r="O8" i="20"/>
  <c r="O10" i="20"/>
  <c r="G4" i="18"/>
  <c r="H5" i="18" s="1"/>
  <c r="C7" i="18"/>
  <c r="C11" i="18"/>
  <c r="T6" i="20"/>
  <c r="S6" i="20" s="1"/>
  <c r="T10" i="20"/>
  <c r="G31" i="8"/>
  <c r="G23" i="14"/>
  <c r="O23" i="14" s="1"/>
  <c r="G8" i="6"/>
  <c r="R8" i="6" s="1"/>
  <c r="F98" i="14"/>
  <c r="N98" i="14" s="1"/>
  <c r="F118" i="14"/>
  <c r="N118" i="14" s="1"/>
  <c r="G29" i="15"/>
  <c r="P29" i="15" s="1"/>
  <c r="G4" i="14"/>
  <c r="O4" i="14" s="1"/>
  <c r="G13" i="14"/>
  <c r="O13" i="14" s="1"/>
  <c r="T96" i="8"/>
  <c r="T92" i="8"/>
  <c r="D14" i="8"/>
  <c r="T14" i="8" s="1"/>
  <c r="I9" i="6"/>
  <c r="R9" i="6" s="1"/>
  <c r="T22" i="8"/>
  <c r="K15" i="10"/>
  <c r="Z15" i="10" s="1"/>
  <c r="O4" i="18"/>
  <c r="P5" i="18" s="1"/>
  <c r="AA7" i="19"/>
  <c r="K5" i="18"/>
  <c r="L5" i="18" s="1"/>
  <c r="J19" i="10"/>
  <c r="G23" i="6"/>
  <c r="R23" i="6" s="1"/>
  <c r="AY27" i="2"/>
  <c r="AY28" i="2"/>
  <c r="AF7" i="19"/>
  <c r="T34" i="8"/>
  <c r="L29" i="16"/>
  <c r="X29" i="16" s="1"/>
  <c r="AY41" i="2"/>
  <c r="G29" i="8"/>
  <c r="T29" i="8" s="1"/>
  <c r="T56" i="8"/>
  <c r="T30" i="8"/>
  <c r="T84" i="8"/>
  <c r="T26" i="8"/>
  <c r="G9" i="10"/>
  <c r="Z9" i="10" s="1"/>
  <c r="G5" i="10"/>
  <c r="Z5" i="10" s="1"/>
  <c r="O6" i="18"/>
  <c r="J11" i="20"/>
  <c r="J14" i="16"/>
  <c r="V14" i="16" s="1"/>
  <c r="I56" i="15"/>
  <c r="T48" i="8"/>
  <c r="T10" i="8"/>
  <c r="H99" i="14"/>
  <c r="G106" i="15"/>
  <c r="P106" i="15" s="1"/>
  <c r="K6" i="19"/>
  <c r="E6" i="20"/>
  <c r="G8" i="18"/>
  <c r="S10" i="18"/>
  <c r="F45" i="24" s="1"/>
  <c r="F48" i="24" s="1"/>
  <c r="K5" i="19"/>
  <c r="AM6" i="19"/>
  <c r="AN6" i="19" s="1"/>
  <c r="C9" i="19"/>
  <c r="D3" i="24" s="1"/>
  <c r="H4" i="8"/>
  <c r="T4" i="8" s="1"/>
  <c r="AM41" i="2"/>
  <c r="T8" i="8"/>
  <c r="T18" i="8"/>
  <c r="J6" i="20"/>
  <c r="L19" i="16"/>
  <c r="X19" i="16" s="1"/>
  <c r="AY31" i="2"/>
  <c r="L19" i="10"/>
  <c r="I20" i="16"/>
  <c r="U20" i="16" s="1"/>
  <c r="L20" i="10"/>
  <c r="Z20" i="10" s="1"/>
  <c r="AY35" i="2"/>
  <c r="L25" i="10"/>
  <c r="Z25" i="10" s="1"/>
  <c r="Z6" i="10"/>
  <c r="Z8" i="10"/>
  <c r="L17" i="10"/>
  <c r="Z17" i="10" s="1"/>
  <c r="Z2" i="10"/>
  <c r="Z3" i="10"/>
  <c r="Z4" i="10"/>
  <c r="D96" i="10"/>
  <c r="Z96" i="10" s="1"/>
  <c r="H58" i="3"/>
  <c r="H71" i="3" s="1"/>
  <c r="W94" i="16"/>
  <c r="U88" i="16"/>
  <c r="W88" i="16"/>
  <c r="K101" i="16"/>
  <c r="K113" i="16" s="1"/>
  <c r="W113" i="16" s="1"/>
  <c r="M99" i="16"/>
  <c r="Y99" i="16" s="1"/>
  <c r="Y87" i="16"/>
  <c r="M108" i="16"/>
  <c r="Y96" i="16"/>
  <c r="S89" i="16"/>
  <c r="M104" i="16"/>
  <c r="S106" i="16"/>
  <c r="S101" i="16"/>
  <c r="S104" i="16"/>
  <c r="S88" i="16"/>
  <c r="I56" i="3"/>
  <c r="U93" i="16"/>
  <c r="S90" i="16"/>
  <c r="W103" i="16"/>
  <c r="K105" i="16"/>
  <c r="K117" i="16" s="1"/>
  <c r="W117" i="16" s="1"/>
  <c r="S97" i="16"/>
  <c r="S96" i="16"/>
  <c r="S120" i="16"/>
  <c r="S108" i="16"/>
  <c r="J121" i="16"/>
  <c r="V121" i="16" s="1"/>
  <c r="V109" i="16"/>
  <c r="V108" i="16"/>
  <c r="J120" i="16"/>
  <c r="V120" i="16" s="1"/>
  <c r="V97" i="16"/>
  <c r="M101" i="16"/>
  <c r="Y101" i="16" s="1"/>
  <c r="S105" i="16"/>
  <c r="S95" i="16"/>
  <c r="S93" i="16"/>
  <c r="U94" i="16"/>
  <c r="W97" i="16"/>
  <c r="W105" i="16"/>
  <c r="W100" i="16"/>
  <c r="M106" i="16"/>
  <c r="Y106" i="16" s="1"/>
  <c r="M102" i="16"/>
  <c r="Y102" i="16" s="1"/>
  <c r="S100" i="16"/>
  <c r="V95" i="16"/>
  <c r="K108" i="16"/>
  <c r="W108" i="16" s="1"/>
  <c r="U105" i="16"/>
  <c r="U90" i="16"/>
  <c r="K104" i="16"/>
  <c r="W104" i="16" s="1"/>
  <c r="K121" i="16"/>
  <c r="W121" i="16" s="1"/>
  <c r="W109" i="16"/>
  <c r="I118" i="16"/>
  <c r="U118" i="16" s="1"/>
  <c r="U106" i="16"/>
  <c r="V102" i="16"/>
  <c r="J114" i="16"/>
  <c r="V114" i="16" s="1"/>
  <c r="V107" i="16"/>
  <c r="J119" i="16"/>
  <c r="V119" i="16" s="1"/>
  <c r="I110" i="16"/>
  <c r="U110" i="16" s="1"/>
  <c r="U98" i="16"/>
  <c r="J111" i="16"/>
  <c r="V111" i="16" s="1"/>
  <c r="U86" i="16"/>
  <c r="M109" i="16"/>
  <c r="Y109" i="16" s="1"/>
  <c r="M107" i="16"/>
  <c r="Y107" i="16" s="1"/>
  <c r="M98" i="16"/>
  <c r="Y98" i="16" s="1"/>
  <c r="S107" i="16"/>
  <c r="S87" i="16"/>
  <c r="F24" i="3"/>
  <c r="V90" i="16"/>
  <c r="J106" i="16"/>
  <c r="J118" i="16" s="1"/>
  <c r="V118" i="16" s="1"/>
  <c r="U100" i="16"/>
  <c r="S110" i="16"/>
  <c r="S98" i="16"/>
  <c r="M103" i="16"/>
  <c r="Y103" i="16" s="1"/>
  <c r="W102" i="16"/>
  <c r="M113" i="16"/>
  <c r="Y113" i="16" s="1"/>
  <c r="W90" i="16"/>
  <c r="J100" i="16"/>
  <c r="H101" i="16"/>
  <c r="T100" i="16"/>
  <c r="U102" i="16"/>
  <c r="M100" i="16"/>
  <c r="Y100" i="16" s="1"/>
  <c r="S99" i="16"/>
  <c r="S111" i="16"/>
  <c r="G25" i="3"/>
  <c r="L70" i="3" s="1"/>
  <c r="K27" i="3"/>
  <c r="J24" i="3"/>
  <c r="O57" i="3"/>
  <c r="M78" i="3" s="1"/>
  <c r="H24" i="3"/>
  <c r="L25" i="3"/>
  <c r="L75" i="3" s="1"/>
  <c r="K56" i="3"/>
  <c r="O59" i="3"/>
  <c r="G58" i="3"/>
  <c r="K58" i="3"/>
  <c r="E7" i="14" s="1"/>
  <c r="M7" i="14" s="1"/>
  <c r="F59" i="3"/>
  <c r="J57" i="3"/>
  <c r="M73" i="3" s="1"/>
  <c r="L24" i="3"/>
  <c r="H25" i="3"/>
  <c r="L71" i="3" s="1"/>
  <c r="D29" i="24"/>
  <c r="O56" i="3"/>
  <c r="M25" i="3"/>
  <c r="L76" i="3" s="1"/>
  <c r="I26" i="3"/>
  <c r="D5" i="14" s="1"/>
  <c r="L5" i="14" s="1"/>
  <c r="G27" i="3"/>
  <c r="K24" i="3"/>
  <c r="O27" i="3"/>
  <c r="F25" i="3"/>
  <c r="L69" i="3" s="1"/>
  <c r="J25" i="3"/>
  <c r="L73" i="3" s="1"/>
  <c r="N25" i="3"/>
  <c r="L77" i="3" s="1"/>
  <c r="M26" i="3"/>
  <c r="G76" i="3" s="1"/>
  <c r="Q59" i="3"/>
  <c r="G24" i="3"/>
  <c r="Q24" i="3"/>
  <c r="K59" i="3"/>
  <c r="F58" i="3"/>
  <c r="E2" i="14" s="1"/>
  <c r="M2" i="14" s="1"/>
  <c r="K25" i="3"/>
  <c r="L74" i="3" s="1"/>
  <c r="N24" i="3"/>
  <c r="O24" i="3"/>
  <c r="K57" i="3"/>
  <c r="M74" i="3" s="1"/>
  <c r="O25" i="3"/>
  <c r="L78" i="3" s="1"/>
  <c r="J27" i="3"/>
  <c r="N27" i="3"/>
  <c r="N58" i="3"/>
  <c r="H77" i="3" s="1"/>
  <c r="G29" i="24"/>
  <c r="H59" i="3"/>
  <c r="H27" i="3"/>
  <c r="L27" i="3"/>
  <c r="F26" i="3"/>
  <c r="Q27" i="3"/>
  <c r="I27" i="3"/>
  <c r="I24" i="3"/>
  <c r="M27" i="3"/>
  <c r="P27" i="3"/>
  <c r="P25" i="3"/>
  <c r="L79" i="3" s="1"/>
  <c r="M24" i="3"/>
  <c r="Q25" i="3"/>
  <c r="L80" i="3" s="1"/>
  <c r="I25" i="3"/>
  <c r="L72" i="3" s="1"/>
  <c r="P24" i="3"/>
  <c r="M59" i="3"/>
  <c r="F27" i="3"/>
  <c r="L26" i="3"/>
  <c r="J58" i="3"/>
  <c r="P58" i="3"/>
  <c r="P59" i="3"/>
  <c r="P57" i="3"/>
  <c r="M79" i="3" s="1"/>
  <c r="P56" i="3"/>
  <c r="L56" i="3"/>
  <c r="L59" i="3"/>
  <c r="L57" i="3"/>
  <c r="M75" i="3" s="1"/>
  <c r="F56" i="3"/>
  <c r="F57" i="3"/>
  <c r="M69" i="3" s="1"/>
  <c r="J59" i="3"/>
  <c r="J56" i="3"/>
  <c r="N59" i="3"/>
  <c r="N57" i="3"/>
  <c r="M77" i="3" s="1"/>
  <c r="N56" i="3"/>
  <c r="H56" i="3"/>
  <c r="Q57" i="3"/>
  <c r="M80" i="3" s="1"/>
  <c r="Q56" i="3"/>
  <c r="Q58" i="3"/>
  <c r="I58" i="3"/>
  <c r="I59" i="3"/>
  <c r="G59" i="3"/>
  <c r="G56" i="3"/>
  <c r="G57" i="3"/>
  <c r="M70" i="3" s="1"/>
  <c r="H57" i="3"/>
  <c r="M71" i="3" s="1"/>
  <c r="H26" i="3"/>
  <c r="I57" i="3"/>
  <c r="M72" i="3" s="1"/>
  <c r="L58" i="3"/>
  <c r="P26" i="3"/>
  <c r="M56" i="3"/>
  <c r="M58" i="3"/>
  <c r="M57" i="3"/>
  <c r="M76" i="3" s="1"/>
  <c r="C13" i="21" l="1"/>
  <c r="C12" i="21"/>
  <c r="C11" i="21"/>
  <c r="D6" i="13"/>
  <c r="R16" i="20"/>
  <c r="H8" i="24"/>
  <c r="I6" i="20"/>
  <c r="R17" i="20"/>
  <c r="AJ14" i="19"/>
  <c r="I8" i="24"/>
  <c r="I4" i="13"/>
  <c r="T31" i="8"/>
  <c r="I6" i="13" s="1"/>
  <c r="N4" i="13"/>
  <c r="Z49" i="10"/>
  <c r="Z26" i="10"/>
  <c r="G78" i="3"/>
  <c r="D11" i="15" s="1"/>
  <c r="M11" i="15" s="1"/>
  <c r="AF14" i="19"/>
  <c r="J7" i="24" s="1"/>
  <c r="G73" i="3"/>
  <c r="D6" i="15" s="1"/>
  <c r="M6" i="15" s="1"/>
  <c r="D18" i="14"/>
  <c r="L18" i="14" s="1"/>
  <c r="K45" i="25"/>
  <c r="D25" i="15"/>
  <c r="M25" i="15" s="1"/>
  <c r="D13" i="14"/>
  <c r="L13" i="14" s="1"/>
  <c r="E13" i="16"/>
  <c r="Q13" i="16" s="1"/>
  <c r="L33" i="25"/>
  <c r="K33" i="25"/>
  <c r="AN14" i="19"/>
  <c r="J9" i="24" s="1"/>
  <c r="C20" i="24" s="1"/>
  <c r="E20" i="24" s="1"/>
  <c r="I9" i="24"/>
  <c r="G74" i="3"/>
  <c r="E7" i="16" s="1"/>
  <c r="Q7" i="16" s="1"/>
  <c r="T16" i="20"/>
  <c r="H28" i="24" s="1"/>
  <c r="S17" i="20"/>
  <c r="D3" i="15"/>
  <c r="M3" i="15" s="1"/>
  <c r="D3" i="14"/>
  <c r="L3" i="14" s="1"/>
  <c r="Q10" i="16"/>
  <c r="Q22" i="16"/>
  <c r="E23" i="14"/>
  <c r="M23" i="14" s="1"/>
  <c r="D10" i="15"/>
  <c r="M10" i="15" s="1"/>
  <c r="H78" i="3"/>
  <c r="E11" i="15" s="1"/>
  <c r="N11" i="15" s="1"/>
  <c r="D10" i="14"/>
  <c r="L10" i="14" s="1"/>
  <c r="E4" i="14"/>
  <c r="M4" i="14" s="1"/>
  <c r="D5" i="13"/>
  <c r="I5" i="13"/>
  <c r="H8" i="18"/>
  <c r="D42" i="24"/>
  <c r="D48" i="24" s="1"/>
  <c r="H9" i="18"/>
  <c r="P99" i="14"/>
  <c r="H100" i="14"/>
  <c r="E28" i="24"/>
  <c r="Q102" i="14"/>
  <c r="Q114" i="14"/>
  <c r="I59" i="10"/>
  <c r="AQ71" i="2"/>
  <c r="I59" i="16"/>
  <c r="U59" i="16" s="1"/>
  <c r="I61" i="10"/>
  <c r="Z61" i="10" s="1"/>
  <c r="I61" i="16"/>
  <c r="U61" i="16" s="1"/>
  <c r="AQ73" i="2"/>
  <c r="P72" i="15"/>
  <c r="G120" i="15"/>
  <c r="P120" i="15" s="1"/>
  <c r="P67" i="15"/>
  <c r="G115" i="15"/>
  <c r="P115" i="15" s="1"/>
  <c r="O104" i="15"/>
  <c r="O116" i="15"/>
  <c r="D49" i="25"/>
  <c r="D52" i="25"/>
  <c r="D50" i="25"/>
  <c r="D51" i="25"/>
  <c r="P69" i="15"/>
  <c r="G117" i="15"/>
  <c r="P117" i="15" s="1"/>
  <c r="I40" i="15"/>
  <c r="R40" i="15" s="1"/>
  <c r="AR52" i="2"/>
  <c r="I40" i="8"/>
  <c r="Q61" i="15"/>
  <c r="H109" i="15"/>
  <c r="Q109" i="15" s="1"/>
  <c r="L74" i="16"/>
  <c r="X74" i="16" s="1"/>
  <c r="AY86" i="2"/>
  <c r="L74" i="10"/>
  <c r="H6" i="21"/>
  <c r="J6" i="21"/>
  <c r="F7" i="21"/>
  <c r="L6" i="18"/>
  <c r="F26" i="24"/>
  <c r="F29" i="24" s="1"/>
  <c r="I11" i="20"/>
  <c r="Z19" i="10"/>
  <c r="N5" i="13" s="1"/>
  <c r="E27" i="24"/>
  <c r="N10" i="20"/>
  <c r="E8" i="24"/>
  <c r="AJ10" i="19"/>
  <c r="R10" i="20"/>
  <c r="S10" i="20" s="1"/>
  <c r="K38" i="10"/>
  <c r="Z38" i="10" s="1"/>
  <c r="K38" i="16"/>
  <c r="W38" i="16" s="1"/>
  <c r="AX50" i="2"/>
  <c r="BA61" i="2"/>
  <c r="J49" i="8"/>
  <c r="T49" i="8" s="1"/>
  <c r="J49" i="15"/>
  <c r="S49" i="15" s="1"/>
  <c r="F91" i="6"/>
  <c r="R91" i="6" s="1"/>
  <c r="G91" i="15"/>
  <c r="P91" i="15" s="1"/>
  <c r="F91" i="14"/>
  <c r="N91" i="14" s="1"/>
  <c r="G91" i="8"/>
  <c r="I42" i="8"/>
  <c r="T42" i="8" s="1"/>
  <c r="I42" i="15"/>
  <c r="R42" i="15" s="1"/>
  <c r="AR54" i="2"/>
  <c r="BA64" i="2"/>
  <c r="J52" i="15"/>
  <c r="J52" i="8"/>
  <c r="E52" i="25"/>
  <c r="F51" i="25" s="1"/>
  <c r="I47" i="15"/>
  <c r="R47" i="15" s="1"/>
  <c r="I47" i="8"/>
  <c r="T47" i="8" s="1"/>
  <c r="AR59" i="2"/>
  <c r="O100" i="15"/>
  <c r="O112" i="15"/>
  <c r="J50" i="10"/>
  <c r="AW62" i="2"/>
  <c r="J50" i="16"/>
  <c r="V50" i="16" s="1"/>
  <c r="O107" i="15"/>
  <c r="O119" i="15"/>
  <c r="T45" i="8"/>
  <c r="L80" i="16"/>
  <c r="X80" i="16" s="1"/>
  <c r="L80" i="10"/>
  <c r="AY92" i="2"/>
  <c r="I104" i="16"/>
  <c r="U92" i="16"/>
  <c r="I75" i="10"/>
  <c r="I75" i="16"/>
  <c r="U75" i="16" s="1"/>
  <c r="AQ87" i="2"/>
  <c r="Z46" i="10"/>
  <c r="H57" i="8"/>
  <c r="T57" i="8" s="1"/>
  <c r="BD69" i="2"/>
  <c r="H57" i="15"/>
  <c r="G57" i="6"/>
  <c r="R57" i="6" s="1"/>
  <c r="G57" i="14"/>
  <c r="AM89" i="2"/>
  <c r="G41" i="8"/>
  <c r="T41" i="8" s="1"/>
  <c r="F41" i="14"/>
  <c r="N41" i="14" s="1"/>
  <c r="G41" i="15"/>
  <c r="P41" i="15" s="1"/>
  <c r="F41" i="6"/>
  <c r="R41" i="6" s="1"/>
  <c r="P6" i="18"/>
  <c r="P7" i="18"/>
  <c r="L41" i="16"/>
  <c r="X41" i="16" s="1"/>
  <c r="AY53" i="2"/>
  <c r="L41" i="10"/>
  <c r="Z41" i="10" s="1"/>
  <c r="L28" i="16"/>
  <c r="X28" i="16" s="1"/>
  <c r="L28" i="10"/>
  <c r="Z28" i="10" s="1"/>
  <c r="AY40" i="2"/>
  <c r="G41" i="24"/>
  <c r="G48" i="24" s="1"/>
  <c r="D11" i="18"/>
  <c r="C27" i="24"/>
  <c r="C29" i="24" s="1"/>
  <c r="N8" i="20"/>
  <c r="M9" i="20"/>
  <c r="N9" i="20" s="1"/>
  <c r="AF9" i="19"/>
  <c r="D7" i="24"/>
  <c r="O103" i="15"/>
  <c r="O115" i="15"/>
  <c r="AW65" i="2"/>
  <c r="J53" i="16"/>
  <c r="V53" i="16" s="1"/>
  <c r="J53" i="10"/>
  <c r="I55" i="10"/>
  <c r="AQ67" i="2"/>
  <c r="I55" i="16"/>
  <c r="U55" i="16" s="1"/>
  <c r="K59" i="16"/>
  <c r="W59" i="16" s="1"/>
  <c r="AX71" i="2"/>
  <c r="K59" i="10"/>
  <c r="F93" i="14"/>
  <c r="N93" i="14" s="1"/>
  <c r="G93" i="8"/>
  <c r="G93" i="15"/>
  <c r="P93" i="15" s="1"/>
  <c r="F93" i="6"/>
  <c r="L81" i="16"/>
  <c r="X81" i="16" s="1"/>
  <c r="L81" i="10"/>
  <c r="AY93" i="2"/>
  <c r="I101" i="16"/>
  <c r="U89" i="16"/>
  <c r="G90" i="14"/>
  <c r="O90" i="14" s="1"/>
  <c r="G90" i="6"/>
  <c r="R90" i="6" s="1"/>
  <c r="H90" i="15"/>
  <c r="Q90" i="15" s="1"/>
  <c r="H90" i="8"/>
  <c r="L35" i="16"/>
  <c r="X35" i="16" s="1"/>
  <c r="L35" i="10"/>
  <c r="Z35" i="10" s="1"/>
  <c r="AY47" i="2"/>
  <c r="L31" i="16"/>
  <c r="X31" i="16" s="1"/>
  <c r="L31" i="10"/>
  <c r="Z31" i="10" s="1"/>
  <c r="AY43" i="2"/>
  <c r="R56" i="15"/>
  <c r="I104" i="15"/>
  <c r="R104" i="15" s="1"/>
  <c r="L27" i="16"/>
  <c r="X27" i="16" s="1"/>
  <c r="L27" i="10"/>
  <c r="Z27" i="10" s="1"/>
  <c r="AY39" i="2"/>
  <c r="AB7" i="19"/>
  <c r="H7" i="20"/>
  <c r="I7" i="20" s="1"/>
  <c r="C41" i="24"/>
  <c r="C48" i="24" s="1"/>
  <c r="D8" i="18"/>
  <c r="D7" i="18"/>
  <c r="AR55" i="2"/>
  <c r="I43" i="8"/>
  <c r="T43" i="8" s="1"/>
  <c r="I43" i="15"/>
  <c r="R43" i="15" s="1"/>
  <c r="AW67" i="2"/>
  <c r="J55" i="16"/>
  <c r="V55" i="16" s="1"/>
  <c r="J55" i="10"/>
  <c r="K39" i="10"/>
  <c r="AX51" i="2"/>
  <c r="K39" i="16"/>
  <c r="W39" i="16" s="1"/>
  <c r="Q104" i="14"/>
  <c r="Q116" i="14"/>
  <c r="M57" i="10"/>
  <c r="Z57" i="10" s="1"/>
  <c r="M57" i="16"/>
  <c r="Y57" i="16" s="1"/>
  <c r="AZ69" i="2"/>
  <c r="AW68" i="2"/>
  <c r="J56" i="16"/>
  <c r="V56" i="16" s="1"/>
  <c r="J56" i="10"/>
  <c r="Z56" i="10" s="1"/>
  <c r="H40" i="15"/>
  <c r="Q40" i="15" s="1"/>
  <c r="BD52" i="2"/>
  <c r="H40" i="8"/>
  <c r="G40" i="6"/>
  <c r="R40" i="6" s="1"/>
  <c r="G40" i="14"/>
  <c r="O40" i="14" s="1"/>
  <c r="L85" i="16"/>
  <c r="X85" i="16" s="1"/>
  <c r="L85" i="10"/>
  <c r="AY97" i="2"/>
  <c r="L90" i="16"/>
  <c r="X90" i="16" s="1"/>
  <c r="L90" i="10"/>
  <c r="Z90" i="10" s="1"/>
  <c r="I108" i="16"/>
  <c r="U96" i="16"/>
  <c r="J93" i="16"/>
  <c r="J93" i="10"/>
  <c r="V106" i="16"/>
  <c r="M116" i="16"/>
  <c r="Y116" i="16" s="1"/>
  <c r="Y104" i="16"/>
  <c r="W101" i="16"/>
  <c r="M120" i="16"/>
  <c r="Y120" i="16" s="1"/>
  <c r="Y108" i="16"/>
  <c r="M111" i="16"/>
  <c r="Y111" i="16" s="1"/>
  <c r="K120" i="16"/>
  <c r="W120" i="16" s="1"/>
  <c r="K116" i="16"/>
  <c r="W116" i="16" s="1"/>
  <c r="M114" i="16"/>
  <c r="Y114" i="16" s="1"/>
  <c r="M118" i="16"/>
  <c r="Y118" i="16" s="1"/>
  <c r="M121" i="16"/>
  <c r="Y121" i="16" s="1"/>
  <c r="M110" i="16"/>
  <c r="Y110" i="16" s="1"/>
  <c r="M119" i="16"/>
  <c r="Y119" i="16" s="1"/>
  <c r="J112" i="16"/>
  <c r="V112" i="16" s="1"/>
  <c r="V100" i="16"/>
  <c r="H102" i="16"/>
  <c r="T101" i="16"/>
  <c r="M112" i="16"/>
  <c r="Y112" i="16" s="1"/>
  <c r="M115" i="16"/>
  <c r="Y115" i="16" s="1"/>
  <c r="H74" i="3"/>
  <c r="E7" i="15" s="1"/>
  <c r="N7" i="15" s="1"/>
  <c r="H69" i="3"/>
  <c r="F2" i="16" s="1"/>
  <c r="F14" i="16" s="1"/>
  <c r="R14" i="16" s="1"/>
  <c r="D9" i="14"/>
  <c r="L9" i="14" s="1"/>
  <c r="H70" i="3"/>
  <c r="E3" i="14"/>
  <c r="M3" i="14" s="1"/>
  <c r="E14" i="14"/>
  <c r="M14" i="14" s="1"/>
  <c r="G72" i="3"/>
  <c r="D5" i="15" s="1"/>
  <c r="M5" i="15" s="1"/>
  <c r="E10" i="14"/>
  <c r="M10" i="14" s="1"/>
  <c r="D19" i="14"/>
  <c r="L19" i="14" s="1"/>
  <c r="G69" i="3"/>
  <c r="D2" i="14"/>
  <c r="L2" i="14" s="1"/>
  <c r="E9" i="16"/>
  <c r="D9" i="15"/>
  <c r="M9" i="15" s="1"/>
  <c r="H73" i="3"/>
  <c r="E6" i="14"/>
  <c r="M6" i="14" s="1"/>
  <c r="R11" i="14"/>
  <c r="D23" i="14"/>
  <c r="L23" i="14" s="1"/>
  <c r="G75" i="3"/>
  <c r="D8" i="14"/>
  <c r="L8" i="14" s="1"/>
  <c r="E46" i="16"/>
  <c r="Q34" i="16"/>
  <c r="D17" i="14"/>
  <c r="L17" i="14" s="1"/>
  <c r="H75" i="3"/>
  <c r="E8" i="14"/>
  <c r="M8" i="14" s="1"/>
  <c r="F10" i="16"/>
  <c r="E10" i="15"/>
  <c r="N10" i="15" s="1"/>
  <c r="R7" i="14"/>
  <c r="E19" i="14"/>
  <c r="M19" i="14" s="1"/>
  <c r="D12" i="14"/>
  <c r="L12" i="14" s="1"/>
  <c r="G79" i="3"/>
  <c r="E15" i="16"/>
  <c r="Q3" i="16"/>
  <c r="E13" i="14"/>
  <c r="M13" i="14" s="1"/>
  <c r="H80" i="3"/>
  <c r="H76" i="3"/>
  <c r="E9" i="14"/>
  <c r="M9" i="14" s="1"/>
  <c r="G71" i="3"/>
  <c r="D4" i="14"/>
  <c r="L4" i="14" s="1"/>
  <c r="E5" i="14"/>
  <c r="M5" i="14" s="1"/>
  <c r="H72" i="3"/>
  <c r="H79" i="3"/>
  <c r="E12" i="14"/>
  <c r="M12" i="14" s="1"/>
  <c r="F4" i="16"/>
  <c r="E4" i="15"/>
  <c r="N4" i="15" s="1"/>
  <c r="C18" i="24" l="1"/>
  <c r="I12" i="21"/>
  <c r="I16" i="20"/>
  <c r="I17" i="20" s="1"/>
  <c r="I18" i="20" s="1"/>
  <c r="J8" i="24"/>
  <c r="C19" i="24" s="1"/>
  <c r="E19" i="24" s="1"/>
  <c r="R18" i="20"/>
  <c r="T40" i="8"/>
  <c r="I7" i="13" s="1"/>
  <c r="N6" i="13"/>
  <c r="E11" i="16"/>
  <c r="E23" i="16" s="1"/>
  <c r="E6" i="16"/>
  <c r="Q6" i="16" s="1"/>
  <c r="D25" i="14"/>
  <c r="L25" i="14" s="1"/>
  <c r="D30" i="14"/>
  <c r="L30" i="14" s="1"/>
  <c r="E25" i="16"/>
  <c r="E37" i="16" s="1"/>
  <c r="D37" i="15"/>
  <c r="M37" i="15" s="1"/>
  <c r="D22" i="14"/>
  <c r="L22" i="14" s="1"/>
  <c r="D7" i="15"/>
  <c r="D19" i="15" s="1"/>
  <c r="E19" i="16"/>
  <c r="E31" i="16" s="1"/>
  <c r="D15" i="14"/>
  <c r="L15" i="14" s="1"/>
  <c r="E35" i="14"/>
  <c r="E47" i="14" s="1"/>
  <c r="F11" i="16"/>
  <c r="R11" i="16" s="1"/>
  <c r="S18" i="20"/>
  <c r="T17" i="20"/>
  <c r="I28" i="24" s="1"/>
  <c r="D15" i="15"/>
  <c r="M15" i="15" s="1"/>
  <c r="D22" i="15"/>
  <c r="M22" i="15" s="1"/>
  <c r="E16" i="14"/>
  <c r="M16" i="14" s="1"/>
  <c r="E26" i="14"/>
  <c r="M26" i="14" s="1"/>
  <c r="J16" i="20"/>
  <c r="H26" i="24" s="1"/>
  <c r="V93" i="16"/>
  <c r="J105" i="16"/>
  <c r="M69" i="10"/>
  <c r="Z69" i="10" s="1"/>
  <c r="AZ81" i="2"/>
  <c r="M69" i="16"/>
  <c r="Y69" i="16" s="1"/>
  <c r="L39" i="16"/>
  <c r="X39" i="16" s="1"/>
  <c r="L39" i="10"/>
  <c r="Z39" i="10" s="1"/>
  <c r="AY51" i="2"/>
  <c r="L47" i="16"/>
  <c r="X47" i="16" s="1"/>
  <c r="AY59" i="2"/>
  <c r="L47" i="10"/>
  <c r="Z47" i="10" s="1"/>
  <c r="K71" i="16"/>
  <c r="W71" i="16" s="1"/>
  <c r="K71" i="10"/>
  <c r="AX83" i="2"/>
  <c r="Q57" i="15"/>
  <c r="H105" i="15"/>
  <c r="Q105" i="15" s="1"/>
  <c r="I87" i="10"/>
  <c r="I87" i="16"/>
  <c r="U104" i="16"/>
  <c r="I116" i="16"/>
  <c r="U116" i="16" s="1"/>
  <c r="J62" i="10"/>
  <c r="AW74" i="2"/>
  <c r="J62" i="16"/>
  <c r="V62" i="16" s="1"/>
  <c r="AR71" i="2"/>
  <c r="I59" i="15"/>
  <c r="I59" i="8"/>
  <c r="T59" i="8" s="1"/>
  <c r="F52" i="25"/>
  <c r="F50" i="25"/>
  <c r="I54" i="15"/>
  <c r="I54" i="8"/>
  <c r="T54" i="8" s="1"/>
  <c r="AR66" i="2"/>
  <c r="H7" i="21"/>
  <c r="H8" i="21" s="1"/>
  <c r="J7" i="21"/>
  <c r="J8" i="21" s="1"/>
  <c r="L86" i="16"/>
  <c r="X86" i="16" s="1"/>
  <c r="L86" i="10"/>
  <c r="K56" i="25"/>
  <c r="C57" i="25"/>
  <c r="F57" i="25"/>
  <c r="H56" i="25"/>
  <c r="L56" i="25"/>
  <c r="D57" i="25"/>
  <c r="G57" i="25"/>
  <c r="J57" i="25"/>
  <c r="I57" i="25"/>
  <c r="K57" i="25"/>
  <c r="E56" i="25"/>
  <c r="C56" i="25"/>
  <c r="L57" i="25"/>
  <c r="J56" i="25"/>
  <c r="J64" i="25" s="1"/>
  <c r="E57" i="25"/>
  <c r="H57" i="25"/>
  <c r="F56" i="25"/>
  <c r="D56" i="25"/>
  <c r="D64" i="25" s="1"/>
  <c r="G56" i="25"/>
  <c r="G64" i="25" s="1"/>
  <c r="I56" i="25"/>
  <c r="I73" i="10"/>
  <c r="Z73" i="10" s="1"/>
  <c r="AQ85" i="2"/>
  <c r="I73" i="16"/>
  <c r="U73" i="16" s="1"/>
  <c r="I71" i="10"/>
  <c r="AQ83" i="2"/>
  <c r="I71" i="16"/>
  <c r="U71" i="16" s="1"/>
  <c r="L97" i="16"/>
  <c r="X97" i="16" s="1"/>
  <c r="L97" i="10"/>
  <c r="L43" i="16"/>
  <c r="X43" i="16" s="1"/>
  <c r="AY55" i="2"/>
  <c r="L43" i="10"/>
  <c r="Z43" i="10" s="1"/>
  <c r="H69" i="8"/>
  <c r="T69" i="8" s="1"/>
  <c r="BD81" i="2"/>
  <c r="G69" i="6"/>
  <c r="R69" i="6" s="1"/>
  <c r="H69" i="15"/>
  <c r="G69" i="14"/>
  <c r="L92" i="16"/>
  <c r="X92" i="16" s="1"/>
  <c r="L92" i="10"/>
  <c r="J61" i="15"/>
  <c r="BA73" i="2"/>
  <c r="J61" i="8"/>
  <c r="T61" i="8" s="1"/>
  <c r="I52" i="15"/>
  <c r="AR64" i="2"/>
  <c r="I52" i="8"/>
  <c r="L81" i="25"/>
  <c r="G80" i="25"/>
  <c r="G81" i="25"/>
  <c r="I69" i="25"/>
  <c r="I80" i="25"/>
  <c r="D69" i="25"/>
  <c r="H80" i="25"/>
  <c r="D80" i="25"/>
  <c r="H81" i="25"/>
  <c r="J69" i="25"/>
  <c r="C81" i="25"/>
  <c r="E69" i="25"/>
  <c r="E80" i="25"/>
  <c r="L80" i="25"/>
  <c r="G69" i="25"/>
  <c r="D81" i="25"/>
  <c r="F69" i="25"/>
  <c r="J80" i="25"/>
  <c r="J81" i="25"/>
  <c r="L69" i="25"/>
  <c r="K69" i="25"/>
  <c r="E81" i="25"/>
  <c r="C80" i="25"/>
  <c r="K80" i="25"/>
  <c r="K81" i="25"/>
  <c r="F80" i="25"/>
  <c r="F81" i="25"/>
  <c r="H69" i="25"/>
  <c r="I81" i="25"/>
  <c r="C69" i="25"/>
  <c r="I120" i="16"/>
  <c r="U120" i="16" s="1"/>
  <c r="U108" i="16"/>
  <c r="I55" i="8"/>
  <c r="T55" i="8" s="1"/>
  <c r="AR67" i="2"/>
  <c r="I55" i="15"/>
  <c r="U101" i="16"/>
  <c r="I113" i="16"/>
  <c r="U113" i="16" s="1"/>
  <c r="O57" i="14"/>
  <c r="G105" i="14"/>
  <c r="O105" i="14" s="1"/>
  <c r="S52" i="15"/>
  <c r="J100" i="15"/>
  <c r="S100" i="15" s="1"/>
  <c r="H68" i="25"/>
  <c r="C68" i="25"/>
  <c r="I68" i="25"/>
  <c r="D68" i="25"/>
  <c r="J68" i="25"/>
  <c r="E68" i="25"/>
  <c r="K68" i="25"/>
  <c r="F68" i="25"/>
  <c r="L68" i="25"/>
  <c r="G68" i="25"/>
  <c r="P100" i="14"/>
  <c r="H101" i="14"/>
  <c r="BD64" i="2"/>
  <c r="H52" i="15"/>
  <c r="G52" i="6"/>
  <c r="R52" i="6" s="1"/>
  <c r="D8" i="13" s="1"/>
  <c r="G52" i="14"/>
  <c r="H52" i="8"/>
  <c r="AW80" i="2"/>
  <c r="J68" i="16"/>
  <c r="V68" i="16" s="1"/>
  <c r="J68" i="10"/>
  <c r="Z68" i="10" s="1"/>
  <c r="AX63" i="2"/>
  <c r="K51" i="16"/>
  <c r="W51" i="16" s="1"/>
  <c r="K51" i="10"/>
  <c r="J67" i="10"/>
  <c r="AW79" i="2"/>
  <c r="J67" i="16"/>
  <c r="V67" i="16" s="1"/>
  <c r="AB13" i="19"/>
  <c r="AB14" i="19"/>
  <c r="L93" i="16"/>
  <c r="X93" i="16" s="1"/>
  <c r="L93" i="10"/>
  <c r="I67" i="10"/>
  <c r="I67" i="16"/>
  <c r="U67" i="16" s="1"/>
  <c r="AQ79" i="2"/>
  <c r="J65" i="10"/>
  <c r="AW77" i="2"/>
  <c r="J65" i="16"/>
  <c r="V65" i="16" s="1"/>
  <c r="L40" i="16"/>
  <c r="X40" i="16" s="1"/>
  <c r="L40" i="10"/>
  <c r="Z40" i="10" s="1"/>
  <c r="AY52" i="2"/>
  <c r="L53" i="16"/>
  <c r="X53" i="16" s="1"/>
  <c r="AY65" i="2"/>
  <c r="L53" i="10"/>
  <c r="Z53" i="10" s="1"/>
  <c r="D7" i="13"/>
  <c r="G89" i="8"/>
  <c r="T89" i="8" s="1"/>
  <c r="F89" i="14"/>
  <c r="N89" i="14" s="1"/>
  <c r="G89" i="15"/>
  <c r="P89" i="15" s="1"/>
  <c r="F89" i="6"/>
  <c r="R89" i="6" s="1"/>
  <c r="E82" i="25"/>
  <c r="I85" i="25"/>
  <c r="G84" i="25"/>
  <c r="F82" i="25"/>
  <c r="D85" i="25"/>
  <c r="J84" i="25"/>
  <c r="E84" i="25"/>
  <c r="D84" i="25"/>
  <c r="I83" i="25"/>
  <c r="E86" i="25"/>
  <c r="K85" i="25"/>
  <c r="J85" i="25"/>
  <c r="G85" i="25"/>
  <c r="F87" i="25"/>
  <c r="H86" i="25"/>
  <c r="G86" i="25"/>
  <c r="C87" i="25"/>
  <c r="J83" i="25"/>
  <c r="L82" i="25"/>
  <c r="K82" i="25"/>
  <c r="L84" i="25"/>
  <c r="F84" i="25"/>
  <c r="L83" i="25"/>
  <c r="C83" i="25"/>
  <c r="F85" i="25"/>
  <c r="H85" i="25"/>
  <c r="C85" i="25"/>
  <c r="I84" i="25"/>
  <c r="E85" i="25"/>
  <c r="D82" i="25"/>
  <c r="I87" i="25"/>
  <c r="H87" i="25"/>
  <c r="H84" i="25"/>
  <c r="L85" i="25"/>
  <c r="C82" i="25"/>
  <c r="F83" i="25"/>
  <c r="H82" i="25"/>
  <c r="G82" i="25"/>
  <c r="K83" i="25"/>
  <c r="C84" i="25"/>
  <c r="E83" i="25"/>
  <c r="D83" i="25"/>
  <c r="F86" i="25"/>
  <c r="H83" i="25"/>
  <c r="D86" i="25"/>
  <c r="C86" i="25"/>
  <c r="J82" i="25"/>
  <c r="I82" i="25"/>
  <c r="G87" i="25"/>
  <c r="E87" i="25"/>
  <c r="D87" i="25"/>
  <c r="G83" i="25"/>
  <c r="J64" i="15"/>
  <c r="J64" i="8"/>
  <c r="BA76" i="2"/>
  <c r="K50" i="10"/>
  <c r="Z50" i="10" s="1"/>
  <c r="AX62" i="2"/>
  <c r="K50" i="16"/>
  <c r="W50" i="16" s="1"/>
  <c r="E29" i="24"/>
  <c r="F7" i="16"/>
  <c r="F19" i="16" s="1"/>
  <c r="R2" i="16"/>
  <c r="F26" i="16"/>
  <c r="F38" i="16" s="1"/>
  <c r="R10" i="14"/>
  <c r="E2" i="15"/>
  <c r="N2" i="15" s="1"/>
  <c r="T102" i="16"/>
  <c r="H103" i="16"/>
  <c r="D21" i="14"/>
  <c r="L21" i="14" s="1"/>
  <c r="E22" i="14"/>
  <c r="M22" i="14" s="1"/>
  <c r="E15" i="14"/>
  <c r="M15" i="14" s="1"/>
  <c r="R3" i="14"/>
  <c r="F3" i="16"/>
  <c r="E3" i="15"/>
  <c r="N3" i="15" s="1"/>
  <c r="E5" i="16"/>
  <c r="E17" i="16" s="1"/>
  <c r="D31" i="14"/>
  <c r="L31" i="14" s="1"/>
  <c r="D18" i="15"/>
  <c r="M18" i="15" s="1"/>
  <c r="D14" i="14"/>
  <c r="L14" i="14" s="1"/>
  <c r="R2" i="14"/>
  <c r="E23" i="15"/>
  <c r="N23" i="15" s="1"/>
  <c r="E2" i="16"/>
  <c r="D2" i="15"/>
  <c r="M2" i="15" s="1"/>
  <c r="T2" i="15" s="1"/>
  <c r="E18" i="14"/>
  <c r="M18" i="14" s="1"/>
  <c r="R6" i="14"/>
  <c r="D29" i="14"/>
  <c r="L29" i="14" s="1"/>
  <c r="D20" i="14"/>
  <c r="L20" i="14" s="1"/>
  <c r="D17" i="15"/>
  <c r="M17" i="15" s="1"/>
  <c r="E6" i="15"/>
  <c r="N6" i="15" s="1"/>
  <c r="F6" i="16"/>
  <c r="D21" i="15"/>
  <c r="M21" i="15" s="1"/>
  <c r="Q46" i="16"/>
  <c r="E58" i="16"/>
  <c r="E8" i="16"/>
  <c r="D8" i="15"/>
  <c r="M8" i="15" s="1"/>
  <c r="R23" i="14"/>
  <c r="D35" i="14"/>
  <c r="L35" i="14" s="1"/>
  <c r="E21" i="16"/>
  <c r="Q9" i="16"/>
  <c r="D23" i="15"/>
  <c r="M23" i="15" s="1"/>
  <c r="F16" i="16"/>
  <c r="R4" i="16"/>
  <c r="D12" i="15"/>
  <c r="M12" i="15" s="1"/>
  <c r="E12" i="16"/>
  <c r="E24" i="14"/>
  <c r="M24" i="14" s="1"/>
  <c r="D16" i="14"/>
  <c r="L16" i="14" s="1"/>
  <c r="R4" i="14"/>
  <c r="D24" i="14"/>
  <c r="L24" i="14" s="1"/>
  <c r="E17" i="14"/>
  <c r="M17" i="14" s="1"/>
  <c r="R5" i="14"/>
  <c r="E4" i="16"/>
  <c r="D4" i="15"/>
  <c r="M4" i="15" s="1"/>
  <c r="F13" i="16"/>
  <c r="E13" i="15"/>
  <c r="N13" i="15" s="1"/>
  <c r="E31" i="14"/>
  <c r="M31" i="14" s="1"/>
  <c r="T10" i="15"/>
  <c r="E22" i="15"/>
  <c r="N22" i="15" s="1"/>
  <c r="R8" i="14"/>
  <c r="E20" i="14"/>
  <c r="M20" i="14" s="1"/>
  <c r="E19" i="15"/>
  <c r="N19" i="15" s="1"/>
  <c r="E9" i="15"/>
  <c r="N9" i="15" s="1"/>
  <c r="F9" i="16"/>
  <c r="E12" i="15"/>
  <c r="N12" i="15" s="1"/>
  <c r="F12" i="16"/>
  <c r="E16" i="15"/>
  <c r="N16" i="15" s="1"/>
  <c r="F5" i="16"/>
  <c r="E5" i="15"/>
  <c r="N5" i="15" s="1"/>
  <c r="E21" i="14"/>
  <c r="M21" i="14" s="1"/>
  <c r="R9" i="14"/>
  <c r="E25" i="14"/>
  <c r="M25" i="14" s="1"/>
  <c r="R13" i="14"/>
  <c r="E27" i="16"/>
  <c r="Q15" i="16"/>
  <c r="F22" i="16"/>
  <c r="R10" i="16"/>
  <c r="Z10" i="16" s="1"/>
  <c r="E8" i="15"/>
  <c r="N8" i="15" s="1"/>
  <c r="F8" i="16"/>
  <c r="I18" i="21" l="1"/>
  <c r="T12" i="15"/>
  <c r="Q11" i="16"/>
  <c r="Z11" i="16" s="1"/>
  <c r="T18" i="20"/>
  <c r="J28" i="24" s="1"/>
  <c r="C36" i="24" s="1"/>
  <c r="E36" i="24" s="1"/>
  <c r="D37" i="14"/>
  <c r="L37" i="14" s="1"/>
  <c r="E18" i="16"/>
  <c r="E30" i="16" s="1"/>
  <c r="T52" i="8"/>
  <c r="I8" i="13" s="1"/>
  <c r="N7" i="13"/>
  <c r="D42" i="14"/>
  <c r="L42" i="14" s="1"/>
  <c r="Q25" i="16"/>
  <c r="D49" i="15"/>
  <c r="M49" i="15" s="1"/>
  <c r="D34" i="14"/>
  <c r="L34" i="14" s="1"/>
  <c r="R22" i="14"/>
  <c r="D34" i="15"/>
  <c r="M34" i="15" s="1"/>
  <c r="M7" i="15"/>
  <c r="T7" i="15" s="1"/>
  <c r="F23" i="16"/>
  <c r="R23" i="16" s="1"/>
  <c r="I64" i="25"/>
  <c r="Q19" i="16"/>
  <c r="D27" i="14"/>
  <c r="L27" i="14" s="1"/>
  <c r="M35" i="14"/>
  <c r="R35" i="14" s="1"/>
  <c r="D27" i="15"/>
  <c r="M27" i="15" s="1"/>
  <c r="E28" i="14"/>
  <c r="M28" i="14" s="1"/>
  <c r="R7" i="16"/>
  <c r="Z7" i="16" s="1"/>
  <c r="R26" i="16"/>
  <c r="E38" i="14"/>
  <c r="M38" i="14" s="1"/>
  <c r="W13" i="19"/>
  <c r="W14" i="19"/>
  <c r="J77" i="16"/>
  <c r="V77" i="16" s="1"/>
  <c r="J77" i="10"/>
  <c r="AW89" i="2"/>
  <c r="H17" i="20"/>
  <c r="J17" i="20" s="1"/>
  <c r="I26" i="24" s="1"/>
  <c r="I6" i="24"/>
  <c r="P101" i="14"/>
  <c r="H102" i="14"/>
  <c r="I67" i="15"/>
  <c r="I67" i="8"/>
  <c r="T67" i="8" s="1"/>
  <c r="AR79" i="2"/>
  <c r="K88" i="25"/>
  <c r="D88" i="25"/>
  <c r="Q69" i="15"/>
  <c r="H117" i="15"/>
  <c r="Q117" i="15" s="1"/>
  <c r="I83" i="10"/>
  <c r="I83" i="16"/>
  <c r="U83" i="16" s="1"/>
  <c r="AQ95" i="2"/>
  <c r="F64" i="25"/>
  <c r="L64" i="25"/>
  <c r="G14" i="19"/>
  <c r="K64" i="25"/>
  <c r="E70" i="25"/>
  <c r="C72" i="25"/>
  <c r="E72" i="25"/>
  <c r="D72" i="25"/>
  <c r="D73" i="25"/>
  <c r="C73" i="25"/>
  <c r="G71" i="25"/>
  <c r="G74" i="25"/>
  <c r="H72" i="25"/>
  <c r="H70" i="25"/>
  <c r="G70" i="25"/>
  <c r="G76" i="25" s="1"/>
  <c r="F70" i="25"/>
  <c r="H74" i="25"/>
  <c r="F73" i="25"/>
  <c r="I70" i="25"/>
  <c r="G72" i="25"/>
  <c r="D74" i="25"/>
  <c r="K70" i="25"/>
  <c r="J70" i="25"/>
  <c r="J71" i="25"/>
  <c r="L73" i="25"/>
  <c r="I72" i="25"/>
  <c r="C71" i="25"/>
  <c r="D75" i="25"/>
  <c r="C75" i="25"/>
  <c r="C76" i="25" s="1"/>
  <c r="E74" i="25"/>
  <c r="D70" i="25"/>
  <c r="C70" i="25"/>
  <c r="E75" i="25"/>
  <c r="F74" i="25"/>
  <c r="H75" i="25"/>
  <c r="G75" i="25"/>
  <c r="I75" i="25"/>
  <c r="H71" i="25"/>
  <c r="G73" i="25"/>
  <c r="D71" i="25"/>
  <c r="H73" i="25"/>
  <c r="J73" i="25"/>
  <c r="E73" i="25"/>
  <c r="K72" i="25"/>
  <c r="L70" i="25"/>
  <c r="L72" i="25"/>
  <c r="J72" i="25"/>
  <c r="F75" i="25"/>
  <c r="C74" i="25"/>
  <c r="I73" i="25"/>
  <c r="K73" i="25"/>
  <c r="I71" i="25"/>
  <c r="F72" i="25"/>
  <c r="L71" i="25"/>
  <c r="K71" i="25"/>
  <c r="F71" i="25"/>
  <c r="E71" i="25"/>
  <c r="AR83" i="2"/>
  <c r="I71" i="8"/>
  <c r="T71" i="8" s="1"/>
  <c r="I71" i="15"/>
  <c r="L59" i="16"/>
  <c r="X59" i="16" s="1"/>
  <c r="L59" i="10"/>
  <c r="Z59" i="10" s="1"/>
  <c r="AY71" i="2"/>
  <c r="K62" i="16"/>
  <c r="W62" i="16" s="1"/>
  <c r="K62" i="10"/>
  <c r="Z62" i="10" s="1"/>
  <c r="AX74" i="2"/>
  <c r="S64" i="15"/>
  <c r="J112" i="15"/>
  <c r="S112" i="15" s="1"/>
  <c r="L65" i="16"/>
  <c r="X65" i="16" s="1"/>
  <c r="L65" i="10"/>
  <c r="Z65" i="10" s="1"/>
  <c r="AY77" i="2"/>
  <c r="AW92" i="2"/>
  <c r="J80" i="16"/>
  <c r="V80" i="16" s="1"/>
  <c r="J80" i="10"/>
  <c r="Z80" i="10" s="1"/>
  <c r="Q52" i="15"/>
  <c r="H100" i="15"/>
  <c r="Q100" i="15" s="1"/>
  <c r="C88" i="25"/>
  <c r="H88" i="25"/>
  <c r="I64" i="15"/>
  <c r="AR76" i="2"/>
  <c r="I64" i="8"/>
  <c r="BA85" i="2"/>
  <c r="J73" i="15"/>
  <c r="J73" i="8"/>
  <c r="T73" i="8" s="1"/>
  <c r="F75" i="2"/>
  <c r="G75" i="2" s="1"/>
  <c r="F85" i="2"/>
  <c r="G85" i="2" s="1"/>
  <c r="F74" i="2"/>
  <c r="F84" i="2"/>
  <c r="G84" i="2" s="1"/>
  <c r="F81" i="2"/>
  <c r="G81" i="2" s="1"/>
  <c r="F78" i="2"/>
  <c r="G78" i="2" s="1"/>
  <c r="F83" i="2"/>
  <c r="G83" i="2" s="1"/>
  <c r="F80" i="2"/>
  <c r="G80" i="2" s="1"/>
  <c r="F77" i="2"/>
  <c r="G77" i="2" s="1"/>
  <c r="F79" i="2"/>
  <c r="G79" i="2" s="1"/>
  <c r="F76" i="2"/>
  <c r="G76" i="2" s="1"/>
  <c r="F82" i="2"/>
  <c r="G82" i="2" s="1"/>
  <c r="C64" i="25"/>
  <c r="H64" i="25"/>
  <c r="I66" i="15"/>
  <c r="AR78" i="2"/>
  <c r="I66" i="8"/>
  <c r="T66" i="8" s="1"/>
  <c r="V105" i="16"/>
  <c r="J117" i="16"/>
  <c r="V117" i="16" s="1"/>
  <c r="C13" i="18"/>
  <c r="I79" i="10"/>
  <c r="I79" i="16"/>
  <c r="U79" i="16" s="1"/>
  <c r="AQ91" i="2"/>
  <c r="AW91" i="2"/>
  <c r="J79" i="16"/>
  <c r="V79" i="16" s="1"/>
  <c r="J79" i="10"/>
  <c r="K63" i="16"/>
  <c r="W63" i="16" s="1"/>
  <c r="K63" i="10"/>
  <c r="AX75" i="2"/>
  <c r="G64" i="14"/>
  <c r="H64" i="15"/>
  <c r="H64" i="8"/>
  <c r="T64" i="8" s="1"/>
  <c r="BD76" i="2"/>
  <c r="G64" i="6"/>
  <c r="R64" i="6" s="1"/>
  <c r="D9" i="13" s="1"/>
  <c r="D99" i="16"/>
  <c r="P99" i="16" s="1"/>
  <c r="D105" i="16"/>
  <c r="P105" i="16" s="1"/>
  <c r="D108" i="16"/>
  <c r="P108" i="16" s="1"/>
  <c r="D101" i="16"/>
  <c r="P101" i="16" s="1"/>
  <c r="D109" i="16"/>
  <c r="P109" i="16" s="1"/>
  <c r="D100" i="16"/>
  <c r="P100" i="16" s="1"/>
  <c r="D102" i="16"/>
  <c r="P102" i="16" s="1"/>
  <c r="D106" i="16"/>
  <c r="P106" i="16" s="1"/>
  <c r="K13" i="18"/>
  <c r="D107" i="16"/>
  <c r="P107" i="16" s="1"/>
  <c r="D104" i="16"/>
  <c r="P104" i="16" s="1"/>
  <c r="D103" i="16"/>
  <c r="P103" i="16" s="1"/>
  <c r="D98" i="16"/>
  <c r="P98" i="16" s="1"/>
  <c r="F88" i="25"/>
  <c r="J88" i="25"/>
  <c r="L88" i="25"/>
  <c r="G88" i="25"/>
  <c r="R52" i="15"/>
  <c r="I100" i="15"/>
  <c r="R100" i="15" s="1"/>
  <c r="S61" i="15"/>
  <c r="J109" i="15"/>
  <c r="S109" i="15" s="1"/>
  <c r="H81" i="15"/>
  <c r="Q81" i="15" s="1"/>
  <c r="G81" i="14"/>
  <c r="O81" i="14" s="1"/>
  <c r="BD93" i="2"/>
  <c r="H81" i="8"/>
  <c r="T81" i="8" s="1"/>
  <c r="G81" i="6"/>
  <c r="R81" i="6" s="1"/>
  <c r="F60" i="2"/>
  <c r="G60" i="2" s="1"/>
  <c r="F57" i="2"/>
  <c r="G57" i="2" s="1"/>
  <c r="F58" i="2"/>
  <c r="G58" i="2" s="1"/>
  <c r="F56" i="2"/>
  <c r="G56" i="2" s="1"/>
  <c r="F53" i="2"/>
  <c r="G53" i="2" s="1"/>
  <c r="F50" i="2"/>
  <c r="F59" i="2"/>
  <c r="G59" i="2" s="1"/>
  <c r="F52" i="2"/>
  <c r="G52" i="2" s="1"/>
  <c r="F54" i="2"/>
  <c r="G54" i="2" s="1"/>
  <c r="F55" i="2"/>
  <c r="G55" i="2" s="1"/>
  <c r="F61" i="2"/>
  <c r="G61" i="2" s="1"/>
  <c r="F51" i="2"/>
  <c r="G51" i="2" s="1"/>
  <c r="E64" i="25"/>
  <c r="AW86" i="2"/>
  <c r="J74" i="16"/>
  <c r="V74" i="16" s="1"/>
  <c r="J74" i="10"/>
  <c r="I99" i="16"/>
  <c r="U87" i="16"/>
  <c r="L51" i="16"/>
  <c r="X51" i="16" s="1"/>
  <c r="AY63" i="2"/>
  <c r="L51" i="10"/>
  <c r="Z51" i="10" s="1"/>
  <c r="BA88" i="2"/>
  <c r="J76" i="15"/>
  <c r="S76" i="15" s="1"/>
  <c r="J76" i="8"/>
  <c r="L52" i="16"/>
  <c r="X52" i="16" s="1"/>
  <c r="AY64" i="2"/>
  <c r="L52" i="10"/>
  <c r="Z52" i="10" s="1"/>
  <c r="J6" i="24"/>
  <c r="C17" i="24" s="1"/>
  <c r="E17" i="24" s="1"/>
  <c r="H18" i="20"/>
  <c r="J18" i="20" s="1"/>
  <c r="J26" i="24" s="1"/>
  <c r="O52" i="14"/>
  <c r="G100" i="14"/>
  <c r="O100" i="14" s="1"/>
  <c r="R55" i="15"/>
  <c r="I103" i="15"/>
  <c r="R103" i="15" s="1"/>
  <c r="E88" i="25"/>
  <c r="I88" i="25"/>
  <c r="O69" i="14"/>
  <c r="G117" i="14"/>
  <c r="O117" i="14" s="1"/>
  <c r="L55" i="16"/>
  <c r="X55" i="16" s="1"/>
  <c r="L55" i="10"/>
  <c r="Z55" i="10" s="1"/>
  <c r="AY67" i="2"/>
  <c r="I85" i="10"/>
  <c r="Z85" i="10" s="1"/>
  <c r="AQ97" i="2"/>
  <c r="I85" i="16"/>
  <c r="U85" i="16" s="1"/>
  <c r="F25" i="2"/>
  <c r="G25" i="2" s="1"/>
  <c r="F21" i="2"/>
  <c r="G21" i="2" s="1"/>
  <c r="F17" i="2"/>
  <c r="G17" i="2" s="1"/>
  <c r="F24" i="2"/>
  <c r="G24" i="2" s="1"/>
  <c r="F20" i="2"/>
  <c r="G20" i="2" s="1"/>
  <c r="F16" i="2"/>
  <c r="G16" i="2" s="1"/>
  <c r="F23" i="2"/>
  <c r="G23" i="2" s="1"/>
  <c r="F19" i="2"/>
  <c r="G19" i="2" s="1"/>
  <c r="F15" i="2"/>
  <c r="G15" i="2" s="1"/>
  <c r="F22" i="2"/>
  <c r="G22" i="2" s="1"/>
  <c r="F18" i="2"/>
  <c r="G18" i="2" s="1"/>
  <c r="F14" i="2"/>
  <c r="F95" i="2"/>
  <c r="G95" i="2" s="1"/>
  <c r="F89" i="2"/>
  <c r="G89" i="2" s="1"/>
  <c r="F88" i="2"/>
  <c r="G88" i="2" s="1"/>
  <c r="F87" i="2"/>
  <c r="G87" i="2" s="1"/>
  <c r="F94" i="2"/>
  <c r="G94" i="2" s="1"/>
  <c r="F93" i="2"/>
  <c r="G93" i="2" s="1"/>
  <c r="F92" i="2"/>
  <c r="G92" i="2" s="1"/>
  <c r="F91" i="2"/>
  <c r="G91" i="2" s="1"/>
  <c r="F90" i="2"/>
  <c r="G90" i="2" s="1"/>
  <c r="F97" i="2"/>
  <c r="G97" i="2" s="1"/>
  <c r="F96" i="2"/>
  <c r="G96" i="2" s="1"/>
  <c r="F86" i="2"/>
  <c r="R54" i="15"/>
  <c r="I102" i="15"/>
  <c r="R102" i="15" s="1"/>
  <c r="R59" i="15"/>
  <c r="I107" i="15"/>
  <c r="R107" i="15" s="1"/>
  <c r="K83" i="10"/>
  <c r="AX95" i="2"/>
  <c r="K83" i="16"/>
  <c r="W83" i="16" s="1"/>
  <c r="M81" i="10"/>
  <c r="Z81" i="10" s="1"/>
  <c r="AZ93" i="2"/>
  <c r="M81" i="16"/>
  <c r="Y81" i="16" s="1"/>
  <c r="E14" i="15"/>
  <c r="N14" i="15" s="1"/>
  <c r="H104" i="16"/>
  <c r="T103" i="16"/>
  <c r="D33" i="14"/>
  <c r="L33" i="14" s="1"/>
  <c r="Q5" i="16"/>
  <c r="D31" i="15"/>
  <c r="M19" i="15"/>
  <c r="T19" i="15" s="1"/>
  <c r="T11" i="15"/>
  <c r="E34" i="14"/>
  <c r="M34" i="14" s="1"/>
  <c r="M47" i="14"/>
  <c r="E59" i="14"/>
  <c r="E15" i="15"/>
  <c r="N15" i="15" s="1"/>
  <c r="T3" i="15"/>
  <c r="F15" i="16"/>
  <c r="R3" i="16"/>
  <c r="Z3" i="16" s="1"/>
  <c r="R19" i="14"/>
  <c r="E27" i="14"/>
  <c r="M27" i="14" s="1"/>
  <c r="R15" i="14"/>
  <c r="D43" i="14"/>
  <c r="L43" i="14" s="1"/>
  <c r="D30" i="15"/>
  <c r="M30" i="15" s="1"/>
  <c r="Q31" i="16"/>
  <c r="E43" i="16"/>
  <c r="E14" i="16"/>
  <c r="Q2" i="16"/>
  <c r="Z2" i="16" s="1"/>
  <c r="R14" i="14"/>
  <c r="D26" i="14"/>
  <c r="L26" i="14" s="1"/>
  <c r="E35" i="15"/>
  <c r="N35" i="15" s="1"/>
  <c r="D14" i="15"/>
  <c r="M14" i="15" s="1"/>
  <c r="E33" i="16"/>
  <c r="Q21" i="16"/>
  <c r="D47" i="14"/>
  <c r="L47" i="14" s="1"/>
  <c r="E70" i="16"/>
  <c r="Q58" i="16"/>
  <c r="D29" i="15"/>
  <c r="M29" i="15" s="1"/>
  <c r="R18" i="14"/>
  <c r="E30" i="14"/>
  <c r="M30" i="14" s="1"/>
  <c r="Q17" i="16"/>
  <c r="E29" i="16"/>
  <c r="E20" i="16"/>
  <c r="Q8" i="16"/>
  <c r="D35" i="15"/>
  <c r="M35" i="15" s="1"/>
  <c r="D33" i="15"/>
  <c r="M33" i="15" s="1"/>
  <c r="D41" i="14"/>
  <c r="L41" i="14" s="1"/>
  <c r="E18" i="15"/>
  <c r="N18" i="15" s="1"/>
  <c r="T6" i="15"/>
  <c r="D32" i="14"/>
  <c r="L32" i="14" s="1"/>
  <c r="R12" i="14"/>
  <c r="F5" i="19" s="1"/>
  <c r="D20" i="15"/>
  <c r="M20" i="15" s="1"/>
  <c r="Q23" i="16"/>
  <c r="E35" i="16"/>
  <c r="R6" i="16"/>
  <c r="Z6" i="16" s="1"/>
  <c r="F18" i="16"/>
  <c r="E28" i="15"/>
  <c r="N28" i="15" s="1"/>
  <c r="R12" i="16"/>
  <c r="F24" i="16"/>
  <c r="E31" i="15"/>
  <c r="N31" i="15" s="1"/>
  <c r="E32" i="14"/>
  <c r="M32" i="14" s="1"/>
  <c r="E43" i="14"/>
  <c r="M43" i="14" s="1"/>
  <c r="R31" i="14"/>
  <c r="T13" i="15"/>
  <c r="E25" i="15"/>
  <c r="N25" i="15" s="1"/>
  <c r="D24" i="15"/>
  <c r="M24" i="15" s="1"/>
  <c r="Q27" i="16"/>
  <c r="E39" i="16"/>
  <c r="R25" i="14"/>
  <c r="E37" i="14"/>
  <c r="M37" i="14" s="1"/>
  <c r="E33" i="14"/>
  <c r="M33" i="14" s="1"/>
  <c r="R21" i="14"/>
  <c r="E24" i="15"/>
  <c r="N24" i="15" s="1"/>
  <c r="R9" i="16"/>
  <c r="Z9" i="16" s="1"/>
  <c r="F21" i="16"/>
  <c r="R13" i="16"/>
  <c r="Z13" i="16" s="1"/>
  <c r="F25" i="16"/>
  <c r="R17" i="14"/>
  <c r="E29" i="14"/>
  <c r="M29" i="14" s="1"/>
  <c r="E36" i="14"/>
  <c r="M36" i="14" s="1"/>
  <c r="D36" i="14"/>
  <c r="L36" i="14" s="1"/>
  <c r="E34" i="15"/>
  <c r="N34" i="15" s="1"/>
  <c r="T22" i="15"/>
  <c r="D16" i="15"/>
  <c r="M16" i="15" s="1"/>
  <c r="T4" i="15"/>
  <c r="R19" i="16"/>
  <c r="F31" i="16"/>
  <c r="D28" i="14"/>
  <c r="L28" i="14" s="1"/>
  <c r="R16" i="14"/>
  <c r="F28" i="16"/>
  <c r="R16" i="16"/>
  <c r="E20" i="15"/>
  <c r="N20" i="15" s="1"/>
  <c r="E17" i="15"/>
  <c r="N17" i="15" s="1"/>
  <c r="T5" i="15"/>
  <c r="T9" i="15"/>
  <c r="E21" i="15"/>
  <c r="N21" i="15" s="1"/>
  <c r="F20" i="16"/>
  <c r="R8" i="16"/>
  <c r="R22" i="16"/>
  <c r="Z22" i="16" s="1"/>
  <c r="F34" i="16"/>
  <c r="R5" i="16"/>
  <c r="F17" i="16"/>
  <c r="F50" i="16"/>
  <c r="R38" i="16"/>
  <c r="E16" i="16"/>
  <c r="Q4" i="16"/>
  <c r="Z4" i="16" s="1"/>
  <c r="Q37" i="16"/>
  <c r="E49" i="16"/>
  <c r="E24" i="16"/>
  <c r="Q12" i="16"/>
  <c r="C34" i="24" l="1"/>
  <c r="E34" i="24" s="1"/>
  <c r="D49" i="14"/>
  <c r="L49" i="14" s="1"/>
  <c r="Q18" i="16"/>
  <c r="I9" i="13"/>
  <c r="D54" i="14"/>
  <c r="L54" i="14" s="1"/>
  <c r="N8" i="13"/>
  <c r="D61" i="15"/>
  <c r="M61" i="15" s="1"/>
  <c r="D46" i="14"/>
  <c r="L46" i="14" s="1"/>
  <c r="R34" i="14"/>
  <c r="D46" i="15"/>
  <c r="M46" i="15" s="1"/>
  <c r="F35" i="16"/>
  <c r="R35" i="16" s="1"/>
  <c r="H76" i="25"/>
  <c r="E76" i="25"/>
  <c r="J76" i="25"/>
  <c r="J86" i="2" s="1"/>
  <c r="F76" i="25"/>
  <c r="J43" i="2" s="1"/>
  <c r="K43" i="2" s="1"/>
  <c r="K76" i="25"/>
  <c r="D76" i="25"/>
  <c r="J24" i="2" s="1"/>
  <c r="K24" i="2" s="1"/>
  <c r="L76" i="25"/>
  <c r="Z19" i="16"/>
  <c r="D39" i="15"/>
  <c r="M39" i="15" s="1"/>
  <c r="D39" i="14"/>
  <c r="L39" i="14" s="1"/>
  <c r="E40" i="14"/>
  <c r="M40" i="14" s="1"/>
  <c r="E50" i="14"/>
  <c r="M50" i="14" s="1"/>
  <c r="Z12" i="16"/>
  <c r="J44" i="2"/>
  <c r="K44" i="2" s="1"/>
  <c r="J41" i="2"/>
  <c r="K41" i="2" s="1"/>
  <c r="J40" i="2"/>
  <c r="K40" i="2" s="1"/>
  <c r="J21" i="2"/>
  <c r="K21" i="2" s="1"/>
  <c r="J22" i="2"/>
  <c r="K22" i="2" s="1"/>
  <c r="J17" i="2"/>
  <c r="K17" i="2" s="1"/>
  <c r="J14" i="2"/>
  <c r="J25" i="2"/>
  <c r="K25" i="2" s="1"/>
  <c r="J19" i="2"/>
  <c r="K19" i="2" s="1"/>
  <c r="C90" i="14"/>
  <c r="C90" i="6"/>
  <c r="S90" i="6" s="1"/>
  <c r="C94" i="6"/>
  <c r="S94" i="6" s="1"/>
  <c r="C94" i="14"/>
  <c r="C95" i="6"/>
  <c r="S95" i="6" s="1"/>
  <c r="C95" i="14"/>
  <c r="C15" i="6"/>
  <c r="S15" i="6" s="1"/>
  <c r="C15" i="14"/>
  <c r="C20" i="14"/>
  <c r="C20" i="6"/>
  <c r="S20" i="6" s="1"/>
  <c r="C25" i="14"/>
  <c r="C25" i="6"/>
  <c r="S25" i="6" s="1"/>
  <c r="L67" i="16"/>
  <c r="X67" i="16" s="1"/>
  <c r="AY79" i="2"/>
  <c r="L67" i="10"/>
  <c r="Z67" i="10" s="1"/>
  <c r="L63" i="16"/>
  <c r="X63" i="16" s="1"/>
  <c r="L63" i="10"/>
  <c r="AY75" i="2"/>
  <c r="F28" i="2"/>
  <c r="G28" i="2" s="1"/>
  <c r="F32" i="2"/>
  <c r="G32" i="2" s="1"/>
  <c r="F29" i="2"/>
  <c r="G29" i="2" s="1"/>
  <c r="F27" i="2"/>
  <c r="G27" i="2" s="1"/>
  <c r="F33" i="2"/>
  <c r="G33" i="2" s="1"/>
  <c r="F34" i="2"/>
  <c r="G34" i="2" s="1"/>
  <c r="F35" i="2"/>
  <c r="G35" i="2" s="1"/>
  <c r="F26" i="2"/>
  <c r="F30" i="2"/>
  <c r="G30" i="2" s="1"/>
  <c r="F31" i="2"/>
  <c r="G31" i="2" s="1"/>
  <c r="F36" i="2"/>
  <c r="G36" i="2" s="1"/>
  <c r="F37" i="2"/>
  <c r="G37" i="2" s="1"/>
  <c r="C54" i="14"/>
  <c r="C54" i="6"/>
  <c r="S54" i="6" s="1"/>
  <c r="C53" i="6"/>
  <c r="S53" i="6" s="1"/>
  <c r="C53" i="14"/>
  <c r="C60" i="6"/>
  <c r="S60" i="6" s="1"/>
  <c r="C60" i="14"/>
  <c r="N96" i="2"/>
  <c r="O96" i="2" s="1"/>
  <c r="N93" i="2"/>
  <c r="O93" i="2" s="1"/>
  <c r="N97" i="2"/>
  <c r="O97" i="2" s="1"/>
  <c r="N91" i="2"/>
  <c r="O91" i="2" s="1"/>
  <c r="N90" i="2"/>
  <c r="O90" i="2" s="1"/>
  <c r="N94" i="2"/>
  <c r="O94" i="2" s="1"/>
  <c r="N87" i="2"/>
  <c r="O87" i="2" s="1"/>
  <c r="N89" i="2"/>
  <c r="O89" i="2" s="1"/>
  <c r="N95" i="2"/>
  <c r="O95" i="2" s="1"/>
  <c r="N88" i="2"/>
  <c r="O88" i="2" s="1"/>
  <c r="N92" i="2"/>
  <c r="O92" i="2" s="1"/>
  <c r="N86" i="2"/>
  <c r="J11" i="2"/>
  <c r="K11" i="2" s="1"/>
  <c r="J4" i="2"/>
  <c r="K4" i="2" s="1"/>
  <c r="J9" i="2"/>
  <c r="K9" i="2" s="1"/>
  <c r="J3" i="2"/>
  <c r="K3" i="2" s="1"/>
  <c r="J8" i="2"/>
  <c r="K8" i="2" s="1"/>
  <c r="J10" i="2"/>
  <c r="K10" i="2" s="1"/>
  <c r="J5" i="2"/>
  <c r="K5" i="2" s="1"/>
  <c r="J2" i="2"/>
  <c r="J12" i="2"/>
  <c r="K12" i="2" s="1"/>
  <c r="J13" i="2"/>
  <c r="K13" i="2" s="1"/>
  <c r="J6" i="2"/>
  <c r="K6" i="2" s="1"/>
  <c r="J7" i="2"/>
  <c r="K7" i="2" s="1"/>
  <c r="H76" i="8"/>
  <c r="G76" i="14"/>
  <c r="O76" i="14" s="1"/>
  <c r="H76" i="15"/>
  <c r="Q76" i="15" s="1"/>
  <c r="BD88" i="2"/>
  <c r="G76" i="6"/>
  <c r="R76" i="6" s="1"/>
  <c r="D10" i="13" s="1"/>
  <c r="K75" i="10"/>
  <c r="AX87" i="2"/>
  <c r="K75" i="16"/>
  <c r="W75" i="16" s="1"/>
  <c r="R66" i="15"/>
  <c r="I114" i="15"/>
  <c r="R114" i="15" s="1"/>
  <c r="C76" i="14"/>
  <c r="C76" i="6"/>
  <c r="C83" i="14"/>
  <c r="C83" i="6"/>
  <c r="S83" i="6" s="1"/>
  <c r="G74" i="2"/>
  <c r="D11" i="19"/>
  <c r="G11" i="19" s="1"/>
  <c r="N13" i="2"/>
  <c r="O13" i="2" s="1"/>
  <c r="N12" i="2"/>
  <c r="O12" i="2" s="1"/>
  <c r="N8" i="2"/>
  <c r="O8" i="2" s="1"/>
  <c r="N7" i="2"/>
  <c r="O7" i="2" s="1"/>
  <c r="N4" i="2"/>
  <c r="O4" i="2" s="1"/>
  <c r="N9" i="2"/>
  <c r="O9" i="2" s="1"/>
  <c r="N5" i="2"/>
  <c r="O5" i="2" s="1"/>
  <c r="N2" i="2"/>
  <c r="N11" i="2"/>
  <c r="O11" i="2" s="1"/>
  <c r="N10" i="2"/>
  <c r="O10" i="2" s="1"/>
  <c r="N3" i="2"/>
  <c r="O3" i="2" s="1"/>
  <c r="N6" i="2"/>
  <c r="O6" i="2" s="1"/>
  <c r="J92" i="16"/>
  <c r="J92" i="10"/>
  <c r="Z92" i="10" s="1"/>
  <c r="K74" i="16"/>
  <c r="W74" i="16" s="1"/>
  <c r="AX86" i="2"/>
  <c r="K74" i="10"/>
  <c r="Z74" i="10" s="1"/>
  <c r="L71" i="16"/>
  <c r="X71" i="16" s="1"/>
  <c r="L71" i="10"/>
  <c r="Z71" i="10" s="1"/>
  <c r="AY83" i="2"/>
  <c r="N24" i="2"/>
  <c r="O24" i="2" s="1"/>
  <c r="N22" i="2"/>
  <c r="O22" i="2" s="1"/>
  <c r="N25" i="2"/>
  <c r="O25" i="2" s="1"/>
  <c r="N20" i="2"/>
  <c r="O20" i="2" s="1"/>
  <c r="N18" i="2"/>
  <c r="O18" i="2" s="1"/>
  <c r="N17" i="2"/>
  <c r="O17" i="2" s="1"/>
  <c r="N14" i="2"/>
  <c r="N23" i="2"/>
  <c r="O23" i="2" s="1"/>
  <c r="N15" i="2"/>
  <c r="O15" i="2" s="1"/>
  <c r="N21" i="2"/>
  <c r="O21" i="2" s="1"/>
  <c r="N19" i="2"/>
  <c r="O19" i="2" s="1"/>
  <c r="N16" i="2"/>
  <c r="O16" i="2" s="1"/>
  <c r="R67" i="15"/>
  <c r="I115" i="15"/>
  <c r="R115" i="15" s="1"/>
  <c r="G86" i="2"/>
  <c r="D12" i="19"/>
  <c r="G12" i="19" s="1"/>
  <c r="C91" i="6"/>
  <c r="S91" i="6" s="1"/>
  <c r="C91" i="14"/>
  <c r="C87" i="6"/>
  <c r="S87" i="6" s="1"/>
  <c r="C87" i="14"/>
  <c r="G14" i="2"/>
  <c r="D6" i="19"/>
  <c r="G6" i="19" s="1"/>
  <c r="C19" i="6"/>
  <c r="S19" i="6" s="1"/>
  <c r="C19" i="14"/>
  <c r="C24" i="14"/>
  <c r="C24" i="6"/>
  <c r="S24" i="6" s="1"/>
  <c r="N83" i="2"/>
  <c r="O83" i="2" s="1"/>
  <c r="N79" i="2"/>
  <c r="O79" i="2" s="1"/>
  <c r="N84" i="2"/>
  <c r="O84" i="2" s="1"/>
  <c r="N82" i="2"/>
  <c r="O82" i="2" s="1"/>
  <c r="N78" i="2"/>
  <c r="O78" i="2" s="1"/>
  <c r="N76" i="2"/>
  <c r="O76" i="2" s="1"/>
  <c r="N80" i="2"/>
  <c r="O80" i="2" s="1"/>
  <c r="N81" i="2"/>
  <c r="O81" i="2" s="1"/>
  <c r="N77" i="2"/>
  <c r="O77" i="2" s="1"/>
  <c r="N75" i="2"/>
  <c r="O75" i="2" s="1"/>
  <c r="N74" i="2"/>
  <c r="N85" i="2"/>
  <c r="O85" i="2" s="1"/>
  <c r="J70" i="2"/>
  <c r="K70" i="2" s="1"/>
  <c r="J67" i="2"/>
  <c r="K67" i="2" s="1"/>
  <c r="J68" i="2"/>
  <c r="K68" i="2" s="1"/>
  <c r="J73" i="2"/>
  <c r="K73" i="2" s="1"/>
  <c r="J66" i="2"/>
  <c r="K66" i="2" s="1"/>
  <c r="J63" i="2"/>
  <c r="K63" i="2" s="1"/>
  <c r="J71" i="2"/>
  <c r="K71" i="2" s="1"/>
  <c r="J69" i="2"/>
  <c r="K69" i="2" s="1"/>
  <c r="J64" i="2"/>
  <c r="K64" i="2" s="1"/>
  <c r="J65" i="2"/>
  <c r="K65" i="2" s="1"/>
  <c r="J72" i="2"/>
  <c r="K72" i="2" s="1"/>
  <c r="J62" i="2"/>
  <c r="C51" i="6"/>
  <c r="S51" i="6" s="1"/>
  <c r="C51" i="14"/>
  <c r="C52" i="6"/>
  <c r="S52" i="6" s="1"/>
  <c r="C52" i="14"/>
  <c r="C56" i="6"/>
  <c r="S56" i="6" s="1"/>
  <c r="C56" i="14"/>
  <c r="N49" i="2"/>
  <c r="O49" i="2" s="1"/>
  <c r="N40" i="2"/>
  <c r="O40" i="2" s="1"/>
  <c r="N48" i="2"/>
  <c r="O48" i="2" s="1"/>
  <c r="N45" i="2"/>
  <c r="O45" i="2" s="1"/>
  <c r="N46" i="2"/>
  <c r="O46" i="2" s="1"/>
  <c r="N42" i="2"/>
  <c r="O42" i="2" s="1"/>
  <c r="N41" i="2"/>
  <c r="O41" i="2" s="1"/>
  <c r="N39" i="2"/>
  <c r="O39" i="2" s="1"/>
  <c r="N38" i="2"/>
  <c r="N47" i="2"/>
  <c r="O47" i="2" s="1"/>
  <c r="N44" i="2"/>
  <c r="O44" i="2" s="1"/>
  <c r="N43" i="2"/>
  <c r="O43" i="2" s="1"/>
  <c r="J34" i="2"/>
  <c r="K34" i="2" s="1"/>
  <c r="J31" i="2"/>
  <c r="K31" i="2" s="1"/>
  <c r="J33" i="2"/>
  <c r="K33" i="2" s="1"/>
  <c r="J30" i="2"/>
  <c r="K30" i="2" s="1"/>
  <c r="J32" i="2"/>
  <c r="K32" i="2" s="1"/>
  <c r="J28" i="2"/>
  <c r="K28" i="2" s="1"/>
  <c r="J37" i="2"/>
  <c r="K37" i="2" s="1"/>
  <c r="J26" i="2"/>
  <c r="J29" i="2"/>
  <c r="K29" i="2" s="1"/>
  <c r="J36" i="2"/>
  <c r="K36" i="2" s="1"/>
  <c r="J35" i="2"/>
  <c r="K35" i="2" s="1"/>
  <c r="J27" i="2"/>
  <c r="K27" i="2" s="1"/>
  <c r="Z63" i="10"/>
  <c r="J91" i="16"/>
  <c r="J91" i="10"/>
  <c r="F73" i="2"/>
  <c r="G73" i="2" s="1"/>
  <c r="F62" i="2"/>
  <c r="F69" i="2"/>
  <c r="G69" i="2" s="1"/>
  <c r="F66" i="2"/>
  <c r="G66" i="2" s="1"/>
  <c r="F68" i="2"/>
  <c r="G68" i="2" s="1"/>
  <c r="F72" i="2"/>
  <c r="G72" i="2" s="1"/>
  <c r="F64" i="2"/>
  <c r="G64" i="2" s="1"/>
  <c r="F70" i="2"/>
  <c r="G70" i="2" s="1"/>
  <c r="F67" i="2"/>
  <c r="G67" i="2" s="1"/>
  <c r="F71" i="2"/>
  <c r="G71" i="2" s="1"/>
  <c r="F63" i="2"/>
  <c r="G63" i="2" s="1"/>
  <c r="F65" i="2"/>
  <c r="G65" i="2" s="1"/>
  <c r="C79" i="6"/>
  <c r="S79" i="6" s="1"/>
  <c r="C79" i="14"/>
  <c r="C78" i="14"/>
  <c r="C78" i="6"/>
  <c r="S78" i="6" s="1"/>
  <c r="C85" i="6"/>
  <c r="S85" i="6" s="1"/>
  <c r="C85" i="14"/>
  <c r="I76" i="15"/>
  <c r="R76" i="15" s="1"/>
  <c r="I76" i="8"/>
  <c r="AR88" i="2"/>
  <c r="AR95" i="2"/>
  <c r="I83" i="8"/>
  <c r="T83" i="8" s="1"/>
  <c r="I83" i="15"/>
  <c r="R83" i="15" s="1"/>
  <c r="O14" i="19"/>
  <c r="F49" i="2"/>
  <c r="G49" i="2" s="1"/>
  <c r="F46" i="2"/>
  <c r="G46" i="2" s="1"/>
  <c r="F47" i="2"/>
  <c r="G47" i="2" s="1"/>
  <c r="F44" i="2"/>
  <c r="G44" i="2" s="1"/>
  <c r="F41" i="2"/>
  <c r="G41" i="2" s="1"/>
  <c r="F45" i="2"/>
  <c r="G45" i="2" s="1"/>
  <c r="F48" i="2"/>
  <c r="G48" i="2" s="1"/>
  <c r="F42" i="2"/>
  <c r="G42" i="2" s="1"/>
  <c r="F43" i="2"/>
  <c r="G43" i="2" s="1"/>
  <c r="F38" i="2"/>
  <c r="F40" i="2"/>
  <c r="G40" i="2" s="1"/>
  <c r="F39" i="2"/>
  <c r="G39" i="2" s="1"/>
  <c r="J89" i="16"/>
  <c r="J89" i="10"/>
  <c r="K95" i="16"/>
  <c r="K95" i="10"/>
  <c r="C96" i="14"/>
  <c r="C96" i="6"/>
  <c r="S96" i="6" s="1"/>
  <c r="C92" i="14"/>
  <c r="C92" i="6"/>
  <c r="S92" i="6" s="1"/>
  <c r="C88" i="6"/>
  <c r="C88" i="14"/>
  <c r="C18" i="14"/>
  <c r="C18" i="6"/>
  <c r="S18" i="6" s="1"/>
  <c r="C23" i="14"/>
  <c r="C23" i="6"/>
  <c r="S23" i="6" s="1"/>
  <c r="C17" i="14"/>
  <c r="C17" i="6"/>
  <c r="S17" i="6" s="1"/>
  <c r="I97" i="10"/>
  <c r="Z97" i="10" s="1"/>
  <c r="I97" i="16"/>
  <c r="N27" i="2"/>
  <c r="O27" i="2" s="1"/>
  <c r="N35" i="2"/>
  <c r="O35" i="2" s="1"/>
  <c r="N36" i="2"/>
  <c r="O36" i="2" s="1"/>
  <c r="N37" i="2"/>
  <c r="O37" i="2" s="1"/>
  <c r="N30" i="2"/>
  <c r="O30" i="2" s="1"/>
  <c r="N32" i="2"/>
  <c r="O32" i="2" s="1"/>
  <c r="N31" i="2"/>
  <c r="O31" i="2" s="1"/>
  <c r="N26" i="2"/>
  <c r="N34" i="2"/>
  <c r="O34" i="2" s="1"/>
  <c r="N33" i="2"/>
  <c r="O33" i="2" s="1"/>
  <c r="N29" i="2"/>
  <c r="O29" i="2" s="1"/>
  <c r="N28" i="2"/>
  <c r="O28" i="2" s="1"/>
  <c r="J90" i="2"/>
  <c r="K90" i="2" s="1"/>
  <c r="J96" i="2"/>
  <c r="K96" i="2" s="1"/>
  <c r="J93" i="2"/>
  <c r="K93" i="2" s="1"/>
  <c r="J94" i="2"/>
  <c r="K94" i="2" s="1"/>
  <c r="J89" i="2"/>
  <c r="K89" i="2" s="1"/>
  <c r="L64" i="16"/>
  <c r="X64" i="16" s="1"/>
  <c r="AY76" i="2"/>
  <c r="L64" i="10"/>
  <c r="Z64" i="10" s="1"/>
  <c r="J88" i="8"/>
  <c r="J88" i="15"/>
  <c r="S88" i="15" s="1"/>
  <c r="J86" i="10"/>
  <c r="J86" i="16"/>
  <c r="C61" i="6"/>
  <c r="S61" i="6" s="1"/>
  <c r="C61" i="14"/>
  <c r="C59" i="14"/>
  <c r="C59" i="6"/>
  <c r="S59" i="6" s="1"/>
  <c r="C58" i="14"/>
  <c r="C58" i="6"/>
  <c r="S58" i="6" s="1"/>
  <c r="N57" i="2"/>
  <c r="O57" i="2" s="1"/>
  <c r="N50" i="2"/>
  <c r="N52" i="2"/>
  <c r="O52" i="2" s="1"/>
  <c r="N60" i="2"/>
  <c r="O60" i="2" s="1"/>
  <c r="N53" i="2"/>
  <c r="O53" i="2" s="1"/>
  <c r="N59" i="2"/>
  <c r="O59" i="2" s="1"/>
  <c r="N61" i="2"/>
  <c r="O61" i="2" s="1"/>
  <c r="N51" i="2"/>
  <c r="O51" i="2" s="1"/>
  <c r="N58" i="2"/>
  <c r="O58" i="2" s="1"/>
  <c r="N54" i="2"/>
  <c r="O54" i="2" s="1"/>
  <c r="N56" i="2"/>
  <c r="O56" i="2" s="1"/>
  <c r="N55" i="2"/>
  <c r="O55" i="2" s="1"/>
  <c r="D111" i="16"/>
  <c r="P111" i="16" s="1"/>
  <c r="I48" i="24"/>
  <c r="D115" i="16"/>
  <c r="P115" i="16" s="1"/>
  <c r="D113" i="16"/>
  <c r="P113" i="16" s="1"/>
  <c r="D119" i="16"/>
  <c r="P119" i="16" s="1"/>
  <c r="D114" i="16"/>
  <c r="P114" i="16" s="1"/>
  <c r="D120" i="16"/>
  <c r="P120" i="16" s="1"/>
  <c r="D116" i="16"/>
  <c r="P116" i="16" s="1"/>
  <c r="D118" i="16"/>
  <c r="P118" i="16" s="1"/>
  <c r="D117" i="16"/>
  <c r="P117" i="16" s="1"/>
  <c r="D121" i="16"/>
  <c r="P121" i="16" s="1"/>
  <c r="D112" i="16"/>
  <c r="P112" i="16" s="1"/>
  <c r="D110" i="16"/>
  <c r="P110" i="16" s="1"/>
  <c r="J58" i="2"/>
  <c r="K58" i="2" s="1"/>
  <c r="J52" i="2"/>
  <c r="K52" i="2" s="1"/>
  <c r="J57" i="2"/>
  <c r="K57" i="2" s="1"/>
  <c r="J54" i="2"/>
  <c r="K54" i="2" s="1"/>
  <c r="J51" i="2"/>
  <c r="K51" i="2" s="1"/>
  <c r="J61" i="2"/>
  <c r="K61" i="2" s="1"/>
  <c r="J56" i="2"/>
  <c r="K56" i="2" s="1"/>
  <c r="J59" i="2"/>
  <c r="K59" i="2" s="1"/>
  <c r="J60" i="2"/>
  <c r="K60" i="2" s="1"/>
  <c r="J55" i="2"/>
  <c r="K55" i="2" s="1"/>
  <c r="J53" i="2"/>
  <c r="K53" i="2" s="1"/>
  <c r="J50" i="2"/>
  <c r="Q64" i="15"/>
  <c r="H112" i="15"/>
  <c r="Q112" i="15" s="1"/>
  <c r="I91" i="10"/>
  <c r="I91" i="16"/>
  <c r="H48" i="24"/>
  <c r="F4" i="2"/>
  <c r="G4" i="2" s="1"/>
  <c r="F10" i="2"/>
  <c r="G10" i="2" s="1"/>
  <c r="F11" i="2"/>
  <c r="G11" i="2" s="1"/>
  <c r="F12" i="2"/>
  <c r="G12" i="2" s="1"/>
  <c r="F9" i="2"/>
  <c r="G9" i="2" s="1"/>
  <c r="F6" i="2"/>
  <c r="G6" i="2" s="1"/>
  <c r="F13" i="2"/>
  <c r="G13" i="2" s="1"/>
  <c r="F7" i="2"/>
  <c r="G7" i="2" s="1"/>
  <c r="F2" i="2"/>
  <c r="F8" i="2"/>
  <c r="G8" i="2" s="1"/>
  <c r="F3" i="2"/>
  <c r="G3" i="2" s="1"/>
  <c r="F5" i="2"/>
  <c r="G5" i="2" s="1"/>
  <c r="C77" i="6"/>
  <c r="S77" i="6" s="1"/>
  <c r="C77" i="14"/>
  <c r="C81" i="6"/>
  <c r="S81" i="6" s="1"/>
  <c r="C81" i="14"/>
  <c r="C75" i="6"/>
  <c r="S75" i="6" s="1"/>
  <c r="C75" i="14"/>
  <c r="S73" i="15"/>
  <c r="J121" i="15"/>
  <c r="S121" i="15" s="1"/>
  <c r="R64" i="15"/>
  <c r="I112" i="15"/>
  <c r="R112" i="15" s="1"/>
  <c r="I76" i="25"/>
  <c r="L77" i="16"/>
  <c r="X77" i="16" s="1"/>
  <c r="L77" i="10"/>
  <c r="Z77" i="10" s="1"/>
  <c r="AY89" i="2"/>
  <c r="I95" i="10"/>
  <c r="I95" i="16"/>
  <c r="I79" i="8"/>
  <c r="T79" i="8" s="1"/>
  <c r="I79" i="15"/>
  <c r="R79" i="15" s="1"/>
  <c r="AR91" i="2"/>
  <c r="M93" i="10"/>
  <c r="Z93" i="10" s="1"/>
  <c r="M93" i="16"/>
  <c r="C97" i="14"/>
  <c r="C97" i="6"/>
  <c r="S97" i="6" s="1"/>
  <c r="C93" i="14"/>
  <c r="C93" i="6"/>
  <c r="C89" i="14"/>
  <c r="C89" i="6"/>
  <c r="S89" i="6" s="1"/>
  <c r="C22" i="14"/>
  <c r="C22" i="6"/>
  <c r="S22" i="6" s="1"/>
  <c r="C16" i="6"/>
  <c r="S16" i="6" s="1"/>
  <c r="C16" i="14"/>
  <c r="C21" i="14"/>
  <c r="C21" i="6"/>
  <c r="S21" i="6" s="1"/>
  <c r="U99" i="16"/>
  <c r="I111" i="16"/>
  <c r="U111" i="16" s="1"/>
  <c r="C55" i="14"/>
  <c r="C55" i="6"/>
  <c r="S55" i="6" s="1"/>
  <c r="G50" i="2"/>
  <c r="D9" i="19"/>
  <c r="G9" i="19" s="1"/>
  <c r="C57" i="6"/>
  <c r="S57" i="6" s="1"/>
  <c r="C57" i="14"/>
  <c r="G93" i="14"/>
  <c r="O93" i="14" s="1"/>
  <c r="G93" i="6"/>
  <c r="R93" i="6" s="1"/>
  <c r="H93" i="8"/>
  <c r="T93" i="8" s="1"/>
  <c r="H93" i="15"/>
  <c r="Q93" i="15" s="1"/>
  <c r="O64" i="14"/>
  <c r="G112" i="14"/>
  <c r="O112" i="14" s="1"/>
  <c r="AR90" i="2"/>
  <c r="I78" i="8"/>
  <c r="T78" i="8" s="1"/>
  <c r="I78" i="15"/>
  <c r="R78" i="15" s="1"/>
  <c r="C82" i="6"/>
  <c r="S82" i="6" s="1"/>
  <c r="C82" i="14"/>
  <c r="C80" i="6"/>
  <c r="S80" i="6" s="1"/>
  <c r="C80" i="14"/>
  <c r="C84" i="6"/>
  <c r="S84" i="6" s="1"/>
  <c r="C84" i="14"/>
  <c r="BA97" i="2"/>
  <c r="J85" i="15"/>
  <c r="S85" i="15" s="1"/>
  <c r="J85" i="8"/>
  <c r="T85" i="8" s="1"/>
  <c r="N65" i="2"/>
  <c r="O65" i="2" s="1"/>
  <c r="N70" i="2"/>
  <c r="O70" i="2" s="1"/>
  <c r="N69" i="2"/>
  <c r="O69" i="2" s="1"/>
  <c r="N68" i="2"/>
  <c r="O68" i="2" s="1"/>
  <c r="N73" i="2"/>
  <c r="O73" i="2" s="1"/>
  <c r="N62" i="2"/>
  <c r="N67" i="2"/>
  <c r="O67" i="2" s="1"/>
  <c r="N66" i="2"/>
  <c r="O66" i="2" s="1"/>
  <c r="N64" i="2"/>
  <c r="O64" i="2" s="1"/>
  <c r="N63" i="2"/>
  <c r="O63" i="2" s="1"/>
  <c r="N72" i="2"/>
  <c r="O72" i="2" s="1"/>
  <c r="N71" i="2"/>
  <c r="O71" i="2" s="1"/>
  <c r="R71" i="15"/>
  <c r="I119" i="15"/>
  <c r="R119" i="15" s="1"/>
  <c r="P102" i="14"/>
  <c r="H103" i="14"/>
  <c r="Z8" i="16"/>
  <c r="Z5" i="16"/>
  <c r="Z23" i="16"/>
  <c r="E26" i="15"/>
  <c r="N26" i="15" s="1"/>
  <c r="D45" i="14"/>
  <c r="L45" i="14" s="1"/>
  <c r="E46" i="14"/>
  <c r="M46" i="14" s="1"/>
  <c r="H105" i="16"/>
  <c r="T104" i="16"/>
  <c r="M31" i="15"/>
  <c r="T31" i="15" s="1"/>
  <c r="D43" i="15"/>
  <c r="M59" i="14"/>
  <c r="E71" i="14"/>
  <c r="R15" i="16"/>
  <c r="Z15" i="16" s="1"/>
  <c r="F27" i="16"/>
  <c r="E39" i="14"/>
  <c r="M39" i="14" s="1"/>
  <c r="R27" i="14"/>
  <c r="T15" i="15"/>
  <c r="E27" i="15"/>
  <c r="N27" i="15" s="1"/>
  <c r="T8" i="15"/>
  <c r="D42" i="15"/>
  <c r="M42" i="15" s="1"/>
  <c r="R20" i="14"/>
  <c r="E55" i="16"/>
  <c r="Q43" i="16"/>
  <c r="T23" i="15"/>
  <c r="E42" i="16"/>
  <c r="Q30" i="16"/>
  <c r="D55" i="14"/>
  <c r="L55" i="14" s="1"/>
  <c r="D38" i="14"/>
  <c r="L38" i="14" s="1"/>
  <c r="R26" i="14"/>
  <c r="E47" i="15"/>
  <c r="N47" i="15" s="1"/>
  <c r="T14" i="15"/>
  <c r="D26" i="15"/>
  <c r="M26" i="15" s="1"/>
  <c r="E26" i="16"/>
  <c r="Q14" i="16"/>
  <c r="Z14" i="16" s="1"/>
  <c r="E30" i="15"/>
  <c r="N30" i="15" s="1"/>
  <c r="T18" i="15"/>
  <c r="D44" i="14"/>
  <c r="L44" i="14" s="1"/>
  <c r="D45" i="15"/>
  <c r="M45" i="15" s="1"/>
  <c r="D47" i="15"/>
  <c r="M47" i="15" s="1"/>
  <c r="R30" i="14"/>
  <c r="E42" i="14"/>
  <c r="M42" i="14" s="1"/>
  <c r="F30" i="16"/>
  <c r="R18" i="16"/>
  <c r="R24" i="14"/>
  <c r="E47" i="16"/>
  <c r="Q35" i="16"/>
  <c r="E32" i="16"/>
  <c r="Q20" i="16"/>
  <c r="Q70" i="16"/>
  <c r="E82" i="16"/>
  <c r="D32" i="15"/>
  <c r="M32" i="15" s="1"/>
  <c r="D53" i="14"/>
  <c r="L53" i="14" s="1"/>
  <c r="E41" i="16"/>
  <c r="Q29" i="16"/>
  <c r="D41" i="15"/>
  <c r="M41" i="15" s="1"/>
  <c r="R47" i="14"/>
  <c r="D59" i="14"/>
  <c r="L59" i="14" s="1"/>
  <c r="Q33" i="16"/>
  <c r="E45" i="16"/>
  <c r="E28" i="16"/>
  <c r="Q16" i="16"/>
  <c r="Z16" i="16" s="1"/>
  <c r="R50" i="16"/>
  <c r="F62" i="16"/>
  <c r="F37" i="16"/>
  <c r="R25" i="16"/>
  <c r="Z25" i="16" s="1"/>
  <c r="E43" i="15"/>
  <c r="N43" i="15" s="1"/>
  <c r="E40" i="15"/>
  <c r="N40" i="15" s="1"/>
  <c r="Q24" i="16"/>
  <c r="E36" i="16"/>
  <c r="E36" i="15"/>
  <c r="N36" i="15" s="1"/>
  <c r="E45" i="14"/>
  <c r="M45" i="14" s="1"/>
  <c r="R33" i="14"/>
  <c r="D36" i="15"/>
  <c r="M36" i="15" s="1"/>
  <c r="F36" i="16"/>
  <c r="R24" i="16"/>
  <c r="F32" i="16"/>
  <c r="R20" i="16"/>
  <c r="T21" i="15"/>
  <c r="E33" i="15"/>
  <c r="N33" i="15" s="1"/>
  <c r="T17" i="15"/>
  <c r="E29" i="15"/>
  <c r="N29" i="15" s="1"/>
  <c r="R28" i="14"/>
  <c r="D40" i="14"/>
  <c r="L40" i="14" s="1"/>
  <c r="D28" i="15"/>
  <c r="M28" i="15" s="1"/>
  <c r="T16" i="15"/>
  <c r="E46" i="15"/>
  <c r="N46" i="15" s="1"/>
  <c r="T34" i="15"/>
  <c r="D48" i="14"/>
  <c r="L48" i="14" s="1"/>
  <c r="R21" i="16"/>
  <c r="Z21" i="16" s="1"/>
  <c r="F33" i="16"/>
  <c r="R37" i="14"/>
  <c r="E49" i="14"/>
  <c r="M49" i="14" s="1"/>
  <c r="E55" i="14"/>
  <c r="M55" i="14" s="1"/>
  <c r="E44" i="14"/>
  <c r="M44" i="14" s="1"/>
  <c r="E32" i="15"/>
  <c r="N32" i="15" s="1"/>
  <c r="E48" i="14"/>
  <c r="M48" i="14" s="1"/>
  <c r="R29" i="14"/>
  <c r="E41" i="14"/>
  <c r="M41" i="14" s="1"/>
  <c r="E51" i="16"/>
  <c r="Q39" i="16"/>
  <c r="Q49" i="16"/>
  <c r="E61" i="16"/>
  <c r="F29" i="16"/>
  <c r="R17" i="16"/>
  <c r="Z17" i="16" s="1"/>
  <c r="F46" i="16"/>
  <c r="R34" i="16"/>
  <c r="Z34" i="16" s="1"/>
  <c r="R28" i="16"/>
  <c r="F40" i="16"/>
  <c r="F43" i="16"/>
  <c r="R31" i="16"/>
  <c r="Z31" i="16" s="1"/>
  <c r="E37" i="15"/>
  <c r="N37" i="15" s="1"/>
  <c r="T25" i="15"/>
  <c r="Z18" i="16" l="1"/>
  <c r="D61" i="14"/>
  <c r="L61" i="14" s="1"/>
  <c r="S76" i="6"/>
  <c r="D66" i="14"/>
  <c r="L66" i="14" s="1"/>
  <c r="D58" i="15"/>
  <c r="M58" i="15" s="1"/>
  <c r="D73" i="15"/>
  <c r="M73" i="15" s="1"/>
  <c r="R46" i="14"/>
  <c r="N9" i="13"/>
  <c r="D58" i="14"/>
  <c r="L58" i="14" s="1"/>
  <c r="F47" i="16"/>
  <c r="R47" i="16" s="1"/>
  <c r="D51" i="15"/>
  <c r="M51" i="15" s="1"/>
  <c r="J95" i="2"/>
  <c r="K95" i="2" s="1"/>
  <c r="C95" i="8" s="1"/>
  <c r="J87" i="2"/>
  <c r="K87" i="2" s="1"/>
  <c r="C87" i="15" s="1"/>
  <c r="J97" i="2"/>
  <c r="K97" i="2" s="1"/>
  <c r="C97" i="8" s="1"/>
  <c r="J88" i="2"/>
  <c r="K88" i="2" s="1"/>
  <c r="C88" i="8" s="1"/>
  <c r="J91" i="2"/>
  <c r="K91" i="2" s="1"/>
  <c r="C91" i="8" s="1"/>
  <c r="J92" i="2"/>
  <c r="K92" i="2" s="1"/>
  <c r="C92" i="8" s="1"/>
  <c r="U92" i="8" s="1"/>
  <c r="J47" i="2"/>
  <c r="K47" i="2" s="1"/>
  <c r="C47" i="8" s="1"/>
  <c r="U47" i="8" s="1"/>
  <c r="J49" i="2"/>
  <c r="K49" i="2" s="1"/>
  <c r="C49" i="15" s="1"/>
  <c r="J42" i="2"/>
  <c r="K42" i="2" s="1"/>
  <c r="C42" i="8" s="1"/>
  <c r="U42" i="8" s="1"/>
  <c r="J46" i="2"/>
  <c r="K46" i="2" s="1"/>
  <c r="C46" i="8" s="1"/>
  <c r="U46" i="8" s="1"/>
  <c r="J48" i="2"/>
  <c r="K48" i="2" s="1"/>
  <c r="C48" i="8" s="1"/>
  <c r="U48" i="8" s="1"/>
  <c r="J38" i="2"/>
  <c r="K38" i="2" s="1"/>
  <c r="J45" i="2"/>
  <c r="K45" i="2" s="1"/>
  <c r="C45" i="15" s="1"/>
  <c r="J39" i="2"/>
  <c r="K39" i="2" s="1"/>
  <c r="C39" i="8" s="1"/>
  <c r="U39" i="8" s="1"/>
  <c r="J20" i="2"/>
  <c r="K20" i="2" s="1"/>
  <c r="C20" i="15" s="1"/>
  <c r="J23" i="2"/>
  <c r="K23" i="2" s="1"/>
  <c r="C23" i="15" s="1"/>
  <c r="J15" i="2"/>
  <c r="K15" i="2" s="1"/>
  <c r="C15" i="15" s="1"/>
  <c r="J16" i="2"/>
  <c r="K16" i="2" s="1"/>
  <c r="C16" i="15" s="1"/>
  <c r="J18" i="2"/>
  <c r="K18" i="2" s="1"/>
  <c r="C18" i="15" s="1"/>
  <c r="E52" i="14"/>
  <c r="M52" i="14" s="1"/>
  <c r="D51" i="14"/>
  <c r="D63" i="14" s="1"/>
  <c r="L63" i="14" s="1"/>
  <c r="E62" i="14"/>
  <c r="M62" i="14" s="1"/>
  <c r="C65" i="10"/>
  <c r="AA65" i="10" s="1"/>
  <c r="C65" i="16"/>
  <c r="I90" i="15"/>
  <c r="R90" i="15" s="1"/>
  <c r="I90" i="8"/>
  <c r="T90" i="8" s="1"/>
  <c r="K50" i="2"/>
  <c r="L9" i="19"/>
  <c r="O9" i="19" s="1"/>
  <c r="C71" i="16"/>
  <c r="C71" i="10"/>
  <c r="AA71" i="10" s="1"/>
  <c r="C66" i="16"/>
  <c r="C66" i="10"/>
  <c r="AA66" i="10" s="1"/>
  <c r="C68" i="16"/>
  <c r="C68" i="10"/>
  <c r="AA68" i="10" s="1"/>
  <c r="S93" i="6"/>
  <c r="G2" i="2"/>
  <c r="D5" i="19"/>
  <c r="G5" i="19" s="1"/>
  <c r="H5" i="19" s="1"/>
  <c r="C9" i="6"/>
  <c r="S9" i="6" s="1"/>
  <c r="C9" i="14"/>
  <c r="C4" i="14"/>
  <c r="C4" i="6"/>
  <c r="S4" i="6" s="1"/>
  <c r="C53" i="15"/>
  <c r="C53" i="8"/>
  <c r="U53" i="8" s="1"/>
  <c r="C56" i="8"/>
  <c r="U56" i="8" s="1"/>
  <c r="C56" i="15"/>
  <c r="C57" i="15"/>
  <c r="C57" i="8"/>
  <c r="U57" i="8" s="1"/>
  <c r="C55" i="10"/>
  <c r="AA55" i="10" s="1"/>
  <c r="C55" i="16"/>
  <c r="C51" i="16"/>
  <c r="C51" i="10"/>
  <c r="AA51" i="10" s="1"/>
  <c r="C60" i="10"/>
  <c r="AA60" i="10" s="1"/>
  <c r="C60" i="16"/>
  <c r="C34" i="10"/>
  <c r="AA34" i="10" s="1"/>
  <c r="C34" i="16"/>
  <c r="C30" i="16"/>
  <c r="C30" i="10"/>
  <c r="AA30" i="10" s="1"/>
  <c r="C27" i="16"/>
  <c r="C27" i="10"/>
  <c r="AA27" i="10" s="1"/>
  <c r="W95" i="16"/>
  <c r="K107" i="16"/>
  <c r="C39" i="6"/>
  <c r="S39" i="6" s="1"/>
  <c r="C39" i="14"/>
  <c r="C42" i="14"/>
  <c r="C42" i="6"/>
  <c r="S42" i="6" s="1"/>
  <c r="C44" i="14"/>
  <c r="C44" i="6"/>
  <c r="S44" i="6" s="1"/>
  <c r="I95" i="15"/>
  <c r="R95" i="15" s="1"/>
  <c r="I95" i="8"/>
  <c r="T95" i="8" s="1"/>
  <c r="C63" i="6"/>
  <c r="S63" i="6" s="1"/>
  <c r="C63" i="14"/>
  <c r="C64" i="6"/>
  <c r="S64" i="6" s="1"/>
  <c r="C64" i="14"/>
  <c r="C69" i="14"/>
  <c r="C69" i="6"/>
  <c r="S69" i="6" s="1"/>
  <c r="C35" i="15"/>
  <c r="C35" i="8"/>
  <c r="U35" i="8" s="1"/>
  <c r="C37" i="15"/>
  <c r="C37" i="8"/>
  <c r="U37" i="8" s="1"/>
  <c r="C33" i="8"/>
  <c r="U33" i="8" s="1"/>
  <c r="C33" i="15"/>
  <c r="C44" i="16"/>
  <c r="C44" i="10"/>
  <c r="AA44" i="10" s="1"/>
  <c r="C41" i="10"/>
  <c r="AA41" i="10" s="1"/>
  <c r="C41" i="16"/>
  <c r="C48" i="16"/>
  <c r="C48" i="10"/>
  <c r="AA48" i="10" s="1"/>
  <c r="C65" i="8"/>
  <c r="U65" i="8" s="1"/>
  <c r="C65" i="15"/>
  <c r="C63" i="8"/>
  <c r="U63" i="8" s="1"/>
  <c r="C63" i="15"/>
  <c r="C67" i="15"/>
  <c r="C67" i="8"/>
  <c r="U67" i="8" s="1"/>
  <c r="C75" i="10"/>
  <c r="C75" i="16"/>
  <c r="C76" i="16"/>
  <c r="C76" i="10"/>
  <c r="C79" i="10"/>
  <c r="C79" i="16"/>
  <c r="C14" i="6"/>
  <c r="C14" i="14"/>
  <c r="E6" i="19" s="1"/>
  <c r="C15" i="16"/>
  <c r="C15" i="10"/>
  <c r="AA15" i="10" s="1"/>
  <c r="C18" i="16"/>
  <c r="C18" i="10"/>
  <c r="AA18" i="10" s="1"/>
  <c r="C24" i="10"/>
  <c r="AA24" i="10" s="1"/>
  <c r="C24" i="16"/>
  <c r="C3" i="10"/>
  <c r="AA3" i="10" s="1"/>
  <c r="C3" i="16"/>
  <c r="C5" i="10"/>
  <c r="AA5" i="10" s="1"/>
  <c r="C5" i="16"/>
  <c r="C8" i="16"/>
  <c r="C8" i="10"/>
  <c r="AA8" i="10" s="1"/>
  <c r="C74" i="6"/>
  <c r="C74" i="14"/>
  <c r="E11" i="19" s="1"/>
  <c r="H88" i="15"/>
  <c r="Q88" i="15" s="1"/>
  <c r="G88" i="6"/>
  <c r="R88" i="6" s="1"/>
  <c r="G88" i="14"/>
  <c r="O88" i="14" s="1"/>
  <c r="H88" i="8"/>
  <c r="C7" i="8"/>
  <c r="U7" i="8" s="1"/>
  <c r="C7" i="15"/>
  <c r="K2" i="2"/>
  <c r="L5" i="19"/>
  <c r="O5" i="19" s="1"/>
  <c r="C3" i="15"/>
  <c r="C3" i="8"/>
  <c r="U3" i="8" s="1"/>
  <c r="O86" i="2"/>
  <c r="T12" i="19"/>
  <c r="W12" i="19" s="1"/>
  <c r="C89" i="16"/>
  <c r="C89" i="10"/>
  <c r="C91" i="16"/>
  <c r="C91" i="10"/>
  <c r="C31" i="14"/>
  <c r="C31" i="6"/>
  <c r="S31" i="6" s="1"/>
  <c r="C34" i="14"/>
  <c r="C34" i="6"/>
  <c r="S34" i="6" s="1"/>
  <c r="C32" i="14"/>
  <c r="C32" i="6"/>
  <c r="S32" i="6" s="1"/>
  <c r="C19" i="8"/>
  <c r="U19" i="8" s="1"/>
  <c r="C19" i="15"/>
  <c r="K14" i="2"/>
  <c r="C22" i="8"/>
  <c r="U22" i="8" s="1"/>
  <c r="C22" i="15"/>
  <c r="C43" i="15"/>
  <c r="C43" i="8"/>
  <c r="U43" i="8" s="1"/>
  <c r="C73" i="10"/>
  <c r="AA73" i="10" s="1"/>
  <c r="C73" i="16"/>
  <c r="M105" i="16"/>
  <c r="Y93" i="16"/>
  <c r="C8" i="6"/>
  <c r="S8" i="6" s="1"/>
  <c r="C8" i="14"/>
  <c r="C59" i="8"/>
  <c r="U59" i="8" s="1"/>
  <c r="C59" i="15"/>
  <c r="C72" i="10"/>
  <c r="AA72" i="10" s="1"/>
  <c r="C72" i="16"/>
  <c r="C67" i="10"/>
  <c r="AA67" i="10" s="1"/>
  <c r="C67" i="16"/>
  <c r="C69" i="10"/>
  <c r="AA69" i="10" s="1"/>
  <c r="C69" i="16"/>
  <c r="C50" i="14"/>
  <c r="E9" i="19" s="1"/>
  <c r="C50" i="6"/>
  <c r="U95" i="16"/>
  <c r="I107" i="16"/>
  <c r="C5" i="6"/>
  <c r="S5" i="6" s="1"/>
  <c r="C5" i="14"/>
  <c r="C7" i="6"/>
  <c r="S7" i="6" s="1"/>
  <c r="C7" i="14"/>
  <c r="C12" i="6"/>
  <c r="S12" i="6" s="1"/>
  <c r="C12" i="14"/>
  <c r="C55" i="15"/>
  <c r="C55" i="8"/>
  <c r="U55" i="8" s="1"/>
  <c r="C61" i="8"/>
  <c r="U61" i="8" s="1"/>
  <c r="C61" i="15"/>
  <c r="C52" i="8"/>
  <c r="U52" i="8" s="1"/>
  <c r="C52" i="15"/>
  <c r="C56" i="16"/>
  <c r="C56" i="10"/>
  <c r="AA56" i="10" s="1"/>
  <c r="C61" i="16"/>
  <c r="C61" i="10"/>
  <c r="AA61" i="10" s="1"/>
  <c r="C52" i="16"/>
  <c r="C52" i="10"/>
  <c r="AA52" i="10" s="1"/>
  <c r="K86" i="2"/>
  <c r="C28" i="16"/>
  <c r="C28" i="10"/>
  <c r="AA28" i="10" s="1"/>
  <c r="O26" i="2"/>
  <c r="T7" i="19"/>
  <c r="W7" i="19" s="1"/>
  <c r="C37" i="10"/>
  <c r="AA37" i="10" s="1"/>
  <c r="C37" i="16"/>
  <c r="I109" i="16"/>
  <c r="U97" i="16"/>
  <c r="C40" i="14"/>
  <c r="C40" i="6"/>
  <c r="S40" i="6" s="1"/>
  <c r="C48" i="14"/>
  <c r="C48" i="6"/>
  <c r="S48" i="6" s="1"/>
  <c r="C47" i="6"/>
  <c r="S47" i="6" s="1"/>
  <c r="C47" i="14"/>
  <c r="I88" i="8"/>
  <c r="I88" i="15"/>
  <c r="R88" i="15" s="1"/>
  <c r="C71" i="14"/>
  <c r="C71" i="6"/>
  <c r="S71" i="6" s="1"/>
  <c r="C72" i="6"/>
  <c r="S72" i="6" s="1"/>
  <c r="C72" i="14"/>
  <c r="G62" i="2"/>
  <c r="D10" i="19"/>
  <c r="G10" i="19" s="1"/>
  <c r="V91" i="16"/>
  <c r="J103" i="16"/>
  <c r="C36" i="8"/>
  <c r="U36" i="8" s="1"/>
  <c r="C36" i="15"/>
  <c r="C28" i="8"/>
  <c r="U28" i="8" s="1"/>
  <c r="C28" i="15"/>
  <c r="C31" i="8"/>
  <c r="U31" i="8" s="1"/>
  <c r="C31" i="15"/>
  <c r="C47" i="16"/>
  <c r="C47" i="10"/>
  <c r="AA47" i="10" s="1"/>
  <c r="C42" i="16"/>
  <c r="C42" i="10"/>
  <c r="AA42" i="10" s="1"/>
  <c r="C40" i="10"/>
  <c r="AA40" i="10" s="1"/>
  <c r="C40" i="16"/>
  <c r="C64" i="8"/>
  <c r="U64" i="8" s="1"/>
  <c r="C64" i="15"/>
  <c r="C66" i="8"/>
  <c r="U66" i="8" s="1"/>
  <c r="C66" i="15"/>
  <c r="C70" i="15"/>
  <c r="C70" i="8"/>
  <c r="U70" i="8" s="1"/>
  <c r="C77" i="16"/>
  <c r="C77" i="10"/>
  <c r="AA77" i="10" s="1"/>
  <c r="C78" i="16"/>
  <c r="C78" i="10"/>
  <c r="AA78" i="10" s="1"/>
  <c r="C83" i="16"/>
  <c r="C83" i="10"/>
  <c r="C16" i="16"/>
  <c r="C16" i="10"/>
  <c r="AA16" i="10" s="1"/>
  <c r="C23" i="16"/>
  <c r="C23" i="10"/>
  <c r="AA23" i="10" s="1"/>
  <c r="C20" i="10"/>
  <c r="AA20" i="10" s="1"/>
  <c r="C20" i="16"/>
  <c r="C10" i="10"/>
  <c r="AA10" i="10" s="1"/>
  <c r="C10" i="16"/>
  <c r="C9" i="10"/>
  <c r="AA9" i="10" s="1"/>
  <c r="C9" i="16"/>
  <c r="C12" i="10"/>
  <c r="AA12" i="10" s="1"/>
  <c r="C12" i="16"/>
  <c r="K87" i="16"/>
  <c r="K87" i="10"/>
  <c r="C6" i="8"/>
  <c r="U6" i="8" s="1"/>
  <c r="C6" i="15"/>
  <c r="C5" i="8"/>
  <c r="U5" i="8" s="1"/>
  <c r="C5" i="15"/>
  <c r="C9" i="8"/>
  <c r="U9" i="8" s="1"/>
  <c r="C9" i="15"/>
  <c r="C92" i="10"/>
  <c r="AA92" i="10" s="1"/>
  <c r="C92" i="16"/>
  <c r="C87" i="16"/>
  <c r="C87" i="10"/>
  <c r="C97" i="16"/>
  <c r="C97" i="10"/>
  <c r="AA97" i="10" s="1"/>
  <c r="C30" i="14"/>
  <c r="C30" i="6"/>
  <c r="S30" i="6" s="1"/>
  <c r="C33" i="14"/>
  <c r="C33" i="6"/>
  <c r="S33" i="6" s="1"/>
  <c r="C28" i="14"/>
  <c r="C28" i="6"/>
  <c r="S28" i="6" s="1"/>
  <c r="C25" i="8"/>
  <c r="U25" i="8" s="1"/>
  <c r="C25" i="15"/>
  <c r="C17" i="8"/>
  <c r="U17" i="8" s="1"/>
  <c r="C17" i="15"/>
  <c r="C21" i="15"/>
  <c r="C21" i="8"/>
  <c r="U21" i="8" s="1"/>
  <c r="C40" i="15"/>
  <c r="C40" i="8"/>
  <c r="U40" i="8" s="1"/>
  <c r="C41" i="8"/>
  <c r="U41" i="8" s="1"/>
  <c r="C41" i="15"/>
  <c r="C44" i="8"/>
  <c r="U44" i="8" s="1"/>
  <c r="C44" i="15"/>
  <c r="C64" i="10"/>
  <c r="AA64" i="10" s="1"/>
  <c r="C64" i="16"/>
  <c r="L89" i="16"/>
  <c r="X89" i="16" s="1"/>
  <c r="L89" i="10"/>
  <c r="C6" i="14"/>
  <c r="C6" i="6"/>
  <c r="S6" i="6" s="1"/>
  <c r="U91" i="16"/>
  <c r="I103" i="16"/>
  <c r="C58" i="16"/>
  <c r="C58" i="10"/>
  <c r="AA58" i="10" s="1"/>
  <c r="P103" i="14"/>
  <c r="H104" i="14"/>
  <c r="C63" i="10"/>
  <c r="AA63" i="10" s="1"/>
  <c r="C63" i="16"/>
  <c r="O62" i="2"/>
  <c r="T10" i="19"/>
  <c r="W10" i="19" s="1"/>
  <c r="C70" i="16"/>
  <c r="C70" i="10"/>
  <c r="AA70" i="10" s="1"/>
  <c r="J97" i="8"/>
  <c r="T97" i="8" s="1"/>
  <c r="J97" i="15"/>
  <c r="S97" i="15" s="1"/>
  <c r="I91" i="8"/>
  <c r="T91" i="8" s="1"/>
  <c r="I91" i="15"/>
  <c r="R91" i="15" s="1"/>
  <c r="J82" i="2"/>
  <c r="K82" i="2" s="1"/>
  <c r="J84" i="2"/>
  <c r="K84" i="2" s="1"/>
  <c r="J80" i="2"/>
  <c r="K80" i="2" s="1"/>
  <c r="J78" i="2"/>
  <c r="K78" i="2" s="1"/>
  <c r="J76" i="2"/>
  <c r="K76" i="2" s="1"/>
  <c r="J83" i="2"/>
  <c r="K83" i="2" s="1"/>
  <c r="J77" i="2"/>
  <c r="K77" i="2" s="1"/>
  <c r="J74" i="2"/>
  <c r="J85" i="2"/>
  <c r="K85" i="2" s="1"/>
  <c r="J79" i="2"/>
  <c r="K79" i="2" s="1"/>
  <c r="J81" i="2"/>
  <c r="K81" i="2" s="1"/>
  <c r="J75" i="2"/>
  <c r="K75" i="2" s="1"/>
  <c r="C3" i="14"/>
  <c r="C3" i="6"/>
  <c r="S3" i="6" s="1"/>
  <c r="C13" i="14"/>
  <c r="C13" i="6"/>
  <c r="S13" i="6" s="1"/>
  <c r="C11" i="14"/>
  <c r="C11" i="6"/>
  <c r="S11" i="6" s="1"/>
  <c r="C60" i="15"/>
  <c r="C60" i="8"/>
  <c r="U60" i="8" s="1"/>
  <c r="C51" i="8"/>
  <c r="U51" i="8" s="1"/>
  <c r="C51" i="15"/>
  <c r="C58" i="8"/>
  <c r="U58" i="8" s="1"/>
  <c r="C58" i="15"/>
  <c r="C54" i="10"/>
  <c r="AA54" i="10" s="1"/>
  <c r="C54" i="16"/>
  <c r="C59" i="10"/>
  <c r="AA59" i="10" s="1"/>
  <c r="C59" i="16"/>
  <c r="O50" i="2"/>
  <c r="T9" i="19"/>
  <c r="W9" i="19" s="1"/>
  <c r="V86" i="16"/>
  <c r="J98" i="16"/>
  <c r="C89" i="8"/>
  <c r="U89" i="8" s="1"/>
  <c r="C89" i="15"/>
  <c r="C96" i="8"/>
  <c r="U96" i="8" s="1"/>
  <c r="C96" i="15"/>
  <c r="C29" i="16"/>
  <c r="C29" i="10"/>
  <c r="AA29" i="10" s="1"/>
  <c r="C31" i="10"/>
  <c r="AA31" i="10" s="1"/>
  <c r="C31" i="16"/>
  <c r="C36" i="10"/>
  <c r="AA36" i="10" s="1"/>
  <c r="C36" i="16"/>
  <c r="Z89" i="10"/>
  <c r="G38" i="2"/>
  <c r="D8" i="19"/>
  <c r="G8" i="19" s="1"/>
  <c r="C45" i="14"/>
  <c r="C45" i="6"/>
  <c r="S45" i="6" s="1"/>
  <c r="C46" i="6"/>
  <c r="S46" i="6" s="1"/>
  <c r="C46" i="14"/>
  <c r="C67" i="14"/>
  <c r="C67" i="6"/>
  <c r="S67" i="6" s="1"/>
  <c r="C68" i="14"/>
  <c r="C68" i="6"/>
  <c r="S68" i="6" s="1"/>
  <c r="C73" i="14"/>
  <c r="C73" i="6"/>
  <c r="S73" i="6" s="1"/>
  <c r="C29" i="15"/>
  <c r="C29" i="8"/>
  <c r="U29" i="8" s="1"/>
  <c r="C32" i="15"/>
  <c r="C32" i="8"/>
  <c r="U32" i="8" s="1"/>
  <c r="C34" i="15"/>
  <c r="C34" i="8"/>
  <c r="U34" i="8" s="1"/>
  <c r="O38" i="2"/>
  <c r="T8" i="19"/>
  <c r="W8" i="19" s="1"/>
  <c r="C46" i="16"/>
  <c r="C46" i="10"/>
  <c r="AA46" i="10" s="1"/>
  <c r="C49" i="16"/>
  <c r="C49" i="10"/>
  <c r="AA49" i="10" s="1"/>
  <c r="K62" i="2"/>
  <c r="L10" i="19"/>
  <c r="O10" i="19" s="1"/>
  <c r="C69" i="15"/>
  <c r="C69" i="8"/>
  <c r="U69" i="8" s="1"/>
  <c r="C73" i="8"/>
  <c r="U73" i="8" s="1"/>
  <c r="C73" i="15"/>
  <c r="C85" i="10"/>
  <c r="AA85" i="10" s="1"/>
  <c r="C85" i="16"/>
  <c r="C81" i="10"/>
  <c r="AA81" i="10" s="1"/>
  <c r="C81" i="16"/>
  <c r="C82" i="16"/>
  <c r="C82" i="10"/>
  <c r="AA82" i="10" s="1"/>
  <c r="C86" i="14"/>
  <c r="E12" i="19" s="1"/>
  <c r="C86" i="6"/>
  <c r="C19" i="16"/>
  <c r="C19" i="10"/>
  <c r="AA19" i="10" s="1"/>
  <c r="O14" i="2"/>
  <c r="T6" i="19"/>
  <c r="W6" i="19" s="1"/>
  <c r="C25" i="10"/>
  <c r="AA25" i="10" s="1"/>
  <c r="C25" i="16"/>
  <c r="J104" i="16"/>
  <c r="V92" i="16"/>
  <c r="C11" i="10"/>
  <c r="AA11" i="10" s="1"/>
  <c r="C11" i="16"/>
  <c r="C4" i="16"/>
  <c r="C4" i="10"/>
  <c r="AA4" i="10" s="1"/>
  <c r="C13" i="10"/>
  <c r="AA13" i="10" s="1"/>
  <c r="C13" i="16"/>
  <c r="C13" i="15"/>
  <c r="C13" i="8"/>
  <c r="U13" i="8" s="1"/>
  <c r="C10" i="8"/>
  <c r="U10" i="8" s="1"/>
  <c r="C10" i="15"/>
  <c r="C4" i="15"/>
  <c r="C4" i="8"/>
  <c r="U4" i="8" s="1"/>
  <c r="C88" i="10"/>
  <c r="C88" i="16"/>
  <c r="C94" i="16"/>
  <c r="C94" i="10"/>
  <c r="AA94" i="10" s="1"/>
  <c r="C93" i="16"/>
  <c r="C93" i="10"/>
  <c r="AA93" i="10" s="1"/>
  <c r="C37" i="14"/>
  <c r="C37" i="6"/>
  <c r="S37" i="6" s="1"/>
  <c r="G26" i="2"/>
  <c r="D7" i="19"/>
  <c r="G7" i="19" s="1"/>
  <c r="C27" i="14"/>
  <c r="C27" i="6"/>
  <c r="S27" i="6" s="1"/>
  <c r="C10" i="14"/>
  <c r="C10" i="6"/>
  <c r="S10" i="6" s="1"/>
  <c r="C54" i="15"/>
  <c r="C54" i="8"/>
  <c r="U54" i="8" s="1"/>
  <c r="C53" i="16"/>
  <c r="C53" i="10"/>
  <c r="AA53" i="10" s="1"/>
  <c r="C57" i="10"/>
  <c r="AA57" i="10" s="1"/>
  <c r="C57" i="16"/>
  <c r="L76" i="16"/>
  <c r="X76" i="16" s="1"/>
  <c r="L76" i="10"/>
  <c r="Z76" i="10" s="1"/>
  <c r="AY88" i="2"/>
  <c r="C94" i="8"/>
  <c r="U94" i="8" s="1"/>
  <c r="C94" i="15"/>
  <c r="C93" i="8"/>
  <c r="U93" i="8" s="1"/>
  <c r="C93" i="15"/>
  <c r="C90" i="15"/>
  <c r="C90" i="8"/>
  <c r="C33" i="16"/>
  <c r="C33" i="10"/>
  <c r="AA33" i="10" s="1"/>
  <c r="C32" i="16"/>
  <c r="C32" i="10"/>
  <c r="AA32" i="10" s="1"/>
  <c r="C35" i="10"/>
  <c r="AA35" i="10" s="1"/>
  <c r="C35" i="16"/>
  <c r="V89" i="16"/>
  <c r="J101" i="16"/>
  <c r="C43" i="6"/>
  <c r="S43" i="6" s="1"/>
  <c r="C43" i="14"/>
  <c r="C41" i="6"/>
  <c r="S41" i="6" s="1"/>
  <c r="C41" i="14"/>
  <c r="C49" i="14"/>
  <c r="C49" i="6"/>
  <c r="S49" i="6" s="1"/>
  <c r="C65" i="14"/>
  <c r="C65" i="6"/>
  <c r="S65" i="6" s="1"/>
  <c r="C70" i="6"/>
  <c r="S70" i="6" s="1"/>
  <c r="C70" i="14"/>
  <c r="C66" i="14"/>
  <c r="C66" i="6"/>
  <c r="S66" i="6" s="1"/>
  <c r="C27" i="15"/>
  <c r="C27" i="8"/>
  <c r="U27" i="8" s="1"/>
  <c r="K26" i="2"/>
  <c r="L7" i="19"/>
  <c r="O7" i="19" s="1"/>
  <c r="C30" i="15"/>
  <c r="C30" i="8"/>
  <c r="U30" i="8" s="1"/>
  <c r="C43" i="16"/>
  <c r="C43" i="10"/>
  <c r="AA43" i="10" s="1"/>
  <c r="C39" i="16"/>
  <c r="C39" i="10"/>
  <c r="AA39" i="10" s="1"/>
  <c r="C45" i="10"/>
  <c r="AA45" i="10" s="1"/>
  <c r="C45" i="16"/>
  <c r="C72" i="8"/>
  <c r="U72" i="8" s="1"/>
  <c r="C72" i="15"/>
  <c r="C71" i="15"/>
  <c r="C71" i="8"/>
  <c r="U71" i="8" s="1"/>
  <c r="C68" i="8"/>
  <c r="U68" i="8" s="1"/>
  <c r="C68" i="15"/>
  <c r="O74" i="2"/>
  <c r="T11" i="19"/>
  <c r="W11" i="19" s="1"/>
  <c r="C80" i="10"/>
  <c r="AA80" i="10" s="1"/>
  <c r="C80" i="16"/>
  <c r="C84" i="10"/>
  <c r="AA84" i="10" s="1"/>
  <c r="C84" i="16"/>
  <c r="C21" i="16"/>
  <c r="C21" i="10"/>
  <c r="AA21" i="10" s="1"/>
  <c r="C17" i="10"/>
  <c r="AA17" i="10" s="1"/>
  <c r="C17" i="16"/>
  <c r="C22" i="16"/>
  <c r="C22" i="10"/>
  <c r="AA22" i="10" s="1"/>
  <c r="L83" i="16"/>
  <c r="X83" i="16" s="1"/>
  <c r="L83" i="10"/>
  <c r="Z83" i="10" s="1"/>
  <c r="AY95" i="2"/>
  <c r="K86" i="16"/>
  <c r="K86" i="10"/>
  <c r="Z86" i="10" s="1"/>
  <c r="C6" i="10"/>
  <c r="AA6" i="10" s="1"/>
  <c r="C6" i="16"/>
  <c r="O2" i="2"/>
  <c r="T5" i="19"/>
  <c r="W5" i="19" s="1"/>
  <c r="C7" i="16"/>
  <c r="C7" i="10"/>
  <c r="AA7" i="10" s="1"/>
  <c r="T76" i="8"/>
  <c r="I10" i="13" s="1"/>
  <c r="C12" i="15"/>
  <c r="C12" i="8"/>
  <c r="U12" i="8" s="1"/>
  <c r="C8" i="15"/>
  <c r="C8" i="8"/>
  <c r="U8" i="8" s="1"/>
  <c r="C11" i="15"/>
  <c r="C11" i="8"/>
  <c r="U11" i="8" s="1"/>
  <c r="C95" i="16"/>
  <c r="C95" i="10"/>
  <c r="C90" i="16"/>
  <c r="C90" i="10"/>
  <c r="AA90" i="10" s="1"/>
  <c r="C96" i="10"/>
  <c r="AA96" i="10" s="1"/>
  <c r="C96" i="16"/>
  <c r="C36" i="6"/>
  <c r="S36" i="6" s="1"/>
  <c r="C36" i="14"/>
  <c r="C35" i="14"/>
  <c r="C35" i="6"/>
  <c r="S35" i="6" s="1"/>
  <c r="C29" i="14"/>
  <c r="C29" i="6"/>
  <c r="S29" i="6" s="1"/>
  <c r="L75" i="16"/>
  <c r="X75" i="16" s="1"/>
  <c r="L75" i="10"/>
  <c r="Z75" i="10" s="1"/>
  <c r="AY87" i="2"/>
  <c r="L79" i="16"/>
  <c r="X79" i="16" s="1"/>
  <c r="L79" i="10"/>
  <c r="Z79" i="10" s="1"/>
  <c r="AY91" i="2"/>
  <c r="C24" i="8"/>
  <c r="U24" i="8" s="1"/>
  <c r="C24" i="15"/>
  <c r="D57" i="14"/>
  <c r="L57" i="14" s="1"/>
  <c r="Z35" i="16"/>
  <c r="E38" i="15"/>
  <c r="N38" i="15" s="1"/>
  <c r="Z24" i="16"/>
  <c r="Z20" i="16"/>
  <c r="E58" i="14"/>
  <c r="M58" i="14" s="1"/>
  <c r="V5" i="19"/>
  <c r="H106" i="16"/>
  <c r="T105" i="16"/>
  <c r="M43" i="15"/>
  <c r="T43" i="15" s="1"/>
  <c r="D55" i="15"/>
  <c r="F6" i="19"/>
  <c r="H6" i="19" s="1"/>
  <c r="M71" i="14"/>
  <c r="E83" i="14"/>
  <c r="E39" i="15"/>
  <c r="N39" i="15" s="1"/>
  <c r="T27" i="15"/>
  <c r="E51" i="14"/>
  <c r="M51" i="14" s="1"/>
  <c r="R39" i="14"/>
  <c r="R27" i="16"/>
  <c r="Z27" i="16" s="1"/>
  <c r="F39" i="16"/>
  <c r="N5" i="19"/>
  <c r="R32" i="14"/>
  <c r="T35" i="15"/>
  <c r="R43" i="14"/>
  <c r="D67" i="14"/>
  <c r="L67" i="14" s="1"/>
  <c r="E67" i="16"/>
  <c r="Q55" i="16"/>
  <c r="Q42" i="16"/>
  <c r="E54" i="16"/>
  <c r="D54" i="15"/>
  <c r="M54" i="15" s="1"/>
  <c r="D50" i="14"/>
  <c r="L50" i="14" s="1"/>
  <c r="R38" i="14"/>
  <c r="Q26" i="16"/>
  <c r="Z26" i="16" s="1"/>
  <c r="E38" i="16"/>
  <c r="E59" i="15"/>
  <c r="N59" i="15" s="1"/>
  <c r="T26" i="15"/>
  <c r="D38" i="15"/>
  <c r="M38" i="15" s="1"/>
  <c r="E57" i="16"/>
  <c r="Q45" i="16"/>
  <c r="Q82" i="16"/>
  <c r="E94" i="16"/>
  <c r="R30" i="16"/>
  <c r="Z30" i="16" s="1"/>
  <c r="F42" i="16"/>
  <c r="D59" i="15"/>
  <c r="M59" i="15" s="1"/>
  <c r="D56" i="14"/>
  <c r="L56" i="14" s="1"/>
  <c r="R59" i="14"/>
  <c r="D71" i="14"/>
  <c r="L71" i="14" s="1"/>
  <c r="E44" i="16"/>
  <c r="Q32" i="16"/>
  <c r="E59" i="16"/>
  <c r="Q47" i="16"/>
  <c r="D73" i="14"/>
  <c r="L73" i="14" s="1"/>
  <c r="T30" i="15"/>
  <c r="E42" i="15"/>
  <c r="N42" i="15" s="1"/>
  <c r="D53" i="15"/>
  <c r="M53" i="15" s="1"/>
  <c r="D57" i="15"/>
  <c r="M57" i="15" s="1"/>
  <c r="T20" i="15"/>
  <c r="R36" i="14"/>
  <c r="Q41" i="16"/>
  <c r="E53" i="16"/>
  <c r="D65" i="14"/>
  <c r="L65" i="14" s="1"/>
  <c r="D44" i="15"/>
  <c r="M44" i="15" s="1"/>
  <c r="E54" i="14"/>
  <c r="M54" i="14" s="1"/>
  <c r="R42" i="14"/>
  <c r="F41" i="16"/>
  <c r="R29" i="16"/>
  <c r="Z29" i="16" s="1"/>
  <c r="E55" i="15"/>
  <c r="N55" i="15" s="1"/>
  <c r="E63" i="16"/>
  <c r="Q51" i="16"/>
  <c r="E44" i="15"/>
  <c r="N44" i="15" s="1"/>
  <c r="D60" i="14"/>
  <c r="L60" i="14" s="1"/>
  <c r="D40" i="15"/>
  <c r="M40" i="15" s="1"/>
  <c r="T28" i="15"/>
  <c r="D48" i="15"/>
  <c r="M48" i="15" s="1"/>
  <c r="R37" i="16"/>
  <c r="Z37" i="16" s="1"/>
  <c r="F49" i="16"/>
  <c r="F74" i="16"/>
  <c r="R62" i="16"/>
  <c r="T37" i="15"/>
  <c r="E49" i="15"/>
  <c r="N49" i="15" s="1"/>
  <c r="E60" i="14"/>
  <c r="M60" i="14" s="1"/>
  <c r="E61" i="14"/>
  <c r="M61" i="14" s="1"/>
  <c r="R49" i="14"/>
  <c r="R33" i="16"/>
  <c r="Z33" i="16" s="1"/>
  <c r="F45" i="16"/>
  <c r="E56" i="14"/>
  <c r="M56" i="14" s="1"/>
  <c r="F58" i="16"/>
  <c r="R46" i="16"/>
  <c r="Z46" i="16" s="1"/>
  <c r="E73" i="16"/>
  <c r="Q61" i="16"/>
  <c r="R41" i="14"/>
  <c r="E53" i="14"/>
  <c r="M53" i="14" s="1"/>
  <c r="R40" i="14"/>
  <c r="D52" i="14"/>
  <c r="L52" i="14" s="1"/>
  <c r="R32" i="16"/>
  <c r="F44" i="16"/>
  <c r="T24" i="15"/>
  <c r="E48" i="15"/>
  <c r="N48" i="15" s="1"/>
  <c r="F48" i="16"/>
  <c r="R36" i="16"/>
  <c r="E57" i="14"/>
  <c r="M57" i="14" s="1"/>
  <c r="R45" i="14"/>
  <c r="E48" i="16"/>
  <c r="Q36" i="16"/>
  <c r="E40" i="16"/>
  <c r="Q28" i="16"/>
  <c r="Z28" i="16" s="1"/>
  <c r="R43" i="16"/>
  <c r="Z43" i="16" s="1"/>
  <c r="F55" i="16"/>
  <c r="F52" i="16"/>
  <c r="R40" i="16"/>
  <c r="E67" i="14"/>
  <c r="M67" i="14" s="1"/>
  <c r="E58" i="15"/>
  <c r="N58" i="15" s="1"/>
  <c r="T46" i="15"/>
  <c r="T29" i="15"/>
  <c r="E41" i="15"/>
  <c r="N41" i="15" s="1"/>
  <c r="E45" i="15"/>
  <c r="N45" i="15" s="1"/>
  <c r="T33" i="15"/>
  <c r="E52" i="15"/>
  <c r="N52" i="15" s="1"/>
  <c r="D70" i="14" l="1"/>
  <c r="L70" i="14" s="1"/>
  <c r="D78" i="14"/>
  <c r="L78" i="14" s="1"/>
  <c r="D70" i="15"/>
  <c r="M70" i="15" s="1"/>
  <c r="R58" i="14"/>
  <c r="D85" i="15"/>
  <c r="M85" i="15" s="1"/>
  <c r="U95" i="8"/>
  <c r="N10" i="13"/>
  <c r="F59" i="16"/>
  <c r="F71" i="16" s="1"/>
  <c r="D63" i="15"/>
  <c r="M63" i="15" s="1"/>
  <c r="C95" i="15"/>
  <c r="C15" i="8"/>
  <c r="U15" i="8" s="1"/>
  <c r="C91" i="15"/>
  <c r="C92" i="15"/>
  <c r="C87" i="8"/>
  <c r="U87" i="8" s="1"/>
  <c r="C18" i="8"/>
  <c r="U18" i="8" s="1"/>
  <c r="C47" i="15"/>
  <c r="C48" i="15"/>
  <c r="C20" i="8"/>
  <c r="U20" i="8" s="1"/>
  <c r="E64" i="14"/>
  <c r="M64" i="14" s="1"/>
  <c r="C88" i="15"/>
  <c r="C49" i="8"/>
  <c r="U49" i="8" s="1"/>
  <c r="C23" i="8"/>
  <c r="U23" i="8" s="1"/>
  <c r="L12" i="19"/>
  <c r="O12" i="19" s="1"/>
  <c r="C97" i="15"/>
  <c r="C42" i="15"/>
  <c r="D75" i="14"/>
  <c r="L75" i="14" s="1"/>
  <c r="E50" i="15"/>
  <c r="N50" i="15" s="1"/>
  <c r="C39" i="15"/>
  <c r="C45" i="8"/>
  <c r="U45" i="8" s="1"/>
  <c r="C46" i="15"/>
  <c r="C16" i="8"/>
  <c r="U16" i="8" s="1"/>
  <c r="L6" i="19"/>
  <c r="O6" i="19" s="1"/>
  <c r="L8" i="19"/>
  <c r="O8" i="19" s="1"/>
  <c r="L51" i="14"/>
  <c r="R51" i="14" s="1"/>
  <c r="E74" i="14"/>
  <c r="M74" i="14" s="1"/>
  <c r="P5" i="19"/>
  <c r="AA76" i="10"/>
  <c r="AA79" i="10"/>
  <c r="U97" i="8"/>
  <c r="L87" i="16"/>
  <c r="X87" i="16" s="1"/>
  <c r="L87" i="10"/>
  <c r="D69" i="14"/>
  <c r="L69" i="14" s="1"/>
  <c r="C38" i="15"/>
  <c r="C38" i="8"/>
  <c r="L95" i="16"/>
  <c r="X95" i="16" s="1"/>
  <c r="L95" i="10"/>
  <c r="Z95" i="10" s="1"/>
  <c r="C26" i="14"/>
  <c r="E7" i="19" s="1"/>
  <c r="C26" i="6"/>
  <c r="C79" i="15"/>
  <c r="C79" i="8"/>
  <c r="U79" i="8" s="1"/>
  <c r="C83" i="15"/>
  <c r="C83" i="8"/>
  <c r="U83" i="8" s="1"/>
  <c r="C84" i="8"/>
  <c r="U84" i="8" s="1"/>
  <c r="C84" i="15"/>
  <c r="Z87" i="10"/>
  <c r="AA87" i="10" s="1"/>
  <c r="S50" i="6"/>
  <c r="C8" i="13"/>
  <c r="E8" i="13" s="1"/>
  <c r="T88" i="8"/>
  <c r="J113" i="16"/>
  <c r="V113" i="16" s="1"/>
  <c r="V101" i="16"/>
  <c r="C38" i="16"/>
  <c r="C38" i="10"/>
  <c r="C50" i="10"/>
  <c r="C50" i="16"/>
  <c r="U9" i="19" s="1"/>
  <c r="S9" i="19" s="1"/>
  <c r="C85" i="8"/>
  <c r="U85" i="8" s="1"/>
  <c r="C85" i="15"/>
  <c r="C76" i="15"/>
  <c r="C76" i="8"/>
  <c r="U76" i="8" s="1"/>
  <c r="C82" i="8"/>
  <c r="U82" i="8" s="1"/>
  <c r="C82" i="15"/>
  <c r="K99" i="16"/>
  <c r="W87" i="16"/>
  <c r="U8" i="19"/>
  <c r="S8" i="19" s="1"/>
  <c r="C62" i="14"/>
  <c r="E10" i="19" s="1"/>
  <c r="C62" i="6"/>
  <c r="C86" i="16"/>
  <c r="U12" i="19" s="1"/>
  <c r="S12" i="19" s="1"/>
  <c r="C86" i="10"/>
  <c r="C2" i="15"/>
  <c r="M5" i="19" s="1"/>
  <c r="C2" i="8"/>
  <c r="S74" i="6"/>
  <c r="C10" i="13"/>
  <c r="E10" i="13" s="1"/>
  <c r="AA75" i="10"/>
  <c r="C74" i="16"/>
  <c r="U11" i="19" s="1"/>
  <c r="S11" i="19" s="1"/>
  <c r="C74" i="10"/>
  <c r="C26" i="8"/>
  <c r="C26" i="15"/>
  <c r="M7" i="19" s="1"/>
  <c r="S86" i="6"/>
  <c r="C11" i="13"/>
  <c r="V98" i="16"/>
  <c r="J110" i="16"/>
  <c r="V110" i="16" s="1"/>
  <c r="C75" i="15"/>
  <c r="C75" i="8"/>
  <c r="U75" i="8" s="1"/>
  <c r="K74" i="2"/>
  <c r="L11" i="19"/>
  <c r="O11" i="19" s="1"/>
  <c r="C78" i="8"/>
  <c r="U78" i="8" s="1"/>
  <c r="C78" i="15"/>
  <c r="P104" i="14"/>
  <c r="H105" i="14"/>
  <c r="U103" i="16"/>
  <c r="I115" i="16"/>
  <c r="U115" i="16" s="1"/>
  <c r="AA83" i="10"/>
  <c r="V103" i="16"/>
  <c r="J115" i="16"/>
  <c r="V115" i="16" s="1"/>
  <c r="I119" i="16"/>
  <c r="U119" i="16" s="1"/>
  <c r="U107" i="16"/>
  <c r="AA89" i="10"/>
  <c r="S88" i="6"/>
  <c r="D11" i="13"/>
  <c r="K119" i="16"/>
  <c r="W119" i="16" s="1"/>
  <c r="W107" i="16"/>
  <c r="C2" i="14"/>
  <c r="E5" i="19" s="1"/>
  <c r="C2" i="6"/>
  <c r="C50" i="15"/>
  <c r="M9" i="19" s="1"/>
  <c r="C50" i="8"/>
  <c r="X5" i="19"/>
  <c r="L91" i="16"/>
  <c r="X91" i="16" s="1"/>
  <c r="L91" i="10"/>
  <c r="Z91" i="10" s="1"/>
  <c r="AA91" i="10" s="1"/>
  <c r="AA95" i="10"/>
  <c r="C2" i="16"/>
  <c r="U5" i="19" s="1"/>
  <c r="S5" i="19" s="1"/>
  <c r="C5" i="20" s="1"/>
  <c r="D5" i="20" s="1"/>
  <c r="C2" i="10"/>
  <c r="K98" i="16"/>
  <c r="W86" i="16"/>
  <c r="L88" i="16"/>
  <c r="X88" i="16" s="1"/>
  <c r="L88" i="10"/>
  <c r="Z88" i="10" s="1"/>
  <c r="V104" i="16"/>
  <c r="J116" i="16"/>
  <c r="V116" i="16" s="1"/>
  <c r="C14" i="10"/>
  <c r="C14" i="16"/>
  <c r="U6" i="19" s="1"/>
  <c r="S6" i="19" s="1"/>
  <c r="C6" i="20" s="1"/>
  <c r="D6" i="20" s="1"/>
  <c r="C62" i="15"/>
  <c r="M10" i="19" s="1"/>
  <c r="C62" i="8"/>
  <c r="C38" i="6"/>
  <c r="C38" i="14"/>
  <c r="E8" i="19" s="1"/>
  <c r="C81" i="15"/>
  <c r="C81" i="8"/>
  <c r="U81" i="8" s="1"/>
  <c r="C77" i="8"/>
  <c r="U77" i="8" s="1"/>
  <c r="C77" i="15"/>
  <c r="C80" i="15"/>
  <c r="C80" i="8"/>
  <c r="U80" i="8" s="1"/>
  <c r="C62" i="16"/>
  <c r="U10" i="19" s="1"/>
  <c r="S10" i="19" s="1"/>
  <c r="C62" i="10"/>
  <c r="U109" i="16"/>
  <c r="I121" i="16"/>
  <c r="U121" i="16" s="1"/>
  <c r="C26" i="16"/>
  <c r="U7" i="19" s="1"/>
  <c r="S7" i="19" s="1"/>
  <c r="C7" i="20" s="1"/>
  <c r="D7" i="20" s="1"/>
  <c r="C26" i="10"/>
  <c r="C86" i="15"/>
  <c r="C86" i="8"/>
  <c r="U91" i="8"/>
  <c r="M117" i="16"/>
  <c r="Y117" i="16" s="1"/>
  <c r="Y105" i="16"/>
  <c r="C14" i="15"/>
  <c r="M6" i="19" s="1"/>
  <c r="C14" i="8"/>
  <c r="S14" i="6"/>
  <c r="C5" i="13"/>
  <c r="E5" i="13" s="1"/>
  <c r="U90" i="8"/>
  <c r="E70" i="14"/>
  <c r="M70" i="14" s="1"/>
  <c r="R70" i="14" s="1"/>
  <c r="Z36" i="16"/>
  <c r="V6" i="19"/>
  <c r="X6" i="19" s="1"/>
  <c r="D82" i="14"/>
  <c r="L82" i="14" s="1"/>
  <c r="D90" i="14"/>
  <c r="L90" i="14" s="1"/>
  <c r="Z47" i="16"/>
  <c r="Z32" i="16"/>
  <c r="H107" i="16"/>
  <c r="T106" i="16"/>
  <c r="M55" i="15"/>
  <c r="T55" i="15" s="1"/>
  <c r="D67" i="15"/>
  <c r="F7" i="19"/>
  <c r="H7" i="19" s="1"/>
  <c r="M83" i="14"/>
  <c r="E95" i="14"/>
  <c r="T32" i="15"/>
  <c r="E51" i="15"/>
  <c r="N51" i="15" s="1"/>
  <c r="T39" i="15"/>
  <c r="R39" i="16"/>
  <c r="Z39" i="16" s="1"/>
  <c r="F51" i="16"/>
  <c r="E63" i="14"/>
  <c r="M63" i="14" s="1"/>
  <c r="D82" i="15"/>
  <c r="M82" i="15" s="1"/>
  <c r="T47" i="15"/>
  <c r="E66" i="16"/>
  <c r="Q54" i="16"/>
  <c r="D79" i="14"/>
  <c r="L79" i="14" s="1"/>
  <c r="R55" i="14"/>
  <c r="D66" i="15"/>
  <c r="M66" i="15" s="1"/>
  <c r="Q67" i="16"/>
  <c r="E79" i="16"/>
  <c r="E71" i="15"/>
  <c r="N71" i="15" s="1"/>
  <c r="T38" i="15"/>
  <c r="D50" i="15"/>
  <c r="M50" i="15" s="1"/>
  <c r="Q38" i="16"/>
  <c r="Z38" i="16" s="1"/>
  <c r="E50" i="16"/>
  <c r="R50" i="14"/>
  <c r="D62" i="14"/>
  <c r="L62" i="14" s="1"/>
  <c r="D77" i="14"/>
  <c r="L77" i="14" s="1"/>
  <c r="D69" i="15"/>
  <c r="M69" i="15" s="1"/>
  <c r="E71" i="16"/>
  <c r="Q59" i="16"/>
  <c r="F54" i="16"/>
  <c r="R42" i="16"/>
  <c r="Z42" i="16" s="1"/>
  <c r="D56" i="15"/>
  <c r="M56" i="15" s="1"/>
  <c r="D83" i="14"/>
  <c r="L83" i="14" s="1"/>
  <c r="R71" i="14"/>
  <c r="D68" i="14"/>
  <c r="L68" i="14" s="1"/>
  <c r="R44" i="14"/>
  <c r="D85" i="14"/>
  <c r="L85" i="14" s="1"/>
  <c r="E56" i="16"/>
  <c r="Q44" i="16"/>
  <c r="E106" i="16"/>
  <c r="Q94" i="16"/>
  <c r="R54" i="14"/>
  <c r="E66" i="14"/>
  <c r="M66" i="14" s="1"/>
  <c r="D65" i="15"/>
  <c r="M65" i="15" s="1"/>
  <c r="E65" i="16"/>
  <c r="Q53" i="16"/>
  <c r="T42" i="15"/>
  <c r="E54" i="15"/>
  <c r="N54" i="15" s="1"/>
  <c r="D71" i="15"/>
  <c r="M71" i="15" s="1"/>
  <c r="E69" i="16"/>
  <c r="Q57" i="16"/>
  <c r="R52" i="14"/>
  <c r="D64" i="14"/>
  <c r="L64" i="14" s="1"/>
  <c r="F70" i="16"/>
  <c r="R58" i="16"/>
  <c r="Z58" i="16" s="1"/>
  <c r="E73" i="14"/>
  <c r="M73" i="14" s="1"/>
  <c r="R61" i="14"/>
  <c r="R74" i="16"/>
  <c r="F86" i="16"/>
  <c r="D52" i="15"/>
  <c r="M52" i="15" s="1"/>
  <c r="T40" i="15"/>
  <c r="E67" i="15"/>
  <c r="N67" i="15" s="1"/>
  <c r="E56" i="15"/>
  <c r="N56" i="15" s="1"/>
  <c r="E57" i="15"/>
  <c r="N57" i="15" s="1"/>
  <c r="T45" i="15"/>
  <c r="E53" i="15"/>
  <c r="N53" i="15" s="1"/>
  <c r="T41" i="15"/>
  <c r="R57" i="14"/>
  <c r="E69" i="14"/>
  <c r="M69" i="14" s="1"/>
  <c r="E60" i="15"/>
  <c r="N60" i="15" s="1"/>
  <c r="E68" i="14"/>
  <c r="M68" i="14" s="1"/>
  <c r="F57" i="16"/>
  <c r="R45" i="16"/>
  <c r="Z45" i="16" s="1"/>
  <c r="E72" i="14"/>
  <c r="M72" i="14" s="1"/>
  <c r="T49" i="15"/>
  <c r="E61" i="15"/>
  <c r="N61" i="15" s="1"/>
  <c r="T36" i="15"/>
  <c r="R48" i="14"/>
  <c r="R52" i="16"/>
  <c r="F64" i="16"/>
  <c r="E52" i="16"/>
  <c r="Q40" i="16"/>
  <c r="Z40" i="16" s="1"/>
  <c r="Q48" i="16"/>
  <c r="E60" i="16"/>
  <c r="F60" i="16"/>
  <c r="R48" i="16"/>
  <c r="R53" i="14"/>
  <c r="E65" i="14"/>
  <c r="M65" i="14" s="1"/>
  <c r="T58" i="15"/>
  <c r="E70" i="15"/>
  <c r="N70" i="15" s="1"/>
  <c r="E79" i="14"/>
  <c r="M79" i="14" s="1"/>
  <c r="E64" i="15"/>
  <c r="N64" i="15" s="1"/>
  <c r="F67" i="16"/>
  <c r="R55" i="16"/>
  <c r="Z55" i="16" s="1"/>
  <c r="F56" i="16"/>
  <c r="R44" i="16"/>
  <c r="E85" i="16"/>
  <c r="Q73" i="16"/>
  <c r="F61" i="16"/>
  <c r="R49" i="16"/>
  <c r="Z49" i="16" s="1"/>
  <c r="D60" i="15"/>
  <c r="M60" i="15" s="1"/>
  <c r="D72" i="14"/>
  <c r="L72" i="14" s="1"/>
  <c r="R60" i="14"/>
  <c r="E75" i="16"/>
  <c r="Q63" i="16"/>
  <c r="F53" i="16"/>
  <c r="R41" i="16"/>
  <c r="Z41" i="16" s="1"/>
  <c r="D97" i="15" l="1"/>
  <c r="M97" i="15" s="1"/>
  <c r="R59" i="16"/>
  <c r="E11" i="13"/>
  <c r="D75" i="15"/>
  <c r="M75" i="15" s="1"/>
  <c r="N11" i="13"/>
  <c r="E76" i="14"/>
  <c r="M76" i="14" s="1"/>
  <c r="M12" i="19"/>
  <c r="D87" i="14"/>
  <c r="L87" i="14" s="1"/>
  <c r="E62" i="15"/>
  <c r="N62" i="15" s="1"/>
  <c r="M8" i="19"/>
  <c r="E86" i="14"/>
  <c r="M86" i="14" s="1"/>
  <c r="D81" i="14"/>
  <c r="L81" i="14" s="1"/>
  <c r="V7" i="19"/>
  <c r="X7" i="19" s="1"/>
  <c r="C9" i="20"/>
  <c r="D9" i="20" s="1"/>
  <c r="D5" i="24"/>
  <c r="D10" i="24" s="1"/>
  <c r="C10" i="20"/>
  <c r="D10" i="20" s="1"/>
  <c r="E5" i="24"/>
  <c r="E10" i="24" s="1"/>
  <c r="U62" i="8"/>
  <c r="H9" i="13"/>
  <c r="J9" i="13" s="1"/>
  <c r="AA26" i="10"/>
  <c r="M6" i="13"/>
  <c r="O6" i="13" s="1"/>
  <c r="AA62" i="10"/>
  <c r="M9" i="13"/>
  <c r="O9" i="13" s="1"/>
  <c r="U50" i="8"/>
  <c r="H8" i="13"/>
  <c r="J8" i="13" s="1"/>
  <c r="AA86" i="10"/>
  <c r="M11" i="13"/>
  <c r="C8" i="20"/>
  <c r="D8" i="20" s="1"/>
  <c r="C5" i="24"/>
  <c r="C10" i="24" s="1"/>
  <c r="M8" i="13"/>
  <c r="O8" i="13" s="1"/>
  <c r="AA50" i="10"/>
  <c r="AA88" i="10"/>
  <c r="W98" i="16"/>
  <c r="K110" i="16"/>
  <c r="W110" i="16" s="1"/>
  <c r="P105" i="14"/>
  <c r="H106" i="14"/>
  <c r="AA74" i="10"/>
  <c r="M10" i="13"/>
  <c r="O10" i="13" s="1"/>
  <c r="C12" i="20"/>
  <c r="D12" i="20" s="1"/>
  <c r="G5" i="24"/>
  <c r="G10" i="24" s="1"/>
  <c r="AA38" i="10"/>
  <c r="M7" i="13"/>
  <c r="O7" i="13" s="1"/>
  <c r="S26" i="6"/>
  <c r="C6" i="13"/>
  <c r="E6" i="13" s="1"/>
  <c r="U14" i="8"/>
  <c r="H5" i="13"/>
  <c r="J5" i="13" s="1"/>
  <c r="U86" i="8"/>
  <c r="H11" i="13"/>
  <c r="S38" i="6"/>
  <c r="C7" i="13"/>
  <c r="E7" i="13" s="1"/>
  <c r="AA14" i="10"/>
  <c r="M5" i="13"/>
  <c r="O5" i="13" s="1"/>
  <c r="AA2" i="10"/>
  <c r="M4" i="13"/>
  <c r="O4" i="13" s="1"/>
  <c r="S2" i="6"/>
  <c r="C4" i="13"/>
  <c r="E4" i="13" s="1"/>
  <c r="C74" i="8"/>
  <c r="C100" i="8" s="1"/>
  <c r="C74" i="15"/>
  <c r="M11" i="19" s="1"/>
  <c r="F5" i="24"/>
  <c r="F10" i="24" s="1"/>
  <c r="C11" i="20"/>
  <c r="D11" i="20" s="1"/>
  <c r="U2" i="8"/>
  <c r="H4" i="13"/>
  <c r="J4" i="13" s="1"/>
  <c r="S62" i="6"/>
  <c r="C9" i="13"/>
  <c r="E9" i="13" s="1"/>
  <c r="W99" i="16"/>
  <c r="K111" i="16"/>
  <c r="W111" i="16" s="1"/>
  <c r="U38" i="8"/>
  <c r="H7" i="13"/>
  <c r="J7" i="13" s="1"/>
  <c r="U26" i="8"/>
  <c r="H6" i="13"/>
  <c r="J6" i="13" s="1"/>
  <c r="I11" i="13"/>
  <c r="U88" i="8"/>
  <c r="E82" i="14"/>
  <c r="M82" i="14" s="1"/>
  <c r="R82" i="14" s="1"/>
  <c r="D94" i="14"/>
  <c r="L94" i="14" s="1"/>
  <c r="D102" i="14"/>
  <c r="L102" i="14" s="1"/>
  <c r="Z48" i="16"/>
  <c r="Z44" i="16"/>
  <c r="Z59" i="16"/>
  <c r="H108" i="16"/>
  <c r="T107" i="16"/>
  <c r="M67" i="15"/>
  <c r="T67" i="15" s="1"/>
  <c r="D79" i="15"/>
  <c r="T48" i="15"/>
  <c r="N7" i="19"/>
  <c r="P7" i="19" s="1"/>
  <c r="F8" i="19"/>
  <c r="H8" i="19" s="1"/>
  <c r="M95" i="14"/>
  <c r="E107" i="14"/>
  <c r="E63" i="15"/>
  <c r="N63" i="15" s="1"/>
  <c r="T51" i="15"/>
  <c r="T44" i="15"/>
  <c r="R63" i="14"/>
  <c r="E75" i="14"/>
  <c r="M75" i="14" s="1"/>
  <c r="R51" i="16"/>
  <c r="Z51" i="16" s="1"/>
  <c r="F63" i="16"/>
  <c r="D94" i="15"/>
  <c r="M94" i="15" s="1"/>
  <c r="T59" i="15"/>
  <c r="D91" i="14"/>
  <c r="L91" i="14" s="1"/>
  <c r="D78" i="15"/>
  <c r="M78" i="15" s="1"/>
  <c r="R67" i="14"/>
  <c r="Q79" i="16"/>
  <c r="E91" i="16"/>
  <c r="Q66" i="16"/>
  <c r="E78" i="16"/>
  <c r="Q50" i="16"/>
  <c r="Z50" i="16" s="1"/>
  <c r="E62" i="16"/>
  <c r="R71" i="16"/>
  <c r="F83" i="16"/>
  <c r="D74" i="14"/>
  <c r="L74" i="14" s="1"/>
  <c r="R62" i="14"/>
  <c r="T50" i="15"/>
  <c r="D62" i="15"/>
  <c r="M62" i="15" s="1"/>
  <c r="E83" i="15"/>
  <c r="N83" i="15" s="1"/>
  <c r="D83" i="15"/>
  <c r="M83" i="15" s="1"/>
  <c r="D109" i="15"/>
  <c r="M109" i="15" s="1"/>
  <c r="R54" i="16"/>
  <c r="Z54" i="16" s="1"/>
  <c r="F66" i="16"/>
  <c r="D77" i="15"/>
  <c r="M77" i="15" s="1"/>
  <c r="R56" i="14"/>
  <c r="F9" i="19" s="1"/>
  <c r="H9" i="19" s="1"/>
  <c r="Q69" i="16"/>
  <c r="E81" i="16"/>
  <c r="E77" i="16"/>
  <c r="Q65" i="16"/>
  <c r="R66" i="14"/>
  <c r="E78" i="14"/>
  <c r="M78" i="14" s="1"/>
  <c r="D97" i="14"/>
  <c r="L97" i="14" s="1"/>
  <c r="E83" i="16"/>
  <c r="Q71" i="16"/>
  <c r="E68" i="16"/>
  <c r="Q56" i="16"/>
  <c r="D80" i="14"/>
  <c r="L80" i="14" s="1"/>
  <c r="D89" i="14"/>
  <c r="L89" i="14" s="1"/>
  <c r="T54" i="15"/>
  <c r="E66" i="15"/>
  <c r="N66" i="15" s="1"/>
  <c r="E118" i="16"/>
  <c r="Q118" i="16" s="1"/>
  <c r="Q106" i="16"/>
  <c r="D95" i="14"/>
  <c r="L95" i="14" s="1"/>
  <c r="R83" i="14"/>
  <c r="D68" i="15"/>
  <c r="M68" i="15" s="1"/>
  <c r="D81" i="15"/>
  <c r="M81" i="15" s="1"/>
  <c r="T52" i="15"/>
  <c r="D64" i="15"/>
  <c r="M64" i="15" s="1"/>
  <c r="E77" i="14"/>
  <c r="M77" i="14" s="1"/>
  <c r="R65" i="14"/>
  <c r="F76" i="16"/>
  <c r="R64" i="16"/>
  <c r="R57" i="16"/>
  <c r="Z57" i="16" s="1"/>
  <c r="F69" i="16"/>
  <c r="E72" i="15"/>
  <c r="N72" i="15" s="1"/>
  <c r="T57" i="15"/>
  <c r="E69" i="15"/>
  <c r="N69" i="15" s="1"/>
  <c r="E68" i="15"/>
  <c r="N68" i="15" s="1"/>
  <c r="R86" i="16"/>
  <c r="F98" i="16"/>
  <c r="E85" i="14"/>
  <c r="M85" i="14" s="1"/>
  <c r="R73" i="14"/>
  <c r="F82" i="16"/>
  <c r="R70" i="16"/>
  <c r="Z70" i="16" s="1"/>
  <c r="E73" i="15"/>
  <c r="N73" i="15" s="1"/>
  <c r="T61" i="15"/>
  <c r="R69" i="14"/>
  <c r="E81" i="14"/>
  <c r="M81" i="14" s="1"/>
  <c r="R79" i="14"/>
  <c r="E91" i="14"/>
  <c r="M91" i="14" s="1"/>
  <c r="R60" i="16"/>
  <c r="F72" i="16"/>
  <c r="Q52" i="16"/>
  <c r="Z52" i="16" s="1"/>
  <c r="E64" i="16"/>
  <c r="E84" i="14"/>
  <c r="M84" i="14" s="1"/>
  <c r="E80" i="14"/>
  <c r="M80" i="14" s="1"/>
  <c r="E79" i="15"/>
  <c r="N79" i="15" s="1"/>
  <c r="Q75" i="16"/>
  <c r="E87" i="16"/>
  <c r="D72" i="15"/>
  <c r="M72" i="15" s="1"/>
  <c r="F68" i="16"/>
  <c r="R56" i="16"/>
  <c r="F79" i="16"/>
  <c r="R67" i="16"/>
  <c r="Z67" i="16" s="1"/>
  <c r="F65" i="16"/>
  <c r="R53" i="16"/>
  <c r="Z53" i="16" s="1"/>
  <c r="D84" i="14"/>
  <c r="L84" i="14" s="1"/>
  <c r="F73" i="16"/>
  <c r="R61" i="16"/>
  <c r="Z61" i="16" s="1"/>
  <c r="E97" i="16"/>
  <c r="Q85" i="16"/>
  <c r="E76" i="15"/>
  <c r="N76" i="15" s="1"/>
  <c r="T70" i="15"/>
  <c r="E82" i="15"/>
  <c r="N82" i="15" s="1"/>
  <c r="Q60" i="16"/>
  <c r="E72" i="16"/>
  <c r="E65" i="15"/>
  <c r="N65" i="15" s="1"/>
  <c r="T53" i="15"/>
  <c r="R64" i="14"/>
  <c r="D76" i="14"/>
  <c r="L76" i="14" s="1"/>
  <c r="O11" i="13" l="1"/>
  <c r="D87" i="15"/>
  <c r="M87" i="15" s="1"/>
  <c r="E88" i="14"/>
  <c r="M88" i="14" s="1"/>
  <c r="D99" i="14"/>
  <c r="L99" i="14" s="1"/>
  <c r="D106" i="14"/>
  <c r="L106" i="14" s="1"/>
  <c r="E74" i="15"/>
  <c r="N74" i="15" s="1"/>
  <c r="E98" i="14"/>
  <c r="M98" i="14" s="1"/>
  <c r="D93" i="14"/>
  <c r="L93" i="14" s="1"/>
  <c r="E94" i="14"/>
  <c r="M94" i="14" s="1"/>
  <c r="R94" i="14" s="1"/>
  <c r="S98" i="6"/>
  <c r="E14" i="13" s="1"/>
  <c r="D16" i="20"/>
  <c r="D17" i="20" s="1"/>
  <c r="D18" i="20" s="1"/>
  <c r="O13" i="13"/>
  <c r="E13" i="13"/>
  <c r="J11" i="13"/>
  <c r="P106" i="14"/>
  <c r="H107" i="14"/>
  <c r="U74" i="8"/>
  <c r="U98" i="8" s="1"/>
  <c r="J14" i="13" s="1"/>
  <c r="H10" i="13"/>
  <c r="J10" i="13" s="1"/>
  <c r="AA98" i="10"/>
  <c r="O14" i="13" s="1"/>
  <c r="D114" i="14"/>
  <c r="L114" i="14" s="1"/>
  <c r="Z56" i="16"/>
  <c r="Z60" i="16"/>
  <c r="Z71" i="16"/>
  <c r="N8" i="19"/>
  <c r="P8" i="19" s="1"/>
  <c r="H109" i="16"/>
  <c r="T108" i="16"/>
  <c r="M79" i="15"/>
  <c r="T79" i="15" s="1"/>
  <c r="D91" i="15"/>
  <c r="V8" i="19"/>
  <c r="X8" i="19" s="1"/>
  <c r="M107" i="14"/>
  <c r="E119" i="14"/>
  <c r="M119" i="14" s="1"/>
  <c r="F75" i="16"/>
  <c r="R63" i="16"/>
  <c r="Z63" i="16" s="1"/>
  <c r="E87" i="14"/>
  <c r="M87" i="14" s="1"/>
  <c r="R75" i="14"/>
  <c r="E75" i="15"/>
  <c r="N75" i="15" s="1"/>
  <c r="T63" i="15"/>
  <c r="T71" i="15"/>
  <c r="D106" i="15"/>
  <c r="M106" i="15" s="1"/>
  <c r="Q78" i="16"/>
  <c r="E90" i="16"/>
  <c r="D103" i="14"/>
  <c r="L103" i="14" s="1"/>
  <c r="Q91" i="16"/>
  <c r="E103" i="16"/>
  <c r="D90" i="15"/>
  <c r="M90" i="15" s="1"/>
  <c r="R72" i="14"/>
  <c r="T56" i="15"/>
  <c r="E95" i="15"/>
  <c r="N95" i="15" s="1"/>
  <c r="E74" i="16"/>
  <c r="Q62" i="16"/>
  <c r="Z62" i="16" s="1"/>
  <c r="R74" i="14"/>
  <c r="D86" i="14"/>
  <c r="L86" i="14" s="1"/>
  <c r="T62" i="15"/>
  <c r="D74" i="15"/>
  <c r="M74" i="15" s="1"/>
  <c r="R83" i="16"/>
  <c r="F95" i="16"/>
  <c r="Q81" i="16"/>
  <c r="E93" i="16"/>
  <c r="D89" i="15"/>
  <c r="M89" i="15" s="1"/>
  <c r="D121" i="15"/>
  <c r="M121" i="15" s="1"/>
  <c r="D107" i="14"/>
  <c r="L107" i="14" s="1"/>
  <c r="R95" i="14"/>
  <c r="D92" i="14"/>
  <c r="L92" i="14" s="1"/>
  <c r="Q83" i="16"/>
  <c r="E95" i="16"/>
  <c r="D109" i="14"/>
  <c r="L109" i="14" s="1"/>
  <c r="F78" i="16"/>
  <c r="R66" i="16"/>
  <c r="Z66" i="16" s="1"/>
  <c r="T60" i="15"/>
  <c r="D101" i="14"/>
  <c r="L101" i="14" s="1"/>
  <c r="R78" i="14"/>
  <c r="E90" i="14"/>
  <c r="M90" i="14" s="1"/>
  <c r="D95" i="15"/>
  <c r="M95" i="15" s="1"/>
  <c r="D93" i="15"/>
  <c r="M93" i="15" s="1"/>
  <c r="T66" i="15"/>
  <c r="E78" i="15"/>
  <c r="N78" i="15" s="1"/>
  <c r="R68" i="14"/>
  <c r="D80" i="15"/>
  <c r="M80" i="15" s="1"/>
  <c r="Q68" i="16"/>
  <c r="E80" i="16"/>
  <c r="Q77" i="16"/>
  <c r="E89" i="16"/>
  <c r="E109" i="16"/>
  <c r="Q97" i="16"/>
  <c r="D96" i="14"/>
  <c r="L96" i="14" s="1"/>
  <c r="D84" i="15"/>
  <c r="M84" i="15" s="1"/>
  <c r="E76" i="16"/>
  <c r="Q64" i="16"/>
  <c r="Z64" i="16" s="1"/>
  <c r="R98" i="16"/>
  <c r="F110" i="16"/>
  <c r="R110" i="16" s="1"/>
  <c r="T69" i="15"/>
  <c r="E81" i="15"/>
  <c r="N81" i="15" s="1"/>
  <c r="R77" i="14"/>
  <c r="E89" i="14"/>
  <c r="M89" i="14" s="1"/>
  <c r="T64" i="15"/>
  <c r="D76" i="15"/>
  <c r="M76" i="15" s="1"/>
  <c r="T73" i="15"/>
  <c r="E85" i="15"/>
  <c r="N85" i="15" s="1"/>
  <c r="F94" i="16"/>
  <c r="R82" i="16"/>
  <c r="Z82" i="16" s="1"/>
  <c r="R76" i="16"/>
  <c r="F88" i="16"/>
  <c r="R79" i="16"/>
  <c r="Z79" i="16" s="1"/>
  <c r="F91" i="16"/>
  <c r="R68" i="16"/>
  <c r="F80" i="16"/>
  <c r="E91" i="15"/>
  <c r="N91" i="15" s="1"/>
  <c r="E92" i="14"/>
  <c r="M92" i="14" s="1"/>
  <c r="R80" i="14"/>
  <c r="R76" i="14"/>
  <c r="D88" i="14"/>
  <c r="L88" i="14" s="1"/>
  <c r="Q72" i="16"/>
  <c r="E84" i="16"/>
  <c r="E94" i="15"/>
  <c r="N94" i="15" s="1"/>
  <c r="T82" i="15"/>
  <c r="F85" i="16"/>
  <c r="R73" i="16"/>
  <c r="Z73" i="16" s="1"/>
  <c r="F77" i="16"/>
  <c r="R65" i="16"/>
  <c r="Z65" i="16" s="1"/>
  <c r="E99" i="16"/>
  <c r="Q87" i="16"/>
  <c r="D99" i="15"/>
  <c r="M99" i="15" s="1"/>
  <c r="F84" i="16"/>
  <c r="R72" i="16"/>
  <c r="R91" i="14"/>
  <c r="E103" i="14"/>
  <c r="M103" i="14" s="1"/>
  <c r="R81" i="14"/>
  <c r="E93" i="14"/>
  <c r="M93" i="14" s="1"/>
  <c r="E84" i="15"/>
  <c r="N84" i="15" s="1"/>
  <c r="R69" i="16"/>
  <c r="Z69" i="16" s="1"/>
  <c r="F81" i="16"/>
  <c r="E77" i="15"/>
  <c r="N77" i="15" s="1"/>
  <c r="T65" i="15"/>
  <c r="E88" i="15"/>
  <c r="N88" i="15" s="1"/>
  <c r="E96" i="14"/>
  <c r="M96" i="14" s="1"/>
  <c r="E97" i="14"/>
  <c r="M97" i="14" s="1"/>
  <c r="R85" i="14"/>
  <c r="E80" i="15"/>
  <c r="N80" i="15" s="1"/>
  <c r="E100" i="14" l="1"/>
  <c r="M100" i="14" s="1"/>
  <c r="D118" i="14"/>
  <c r="L118" i="14" s="1"/>
  <c r="D111" i="14"/>
  <c r="L111" i="14" s="1"/>
  <c r="E86" i="15"/>
  <c r="N86" i="15" s="1"/>
  <c r="E106" i="14"/>
  <c r="M106" i="14" s="1"/>
  <c r="R106" i="14" s="1"/>
  <c r="E110" i="14"/>
  <c r="M110" i="14" s="1"/>
  <c r="D105" i="14"/>
  <c r="L105" i="14" s="1"/>
  <c r="J13" i="13"/>
  <c r="P107" i="14"/>
  <c r="H108" i="14"/>
  <c r="Z68" i="16"/>
  <c r="Z83" i="16"/>
  <c r="Z72" i="16"/>
  <c r="V9" i="19"/>
  <c r="X9" i="19" s="1"/>
  <c r="H110" i="16"/>
  <c r="T109" i="16"/>
  <c r="M91" i="15"/>
  <c r="T91" i="15" s="1"/>
  <c r="D103" i="15"/>
  <c r="T83" i="15"/>
  <c r="F10" i="19"/>
  <c r="H10" i="19" s="1"/>
  <c r="N9" i="19"/>
  <c r="P9" i="19" s="1"/>
  <c r="T68" i="15"/>
  <c r="R87" i="14"/>
  <c r="E99" i="14"/>
  <c r="M99" i="14" s="1"/>
  <c r="E87" i="15"/>
  <c r="N87" i="15" s="1"/>
  <c r="T75" i="15"/>
  <c r="F87" i="16"/>
  <c r="R75" i="16"/>
  <c r="Z75" i="16" s="1"/>
  <c r="D118" i="15"/>
  <c r="M118" i="15" s="1"/>
  <c r="D115" i="14"/>
  <c r="L115" i="14" s="1"/>
  <c r="E115" i="16"/>
  <c r="Q115" i="16" s="1"/>
  <c r="Q103" i="16"/>
  <c r="Q90" i="16"/>
  <c r="E102" i="16"/>
  <c r="D102" i="15"/>
  <c r="M102" i="15" s="1"/>
  <c r="T74" i="15"/>
  <c r="D86" i="15"/>
  <c r="M86" i="15" s="1"/>
  <c r="E107" i="15"/>
  <c r="N107" i="15" s="1"/>
  <c r="F107" i="16"/>
  <c r="R95" i="16"/>
  <c r="R86" i="14"/>
  <c r="D98" i="14"/>
  <c r="L98" i="14" s="1"/>
  <c r="E86" i="16"/>
  <c r="Q74" i="16"/>
  <c r="Z74" i="16" s="1"/>
  <c r="D105" i="15"/>
  <c r="M105" i="15" s="1"/>
  <c r="D92" i="15"/>
  <c r="M92" i="15" s="1"/>
  <c r="Q95" i="16"/>
  <c r="E107" i="16"/>
  <c r="R84" i="14"/>
  <c r="F11" i="19" s="1"/>
  <c r="H11" i="19" s="1"/>
  <c r="T78" i="15"/>
  <c r="E90" i="15"/>
  <c r="N90" i="15" s="1"/>
  <c r="D113" i="14"/>
  <c r="L113" i="14" s="1"/>
  <c r="R78" i="16"/>
  <c r="Z78" i="16" s="1"/>
  <c r="F90" i="16"/>
  <c r="R107" i="14"/>
  <c r="D119" i="14"/>
  <c r="D101" i="15"/>
  <c r="M101" i="15" s="1"/>
  <c r="E101" i="16"/>
  <c r="Q89" i="16"/>
  <c r="E92" i="16"/>
  <c r="Q80" i="16"/>
  <c r="D107" i="15"/>
  <c r="M107" i="15" s="1"/>
  <c r="E102" i="14"/>
  <c r="M102" i="14" s="1"/>
  <c r="R90" i="14"/>
  <c r="D121" i="14"/>
  <c r="L121" i="14" s="1"/>
  <c r="D104" i="14"/>
  <c r="L104" i="14" s="1"/>
  <c r="E105" i="16"/>
  <c r="Q93" i="16"/>
  <c r="E112" i="14"/>
  <c r="M112" i="14" s="1"/>
  <c r="E115" i="14"/>
  <c r="M115" i="14" s="1"/>
  <c r="E103" i="15"/>
  <c r="N103" i="15" s="1"/>
  <c r="T72" i="15"/>
  <c r="F89" i="16"/>
  <c r="R77" i="16"/>
  <c r="Z77" i="16" s="1"/>
  <c r="Q99" i="16"/>
  <c r="E111" i="16"/>
  <c r="Q111" i="16" s="1"/>
  <c r="R88" i="14"/>
  <c r="D100" i="14"/>
  <c r="L100" i="14" s="1"/>
  <c r="R80" i="16"/>
  <c r="F92" i="16"/>
  <c r="R88" i="16"/>
  <c r="F100" i="16"/>
  <c r="E88" i="16"/>
  <c r="Q76" i="16"/>
  <c r="Z76" i="16" s="1"/>
  <c r="D96" i="15"/>
  <c r="M96" i="15" s="1"/>
  <c r="Q109" i="16"/>
  <c r="E121" i="16"/>
  <c r="Q121" i="16" s="1"/>
  <c r="R97" i="14"/>
  <c r="E109" i="14"/>
  <c r="M109" i="14" s="1"/>
  <c r="F96" i="16"/>
  <c r="R84" i="16"/>
  <c r="R91" i="16"/>
  <c r="Z91" i="16" s="1"/>
  <c r="F103" i="16"/>
  <c r="R94" i="16"/>
  <c r="Z94" i="16" s="1"/>
  <c r="F106" i="16"/>
  <c r="T77" i="15"/>
  <c r="E89" i="15"/>
  <c r="N89" i="15" s="1"/>
  <c r="E96" i="15"/>
  <c r="N96" i="15" s="1"/>
  <c r="T85" i="15"/>
  <c r="E97" i="15"/>
  <c r="N97" i="15" s="1"/>
  <c r="T76" i="15"/>
  <c r="D88" i="15"/>
  <c r="M88" i="15" s="1"/>
  <c r="T81" i="15"/>
  <c r="E93" i="15"/>
  <c r="N93" i="15" s="1"/>
  <c r="E92" i="15"/>
  <c r="N92" i="15" s="1"/>
  <c r="T80" i="15"/>
  <c r="E100" i="15"/>
  <c r="N100" i="15" s="1"/>
  <c r="F93" i="16"/>
  <c r="R81" i="16"/>
  <c r="Z81" i="16" s="1"/>
  <c r="E105" i="14"/>
  <c r="M105" i="14" s="1"/>
  <c r="R93" i="14"/>
  <c r="D111" i="15"/>
  <c r="M111" i="15" s="1"/>
  <c r="R85" i="16"/>
  <c r="Z85" i="16" s="1"/>
  <c r="F97" i="16"/>
  <c r="E106" i="15"/>
  <c r="N106" i="15" s="1"/>
  <c r="T94" i="15"/>
  <c r="E108" i="14"/>
  <c r="M108" i="14" s="1"/>
  <c r="Q84" i="16"/>
  <c r="E96" i="16"/>
  <c r="E104" i="14"/>
  <c r="M104" i="14" s="1"/>
  <c r="R92" i="14"/>
  <c r="E101" i="14"/>
  <c r="M101" i="14" s="1"/>
  <c r="R89" i="14"/>
  <c r="D108" i="14"/>
  <c r="L108" i="14" s="1"/>
  <c r="E98" i="15" l="1"/>
  <c r="N98" i="15" s="1"/>
  <c r="Z95" i="16"/>
  <c r="D117" i="14"/>
  <c r="L117" i="14" s="1"/>
  <c r="E118" i="14"/>
  <c r="M118" i="14" s="1"/>
  <c r="P108" i="14"/>
  <c r="H109" i="14"/>
  <c r="Z84" i="16"/>
  <c r="Z80" i="16"/>
  <c r="T110" i="16"/>
  <c r="H111" i="16"/>
  <c r="M103" i="15"/>
  <c r="T103" i="15" s="1"/>
  <c r="D115" i="15"/>
  <c r="M115" i="15" s="1"/>
  <c r="V10" i="19"/>
  <c r="X10" i="19" s="1"/>
  <c r="L119" i="14"/>
  <c r="E99" i="15"/>
  <c r="N99" i="15" s="1"/>
  <c r="T87" i="15"/>
  <c r="T95" i="15"/>
  <c r="R87" i="16"/>
  <c r="Z87" i="16" s="1"/>
  <c r="F99" i="16"/>
  <c r="E111" i="14"/>
  <c r="R99" i="14"/>
  <c r="R103" i="14"/>
  <c r="D114" i="15"/>
  <c r="M114" i="15" s="1"/>
  <c r="E114" i="16"/>
  <c r="Q114" i="16" s="1"/>
  <c r="Q102" i="16"/>
  <c r="E119" i="15"/>
  <c r="N119" i="15" s="1"/>
  <c r="Q86" i="16"/>
  <c r="Z86" i="16" s="1"/>
  <c r="E98" i="16"/>
  <c r="F119" i="16"/>
  <c r="R119" i="16" s="1"/>
  <c r="R107" i="16"/>
  <c r="D98" i="15"/>
  <c r="M98" i="15" s="1"/>
  <c r="T86" i="15"/>
  <c r="R98" i="14"/>
  <c r="D110" i="14"/>
  <c r="Q105" i="16"/>
  <c r="E117" i="16"/>
  <c r="Q117" i="16" s="1"/>
  <c r="E113" i="16"/>
  <c r="Q113" i="16" s="1"/>
  <c r="Q101" i="16"/>
  <c r="D116" i="14"/>
  <c r="L116" i="14" s="1"/>
  <c r="D104" i="15"/>
  <c r="M104" i="15" s="1"/>
  <c r="E114" i="14"/>
  <c r="R102" i="14"/>
  <c r="E104" i="16"/>
  <c r="Q92" i="16"/>
  <c r="D119" i="15"/>
  <c r="M119" i="15" s="1"/>
  <c r="E119" i="16"/>
  <c r="Q119" i="16" s="1"/>
  <c r="Q107" i="16"/>
  <c r="D113" i="15"/>
  <c r="M113" i="15" s="1"/>
  <c r="F102" i="16"/>
  <c r="R90" i="16"/>
  <c r="Z90" i="16" s="1"/>
  <c r="T90" i="15"/>
  <c r="E102" i="15"/>
  <c r="N102" i="15" s="1"/>
  <c r="D117" i="15"/>
  <c r="M117" i="15" s="1"/>
  <c r="F104" i="16"/>
  <c r="R92" i="16"/>
  <c r="D120" i="14"/>
  <c r="L120" i="14" s="1"/>
  <c r="R101" i="14"/>
  <c r="E113" i="14"/>
  <c r="Q96" i="16"/>
  <c r="E108" i="16"/>
  <c r="T106" i="15"/>
  <c r="E118" i="15"/>
  <c r="F105" i="16"/>
  <c r="R93" i="16"/>
  <c r="Z93" i="16" s="1"/>
  <c r="E104" i="15"/>
  <c r="N104" i="15" s="1"/>
  <c r="F109" i="16"/>
  <c r="R97" i="16"/>
  <c r="Z97" i="16" s="1"/>
  <c r="E105" i="15"/>
  <c r="N105" i="15" s="1"/>
  <c r="T93" i="15"/>
  <c r="E109" i="15"/>
  <c r="N109" i="15" s="1"/>
  <c r="T97" i="15"/>
  <c r="E101" i="15"/>
  <c r="N101" i="15" s="1"/>
  <c r="T89" i="15"/>
  <c r="R106" i="16"/>
  <c r="Z106" i="16" s="1"/>
  <c r="F118" i="16"/>
  <c r="R118" i="16" s="1"/>
  <c r="R103" i="16"/>
  <c r="Z103" i="16" s="1"/>
  <c r="F115" i="16"/>
  <c r="R115" i="16" s="1"/>
  <c r="R96" i="16"/>
  <c r="F108" i="16"/>
  <c r="Q88" i="16"/>
  <c r="Z88" i="16" s="1"/>
  <c r="E100" i="16"/>
  <c r="R100" i="14"/>
  <c r="D112" i="14"/>
  <c r="R104" i="14"/>
  <c r="E116" i="14"/>
  <c r="M116" i="14" s="1"/>
  <c r="E120" i="14"/>
  <c r="M120" i="14" s="1"/>
  <c r="E117" i="14"/>
  <c r="R105" i="14"/>
  <c r="E112" i="15"/>
  <c r="N112" i="15" s="1"/>
  <c r="E121" i="14"/>
  <c r="T84" i="15"/>
  <c r="R96" i="14"/>
  <c r="F12" i="19" s="1"/>
  <c r="H12" i="19" s="1"/>
  <c r="H3" i="24" s="1"/>
  <c r="T88" i="15"/>
  <c r="D100" i="15"/>
  <c r="M100" i="15" s="1"/>
  <c r="E108" i="15"/>
  <c r="N108" i="15" s="1"/>
  <c r="D108" i="15"/>
  <c r="M108" i="15" s="1"/>
  <c r="F101" i="16"/>
  <c r="R89" i="16"/>
  <c r="Z89" i="16" s="1"/>
  <c r="R100" i="16"/>
  <c r="F112" i="16"/>
  <c r="R112" i="16" s="1"/>
  <c r="E115" i="15"/>
  <c r="Z107" i="16" l="1"/>
  <c r="E110" i="15"/>
  <c r="N110" i="15" s="1"/>
  <c r="V11" i="19"/>
  <c r="X11" i="19" s="1"/>
  <c r="P109" i="14"/>
  <c r="R109" i="14" s="1"/>
  <c r="H110" i="14"/>
  <c r="Z96" i="16"/>
  <c r="Z92" i="16"/>
  <c r="H112" i="16"/>
  <c r="T111" i="16"/>
  <c r="N115" i="15"/>
  <c r="T115" i="15" s="1"/>
  <c r="N118" i="15"/>
  <c r="T118" i="15" s="1"/>
  <c r="M121" i="14"/>
  <c r="M113" i="14"/>
  <c r="M111" i="14"/>
  <c r="M114" i="14"/>
  <c r="L110" i="14"/>
  <c r="M117" i="14"/>
  <c r="L112" i="14"/>
  <c r="R99" i="16"/>
  <c r="Z99" i="16" s="1"/>
  <c r="F111" i="16"/>
  <c r="R111" i="16" s="1"/>
  <c r="Z111" i="16" s="1"/>
  <c r="T107" i="15"/>
  <c r="E111" i="15"/>
  <c r="T99" i="15"/>
  <c r="T119" i="15"/>
  <c r="E110" i="16"/>
  <c r="Q110" i="16" s="1"/>
  <c r="Z110" i="16" s="1"/>
  <c r="Q98" i="16"/>
  <c r="Z98" i="16" s="1"/>
  <c r="D110" i="15"/>
  <c r="T98" i="15"/>
  <c r="D116" i="15"/>
  <c r="M116" i="15" s="1"/>
  <c r="R102" i="16"/>
  <c r="Z102" i="16" s="1"/>
  <c r="F114" i="16"/>
  <c r="R114" i="16" s="1"/>
  <c r="T92" i="15"/>
  <c r="T102" i="15"/>
  <c r="E114" i="15"/>
  <c r="E116" i="16"/>
  <c r="Q116" i="16" s="1"/>
  <c r="Q104" i="16"/>
  <c r="R101" i="16"/>
  <c r="Z101" i="16" s="1"/>
  <c r="F113" i="16"/>
  <c r="R113" i="16" s="1"/>
  <c r="E120" i="15"/>
  <c r="N120" i="15" s="1"/>
  <c r="F120" i="16"/>
  <c r="R120" i="16" s="1"/>
  <c r="R108" i="16"/>
  <c r="Q108" i="16"/>
  <c r="E120" i="16"/>
  <c r="Q120" i="16" s="1"/>
  <c r="F116" i="16"/>
  <c r="R116" i="16" s="1"/>
  <c r="R104" i="16"/>
  <c r="D120" i="15"/>
  <c r="T100" i="15"/>
  <c r="D112" i="15"/>
  <c r="Q100" i="16"/>
  <c r="Z100" i="16" s="1"/>
  <c r="E112" i="16"/>
  <c r="Q112" i="16" s="1"/>
  <c r="T109" i="15"/>
  <c r="E121" i="15"/>
  <c r="R109" i="16"/>
  <c r="Z109" i="16" s="1"/>
  <c r="F121" i="16"/>
  <c r="R121" i="16" s="1"/>
  <c r="R105" i="16"/>
  <c r="Z105" i="16" s="1"/>
  <c r="F117" i="16"/>
  <c r="R117" i="16" s="1"/>
  <c r="R108" i="14"/>
  <c r="T101" i="15"/>
  <c r="E113" i="15"/>
  <c r="E117" i="15"/>
  <c r="T105" i="15"/>
  <c r="E116" i="15"/>
  <c r="N116" i="15" s="1"/>
  <c r="T96" i="15"/>
  <c r="F13" i="19" l="1"/>
  <c r="H13" i="19" s="1"/>
  <c r="I3" i="24" s="1"/>
  <c r="P110" i="14"/>
  <c r="R110" i="14" s="1"/>
  <c r="H111" i="14"/>
  <c r="Z108" i="16"/>
  <c r="Z104" i="16"/>
  <c r="N12" i="19"/>
  <c r="P12" i="19" s="1"/>
  <c r="H4" i="24" s="1"/>
  <c r="H113" i="16"/>
  <c r="T112" i="16"/>
  <c r="Z112" i="16" s="1"/>
  <c r="M120" i="15"/>
  <c r="T120" i="15" s="1"/>
  <c r="N117" i="15"/>
  <c r="T117" i="15" s="1"/>
  <c r="N114" i="15"/>
  <c r="T114" i="15" s="1"/>
  <c r="M110" i="15"/>
  <c r="T110" i="15" s="1"/>
  <c r="N111" i="15"/>
  <c r="T111" i="15" s="1"/>
  <c r="N113" i="15"/>
  <c r="T113" i="15" s="1"/>
  <c r="N121" i="15"/>
  <c r="T121" i="15" s="1"/>
  <c r="M112" i="15"/>
  <c r="T112" i="15" s="1"/>
  <c r="T104" i="15"/>
  <c r="T116" i="15"/>
  <c r="T108" i="15"/>
  <c r="N6" i="19"/>
  <c r="P6" i="19" s="1"/>
  <c r="N10" i="19"/>
  <c r="P10" i="19" s="1"/>
  <c r="N11" i="19"/>
  <c r="P11" i="19" s="1"/>
  <c r="P111" i="14" l="1"/>
  <c r="R111" i="14" s="1"/>
  <c r="H112" i="14"/>
  <c r="V13" i="19"/>
  <c r="X13" i="19" s="1"/>
  <c r="I5" i="24" s="1"/>
  <c r="N14" i="19"/>
  <c r="P14" i="19" s="1"/>
  <c r="J4" i="24" s="1"/>
  <c r="C15" i="24" s="1"/>
  <c r="H114" i="16"/>
  <c r="T113" i="16"/>
  <c r="Z113" i="16" s="1"/>
  <c r="N13" i="19"/>
  <c r="P13" i="19" s="1"/>
  <c r="I4" i="24" s="1"/>
  <c r="P112" i="14" l="1"/>
  <c r="R112" i="14" s="1"/>
  <c r="H113" i="14"/>
  <c r="C17" i="20"/>
  <c r="E17" i="20" s="1"/>
  <c r="I25" i="24" s="1"/>
  <c r="I29" i="24" s="1"/>
  <c r="H115" i="16"/>
  <c r="T114" i="16"/>
  <c r="Z114" i="16" s="1"/>
  <c r="I10" i="24"/>
  <c r="P113" i="14" l="1"/>
  <c r="R113" i="14" s="1"/>
  <c r="H114" i="14"/>
  <c r="H116" i="16"/>
  <c r="T115" i="16"/>
  <c r="Z115" i="16" s="1"/>
  <c r="P114" i="14" l="1"/>
  <c r="R114" i="14" s="1"/>
  <c r="H115" i="14"/>
  <c r="H117" i="16"/>
  <c r="T116" i="16"/>
  <c r="Z116" i="16" s="1"/>
  <c r="P115" i="14" l="1"/>
  <c r="R115" i="14" s="1"/>
  <c r="H116" i="14"/>
  <c r="H118" i="16"/>
  <c r="T117" i="16"/>
  <c r="Z117" i="16" s="1"/>
  <c r="P116" i="14" l="1"/>
  <c r="R116" i="14" s="1"/>
  <c r="H117" i="14"/>
  <c r="H119" i="16"/>
  <c r="T118" i="16"/>
  <c r="Z118" i="16" s="1"/>
  <c r="P117" i="14" l="1"/>
  <c r="R117" i="14" s="1"/>
  <c r="H118" i="14"/>
  <c r="H120" i="16"/>
  <c r="T119" i="16"/>
  <c r="Z119" i="16" s="1"/>
  <c r="P118" i="14" l="1"/>
  <c r="R118" i="14" s="1"/>
  <c r="H119" i="14"/>
  <c r="H121" i="16"/>
  <c r="T121" i="16" s="1"/>
  <c r="T120" i="16"/>
  <c r="Z120" i="16" l="1"/>
  <c r="V12" i="19"/>
  <c r="X12" i="19" s="1"/>
  <c r="C16" i="20" s="1"/>
  <c r="E16" i="20" s="1"/>
  <c r="H25" i="24" s="1"/>
  <c r="H29" i="24" s="1"/>
  <c r="Z121" i="16"/>
  <c r="P119" i="14"/>
  <c r="R119" i="14" s="1"/>
  <c r="H120" i="14"/>
  <c r="V14" i="19" l="1"/>
  <c r="X14" i="19" s="1"/>
  <c r="J5" i="24" s="1"/>
  <c r="I11" i="21" s="1"/>
  <c r="H5" i="24"/>
  <c r="H10" i="24" s="1"/>
  <c r="P120" i="14"/>
  <c r="R120" i="14" s="1"/>
  <c r="H121" i="14"/>
  <c r="P121" i="14" s="1"/>
  <c r="R121" i="14" s="1"/>
  <c r="I13" i="21" l="1"/>
  <c r="F14" i="19"/>
  <c r="H14" i="19" s="1"/>
  <c r="J3" i="24" s="1"/>
  <c r="C14" i="24" s="1"/>
  <c r="C16" i="24"/>
  <c r="C18" i="20"/>
  <c r="E18" i="20" s="1"/>
  <c r="J25" i="24" s="1"/>
  <c r="L11" i="21" s="1"/>
  <c r="I17" i="21"/>
  <c r="I19" i="21" s="1"/>
  <c r="C33" i="24" l="1"/>
  <c r="C37" i="24" s="1"/>
  <c r="J10" i="24"/>
  <c r="C21" i="24"/>
  <c r="J29" i="24"/>
  <c r="L17" i="21" l="1"/>
  <c r="L19" i="21" s="1"/>
  <c r="L13" i="21"/>
  <c r="E14" i="21" l="1"/>
  <c r="J18" i="21" s="1"/>
  <c r="K18" i="21" s="1"/>
  <c r="M18" i="21" s="1"/>
  <c r="E12" i="21"/>
  <c r="D12" i="21"/>
  <c r="D15" i="24" s="1"/>
  <c r="E15" i="24" s="1"/>
  <c r="E13" i="21"/>
  <c r="J17" i="21" s="1"/>
  <c r="J19" i="21" s="1"/>
  <c r="D13" i="21"/>
  <c r="J11" i="21" s="1"/>
  <c r="K11" i="21" s="1"/>
  <c r="E11" i="21"/>
  <c r="M11" i="21" l="1"/>
  <c r="D18" i="24"/>
  <c r="E18" i="24" s="1"/>
  <c r="J12" i="21"/>
  <c r="K17" i="21"/>
  <c r="K19" i="21" s="1"/>
  <c r="D16" i="24"/>
  <c r="E16" i="24" s="1"/>
  <c r="D11" i="21"/>
  <c r="D14" i="24" s="1"/>
  <c r="K12" i="21" l="1"/>
  <c r="K13" i="21" s="1"/>
  <c r="J13" i="21"/>
  <c r="M17" i="21"/>
  <c r="M19" i="21" s="1"/>
  <c r="D21" i="24"/>
  <c r="E14" i="24"/>
  <c r="E21" i="24" s="1"/>
  <c r="M12" i="21" l="1"/>
  <c r="D35" i="24" s="1"/>
  <c r="E35" i="24" s="1"/>
  <c r="D33" i="24"/>
  <c r="M13" i="21" l="1"/>
  <c r="E33" i="24"/>
  <c r="E37" i="24" s="1"/>
  <c r="D37" i="2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V1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Removed some incremental demand.  </t>
        </r>
      </text>
    </comment>
  </commentList>
</comments>
</file>

<file path=xl/sharedStrings.xml><?xml version="1.0" encoding="utf-8"?>
<sst xmlns="http://schemas.openxmlformats.org/spreadsheetml/2006/main" count="754" uniqueCount="215">
  <si>
    <t>Wholesale Purchases</t>
  </si>
  <si>
    <t>Residential</t>
  </si>
  <si>
    <t>kWh</t>
  </si>
  <si>
    <t>Connections</t>
  </si>
  <si>
    <t>GS&gt;50</t>
  </si>
  <si>
    <t>kW</t>
  </si>
  <si>
    <t>USL</t>
  </si>
  <si>
    <t>Residential_kWh</t>
  </si>
  <si>
    <t>GSgt50_Customers</t>
  </si>
  <si>
    <t>GSlt50_kWh</t>
  </si>
  <si>
    <t>GSgt50_kWh</t>
  </si>
  <si>
    <t>GSgt50_kW</t>
  </si>
  <si>
    <t>Intermediate_kWh</t>
  </si>
  <si>
    <t>Intermediate_kW</t>
  </si>
  <si>
    <t>Intermediate_Customers</t>
  </si>
  <si>
    <t>Streetlights_kWh</t>
  </si>
  <si>
    <t>Streetlights_kW</t>
  </si>
  <si>
    <t>Streetlights_Customers</t>
  </si>
  <si>
    <t>Sentinel_Lights_kWh</t>
  </si>
  <si>
    <t>Sentinel_Lights_kW</t>
  </si>
  <si>
    <t>Sentinel_Lights_Customers</t>
  </si>
  <si>
    <t>USL_kWh</t>
  </si>
  <si>
    <t>USL_Customers</t>
  </si>
  <si>
    <t>Embedded_Generation_kWh</t>
  </si>
  <si>
    <t>HONI_Embedded_Load_kWh</t>
  </si>
  <si>
    <t>HONI_Embedded_Load_kW</t>
  </si>
  <si>
    <t>HONI_Embedded_Customers</t>
  </si>
  <si>
    <t>Date</t>
  </si>
  <si>
    <t>HDD</t>
  </si>
  <si>
    <t>CDD</t>
  </si>
  <si>
    <t>Jan</t>
  </si>
  <si>
    <t>Feb</t>
  </si>
  <si>
    <t>Mar</t>
  </si>
  <si>
    <t>Apr</t>
  </si>
  <si>
    <t>May</t>
  </si>
  <si>
    <t>June</t>
  </si>
  <si>
    <t>July</t>
  </si>
  <si>
    <t>August</t>
  </si>
  <si>
    <t>Sept</t>
  </si>
  <si>
    <t>Oct</t>
  </si>
  <si>
    <t>Nov</t>
  </si>
  <si>
    <t>Dec</t>
  </si>
  <si>
    <t>SUMIFS(daily.csv!$L$2:$L$7306,daily.csv!$B$2:$B$7306,YEAR($A2),daily.csv!$C$2:$C$7306,MONTH($A2))</t>
  </si>
  <si>
    <t>10-year</t>
  </si>
  <si>
    <t>20-year</t>
  </si>
  <si>
    <t>10 Year Average</t>
  </si>
  <si>
    <t>20 Year Trend</t>
  </si>
  <si>
    <t>Windsor Riverside</t>
  </si>
  <si>
    <t>January</t>
  </si>
  <si>
    <t>February</t>
  </si>
  <si>
    <t>March</t>
  </si>
  <si>
    <t>April</t>
  </si>
  <si>
    <t>September</t>
  </si>
  <si>
    <t>October</t>
  </si>
  <si>
    <t>November</t>
  </si>
  <si>
    <t>December</t>
  </si>
  <si>
    <t>Ont_FTE</t>
  </si>
  <si>
    <t>Windsor_FTE</t>
  </si>
  <si>
    <t>BMO</t>
  </si>
  <si>
    <t>TD</t>
  </si>
  <si>
    <t>Scotia</t>
  </si>
  <si>
    <t>RBC</t>
  </si>
  <si>
    <t>Average</t>
  </si>
  <si>
    <t>coefficient</t>
  </si>
  <si>
    <t>std. error</t>
  </si>
  <si>
    <t>t-ratio</t>
  </si>
  <si>
    <t>p-value</t>
  </si>
  <si>
    <t>const</t>
  </si>
  <si>
    <t>Trend</t>
  </si>
  <si>
    <t>Spring</t>
  </si>
  <si>
    <t>Mean dependent var</t>
  </si>
  <si>
    <t>S.D. dependent var</t>
  </si>
  <si>
    <t>Sum squared resid</t>
  </si>
  <si>
    <t>S.E. of regression</t>
  </si>
  <si>
    <t>R-squared</t>
  </si>
  <si>
    <t>Adjusted R-squared</t>
  </si>
  <si>
    <t>P-value(F)</t>
  </si>
  <si>
    <t>Log-likelihood</t>
  </si>
  <si>
    <t>Akaike criterion</t>
  </si>
  <si>
    <t>Schwarz criterion</t>
  </si>
  <si>
    <t>Hannan-Quinn</t>
  </si>
  <si>
    <t>rho</t>
  </si>
  <si>
    <t>Durbin-Watson</t>
  </si>
  <si>
    <t>Year</t>
  </si>
  <si>
    <t>Predicted kWh</t>
  </si>
  <si>
    <t>Model Error</t>
  </si>
  <si>
    <t>Weather Actual</t>
  </si>
  <si>
    <t>Res kWh</t>
  </si>
  <si>
    <t>Absolute</t>
  </si>
  <si>
    <t>GS&lt;50 kWh</t>
  </si>
  <si>
    <t>GS&gt;50 kWh</t>
  </si>
  <si>
    <t>Actual</t>
  </si>
  <si>
    <t>Predicted</t>
  </si>
  <si>
    <t>Error (%)</t>
  </si>
  <si>
    <t>Mean Absolute Percentage Error (Annual)</t>
  </si>
  <si>
    <t>Mean Absolute Percentage Error (Monthly)</t>
  </si>
  <si>
    <t>Normalized kWh</t>
  </si>
  <si>
    <t>Street Light</t>
  </si>
  <si>
    <t>GS &lt; 50</t>
  </si>
  <si>
    <t>GS &gt; 50</t>
  </si>
  <si>
    <t>Lamps / Devices</t>
  </si>
  <si>
    <t>Sentinel</t>
  </si>
  <si>
    <t>Customers</t>
  </si>
  <si>
    <t>Weather Normal</t>
  </si>
  <si>
    <t>Normalized</t>
  </si>
  <si>
    <t>kWh Actual</t>
  </si>
  <si>
    <t>Ratio</t>
  </si>
  <si>
    <t>kW Actual</t>
  </si>
  <si>
    <t>A</t>
  </si>
  <si>
    <t>C = B / A</t>
  </si>
  <si>
    <t>B</t>
  </si>
  <si>
    <t>kWh Normalized</t>
  </si>
  <si>
    <t>D</t>
  </si>
  <si>
    <t>E</t>
  </si>
  <si>
    <t>F = D * E</t>
  </si>
  <si>
    <t>Total</t>
  </si>
  <si>
    <t>F</t>
  </si>
  <si>
    <t>Normal Forecast</t>
  </si>
  <si>
    <t>2014 Actual</t>
  </si>
  <si>
    <t>2015 Actual</t>
  </si>
  <si>
    <t>2017 Forecast</t>
  </si>
  <si>
    <t>Sentinel Light</t>
  </si>
  <si>
    <t>CDM Adjusted</t>
  </si>
  <si>
    <t>CDM Adjustment</t>
  </si>
  <si>
    <t>Customer Connections</t>
  </si>
  <si>
    <t>2,3,9,10,11,12</t>
  </si>
  <si>
    <t>13,14</t>
  </si>
  <si>
    <t>Ontario_FTE</t>
  </si>
  <si>
    <t>Fall</t>
  </si>
  <si>
    <t>Shoulder</t>
  </si>
  <si>
    <t>2015-2020 Target</t>
  </si>
  <si>
    <t>2015 Results</t>
  </si>
  <si>
    <t>2016-2020 Remaining Target</t>
  </si>
  <si>
    <t>Annual Remaining</t>
  </si>
  <si>
    <t>Residential Persistence</t>
  </si>
  <si>
    <t>No recent LRAMVA dispositions recently</t>
  </si>
  <si>
    <t>Business includes Pre-2011 programs</t>
  </si>
  <si>
    <t>Business Persistence</t>
  </si>
  <si>
    <t>Industrial Persistence</t>
  </si>
  <si>
    <t>2007-2016 average monthly energy (kWh)</t>
  </si>
  <si>
    <t>Non-Res</t>
  </si>
  <si>
    <t>2009-2010</t>
  </si>
  <si>
    <t>Embedded_Generation</t>
  </si>
  <si>
    <t>Program Years (MWh)</t>
  </si>
  <si>
    <t>Program Years (kWh)</t>
  </si>
  <si>
    <t>Gross_Res</t>
  </si>
  <si>
    <t>Res_CDM</t>
  </si>
  <si>
    <t>GSlt50_CDM</t>
  </si>
  <si>
    <t>GSgt50_CDM</t>
  </si>
  <si>
    <t>Gross_GSgt50</t>
  </si>
  <si>
    <t>Gross_GSlt50</t>
  </si>
  <si>
    <t>Res_Customers</t>
  </si>
  <si>
    <t>Month_Days</t>
  </si>
  <si>
    <t>Peak_Days</t>
  </si>
  <si>
    <t>GSlt50_Customers</t>
  </si>
  <si>
    <t>Dependent variable: Gross_Res</t>
  </si>
  <si>
    <t>Theil's U</t>
  </si>
  <si>
    <t>Dependent variable: Gross_GSlt50</t>
  </si>
  <si>
    <t>Model 5: OLS, using observations 2009:01-2016:12 (T = 96)</t>
  </si>
  <si>
    <t>F(7, 88)</t>
  </si>
  <si>
    <t>Dependent variable: Gross_GSgt50</t>
  </si>
  <si>
    <t>Actual+CDM</t>
  </si>
  <si>
    <t>Model 3: OLS, using observations 2009:01-2016:12 (T = 96)</t>
  </si>
  <si>
    <t>F(6, 89)</t>
  </si>
  <si>
    <t>year</t>
  </si>
  <si>
    <t>Percentage of Prior Year</t>
  </si>
  <si>
    <t>Cumulative Persisting CDM</t>
  </si>
  <si>
    <t>Actual no CDM</t>
  </si>
  <si>
    <t>Normalized no CDM</t>
  </si>
  <si>
    <t>C = A + B</t>
  </si>
  <si>
    <t>E = B</t>
  </si>
  <si>
    <t>F = D - E</t>
  </si>
  <si>
    <t>D = F / E</t>
  </si>
  <si>
    <t>LRAMVA Target</t>
  </si>
  <si>
    <t>Forecast CDM</t>
  </si>
  <si>
    <t>Weight</t>
  </si>
  <si>
    <t>Amount</t>
  </si>
  <si>
    <t>Annual Remaining Target</t>
  </si>
  <si>
    <t>Share</t>
  </si>
  <si>
    <t>Weather Normalized 2018 Forecast (kWh)</t>
  </si>
  <si>
    <t>% Savings</t>
  </si>
  <si>
    <t>Weather Normalized 2018 Forecast (kW)</t>
  </si>
  <si>
    <t>2018 Forecast</t>
  </si>
  <si>
    <t>2018 Weather Normal Forecast</t>
  </si>
  <si>
    <t>2018 CDM Adjusted Forecast</t>
  </si>
  <si>
    <t>2016 Actual</t>
  </si>
  <si>
    <t>2016 Normalized</t>
  </si>
  <si>
    <t>2012 Actual</t>
  </si>
  <si>
    <t>2013 Actual</t>
  </si>
  <si>
    <t>GDP</t>
  </si>
  <si>
    <t>LRAMVA Target (kWh)</t>
  </si>
  <si>
    <t>LRAMVA Target (kW)</t>
  </si>
  <si>
    <t>CDM Adjustment (kW)</t>
  </si>
  <si>
    <t>CDM Adjustment (kWh)</t>
  </si>
  <si>
    <t>Embedded Distributor</t>
  </si>
  <si>
    <t>F(10, 85)</t>
  </si>
  <si>
    <t>Ontario_GDP</t>
  </si>
  <si>
    <t>Model 1: OLS, using observations 2009:01-2016:12 (T = 96)</t>
  </si>
  <si>
    <t>Model 2: OLS, using observations 2009:01-2016:12 (T = 96)</t>
  </si>
  <si>
    <t>Revised Model</t>
  </si>
  <si>
    <t>2015 Adjustment</t>
  </si>
  <si>
    <t>2016 Results</t>
  </si>
  <si>
    <t>2017-2020 Remaining Target</t>
  </si>
  <si>
    <t>2017 Actual</t>
  </si>
  <si>
    <t>2015/2016 Results</t>
  </si>
  <si>
    <t>2015 Adjustments</t>
  </si>
  <si>
    <t>2015/16 Results</t>
  </si>
  <si>
    <t>2016 Verified CDM</t>
  </si>
  <si>
    <t>Street Lighting</t>
  </si>
  <si>
    <t>FTEs</t>
  </si>
  <si>
    <t>StatCan Retrieved March 2018</t>
  </si>
  <si>
    <r>
      <t>CANSIM Table </t>
    </r>
    <r>
      <rPr>
        <b/>
        <sz val="10"/>
        <color rgb="FF222222"/>
        <rFont val="Arial"/>
        <family val="2"/>
      </rPr>
      <t>282-0135</t>
    </r>
  </si>
  <si>
    <t>2nd Revision</t>
  </si>
  <si>
    <t>Model 4: OLS, using observations 2009:01-2016:12 (T = 96)</t>
  </si>
  <si>
    <t>Model 7: OLS, using observations 2009:01-2016:12 (T = 96)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</si>
</sst>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1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  <numFmt numFmtId="166" formatCode="0.0%"/>
    <numFmt numFmtId="167" formatCode="_-* #,##0_-;\-* #,##0_-;_-* &quot;-&quot;??_-;_-@_-"/>
    <numFmt numFmtId="168" formatCode="&quot;$&quot;#,##0;\-&quot;$&quot;#,##0"/>
    <numFmt numFmtId="169" formatCode="&quot;$&quot;#,##0;[Red]\-&quot;$&quot;#,##0"/>
    <numFmt numFmtId="170" formatCode="&quot;$&quot;#,##0.00;[Red]\-&quot;$&quot;#,##0.00"/>
    <numFmt numFmtId="171" formatCode="_-&quot;$&quot;* #,##0_-;\-&quot;$&quot;* #,##0_-;_-&quot;$&quot;* &quot;-&quot;_-;_-@_-"/>
    <numFmt numFmtId="172" formatCode="_-* #,##0_-;\-* #,##0_-;_-* &quot;-&quot;_-;_-@_-"/>
    <numFmt numFmtId="173" formatCode="_-&quot;$&quot;* #,##0.00_-;\-&quot;$&quot;* #,##0.00_-;_-&quot;$&quot;* &quot;-&quot;??_-;_-@_-"/>
    <numFmt numFmtId="174" formatCode="#,##0.0_);\(#,##0.0\)"/>
    <numFmt numFmtId="175" formatCode="&quot;$&quot;_(#,##0.00_);&quot;$&quot;\(#,##0.00\)"/>
    <numFmt numFmtId="176" formatCode="_(* #,##0.0_);_(* \(#,##0.0\);_(* &quot;-&quot;??_);_(@_)"/>
    <numFmt numFmtId="177" formatCode="_(&quot;$&quot;* #,##0.00000000000000000_);_(&quot;$&quot;* \(#,##0.00000000000000000\);_(&quot;$&quot;* &quot;-&quot;??_);_(@_)"/>
    <numFmt numFmtId="178" formatCode="_-&quot;£&quot;* #,##0.00_-;\-&quot;£&quot;* #,##0.00_-;_-&quot;£&quot;* &quot;-&quot;??_-;_-@_-"/>
    <numFmt numFmtId="179" formatCode="#,##0.0_)\x;\(#,##0.0\)\x"/>
    <numFmt numFmtId="180" formatCode="_(&quot;$&quot;* #,##0.00000000_);_(&quot;$&quot;* \(#,##0.00000000\);_(&quot;$&quot;* &quot;-&quot;??_);_(@_)"/>
    <numFmt numFmtId="181" formatCode="_(&quot;$&quot;* #,##0.00000000000_);_(&quot;$&quot;* \(#,##0.00000000000\);_(&quot;$&quot;* &quot;-&quot;??_);_(@_)"/>
    <numFmt numFmtId="182" formatCode="_(&quot;$&quot;* #,##0.000000000000_);_(&quot;$&quot;* \(#,##0.000000000000\);_(&quot;$&quot;* &quot;-&quot;??_);_(@_)"/>
    <numFmt numFmtId="183" formatCode="_-&quot;£&quot;* #,##0_-;\-&quot;£&quot;* #,##0_-;_-&quot;£&quot;* &quot;-&quot;_-;_-@_-"/>
    <numFmt numFmtId="184" formatCode="#,##0.0_)_x;\(#,##0.0\)_x"/>
    <numFmt numFmtId="185" formatCode="_(* #,##0.0_);_(* \(#,##0.0\);_(* &quot;-&quot;?_);_(@_)"/>
    <numFmt numFmtId="186" formatCode="#,##0.0_)_x;\(#,##0.0\)_x;0.0_)_x;@_)_x"/>
    <numFmt numFmtId="187" formatCode="_(&quot;$&quot;* #,##0.00000000000000_);_(&quot;$&quot;* \(#,##0.00000000000000\);_(&quot;$&quot;* &quot;-&quot;??_);_(@_)"/>
    <numFmt numFmtId="188" formatCode="0.0_)\%;\(0.0\)\%"/>
    <numFmt numFmtId="189" formatCode="0.0000"/>
    <numFmt numFmtId="190" formatCode="_(&quot;$&quot;* #,##0.000000000000000_);_(&quot;$&quot;* \(#,##0.000000000000000\);_(&quot;$&quot;* &quot;-&quot;??_);_(@_)"/>
    <numFmt numFmtId="191" formatCode="#,##0.0_)_%;\(#,##0.0\)_%"/>
    <numFmt numFmtId="192" formatCode="_(* #,##0.000_);_(* \(#,##0.000\);_(* &quot;-&quot;??_);_(@_)"/>
    <numFmt numFmtId="193" formatCode="#,##0.0_);\(#,##0.0\);0_._0_)"/>
    <numFmt numFmtId="194" formatCode="\¥\ #,##0_);[Red]\(\¥\ #,##0\)"/>
    <numFmt numFmtId="195" formatCode="0.000000"/>
    <numFmt numFmtId="196" formatCode="[&gt;1]&quot;10Q: &quot;0&quot; qtrs&quot;;&quot;10Q: &quot;0&quot; qtr&quot;"/>
    <numFmt numFmtId="197" formatCode="0.0%;[Red]\(0.0%\)"/>
    <numFmt numFmtId="198" formatCode="#,##0.0\ \ \ _);\(#,##0.0\)\ \ "/>
    <numFmt numFmtId="199" formatCode="#,##0.00;[Red]\(#,##0.00\)"/>
    <numFmt numFmtId="200" formatCode="_-* #,##0.00\ _F_-;\-* #,##0.00\ _F_-;_-* &quot;-&quot;??\ _F_-;_-@_-"/>
    <numFmt numFmtId="201" formatCode="m\-d\-yy"/>
    <numFmt numFmtId="202" formatCode="&quot;£&quot;#,##0.00_);[Red]\(&quot;£&quot;#,##0.00\)"/>
    <numFmt numFmtId="203" formatCode="0.0_)"/>
    <numFmt numFmtId="204" formatCode="m/yy"/>
    <numFmt numFmtId="205" formatCode="#,###.0#"/>
    <numFmt numFmtId="206" formatCode="#,###.#"/>
    <numFmt numFmtId="207" formatCode="&quot;$&quot;#,##0.00"/>
    <numFmt numFmtId="208" formatCode="0000\ \-\ 0000"/>
    <numFmt numFmtId="209" formatCode="[Red][&gt;0.0000001]\+#,##0.?#;[Red][&lt;-0.0000001]\-#,##0.?#;[Green]&quot;=  &quot;"/>
    <numFmt numFmtId="210" formatCode="#.#######\x"/>
    <numFmt numFmtId="211" formatCode="0.0"/>
    <numFmt numFmtId="212" formatCode="0.00000E+00"/>
    <numFmt numFmtId="213" formatCode="_(* #,##0.0_);_(* \(#,##0.0\);_(* &quot;-&quot;_);_(@_)"/>
    <numFmt numFmtId="214" formatCode="_-* #,##0.00\ _D_M_-;\-* #,##0.00\ _D_M_-;_-* &quot;-&quot;??\ _D_M_-;_-@_-"/>
    <numFmt numFmtId="215" formatCode="#,##0_%_);\(#,##0\)_%;#,##0_%_);@_%_)"/>
    <numFmt numFmtId="216" formatCode="#,##0.00_%_);\(#,##0.00\)_%;**;@_%_)"/>
    <numFmt numFmtId="217" formatCode="0.000\x"/>
    <numFmt numFmtId="218" formatCode="&quot;$&quot;#,##0.00_);[Red]\(&quot;$&quot;#,##0.00\);&quot;--  &quot;;_(@_)"/>
    <numFmt numFmtId="219" formatCode="_(&quot;$&quot;* #,##0.0_);_(&quot;$&quot;* \(#,##0.0\);_(&quot;$&quot;* &quot;-&quot;_);_(@_)"/>
    <numFmt numFmtId="220" formatCode="_(&quot;$&quot;* #,##0_);_(&quot;$&quot;* \(#,##0\);_(&quot;$&quot;* &quot;-&quot;??_);_(@_)"/>
    <numFmt numFmtId="221" formatCode="&quot;$&quot;#,##0.00_%_);\(&quot;$&quot;#,##0.00\)_%;**;@_%_)"/>
    <numFmt numFmtId="222" formatCode="&quot;$&quot;#,##0.00_%_);\(&quot;$&quot;#,##0.00\)_%;&quot;$&quot;###0.00_%_);@_%_)"/>
    <numFmt numFmtId="223" formatCode="_(\§\ #,##0_)\ ;[Red]\(\§\ #,##0\)\ ;&quot; - &quot;;_(@\ _)"/>
    <numFmt numFmtId="224" formatCode="_(\§\ #,##0.00_);[Red]\(\§\ #,##0.00\);&quot; - &quot;_0_0;_(@_)"/>
    <numFmt numFmtId="225" formatCode="###0.00_)"/>
    <numFmt numFmtId="226" formatCode="m/d/yy_%_)"/>
    <numFmt numFmtId="227" formatCode="mmm\-dd\-yyyy"/>
    <numFmt numFmtId="228" formatCode="mmm\-d\-yyyy"/>
    <numFmt numFmtId="229" formatCode="mmm\-yyyy"/>
    <numFmt numFmtId="230" formatCode="m/d/yy_%_);;**"/>
    <numFmt numFmtId="231" formatCode="#,##0.0_);[Red]\(#,##0.0\)"/>
    <numFmt numFmtId="232" formatCode="_([$€-2]* #,##0.00_);_([$€-2]* \(#,##0.00\);_([$€-2]* &quot;-&quot;??_)"/>
    <numFmt numFmtId="233" formatCode="&quot;$&quot;#,##0.000_);[Red]\(&quot;$&quot;#,##0.000\)"/>
    <numFmt numFmtId="234" formatCode="0.0000000000000"/>
    <numFmt numFmtId="235" formatCode="0_)"/>
    <numFmt numFmtId="236" formatCode="[$-409]d\-mmm\-yy;@"/>
    <numFmt numFmtId="237" formatCode="#,##0.00_);[Red]\(#,##0.00\);\-\-\ \ \ "/>
    <numFmt numFmtId="238" formatCode="General_)"/>
    <numFmt numFmtId="239" formatCode="&quot;&quot;"/>
    <numFmt numFmtId="240" formatCode="#,##0.0\ ;\(#,##0.0\ \)"/>
    <numFmt numFmtId="241" formatCode="0.0%;0.0%;\-\ "/>
    <numFmt numFmtId="242" formatCode="0.0%\ ;\(0.0%\)"/>
    <numFmt numFmtId="243" formatCode="_ * #,##0.00_)\ _$_ ;_ * \(#,##0.00\)\ _$_ ;_ * &quot;-&quot;??_)\ _$_ ;_ @_ "/>
    <numFmt numFmtId="244" formatCode="#,##0.00000\ ;\(#,##0.00000\ \)"/>
    <numFmt numFmtId="245" formatCode="0.000000000000"/>
    <numFmt numFmtId="246" formatCode="_ * #,##0.00_)\ &quot;$&quot;_ ;_ * \(#,##0.00\)\ &quot;$&quot;_ ;_ * &quot;-&quot;??_)\ &quot;$&quot;_ ;_ @_ "/>
    <numFmt numFmtId="247" formatCode="#,##0.0000\ ;\(#,##0.0000\ \)"/>
    <numFmt numFmtId="248" formatCode="0.000%\ ;\(0.000%\)"/>
    <numFmt numFmtId="249" formatCode="#,##0.0\x_)_);\(#,##0.0\x\)_);#,##0.0\x_)_);@_%_)"/>
    <numFmt numFmtId="250" formatCode="_(* #,##0.00000_);_(* \(#,##0.00000\);_(* &quot;-&quot;?_);_(@_)"/>
    <numFmt numFmtId="251" formatCode="#,##0.0_);[Red]\(#,##0.0\);&quot;--  &quot;"/>
    <numFmt numFmtId="252" formatCode="0.00_)"/>
    <numFmt numFmtId="253" formatCode="#,##0.000_);[Red]\(#,##0.000\)"/>
    <numFmt numFmtId="254" formatCode="0_);\(0\)"/>
    <numFmt numFmtId="255" formatCode="[$-1009]d\-mmm\-yy;@"/>
    <numFmt numFmtId="256" formatCode="#,##0.00&quot;x&quot;_);[Red]\(#,##0.00&quot;x&quot;\)"/>
    <numFmt numFmtId="257" formatCode="#,##0_);\(#,##0\);&quot;-  &quot;"/>
    <numFmt numFmtId="258" formatCode="#,##0.0_);\(#,##0.0\);&quot;-  &quot;"/>
    <numFmt numFmtId="259" formatCode="#,##0.0_);\(#,##0.0\);\-_)"/>
    <numFmt numFmtId="260" formatCode="0.00000000"/>
    <numFmt numFmtId="261" formatCode="#,##0.0%_);[Red]\(#,##0.0%\)"/>
    <numFmt numFmtId="262" formatCode="#,##0.00%_);[Red]\(#,##0.00%\)"/>
    <numFmt numFmtId="263" formatCode="0.0%_);\(0.0%\);&quot;-  &quot;"/>
    <numFmt numFmtId="264" formatCode="#,##0.0\%_);\(#,##0.0\%\);#,##0.0\%_);@_%_)"/>
    <numFmt numFmtId="265" formatCode="mm/dd/yy"/>
    <numFmt numFmtId="266" formatCode="0.00\ ;\-0.00\ ;&quot;- &quot;"/>
    <numFmt numFmtId="267" formatCode="#,##0.0000"/>
    <numFmt numFmtId="268" formatCode="#,##0\ ;[Red]\(#,##0\);\ \-\ "/>
    <numFmt numFmtId="269" formatCode="#,##0.00_);\(#,##0.00\);#,##0.00_);@_)"/>
    <numFmt numFmtId="270" formatCode="[White]General"/>
    <numFmt numFmtId="271" formatCode="#,###.##"/>
    <numFmt numFmtId="272" formatCode="&quot;$&quot;#,##0.000000_);[Red]\(&quot;$&quot;#,##0.000000\)"/>
    <numFmt numFmtId="273" formatCode="&quot;Table &quot;0"/>
    <numFmt numFmtId="274" formatCode="_(General_)"/>
    <numFmt numFmtId="275" formatCode="0.00\ "/>
    <numFmt numFmtId="276" formatCode="_-&quot;L.&quot;\ * #,##0.00_-;\-&quot;L.&quot;\ * #,##0.00_-;_-&quot;L.&quot;\ * &quot;-&quot;??_-;_-@_-"/>
    <numFmt numFmtId="277" formatCode="0_%_);\(0\)_%;0_%_);@_%_)"/>
    <numFmt numFmtId="278" formatCode="0,000\x"/>
    <numFmt numFmtId="279" formatCode="yyyy&quot;A&quot;"/>
    <numFmt numFmtId="280" formatCode="_-* #,##0\ _D_M_-;\-* #,##0\ _D_M_-;_-* &quot;-&quot;\ _D_M_-;_-@_-"/>
    <numFmt numFmtId="281" formatCode="&quot;@ &quot;0.00"/>
    <numFmt numFmtId="282" formatCode="&quot;Yes&quot;_%_);&quot;Error&quot;_%_);&quot;No&quot;_%_);&quot;--&quot;_%_)"/>
  </numFmts>
  <fonts count="189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b/>
      <sz val="10"/>
      <name val="Times New Roman"/>
      <family val="1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9C6500"/>
      <name val="Calibri"/>
      <family val="2"/>
      <scheme val="minor"/>
    </font>
    <font>
      <sz val="8"/>
      <color indexed="12"/>
      <name val="Arial"/>
      <family val="2"/>
    </font>
    <font>
      <sz val="10"/>
      <name val="Geneva"/>
    </font>
    <font>
      <sz val="10"/>
      <name val="Book Antiqua"/>
      <family val="1"/>
    </font>
    <font>
      <sz val="10"/>
      <name val="Helv"/>
      <charset val="204"/>
    </font>
    <font>
      <sz val="10"/>
      <name val="Frutiger 45 Light"/>
    </font>
    <font>
      <sz val="10"/>
      <name val="Frutiger 45 Light"/>
      <family val="2"/>
    </font>
    <font>
      <sz val="12"/>
      <name val="Times New Roman"/>
      <family val="1"/>
    </font>
    <font>
      <sz val="10"/>
      <color indexed="8"/>
      <name val="Arial"/>
      <family val="2"/>
    </font>
    <font>
      <b/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Arial"/>
      <family val="2"/>
    </font>
    <font>
      <sz val="12"/>
      <color theme="1"/>
      <name val="Times New Roman"/>
      <family val="2"/>
    </font>
    <font>
      <sz val="11"/>
      <color indexed="9"/>
      <name val="Calibri"/>
      <family val="2"/>
    </font>
    <font>
      <sz val="11"/>
      <color theme="0"/>
      <name val="Arial"/>
      <family val="2"/>
    </font>
    <font>
      <b/>
      <sz val="12"/>
      <color indexed="8"/>
      <name val="Times New Roman"/>
      <family val="1"/>
    </font>
    <font>
      <sz val="10"/>
      <name val="Arial Narrow"/>
      <family val="2"/>
    </font>
    <font>
      <sz val="8"/>
      <name val="Times New Roman"/>
      <family val="1"/>
    </font>
    <font>
      <sz val="8"/>
      <color indexed="8"/>
      <name val="Times New Roman"/>
      <family val="1"/>
    </font>
    <font>
      <sz val="10"/>
      <color indexed="8"/>
      <name val="Times New Roman"/>
      <family val="1"/>
    </font>
    <font>
      <sz val="12"/>
      <name val="Arial"/>
      <family val="2"/>
    </font>
    <font>
      <sz val="9"/>
      <name val="Times New Roman"/>
      <family val="1"/>
    </font>
    <font>
      <sz val="11"/>
      <color indexed="10"/>
      <name val="Calibri"/>
      <family val="2"/>
    </font>
    <font>
      <sz val="11"/>
      <color indexed="20"/>
      <name val="Calibri"/>
      <family val="2"/>
    </font>
    <font>
      <sz val="11"/>
      <color rgb="FF9C0006"/>
      <name val="Arial"/>
      <family val="2"/>
    </font>
    <font>
      <sz val="8"/>
      <color indexed="13"/>
      <name val="Arial"/>
      <family val="2"/>
    </font>
    <font>
      <sz val="10"/>
      <color indexed="8"/>
      <name val="Helvetica-Narrow"/>
      <family val="2"/>
    </font>
    <font>
      <sz val="10"/>
      <color indexed="12"/>
      <name val="Arial"/>
      <family val="2"/>
    </font>
    <font>
      <b/>
      <sz val="12"/>
      <name val="Times New Roman"/>
      <family val="1"/>
    </font>
    <font>
      <b/>
      <sz val="7"/>
      <name val="Arial"/>
      <family val="2"/>
    </font>
    <font>
      <b/>
      <sz val="11"/>
      <color indexed="52"/>
      <name val="Calibri"/>
      <family val="2"/>
    </font>
    <font>
      <b/>
      <sz val="11"/>
      <color rgb="FFFA7D00"/>
      <name val="Arial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b/>
      <sz val="11"/>
      <color theme="0"/>
      <name val="Arial"/>
      <family val="2"/>
    </font>
    <font>
      <sz val="10"/>
      <name val="MS Sans Serif"/>
      <family val="2"/>
    </font>
    <font>
      <sz val="11"/>
      <color indexed="12"/>
      <name val="Arial"/>
      <family val="2"/>
    </font>
    <font>
      <sz val="10"/>
      <color indexed="39"/>
      <name val="Century Schoolbook"/>
      <family val="1"/>
    </font>
    <font>
      <sz val="10"/>
      <name val="Sabon"/>
    </font>
    <font>
      <sz val="8"/>
      <name val="Palatino"/>
      <family val="1"/>
    </font>
    <font>
      <sz val="11"/>
      <color indexed="8"/>
      <name val="宋体"/>
      <charset val="134"/>
    </font>
    <font>
      <sz val="12"/>
      <color theme="1"/>
      <name val="Calibri"/>
      <family val="2"/>
    </font>
    <font>
      <sz val="12"/>
      <name val="Goudy Old Style"/>
      <family val="1"/>
    </font>
    <font>
      <sz val="10"/>
      <name val="Verdana"/>
      <family val="2"/>
    </font>
    <font>
      <sz val="12"/>
      <color indexed="8"/>
      <name val="Arial"/>
      <family val="2"/>
    </font>
    <font>
      <sz val="8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sz val="10"/>
      <color indexed="24"/>
      <name val="Arial"/>
      <family val="2"/>
    </font>
    <font>
      <sz val="11"/>
      <name val="Times New Roman"/>
      <family val="1"/>
    </font>
    <font>
      <i/>
      <sz val="9"/>
      <name val="MS Sans Serif"/>
      <family val="2"/>
    </font>
    <font>
      <sz val="24"/>
      <name val="MS Sans Serif"/>
      <family val="2"/>
    </font>
    <font>
      <sz val="9"/>
      <name val="Arial"/>
      <family val="2"/>
    </font>
    <font>
      <sz val="11"/>
      <color indexed="12"/>
      <name val="Book Antiqua"/>
      <family val="1"/>
    </font>
    <font>
      <sz val="8"/>
      <color indexed="16"/>
      <name val="Palatino"/>
      <family val="1"/>
    </font>
    <font>
      <sz val="10"/>
      <name val="Helv"/>
    </font>
    <font>
      <sz val="8"/>
      <name val="Helv"/>
    </font>
    <font>
      <u val="doubleAccounting"/>
      <sz val="10"/>
      <name val="Times New Roman"/>
      <family val="1"/>
    </font>
    <font>
      <sz val="1"/>
      <color indexed="8"/>
      <name val="Courier"/>
      <family val="3"/>
    </font>
    <font>
      <u val="doubleAccounting"/>
      <sz val="10"/>
      <name val="Arial"/>
      <family val="2"/>
    </font>
    <font>
      <sz val="9"/>
      <name val="Arial Narrow"/>
      <family val="2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i/>
      <sz val="11"/>
      <color rgb="FF7F7F7F"/>
      <name val="Arial"/>
      <family val="2"/>
    </font>
    <font>
      <sz val="14"/>
      <color indexed="32"/>
      <name val="Times New Roman"/>
      <family val="1"/>
    </font>
    <font>
      <u/>
      <sz val="8"/>
      <color rgb="FF800080"/>
      <name val="Calibri"/>
      <family val="2"/>
      <scheme val="minor"/>
    </font>
    <font>
      <sz val="7"/>
      <name val="Palatino"/>
      <family val="1"/>
    </font>
    <font>
      <sz val="11"/>
      <color indexed="17"/>
      <name val="Calibri"/>
      <family val="2"/>
    </font>
    <font>
      <sz val="11"/>
      <color rgb="FF006100"/>
      <name val="Arial"/>
      <family val="2"/>
    </font>
    <font>
      <sz val="8"/>
      <name val="Courier"/>
      <family val="3"/>
    </font>
    <font>
      <sz val="9"/>
      <name val="Futura UBS Bk"/>
      <family val="2"/>
    </font>
    <font>
      <sz val="6"/>
      <color indexed="16"/>
      <name val="Palatino"/>
      <family val="1"/>
    </font>
    <font>
      <sz val="14"/>
      <color indexed="8"/>
      <name val="Times New Roman"/>
      <family val="1"/>
    </font>
    <font>
      <b/>
      <sz val="15"/>
      <color indexed="56"/>
      <name val="Calibri"/>
      <family val="2"/>
    </font>
    <font>
      <b/>
      <sz val="18"/>
      <color indexed="24"/>
      <name val="Arial"/>
      <family val="2"/>
    </font>
    <font>
      <b/>
      <sz val="13"/>
      <color indexed="56"/>
      <name val="Calibri"/>
      <family val="2"/>
    </font>
    <font>
      <sz val="18"/>
      <name val="Helvetica-Black"/>
    </font>
    <font>
      <b/>
      <sz val="11"/>
      <color indexed="56"/>
      <name val="Calibri"/>
      <family val="2"/>
    </font>
    <font>
      <i/>
      <sz val="14"/>
      <name val="Palatino"/>
      <family val="1"/>
    </font>
    <font>
      <b/>
      <sz val="11"/>
      <color theme="3"/>
      <name val="Calibri"/>
      <family val="2"/>
    </font>
    <font>
      <b/>
      <sz val="9"/>
      <name val="Times New Roman"/>
      <family val="1"/>
    </font>
    <font>
      <b/>
      <i/>
      <sz val="22"/>
      <name val="Times New Roman"/>
      <family val="1"/>
    </font>
    <font>
      <b/>
      <sz val="10"/>
      <name val="Helv"/>
    </font>
    <font>
      <u/>
      <sz val="8"/>
      <color rgb="FF0000FF"/>
      <name val="Calibri"/>
      <family val="2"/>
      <scheme val="minor"/>
    </font>
    <font>
      <u/>
      <sz val="10"/>
      <color indexed="12"/>
      <name val="Arial"/>
      <family val="2"/>
    </font>
    <font>
      <u/>
      <sz val="10"/>
      <color indexed="12"/>
      <name val="Times New Roman"/>
      <family val="1"/>
    </font>
    <font>
      <u/>
      <sz val="11"/>
      <color theme="10"/>
      <name val="Calibri"/>
      <family val="2"/>
      <scheme val="minor"/>
    </font>
    <font>
      <u/>
      <sz val="11"/>
      <color indexed="12"/>
      <name val="Calibri"/>
      <family val="2"/>
    </font>
    <font>
      <u/>
      <sz val="11"/>
      <color theme="10"/>
      <name val="Calibri"/>
      <family val="2"/>
    </font>
    <font>
      <u/>
      <sz val="9.35"/>
      <color theme="10"/>
      <name val="Calibri"/>
      <family val="2"/>
    </font>
    <font>
      <sz val="11"/>
      <color rgb="FF3F3F76"/>
      <name val="Arial"/>
      <family val="2"/>
    </font>
    <font>
      <sz val="9"/>
      <color indexed="12"/>
      <name val="Helvetica"/>
      <family val="2"/>
    </font>
    <font>
      <sz val="8"/>
      <name val="Arial Narrow"/>
      <family val="2"/>
    </font>
    <font>
      <sz val="10"/>
      <color indexed="9"/>
      <name val="Frutiger 45 Light"/>
      <family val="2"/>
    </font>
    <font>
      <sz val="10"/>
      <color indexed="16"/>
      <name val="Arial Narrow"/>
      <family val="2"/>
    </font>
    <font>
      <b/>
      <sz val="10"/>
      <name val="MS Sans Serif"/>
      <family val="2"/>
    </font>
    <font>
      <u/>
      <sz val="10"/>
      <color indexed="36"/>
      <name val="Arial"/>
      <family val="2"/>
    </font>
    <font>
      <sz val="10"/>
      <color indexed="12"/>
      <name val="CG Times (WN)"/>
    </font>
    <font>
      <sz val="11"/>
      <color rgb="FFFA7D00"/>
      <name val="Arial"/>
      <family val="2"/>
    </font>
    <font>
      <sz val="8"/>
      <color indexed="10"/>
      <name val="Times New Roman"/>
      <family val="1"/>
    </font>
    <font>
      <i/>
      <sz val="9"/>
      <color indexed="20"/>
      <name val="Arial Narrow"/>
      <family val="2"/>
    </font>
    <font>
      <sz val="11"/>
      <color indexed="60"/>
      <name val="Calibri"/>
      <family val="2"/>
    </font>
    <font>
      <sz val="11"/>
      <color rgb="FF9C6500"/>
      <name val="Arial"/>
      <family val="2"/>
    </font>
    <font>
      <sz val="7"/>
      <name val="Small Fonts"/>
      <family val="2"/>
    </font>
    <font>
      <sz val="10"/>
      <name val="Courier"/>
      <family val="3"/>
    </font>
    <font>
      <sz val="8"/>
      <color indexed="23"/>
      <name val="Arial Narrow"/>
      <family val="2"/>
    </font>
    <font>
      <b/>
      <i/>
      <sz val="16"/>
      <name val="Helv"/>
    </font>
    <font>
      <i/>
      <sz val="9"/>
      <name val="Arial"/>
      <family val="2"/>
    </font>
    <font>
      <sz val="10"/>
      <name val="Palatino"/>
      <family val="1"/>
    </font>
    <font>
      <sz val="11"/>
      <color indexed="8"/>
      <name val="Arial"/>
      <family val="2"/>
    </font>
    <font>
      <sz val="9"/>
      <name val="Frutiger 45 Light"/>
      <family val="2"/>
    </font>
    <font>
      <sz val="9"/>
      <color indexed="12"/>
      <name val="Frutiger 45 Light"/>
      <family val="2"/>
    </font>
    <font>
      <b/>
      <sz val="9"/>
      <name val="Frutiger 45 Light"/>
      <family val="2"/>
    </font>
    <font>
      <sz val="9"/>
      <name val="Frutiger 45 Light"/>
    </font>
    <font>
      <sz val="9"/>
      <color indexed="56"/>
      <name val="Frutiger 45 Light"/>
      <family val="2"/>
    </font>
    <font>
      <b/>
      <sz val="11"/>
      <color indexed="63"/>
      <name val="Calibri"/>
      <family val="2"/>
    </font>
    <font>
      <b/>
      <sz val="11"/>
      <color rgb="FF3F3F3F"/>
      <name val="Arial"/>
      <family val="2"/>
    </font>
    <font>
      <b/>
      <sz val="26"/>
      <name val="Times New Roman"/>
      <family val="1"/>
    </font>
    <font>
      <b/>
      <sz val="18"/>
      <name val="Times New Roman"/>
      <family val="1"/>
    </font>
    <font>
      <sz val="10"/>
      <color indexed="16"/>
      <name val="Helvetica-Black"/>
    </font>
    <font>
      <sz val="22"/>
      <name val="UBSHeadline"/>
      <family val="1"/>
    </font>
    <font>
      <sz val="10"/>
      <name val="Tms Rmn"/>
    </font>
    <font>
      <i/>
      <sz val="8"/>
      <name val="Arial"/>
      <family val="2"/>
    </font>
    <font>
      <sz val="8"/>
      <color indexed="32"/>
      <name val="Arial"/>
      <family val="2"/>
    </font>
    <font>
      <sz val="8"/>
      <color indexed="10"/>
      <name val="Arial"/>
      <family val="2"/>
    </font>
    <font>
      <i/>
      <sz val="8"/>
      <color indexed="14"/>
      <name val="Arial"/>
      <family val="2"/>
    </font>
    <font>
      <sz val="9.5"/>
      <color indexed="23"/>
      <name val="Helvetica-Black"/>
    </font>
    <font>
      <b/>
      <sz val="12"/>
      <name val="MS Sans Serif"/>
      <family val="2"/>
    </font>
    <font>
      <u val="singleAccounting"/>
      <sz val="10"/>
      <name val="Arial"/>
      <family val="2"/>
    </font>
    <font>
      <u val="singleAccounting"/>
      <sz val="10"/>
      <name val="Times New Roman"/>
      <family val="1"/>
    </font>
    <font>
      <vertAlign val="superscript"/>
      <sz val="12"/>
      <name val="Helv"/>
    </font>
    <font>
      <i/>
      <sz val="8"/>
      <name val="Times New Roman"/>
      <family val="1"/>
    </font>
    <font>
      <sz val="11"/>
      <name val="돋움"/>
      <family val="3"/>
    </font>
    <font>
      <b/>
      <sz val="15"/>
      <name val="Arial"/>
      <family val="2"/>
    </font>
    <font>
      <b/>
      <sz val="14"/>
      <name val="Arial"/>
      <family val="2"/>
    </font>
    <font>
      <b/>
      <sz val="10"/>
      <color indexed="9"/>
      <name val="Arial"/>
      <family val="2"/>
    </font>
    <font>
      <b/>
      <sz val="10"/>
      <color indexed="8"/>
      <name val="Arial"/>
      <family val="2"/>
    </font>
    <font>
      <i/>
      <sz val="10"/>
      <color indexed="8"/>
      <name val="Arial"/>
      <family val="2"/>
    </font>
    <font>
      <b/>
      <sz val="9"/>
      <name val="Palatino"/>
      <family val="1"/>
    </font>
    <font>
      <sz val="9"/>
      <color indexed="21"/>
      <name val="Helvetica-Black"/>
    </font>
    <font>
      <b/>
      <sz val="10"/>
      <name val="Palatino"/>
      <family val="1"/>
    </font>
    <font>
      <b/>
      <sz val="8.5"/>
      <name val="Arial"/>
      <family val="2"/>
    </font>
    <font>
      <sz val="7"/>
      <name val="Times New Roman"/>
      <family val="1"/>
    </font>
    <font>
      <b/>
      <sz val="10"/>
      <name val="Arial Narrow"/>
      <family val="2"/>
    </font>
    <font>
      <sz val="10"/>
      <color indexed="9"/>
      <name val="Arial Narrow"/>
      <family val="2"/>
    </font>
    <font>
      <sz val="12"/>
      <color indexed="8"/>
      <name val="Palatino"/>
      <family val="1"/>
    </font>
    <font>
      <sz val="11"/>
      <color indexed="8"/>
      <name val="Helvetica-Black"/>
    </font>
    <font>
      <b/>
      <sz val="11"/>
      <name val="Times New Roman"/>
      <family val="1"/>
    </font>
    <font>
      <b/>
      <sz val="18"/>
      <color indexed="56"/>
      <name val="Cambria"/>
      <family val="2"/>
    </font>
    <font>
      <b/>
      <sz val="14"/>
      <color indexed="16"/>
      <name val="Sabon"/>
    </font>
    <font>
      <b/>
      <sz val="14"/>
      <color indexed="9"/>
      <name val="Times New Roman"/>
      <family val="1"/>
    </font>
    <font>
      <b/>
      <sz val="14"/>
      <name val="Times New Roman"/>
      <family val="1"/>
    </font>
    <font>
      <b/>
      <sz val="12"/>
      <name val="Helv"/>
    </font>
    <font>
      <b/>
      <sz val="11"/>
      <color indexed="8"/>
      <name val="Calibri"/>
      <family val="2"/>
    </font>
    <font>
      <b/>
      <sz val="11"/>
      <color theme="1"/>
      <name val="Arial"/>
      <family val="2"/>
    </font>
    <font>
      <b/>
      <sz val="12"/>
      <color theme="1"/>
      <name val="Calibri"/>
      <family val="2"/>
    </font>
    <font>
      <u/>
      <sz val="8"/>
      <color indexed="8"/>
      <name val="Arial"/>
      <family val="2"/>
    </font>
    <font>
      <sz val="16"/>
      <name val="WarburgLogo"/>
      <family val="1"/>
    </font>
    <font>
      <sz val="11"/>
      <color rgb="FFFF0000"/>
      <name val="Arial"/>
      <family val="2"/>
    </font>
    <font>
      <sz val="8"/>
      <color indexed="12"/>
      <name val="Times New Roman"/>
      <family val="1"/>
    </font>
    <font>
      <sz val="11"/>
      <name val="Arial"/>
      <family val="2"/>
    </font>
    <font>
      <sz val="12"/>
      <color theme="1"/>
      <name val="Calibri"/>
      <family val="2"/>
      <scheme val="minor"/>
    </font>
    <font>
      <b/>
      <sz val="10"/>
      <color rgb="FF222222"/>
      <name val="Arial"/>
      <family val="2"/>
    </font>
  </fonts>
  <fills count="8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6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4"/>
        <bgColor indexed="64"/>
      </patternFill>
    </fill>
    <fill>
      <patternFill patternType="gray125">
        <fgColor indexed="8"/>
      </patternFill>
    </fill>
    <fill>
      <patternFill patternType="solid">
        <fgColor indexed="3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</patternFill>
    </fill>
    <fill>
      <patternFill patternType="lightGray">
        <fgColor indexed="15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lightGray">
        <fgColor indexed="12"/>
      </patternFill>
    </fill>
    <fill>
      <patternFill patternType="solid">
        <fgColor indexed="9"/>
        <bgColor indexed="9"/>
      </patternFill>
    </fill>
    <fill>
      <patternFill patternType="solid">
        <fgColor indexed="3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9"/>
      </patternFill>
    </fill>
    <fill>
      <patternFill patternType="solid">
        <fgColor indexed="43"/>
      </patternFill>
    </fill>
    <fill>
      <patternFill patternType="solid">
        <fgColor indexed="13"/>
      </patternFill>
    </fill>
    <fill>
      <patternFill patternType="mediumGray">
        <fgColor indexed="9"/>
        <bgColor indexed="22"/>
      </patternFill>
    </fill>
    <fill>
      <patternFill patternType="gray0625">
        <fgColor indexed="22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mediumGray">
        <fgColor indexed="22"/>
      </patternFill>
    </fill>
    <fill>
      <patternFill patternType="solid">
        <fgColor indexed="22"/>
        <bgColor indexed="14"/>
      </patternFill>
    </fill>
    <fill>
      <patternFill patternType="solid">
        <fgColor indexed="63"/>
        <bgColor indexed="64"/>
      </patternFill>
    </fill>
    <fill>
      <patternFill patternType="solid">
        <fgColor indexed="34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12"/>
      </patternFill>
    </fill>
    <fill>
      <patternFill patternType="solid">
        <fgColor indexed="16"/>
        <bgColor indexed="64"/>
      </patternFill>
    </fill>
    <fill>
      <patternFill patternType="solid">
        <fgColor indexed="9"/>
      </patternFill>
    </fill>
    <fill>
      <patternFill patternType="solid">
        <fgColor indexed="38"/>
      </patternFill>
    </fill>
  </fills>
  <borders count="11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2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22"/>
      </bottom>
      <diagonal/>
    </border>
    <border>
      <left/>
      <right/>
      <top/>
      <bottom style="dotted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hair">
        <color indexed="64"/>
      </right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23"/>
      </top>
      <bottom style="medium">
        <color indexed="23"/>
      </bottom>
      <diagonal/>
    </border>
    <border>
      <left style="medium">
        <color indexed="14"/>
      </left>
      <right style="medium">
        <color indexed="14"/>
      </right>
      <top style="medium">
        <color indexed="14"/>
      </top>
      <bottom style="medium">
        <color indexed="14"/>
      </bottom>
      <diagonal/>
    </border>
    <border>
      <left/>
      <right/>
      <top/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2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22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thin">
        <color indexed="28"/>
      </bottom>
      <diagonal/>
    </border>
    <border>
      <left/>
      <right/>
      <top/>
      <bottom style="thin">
        <color indexed="22"/>
      </bottom>
      <diagonal/>
    </border>
    <border>
      <left/>
      <right/>
      <top/>
      <bottom style="thick">
        <color auto="1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 style="hair">
        <color auto="1"/>
      </right>
      <top/>
      <bottom/>
      <diagonal/>
    </border>
    <border>
      <left/>
      <right/>
      <top/>
      <bottom style="thin">
        <color indexed="23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4735">
    <xf numFmtId="0" fontId="0" fillId="0" borderId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3" fillId="0" borderId="0"/>
    <xf numFmtId="0" fontId="5" fillId="0" borderId="0"/>
    <xf numFmtId="0" fontId="8" fillId="0" borderId="0"/>
    <xf numFmtId="9" fontId="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27" fillId="0" borderId="0">
      <alignment horizontal="right"/>
    </xf>
    <xf numFmtId="0" fontId="5" fillId="0" borderId="0"/>
    <xf numFmtId="168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10" fontId="28" fillId="0" borderId="0" applyFont="0" applyFill="0" applyBorder="0" applyAlignment="0" applyProtection="0"/>
    <xf numFmtId="0" fontId="5" fillId="36" borderId="35" applyNumberFormat="0">
      <alignment horizontal="centerContinuous" vertical="center" wrapText="1"/>
    </xf>
    <xf numFmtId="0" fontId="5" fillId="37" borderId="35" applyNumberFormat="0">
      <alignment horizontal="left" vertical="center"/>
    </xf>
    <xf numFmtId="164" fontId="29" fillId="0" borderId="0" applyFont="0" applyFill="0" applyBorder="0" applyAlignment="0" applyProtection="0"/>
    <xf numFmtId="0" fontId="5" fillId="0" borderId="0"/>
    <xf numFmtId="0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0" fontId="30" fillId="0" borderId="0"/>
    <xf numFmtId="0" fontId="31" fillId="0" borderId="0" applyFont="0" applyFill="0" applyBorder="0" applyAlignment="0" applyProtection="0"/>
    <xf numFmtId="175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7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39" fontId="5" fillId="0" borderId="0" applyFont="0" applyFill="0" applyBorder="0" applyAlignment="0" applyProtection="0"/>
    <xf numFmtId="0" fontId="30" fillId="0" borderId="0"/>
    <xf numFmtId="0" fontId="5" fillId="0" borderId="0">
      <alignment vertical="top"/>
    </xf>
    <xf numFmtId="9" fontId="31" fillId="0" borderId="0">
      <alignment horizontal="right"/>
    </xf>
    <xf numFmtId="0" fontId="32" fillId="0" borderId="0" applyNumberFormat="0" applyFill="0">
      <alignment horizontal="left" vertical="center" wrapText="1"/>
    </xf>
    <xf numFmtId="179" fontId="5" fillId="0" borderId="0" applyFont="0" applyFill="0" applyBorder="0" applyAlignment="0" applyProtection="0"/>
    <xf numFmtId="180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184" fontId="5" fillId="0" borderId="0" applyFont="0" applyFill="0" applyBorder="0" applyAlignment="0" applyProtection="0"/>
    <xf numFmtId="185" fontId="5" fillId="0" borderId="0" applyFont="0" applyFill="0" applyBorder="0" applyAlignment="0" applyProtection="0"/>
    <xf numFmtId="186" fontId="5" fillId="0" borderId="0" applyFont="0" applyFill="0" applyBorder="0" applyProtection="0">
      <alignment horizontal="right"/>
    </xf>
    <xf numFmtId="187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88" fontId="5" fillId="0" borderId="0" applyFont="0" applyFill="0" applyBorder="0" applyAlignment="0" applyProtection="0"/>
    <xf numFmtId="189" fontId="5" fillId="0" borderId="0" applyFont="0" applyFill="0" applyBorder="0" applyAlignment="0" applyProtection="0"/>
    <xf numFmtId="190" fontId="3" fillId="0" borderId="0" applyFont="0" applyFill="0" applyBorder="0" applyAlignment="0" applyProtection="0"/>
    <xf numFmtId="190" fontId="5" fillId="0" borderId="0" applyFont="0" applyFill="0" applyBorder="0" applyAlignment="0" applyProtection="0"/>
    <xf numFmtId="191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3" fontId="5" fillId="0" borderId="0" applyFont="0" applyFill="0" applyBorder="0" applyAlignment="0" applyProtection="0"/>
    <xf numFmtId="0" fontId="5" fillId="0" borderId="0"/>
    <xf numFmtId="0" fontId="5" fillId="0" borderId="0"/>
    <xf numFmtId="0" fontId="33" fillId="0" borderId="0" applyFont="0" applyFill="0" applyBorder="0" applyAlignment="0" applyProtection="0"/>
    <xf numFmtId="194" fontId="33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34" fillId="0" borderId="0"/>
    <xf numFmtId="195" fontId="32" fillId="0" borderId="0" applyNumberFormat="0" applyFill="0">
      <alignment horizontal="left" vertical="center" wrapText="1"/>
    </xf>
    <xf numFmtId="0" fontId="32" fillId="38" borderId="0" applyFont="0" applyFill="0" applyProtection="0"/>
    <xf numFmtId="174" fontId="5" fillId="0" borderId="0"/>
    <xf numFmtId="196" fontId="35" fillId="0" borderId="0" applyFill="0" applyBorder="0" applyAlignment="0" applyProtection="0">
      <alignment horizontal="right"/>
    </xf>
    <xf numFmtId="0" fontId="36" fillId="39" borderId="0" applyNumberFormat="0" applyBorder="0" applyAlignment="0" applyProtection="0"/>
    <xf numFmtId="0" fontId="36" fillId="40" borderId="0" applyNumberFormat="0" applyBorder="0" applyAlignment="0" applyProtection="0"/>
    <xf numFmtId="0" fontId="36" fillId="41" borderId="0" applyNumberFormat="0" applyBorder="0" applyAlignment="0" applyProtection="0"/>
    <xf numFmtId="0" fontId="36" fillId="42" borderId="0" applyNumberFormat="0" applyBorder="0" applyAlignment="0" applyProtection="0"/>
    <xf numFmtId="0" fontId="36" fillId="43" borderId="0" applyNumberFormat="0" applyBorder="0" applyAlignment="0" applyProtection="0"/>
    <xf numFmtId="0" fontId="36" fillId="44" borderId="0" applyNumberFormat="0" applyBorder="0" applyAlignment="0" applyProtection="0"/>
    <xf numFmtId="0" fontId="36" fillId="39" borderId="0" applyNumberFormat="0" applyBorder="0" applyAlignment="0" applyProtection="0"/>
    <xf numFmtId="0" fontId="8" fillId="13" borderId="0" applyNumberFormat="0" applyBorder="0" applyAlignment="0" applyProtection="0"/>
    <xf numFmtId="0" fontId="37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37" fillId="13" borderId="0" applyNumberFormat="0" applyBorder="0" applyAlignment="0" applyProtection="0"/>
    <xf numFmtId="0" fontId="8" fillId="13" borderId="0" applyNumberFormat="0" applyBorder="0" applyAlignment="0" applyProtection="0"/>
    <xf numFmtId="0" fontId="37" fillId="13" borderId="0" applyNumberFormat="0" applyBorder="0" applyAlignment="0" applyProtection="0"/>
    <xf numFmtId="0" fontId="37" fillId="13" borderId="0" applyNumberFormat="0" applyBorder="0" applyAlignment="0" applyProtection="0"/>
    <xf numFmtId="0" fontId="37" fillId="13" borderId="0" applyNumberFormat="0" applyBorder="0" applyAlignment="0" applyProtection="0"/>
    <xf numFmtId="0" fontId="37" fillId="13" borderId="0" applyNumberFormat="0" applyBorder="0" applyAlignment="0" applyProtection="0"/>
    <xf numFmtId="0" fontId="37" fillId="13" borderId="0" applyNumberFormat="0" applyBorder="0" applyAlignment="0" applyProtection="0"/>
    <xf numFmtId="0" fontId="3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36" fillId="40" borderId="0" applyNumberFormat="0" applyBorder="0" applyAlignment="0" applyProtection="0"/>
    <xf numFmtId="0" fontId="8" fillId="17" borderId="0" applyNumberFormat="0" applyBorder="0" applyAlignment="0" applyProtection="0"/>
    <xf numFmtId="0" fontId="37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37" fillId="17" borderId="0" applyNumberFormat="0" applyBorder="0" applyAlignment="0" applyProtection="0"/>
    <xf numFmtId="0" fontId="8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36" fillId="41" borderId="0" applyNumberFormat="0" applyBorder="0" applyAlignment="0" applyProtection="0"/>
    <xf numFmtId="0" fontId="8" fillId="21" borderId="0" applyNumberFormat="0" applyBorder="0" applyAlignment="0" applyProtection="0"/>
    <xf numFmtId="0" fontId="37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37" fillId="21" borderId="0" applyNumberFormat="0" applyBorder="0" applyAlignment="0" applyProtection="0"/>
    <xf numFmtId="0" fontId="8" fillId="21" borderId="0" applyNumberFormat="0" applyBorder="0" applyAlignment="0" applyProtection="0"/>
    <xf numFmtId="0" fontId="37" fillId="21" borderId="0" applyNumberFormat="0" applyBorder="0" applyAlignment="0" applyProtection="0"/>
    <xf numFmtId="0" fontId="37" fillId="21" borderId="0" applyNumberFormat="0" applyBorder="0" applyAlignment="0" applyProtection="0"/>
    <xf numFmtId="0" fontId="37" fillId="21" borderId="0" applyNumberFormat="0" applyBorder="0" applyAlignment="0" applyProtection="0"/>
    <xf numFmtId="0" fontId="37" fillId="21" borderId="0" applyNumberFormat="0" applyBorder="0" applyAlignment="0" applyProtection="0"/>
    <xf numFmtId="0" fontId="37" fillId="21" borderId="0" applyNumberFormat="0" applyBorder="0" applyAlignment="0" applyProtection="0"/>
    <xf numFmtId="0" fontId="3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36" fillId="42" borderId="0" applyNumberFormat="0" applyBorder="0" applyAlignment="0" applyProtection="0"/>
    <xf numFmtId="0" fontId="8" fillId="25" borderId="0" applyNumberFormat="0" applyBorder="0" applyAlignment="0" applyProtection="0"/>
    <xf numFmtId="0" fontId="37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37" fillId="25" borderId="0" applyNumberFormat="0" applyBorder="0" applyAlignment="0" applyProtection="0"/>
    <xf numFmtId="0" fontId="8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36" fillId="43" borderId="0" applyNumberFormat="0" applyBorder="0" applyAlignment="0" applyProtection="0"/>
    <xf numFmtId="0" fontId="8" fillId="29" borderId="0" applyNumberFormat="0" applyBorder="0" applyAlignment="0" applyProtection="0"/>
    <xf numFmtId="0" fontId="37" fillId="29" borderId="0" applyNumberFormat="0" applyBorder="0" applyAlignment="0" applyProtection="0"/>
    <xf numFmtId="0" fontId="8" fillId="29" borderId="0" applyNumberFormat="0" applyBorder="0" applyAlignment="0" applyProtection="0"/>
    <xf numFmtId="0" fontId="8" fillId="29" borderId="0" applyNumberFormat="0" applyBorder="0" applyAlignment="0" applyProtection="0"/>
    <xf numFmtId="0" fontId="37" fillId="29" borderId="0" applyNumberFormat="0" applyBorder="0" applyAlignment="0" applyProtection="0"/>
    <xf numFmtId="0" fontId="8" fillId="29" borderId="0" applyNumberFormat="0" applyBorder="0" applyAlignment="0" applyProtection="0"/>
    <xf numFmtId="0" fontId="37" fillId="29" borderId="0" applyNumberFormat="0" applyBorder="0" applyAlignment="0" applyProtection="0"/>
    <xf numFmtId="0" fontId="37" fillId="29" borderId="0" applyNumberFormat="0" applyBorder="0" applyAlignment="0" applyProtection="0"/>
    <xf numFmtId="0" fontId="37" fillId="29" borderId="0" applyNumberFormat="0" applyBorder="0" applyAlignment="0" applyProtection="0"/>
    <xf numFmtId="0" fontId="37" fillId="29" borderId="0" applyNumberFormat="0" applyBorder="0" applyAlignment="0" applyProtection="0"/>
    <xf numFmtId="0" fontId="37" fillId="29" borderId="0" applyNumberFormat="0" applyBorder="0" applyAlignment="0" applyProtection="0"/>
    <xf numFmtId="0" fontId="38" fillId="29" borderId="0" applyNumberFormat="0" applyBorder="0" applyAlignment="0" applyProtection="0"/>
    <xf numFmtId="0" fontId="8" fillId="29" borderId="0" applyNumberFormat="0" applyBorder="0" applyAlignment="0" applyProtection="0"/>
    <xf numFmtId="0" fontId="8" fillId="29" borderId="0" applyNumberFormat="0" applyBorder="0" applyAlignment="0" applyProtection="0"/>
    <xf numFmtId="0" fontId="8" fillId="29" borderId="0" applyNumberFormat="0" applyBorder="0" applyAlignment="0" applyProtection="0"/>
    <xf numFmtId="0" fontId="8" fillId="29" borderId="0" applyNumberFormat="0" applyBorder="0" applyAlignment="0" applyProtection="0"/>
    <xf numFmtId="0" fontId="8" fillId="29" borderId="0" applyNumberFormat="0" applyBorder="0" applyAlignment="0" applyProtection="0"/>
    <xf numFmtId="0" fontId="8" fillId="29" borderId="0" applyNumberFormat="0" applyBorder="0" applyAlignment="0" applyProtection="0"/>
    <xf numFmtId="0" fontId="8" fillId="29" borderId="0" applyNumberFormat="0" applyBorder="0" applyAlignment="0" applyProtection="0"/>
    <xf numFmtId="0" fontId="8" fillId="29" borderId="0" applyNumberFormat="0" applyBorder="0" applyAlignment="0" applyProtection="0"/>
    <xf numFmtId="0" fontId="8" fillId="29" borderId="0" applyNumberFormat="0" applyBorder="0" applyAlignment="0" applyProtection="0"/>
    <xf numFmtId="0" fontId="8" fillId="29" borderId="0" applyNumberFormat="0" applyBorder="0" applyAlignment="0" applyProtection="0"/>
    <xf numFmtId="0" fontId="8" fillId="29" borderId="0" applyNumberFormat="0" applyBorder="0" applyAlignment="0" applyProtection="0"/>
    <xf numFmtId="0" fontId="8" fillId="29" borderId="0" applyNumberFormat="0" applyBorder="0" applyAlignment="0" applyProtection="0"/>
    <xf numFmtId="0" fontId="8" fillId="29" borderId="0" applyNumberFormat="0" applyBorder="0" applyAlignment="0" applyProtection="0"/>
    <xf numFmtId="0" fontId="8" fillId="29" borderId="0" applyNumberFormat="0" applyBorder="0" applyAlignment="0" applyProtection="0"/>
    <xf numFmtId="0" fontId="8" fillId="29" borderId="0" applyNumberFormat="0" applyBorder="0" applyAlignment="0" applyProtection="0"/>
    <xf numFmtId="0" fontId="8" fillId="29" borderId="0" applyNumberFormat="0" applyBorder="0" applyAlignment="0" applyProtection="0"/>
    <xf numFmtId="0" fontId="8" fillId="29" borderId="0" applyNumberFormat="0" applyBorder="0" applyAlignment="0" applyProtection="0"/>
    <xf numFmtId="0" fontId="8" fillId="29" borderId="0" applyNumberFormat="0" applyBorder="0" applyAlignment="0" applyProtection="0"/>
    <xf numFmtId="0" fontId="8" fillId="29" borderId="0" applyNumberFormat="0" applyBorder="0" applyAlignment="0" applyProtection="0"/>
    <xf numFmtId="0" fontId="8" fillId="29" borderId="0" applyNumberFormat="0" applyBorder="0" applyAlignment="0" applyProtection="0"/>
    <xf numFmtId="0" fontId="8" fillId="29" borderId="0" applyNumberFormat="0" applyBorder="0" applyAlignment="0" applyProtection="0"/>
    <xf numFmtId="0" fontId="8" fillId="29" borderId="0" applyNumberFormat="0" applyBorder="0" applyAlignment="0" applyProtection="0"/>
    <xf numFmtId="0" fontId="8" fillId="29" borderId="0" applyNumberFormat="0" applyBorder="0" applyAlignment="0" applyProtection="0"/>
    <xf numFmtId="0" fontId="8" fillId="29" borderId="0" applyNumberFormat="0" applyBorder="0" applyAlignment="0" applyProtection="0"/>
    <xf numFmtId="0" fontId="8" fillId="29" borderId="0" applyNumberFormat="0" applyBorder="0" applyAlignment="0" applyProtection="0"/>
    <xf numFmtId="0" fontId="8" fillId="29" borderId="0" applyNumberFormat="0" applyBorder="0" applyAlignment="0" applyProtection="0"/>
    <xf numFmtId="0" fontId="8" fillId="29" borderId="0" applyNumberFormat="0" applyBorder="0" applyAlignment="0" applyProtection="0"/>
    <xf numFmtId="0" fontId="8" fillId="29" borderId="0" applyNumberFormat="0" applyBorder="0" applyAlignment="0" applyProtection="0"/>
    <xf numFmtId="0" fontId="8" fillId="29" borderId="0" applyNumberFormat="0" applyBorder="0" applyAlignment="0" applyProtection="0"/>
    <xf numFmtId="0" fontId="8" fillId="29" borderId="0" applyNumberFormat="0" applyBorder="0" applyAlignment="0" applyProtection="0"/>
    <xf numFmtId="0" fontId="36" fillId="44" borderId="0" applyNumberFormat="0" applyBorder="0" applyAlignment="0" applyProtection="0"/>
    <xf numFmtId="0" fontId="8" fillId="33" borderId="0" applyNumberFormat="0" applyBorder="0" applyAlignment="0" applyProtection="0"/>
    <xf numFmtId="0" fontId="37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37" fillId="33" borderId="0" applyNumberFormat="0" applyBorder="0" applyAlignment="0" applyProtection="0"/>
    <xf numFmtId="0" fontId="8" fillId="33" borderId="0" applyNumberFormat="0" applyBorder="0" applyAlignment="0" applyProtection="0"/>
    <xf numFmtId="0" fontId="37" fillId="33" borderId="0" applyNumberFormat="0" applyBorder="0" applyAlignment="0" applyProtection="0"/>
    <xf numFmtId="0" fontId="37" fillId="33" borderId="0" applyNumberFormat="0" applyBorder="0" applyAlignment="0" applyProtection="0"/>
    <xf numFmtId="0" fontId="37" fillId="33" borderId="0" applyNumberFormat="0" applyBorder="0" applyAlignment="0" applyProtection="0"/>
    <xf numFmtId="0" fontId="37" fillId="33" borderId="0" applyNumberFormat="0" applyBorder="0" applyAlignment="0" applyProtection="0"/>
    <xf numFmtId="0" fontId="37" fillId="33" borderId="0" applyNumberFormat="0" applyBorder="0" applyAlignment="0" applyProtection="0"/>
    <xf numFmtId="0" fontId="3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36" fillId="45" borderId="0" applyNumberFormat="0" applyBorder="0" applyAlignment="0" applyProtection="0"/>
    <xf numFmtId="0" fontId="36" fillId="46" borderId="0" applyNumberFormat="0" applyBorder="0" applyAlignment="0" applyProtection="0"/>
    <xf numFmtId="0" fontId="36" fillId="47" borderId="0" applyNumberFormat="0" applyBorder="0" applyAlignment="0" applyProtection="0"/>
    <xf numFmtId="0" fontId="36" fillId="42" borderId="0" applyNumberFormat="0" applyBorder="0" applyAlignment="0" applyProtection="0"/>
    <xf numFmtId="0" fontId="36" fillId="45" borderId="0" applyNumberFormat="0" applyBorder="0" applyAlignment="0" applyProtection="0"/>
    <xf numFmtId="0" fontId="36" fillId="48" borderId="0" applyNumberFormat="0" applyBorder="0" applyAlignment="0" applyProtection="0"/>
    <xf numFmtId="0" fontId="36" fillId="45" borderId="0" applyNumberFormat="0" applyBorder="0" applyAlignment="0" applyProtection="0"/>
    <xf numFmtId="0" fontId="8" fillId="14" borderId="0" applyNumberFormat="0" applyBorder="0" applyAlignment="0" applyProtection="0"/>
    <xf numFmtId="0" fontId="37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37" fillId="14" borderId="0" applyNumberFormat="0" applyBorder="0" applyAlignment="0" applyProtection="0"/>
    <xf numFmtId="0" fontId="8" fillId="14" borderId="0" applyNumberFormat="0" applyBorder="0" applyAlignment="0" applyProtection="0"/>
    <xf numFmtId="0" fontId="37" fillId="14" borderId="0" applyNumberFormat="0" applyBorder="0" applyAlignment="0" applyProtection="0"/>
    <xf numFmtId="0" fontId="37" fillId="14" borderId="0" applyNumberFormat="0" applyBorder="0" applyAlignment="0" applyProtection="0"/>
    <xf numFmtId="0" fontId="37" fillId="14" borderId="0" applyNumberFormat="0" applyBorder="0" applyAlignment="0" applyProtection="0"/>
    <xf numFmtId="0" fontId="37" fillId="14" borderId="0" applyNumberFormat="0" applyBorder="0" applyAlignment="0" applyProtection="0"/>
    <xf numFmtId="0" fontId="37" fillId="14" borderId="0" applyNumberFormat="0" applyBorder="0" applyAlignment="0" applyProtection="0"/>
    <xf numFmtId="0" fontId="3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36" fillId="46" borderId="0" applyNumberFormat="0" applyBorder="0" applyAlignment="0" applyProtection="0"/>
    <xf numFmtId="0" fontId="8" fillId="18" borderId="0" applyNumberFormat="0" applyBorder="0" applyAlignment="0" applyProtection="0"/>
    <xf numFmtId="0" fontId="37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37" fillId="18" borderId="0" applyNumberFormat="0" applyBorder="0" applyAlignment="0" applyProtection="0"/>
    <xf numFmtId="0" fontId="8" fillId="18" borderId="0" applyNumberFormat="0" applyBorder="0" applyAlignment="0" applyProtection="0"/>
    <xf numFmtId="0" fontId="37" fillId="18" borderId="0" applyNumberFormat="0" applyBorder="0" applyAlignment="0" applyProtection="0"/>
    <xf numFmtId="0" fontId="37" fillId="18" borderId="0" applyNumberFormat="0" applyBorder="0" applyAlignment="0" applyProtection="0"/>
    <xf numFmtId="0" fontId="37" fillId="18" borderId="0" applyNumberFormat="0" applyBorder="0" applyAlignment="0" applyProtection="0"/>
    <xf numFmtId="0" fontId="37" fillId="18" borderId="0" applyNumberFormat="0" applyBorder="0" applyAlignment="0" applyProtection="0"/>
    <xf numFmtId="0" fontId="37" fillId="18" borderId="0" applyNumberFormat="0" applyBorder="0" applyAlignment="0" applyProtection="0"/>
    <xf numFmtId="0" fontId="3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36" fillId="47" borderId="0" applyNumberFormat="0" applyBorder="0" applyAlignment="0" applyProtection="0"/>
    <xf numFmtId="0" fontId="8" fillId="22" borderId="0" applyNumberFormat="0" applyBorder="0" applyAlignment="0" applyProtection="0"/>
    <xf numFmtId="0" fontId="37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37" fillId="22" borderId="0" applyNumberFormat="0" applyBorder="0" applyAlignment="0" applyProtection="0"/>
    <xf numFmtId="0" fontId="8" fillId="22" borderId="0" applyNumberFormat="0" applyBorder="0" applyAlignment="0" applyProtection="0"/>
    <xf numFmtId="0" fontId="37" fillId="22" borderId="0" applyNumberFormat="0" applyBorder="0" applyAlignment="0" applyProtection="0"/>
    <xf numFmtId="0" fontId="37" fillId="22" borderId="0" applyNumberFormat="0" applyBorder="0" applyAlignment="0" applyProtection="0"/>
    <xf numFmtId="0" fontId="37" fillId="22" borderId="0" applyNumberFormat="0" applyBorder="0" applyAlignment="0" applyProtection="0"/>
    <xf numFmtId="0" fontId="37" fillId="22" borderId="0" applyNumberFormat="0" applyBorder="0" applyAlignment="0" applyProtection="0"/>
    <xf numFmtId="0" fontId="37" fillId="22" borderId="0" applyNumberFormat="0" applyBorder="0" applyAlignment="0" applyProtection="0"/>
    <xf numFmtId="0" fontId="3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36" fillId="42" borderId="0" applyNumberFormat="0" applyBorder="0" applyAlignment="0" applyProtection="0"/>
    <xf numFmtId="0" fontId="8" fillId="26" borderId="0" applyNumberFormat="0" applyBorder="0" applyAlignment="0" applyProtection="0"/>
    <xf numFmtId="0" fontId="37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37" fillId="26" borderId="0" applyNumberFormat="0" applyBorder="0" applyAlignment="0" applyProtection="0"/>
    <xf numFmtId="0" fontId="8" fillId="26" borderId="0" applyNumberFormat="0" applyBorder="0" applyAlignment="0" applyProtection="0"/>
    <xf numFmtId="0" fontId="37" fillId="26" borderId="0" applyNumberFormat="0" applyBorder="0" applyAlignment="0" applyProtection="0"/>
    <xf numFmtId="0" fontId="37" fillId="26" borderId="0" applyNumberFormat="0" applyBorder="0" applyAlignment="0" applyProtection="0"/>
    <xf numFmtId="0" fontId="37" fillId="26" borderId="0" applyNumberFormat="0" applyBorder="0" applyAlignment="0" applyProtection="0"/>
    <xf numFmtId="0" fontId="37" fillId="26" borderId="0" applyNumberFormat="0" applyBorder="0" applyAlignment="0" applyProtection="0"/>
    <xf numFmtId="0" fontId="37" fillId="26" borderId="0" applyNumberFormat="0" applyBorder="0" applyAlignment="0" applyProtection="0"/>
    <xf numFmtId="0" fontId="3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36" fillId="45" borderId="0" applyNumberFormat="0" applyBorder="0" applyAlignment="0" applyProtection="0"/>
    <xf numFmtId="0" fontId="8" fillId="30" borderId="0" applyNumberFormat="0" applyBorder="0" applyAlignment="0" applyProtection="0"/>
    <xf numFmtId="0" fontId="37" fillId="30" borderId="0" applyNumberFormat="0" applyBorder="0" applyAlignment="0" applyProtection="0"/>
    <xf numFmtId="0" fontId="8" fillId="30" borderId="0" applyNumberFormat="0" applyBorder="0" applyAlignment="0" applyProtection="0"/>
    <xf numFmtId="0" fontId="8" fillId="30" borderId="0" applyNumberFormat="0" applyBorder="0" applyAlignment="0" applyProtection="0"/>
    <xf numFmtId="0" fontId="37" fillId="30" borderId="0" applyNumberFormat="0" applyBorder="0" applyAlignment="0" applyProtection="0"/>
    <xf numFmtId="0" fontId="8" fillId="30" borderId="0" applyNumberFormat="0" applyBorder="0" applyAlignment="0" applyProtection="0"/>
    <xf numFmtId="0" fontId="37" fillId="30" borderId="0" applyNumberFormat="0" applyBorder="0" applyAlignment="0" applyProtection="0"/>
    <xf numFmtId="0" fontId="37" fillId="30" borderId="0" applyNumberFormat="0" applyBorder="0" applyAlignment="0" applyProtection="0"/>
    <xf numFmtId="0" fontId="37" fillId="30" borderId="0" applyNumberFormat="0" applyBorder="0" applyAlignment="0" applyProtection="0"/>
    <xf numFmtId="0" fontId="37" fillId="30" borderId="0" applyNumberFormat="0" applyBorder="0" applyAlignment="0" applyProtection="0"/>
    <xf numFmtId="0" fontId="37" fillId="30" borderId="0" applyNumberFormat="0" applyBorder="0" applyAlignment="0" applyProtection="0"/>
    <xf numFmtId="0" fontId="38" fillId="30" borderId="0" applyNumberFormat="0" applyBorder="0" applyAlignment="0" applyProtection="0"/>
    <xf numFmtId="0" fontId="8" fillId="30" borderId="0" applyNumberFormat="0" applyBorder="0" applyAlignment="0" applyProtection="0"/>
    <xf numFmtId="0" fontId="8" fillId="30" borderId="0" applyNumberFormat="0" applyBorder="0" applyAlignment="0" applyProtection="0"/>
    <xf numFmtId="0" fontId="8" fillId="30" borderId="0" applyNumberFormat="0" applyBorder="0" applyAlignment="0" applyProtection="0"/>
    <xf numFmtId="0" fontId="8" fillId="30" borderId="0" applyNumberFormat="0" applyBorder="0" applyAlignment="0" applyProtection="0"/>
    <xf numFmtId="0" fontId="8" fillId="30" borderId="0" applyNumberFormat="0" applyBorder="0" applyAlignment="0" applyProtection="0"/>
    <xf numFmtId="0" fontId="8" fillId="30" borderId="0" applyNumberFormat="0" applyBorder="0" applyAlignment="0" applyProtection="0"/>
    <xf numFmtId="0" fontId="8" fillId="30" borderId="0" applyNumberFormat="0" applyBorder="0" applyAlignment="0" applyProtection="0"/>
    <xf numFmtId="0" fontId="8" fillId="30" borderId="0" applyNumberFormat="0" applyBorder="0" applyAlignment="0" applyProtection="0"/>
    <xf numFmtId="0" fontId="8" fillId="30" borderId="0" applyNumberFormat="0" applyBorder="0" applyAlignment="0" applyProtection="0"/>
    <xf numFmtId="0" fontId="8" fillId="30" borderId="0" applyNumberFormat="0" applyBorder="0" applyAlignment="0" applyProtection="0"/>
    <xf numFmtId="0" fontId="8" fillId="30" borderId="0" applyNumberFormat="0" applyBorder="0" applyAlignment="0" applyProtection="0"/>
    <xf numFmtId="0" fontId="8" fillId="30" borderId="0" applyNumberFormat="0" applyBorder="0" applyAlignment="0" applyProtection="0"/>
    <xf numFmtId="0" fontId="8" fillId="30" borderId="0" applyNumberFormat="0" applyBorder="0" applyAlignment="0" applyProtection="0"/>
    <xf numFmtId="0" fontId="8" fillId="30" borderId="0" applyNumberFormat="0" applyBorder="0" applyAlignment="0" applyProtection="0"/>
    <xf numFmtId="0" fontId="8" fillId="30" borderId="0" applyNumberFormat="0" applyBorder="0" applyAlignment="0" applyProtection="0"/>
    <xf numFmtId="0" fontId="8" fillId="30" borderId="0" applyNumberFormat="0" applyBorder="0" applyAlignment="0" applyProtection="0"/>
    <xf numFmtId="0" fontId="8" fillId="30" borderId="0" applyNumberFormat="0" applyBorder="0" applyAlignment="0" applyProtection="0"/>
    <xf numFmtId="0" fontId="8" fillId="30" borderId="0" applyNumberFormat="0" applyBorder="0" applyAlignment="0" applyProtection="0"/>
    <xf numFmtId="0" fontId="8" fillId="30" borderId="0" applyNumberFormat="0" applyBorder="0" applyAlignment="0" applyProtection="0"/>
    <xf numFmtId="0" fontId="8" fillId="30" borderId="0" applyNumberFormat="0" applyBorder="0" applyAlignment="0" applyProtection="0"/>
    <xf numFmtId="0" fontId="8" fillId="30" borderId="0" applyNumberFormat="0" applyBorder="0" applyAlignment="0" applyProtection="0"/>
    <xf numFmtId="0" fontId="8" fillId="30" borderId="0" applyNumberFormat="0" applyBorder="0" applyAlignment="0" applyProtection="0"/>
    <xf numFmtId="0" fontId="8" fillId="30" borderId="0" applyNumberFormat="0" applyBorder="0" applyAlignment="0" applyProtection="0"/>
    <xf numFmtId="0" fontId="8" fillId="30" borderId="0" applyNumberFormat="0" applyBorder="0" applyAlignment="0" applyProtection="0"/>
    <xf numFmtId="0" fontId="8" fillId="30" borderId="0" applyNumberFormat="0" applyBorder="0" applyAlignment="0" applyProtection="0"/>
    <xf numFmtId="0" fontId="8" fillId="30" borderId="0" applyNumberFormat="0" applyBorder="0" applyAlignment="0" applyProtection="0"/>
    <xf numFmtId="0" fontId="8" fillId="30" borderId="0" applyNumberFormat="0" applyBorder="0" applyAlignment="0" applyProtection="0"/>
    <xf numFmtId="0" fontId="8" fillId="30" borderId="0" applyNumberFormat="0" applyBorder="0" applyAlignment="0" applyProtection="0"/>
    <xf numFmtId="0" fontId="8" fillId="30" borderId="0" applyNumberFormat="0" applyBorder="0" applyAlignment="0" applyProtection="0"/>
    <xf numFmtId="0" fontId="8" fillId="30" borderId="0" applyNumberFormat="0" applyBorder="0" applyAlignment="0" applyProtection="0"/>
    <xf numFmtId="0" fontId="36" fillId="48" borderId="0" applyNumberFormat="0" applyBorder="0" applyAlignment="0" applyProtection="0"/>
    <xf numFmtId="0" fontId="8" fillId="34" borderId="0" applyNumberFormat="0" applyBorder="0" applyAlignment="0" applyProtection="0"/>
    <xf numFmtId="0" fontId="37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37" fillId="34" borderId="0" applyNumberFormat="0" applyBorder="0" applyAlignment="0" applyProtection="0"/>
    <xf numFmtId="0" fontId="8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39" fillId="49" borderId="0" applyNumberFormat="0" applyBorder="0" applyAlignment="0" applyProtection="0"/>
    <xf numFmtId="0" fontId="39" fillId="46" borderId="0" applyNumberFormat="0" applyBorder="0" applyAlignment="0" applyProtection="0"/>
    <xf numFmtId="0" fontId="39" fillId="47" borderId="0" applyNumberFormat="0" applyBorder="0" applyAlignment="0" applyProtection="0"/>
    <xf numFmtId="0" fontId="39" fillId="50" borderId="0" applyNumberFormat="0" applyBorder="0" applyAlignment="0" applyProtection="0"/>
    <xf numFmtId="0" fontId="39" fillId="51" borderId="0" applyNumberFormat="0" applyBorder="0" applyAlignment="0" applyProtection="0"/>
    <xf numFmtId="0" fontId="39" fillId="52" borderId="0" applyNumberFormat="0" applyBorder="0" applyAlignment="0" applyProtection="0"/>
    <xf numFmtId="0" fontId="39" fillId="49" borderId="0" applyNumberFormat="0" applyBorder="0" applyAlignment="0" applyProtection="0"/>
    <xf numFmtId="0" fontId="40" fillId="15" borderId="0" applyNumberFormat="0" applyBorder="0" applyAlignment="0" applyProtection="0"/>
    <xf numFmtId="0" fontId="40" fillId="15" borderId="0" applyNumberFormat="0" applyBorder="0" applyAlignment="0" applyProtection="0"/>
    <xf numFmtId="0" fontId="40" fillId="15" borderId="0" applyNumberFormat="0" applyBorder="0" applyAlignment="0" applyProtection="0"/>
    <xf numFmtId="0" fontId="40" fillId="15" borderId="0" applyNumberFormat="0" applyBorder="0" applyAlignment="0" applyProtection="0"/>
    <xf numFmtId="0" fontId="40" fillId="15" borderId="0" applyNumberFormat="0" applyBorder="0" applyAlignment="0" applyProtection="0"/>
    <xf numFmtId="0" fontId="40" fillId="15" borderId="0" applyNumberFormat="0" applyBorder="0" applyAlignment="0" applyProtection="0"/>
    <xf numFmtId="0" fontId="40" fillId="15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39" fillId="46" borderId="0" applyNumberFormat="0" applyBorder="0" applyAlignment="0" applyProtection="0"/>
    <xf numFmtId="0" fontId="40" fillId="19" borderId="0" applyNumberFormat="0" applyBorder="0" applyAlignment="0" applyProtection="0"/>
    <xf numFmtId="0" fontId="40" fillId="19" borderId="0" applyNumberFormat="0" applyBorder="0" applyAlignment="0" applyProtection="0"/>
    <xf numFmtId="0" fontId="40" fillId="19" borderId="0" applyNumberFormat="0" applyBorder="0" applyAlignment="0" applyProtection="0"/>
    <xf numFmtId="0" fontId="40" fillId="19" borderId="0" applyNumberFormat="0" applyBorder="0" applyAlignment="0" applyProtection="0"/>
    <xf numFmtId="0" fontId="40" fillId="19" borderId="0" applyNumberFormat="0" applyBorder="0" applyAlignment="0" applyProtection="0"/>
    <xf numFmtId="0" fontId="40" fillId="19" borderId="0" applyNumberFormat="0" applyBorder="0" applyAlignment="0" applyProtection="0"/>
    <xf numFmtId="0" fontId="40" fillId="19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39" fillId="47" borderId="0" applyNumberFormat="0" applyBorder="0" applyAlignment="0" applyProtection="0"/>
    <xf numFmtId="0" fontId="40" fillId="23" borderId="0" applyNumberFormat="0" applyBorder="0" applyAlignment="0" applyProtection="0"/>
    <xf numFmtId="0" fontId="40" fillId="23" borderId="0" applyNumberFormat="0" applyBorder="0" applyAlignment="0" applyProtection="0"/>
    <xf numFmtId="0" fontId="40" fillId="23" borderId="0" applyNumberFormat="0" applyBorder="0" applyAlignment="0" applyProtection="0"/>
    <xf numFmtId="0" fontId="40" fillId="23" borderId="0" applyNumberFormat="0" applyBorder="0" applyAlignment="0" applyProtection="0"/>
    <xf numFmtId="0" fontId="40" fillId="23" borderId="0" applyNumberFormat="0" applyBorder="0" applyAlignment="0" applyProtection="0"/>
    <xf numFmtId="0" fontId="40" fillId="23" borderId="0" applyNumberFormat="0" applyBorder="0" applyAlignment="0" applyProtection="0"/>
    <xf numFmtId="0" fontId="40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39" fillId="50" borderId="0" applyNumberFormat="0" applyBorder="0" applyAlignment="0" applyProtection="0"/>
    <xf numFmtId="0" fontId="40" fillId="27" borderId="0" applyNumberFormat="0" applyBorder="0" applyAlignment="0" applyProtection="0"/>
    <xf numFmtId="0" fontId="40" fillId="27" borderId="0" applyNumberFormat="0" applyBorder="0" applyAlignment="0" applyProtection="0"/>
    <xf numFmtId="0" fontId="40" fillId="27" borderId="0" applyNumberFormat="0" applyBorder="0" applyAlignment="0" applyProtection="0"/>
    <xf numFmtId="0" fontId="40" fillId="27" borderId="0" applyNumberFormat="0" applyBorder="0" applyAlignment="0" applyProtection="0"/>
    <xf numFmtId="0" fontId="40" fillId="27" borderId="0" applyNumberFormat="0" applyBorder="0" applyAlignment="0" applyProtection="0"/>
    <xf numFmtId="0" fontId="40" fillId="27" borderId="0" applyNumberFormat="0" applyBorder="0" applyAlignment="0" applyProtection="0"/>
    <xf numFmtId="0" fontId="40" fillId="27" borderId="0" applyNumberFormat="0" applyBorder="0" applyAlignment="0" applyProtection="0"/>
    <xf numFmtId="0" fontId="24" fillId="27" borderId="0" applyNumberFormat="0" applyBorder="0" applyAlignment="0" applyProtection="0"/>
    <xf numFmtId="0" fontId="24" fillId="27" borderId="0" applyNumberFormat="0" applyBorder="0" applyAlignment="0" applyProtection="0"/>
    <xf numFmtId="0" fontId="39" fillId="51" borderId="0" applyNumberFormat="0" applyBorder="0" applyAlignment="0" applyProtection="0"/>
    <xf numFmtId="0" fontId="40" fillId="31" borderId="0" applyNumberFormat="0" applyBorder="0" applyAlignment="0" applyProtection="0"/>
    <xf numFmtId="0" fontId="40" fillId="31" borderId="0" applyNumberFormat="0" applyBorder="0" applyAlignment="0" applyProtection="0"/>
    <xf numFmtId="0" fontId="40" fillId="31" borderId="0" applyNumberFormat="0" applyBorder="0" applyAlignment="0" applyProtection="0"/>
    <xf numFmtId="0" fontId="40" fillId="31" borderId="0" applyNumberFormat="0" applyBorder="0" applyAlignment="0" applyProtection="0"/>
    <xf numFmtId="0" fontId="40" fillId="31" borderId="0" applyNumberFormat="0" applyBorder="0" applyAlignment="0" applyProtection="0"/>
    <xf numFmtId="0" fontId="40" fillId="31" borderId="0" applyNumberFormat="0" applyBorder="0" applyAlignment="0" applyProtection="0"/>
    <xf numFmtId="0" fontId="40" fillId="31" borderId="0" applyNumberFormat="0" applyBorder="0" applyAlignment="0" applyProtection="0"/>
    <xf numFmtId="0" fontId="24" fillId="31" borderId="0" applyNumberFormat="0" applyBorder="0" applyAlignment="0" applyProtection="0"/>
    <xf numFmtId="0" fontId="24" fillId="31" borderId="0" applyNumberFormat="0" applyBorder="0" applyAlignment="0" applyProtection="0"/>
    <xf numFmtId="0" fontId="39" fillId="52" borderId="0" applyNumberFormat="0" applyBorder="0" applyAlignment="0" applyProtection="0"/>
    <xf numFmtId="0" fontId="40" fillId="35" borderId="0" applyNumberFormat="0" applyBorder="0" applyAlignment="0" applyProtection="0"/>
    <xf numFmtId="0" fontId="40" fillId="35" borderId="0" applyNumberFormat="0" applyBorder="0" applyAlignment="0" applyProtection="0"/>
    <xf numFmtId="0" fontId="40" fillId="35" borderId="0" applyNumberFormat="0" applyBorder="0" applyAlignment="0" applyProtection="0"/>
    <xf numFmtId="0" fontId="40" fillId="35" borderId="0" applyNumberFormat="0" applyBorder="0" applyAlignment="0" applyProtection="0"/>
    <xf numFmtId="0" fontId="40" fillId="35" borderId="0" applyNumberFormat="0" applyBorder="0" applyAlignment="0" applyProtection="0"/>
    <xf numFmtId="0" fontId="40" fillId="35" borderId="0" applyNumberFormat="0" applyBorder="0" applyAlignment="0" applyProtection="0"/>
    <xf numFmtId="0" fontId="40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197" fontId="5" fillId="0" borderId="12">
      <alignment horizontal="right"/>
    </xf>
    <xf numFmtId="0" fontId="39" fillId="53" borderId="0" applyNumberFormat="0" applyBorder="0" applyAlignment="0" applyProtection="0"/>
    <xf numFmtId="0" fontId="40" fillId="12" borderId="0" applyNumberFormat="0" applyBorder="0" applyAlignment="0" applyProtection="0"/>
    <xf numFmtId="0" fontId="40" fillId="12" borderId="0" applyNumberFormat="0" applyBorder="0" applyAlignment="0" applyProtection="0"/>
    <xf numFmtId="0" fontId="40" fillId="12" borderId="0" applyNumberFormat="0" applyBorder="0" applyAlignment="0" applyProtection="0"/>
    <xf numFmtId="0" fontId="40" fillId="12" borderId="0" applyNumberFormat="0" applyBorder="0" applyAlignment="0" applyProtection="0"/>
    <xf numFmtId="0" fontId="40" fillId="12" borderId="0" applyNumberFormat="0" applyBorder="0" applyAlignment="0" applyProtection="0"/>
    <xf numFmtId="0" fontId="40" fillId="12" borderId="0" applyNumberFormat="0" applyBorder="0" applyAlignment="0" applyProtection="0"/>
    <xf numFmtId="0" fontId="40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39" fillId="54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39" fillId="55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39" fillId="50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39" fillId="51" borderId="0" applyNumberFormat="0" applyBorder="0" applyAlignment="0" applyProtection="0"/>
    <xf numFmtId="0" fontId="40" fillId="28" borderId="0" applyNumberFormat="0" applyBorder="0" applyAlignment="0" applyProtection="0"/>
    <xf numFmtId="0" fontId="40" fillId="28" borderId="0" applyNumberFormat="0" applyBorder="0" applyAlignment="0" applyProtection="0"/>
    <xf numFmtId="0" fontId="40" fillId="28" borderId="0" applyNumberFormat="0" applyBorder="0" applyAlignment="0" applyProtection="0"/>
    <xf numFmtId="0" fontId="40" fillId="28" borderId="0" applyNumberFormat="0" applyBorder="0" applyAlignment="0" applyProtection="0"/>
    <xf numFmtId="0" fontId="40" fillId="28" borderId="0" applyNumberFormat="0" applyBorder="0" applyAlignment="0" applyProtection="0"/>
    <xf numFmtId="0" fontId="40" fillId="28" borderId="0" applyNumberFormat="0" applyBorder="0" applyAlignment="0" applyProtection="0"/>
    <xf numFmtId="0" fontId="40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39" fillId="56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24" fillId="32" borderId="0" applyNumberFormat="0" applyBorder="0" applyAlignment="0" applyProtection="0"/>
    <xf numFmtId="0" fontId="24" fillId="32" borderId="0" applyNumberFormat="0" applyBorder="0" applyAlignment="0" applyProtection="0"/>
    <xf numFmtId="171" fontId="41" fillId="0" borderId="0" applyFont="0"/>
    <xf numFmtId="171" fontId="41" fillId="0" borderId="36" applyFont="0"/>
    <xf numFmtId="172" fontId="41" fillId="0" borderId="0" applyFont="0"/>
    <xf numFmtId="198" fontId="42" fillId="0" borderId="12">
      <alignment horizontal="right"/>
    </xf>
    <xf numFmtId="198" fontId="42" fillId="0" borderId="12" applyFill="0">
      <alignment horizontal="right"/>
    </xf>
    <xf numFmtId="199" fontId="5" fillId="0" borderId="12">
      <alignment horizontal="right"/>
    </xf>
    <xf numFmtId="3" fontId="5" fillId="0" borderId="12" applyFill="0">
      <alignment horizontal="right"/>
    </xf>
    <xf numFmtId="200" fontId="42" fillId="0" borderId="12" applyFill="0">
      <alignment horizontal="right"/>
    </xf>
    <xf numFmtId="3" fontId="43" fillId="0" borderId="12" applyFill="0">
      <alignment horizontal="right"/>
    </xf>
    <xf numFmtId="201" fontId="4" fillId="57" borderId="37">
      <alignment horizontal="center" vertical="center"/>
    </xf>
    <xf numFmtId="0" fontId="5" fillId="0" borderId="0"/>
    <xf numFmtId="174" fontId="44" fillId="0" borderId="0"/>
    <xf numFmtId="0" fontId="5" fillId="0" borderId="0"/>
    <xf numFmtId="202" fontId="5" fillId="0" borderId="12">
      <alignment horizontal="right"/>
      <protection locked="0"/>
    </xf>
    <xf numFmtId="169" fontId="42" fillId="0" borderId="12" applyNumberFormat="0" applyFont="0" applyBorder="0" applyProtection="0">
      <alignment horizontal="right"/>
    </xf>
    <xf numFmtId="203" fontId="45" fillId="58" borderId="38"/>
    <xf numFmtId="0" fontId="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7" fillId="0" borderId="0"/>
    <xf numFmtId="0" fontId="48" fillId="0" borderId="0" applyNumberFormat="0" applyFill="0" applyBorder="0" applyAlignment="0" applyProtection="0"/>
    <xf numFmtId="0" fontId="49" fillId="40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1" fontId="51" fillId="59" borderId="13" applyNumberFormat="0" applyBorder="0" applyAlignment="0">
      <alignment horizontal="center" vertical="top" wrapText="1"/>
      <protection hidden="1"/>
    </xf>
    <xf numFmtId="0" fontId="52" fillId="60" borderId="0"/>
    <xf numFmtId="0" fontId="53" fillId="0" borderId="0" applyAlignment="0"/>
    <xf numFmtId="0" fontId="54" fillId="0" borderId="33" applyNumberFormat="0" applyFill="0" applyAlignment="0" applyProtection="0"/>
    <xf numFmtId="0" fontId="43" fillId="0" borderId="9" applyNumberFormat="0" applyFont="0" applyFill="0" applyAlignment="0" applyProtection="0"/>
    <xf numFmtId="0" fontId="55" fillId="0" borderId="39" applyNumberFormat="0" applyFont="0" applyFill="0" applyAlignment="0" applyProtection="0">
      <alignment horizontal="centerContinuous"/>
    </xf>
    <xf numFmtId="0" fontId="28" fillId="0" borderId="40" applyNumberFormat="0" applyFont="0" applyFill="0" applyAlignment="0" applyProtection="0"/>
    <xf numFmtId="0" fontId="28" fillId="0" borderId="13" applyNumberFormat="0" applyFont="0" applyFill="0" applyAlignment="0" applyProtection="0"/>
    <xf numFmtId="0" fontId="28" fillId="0" borderId="15" applyNumberFormat="0" applyFont="0" applyFill="0" applyAlignment="0" applyProtection="0"/>
    <xf numFmtId="0" fontId="28" fillId="0" borderId="41" applyNumberFormat="0" applyFont="0" applyFill="0" applyAlignment="0" applyProtection="0"/>
    <xf numFmtId="204" fontId="5" fillId="0" borderId="0" applyFont="0" applyFill="0" applyBorder="0" applyAlignment="0" applyProtection="0"/>
    <xf numFmtId="0" fontId="3" fillId="0" borderId="0">
      <alignment horizontal="right"/>
    </xf>
    <xf numFmtId="0" fontId="33" fillId="0" borderId="0" applyFont="0" applyFill="0" applyBorder="0" applyAlignment="0" applyProtection="0"/>
    <xf numFmtId="205" fontId="3" fillId="0" borderId="0" applyFill="0" applyBorder="0" applyAlignment="0"/>
    <xf numFmtId="206" fontId="3" fillId="0" borderId="0" applyFill="0" applyBorder="0" applyAlignment="0"/>
    <xf numFmtId="207" fontId="3" fillId="0" borderId="0" applyFill="0" applyBorder="0" applyAlignment="0"/>
    <xf numFmtId="208" fontId="3" fillId="0" borderId="0" applyFill="0" applyBorder="0" applyAlignment="0"/>
    <xf numFmtId="207" fontId="5" fillId="0" borderId="0" applyFill="0" applyBorder="0" applyAlignment="0"/>
    <xf numFmtId="205" fontId="3" fillId="0" borderId="0" applyFill="0" applyBorder="0" applyAlignment="0"/>
    <xf numFmtId="208" fontId="5" fillId="0" borderId="0" applyFill="0" applyBorder="0" applyAlignment="0"/>
    <xf numFmtId="206" fontId="3" fillId="0" borderId="0" applyFill="0" applyBorder="0" applyAlignment="0"/>
    <xf numFmtId="0" fontId="56" fillId="61" borderId="35" applyNumberFormat="0" applyAlignment="0" applyProtection="0"/>
    <xf numFmtId="0" fontId="56" fillId="61" borderId="35" applyNumberFormat="0" applyAlignment="0" applyProtection="0"/>
    <xf numFmtId="0" fontId="56" fillId="61" borderId="35" applyNumberFormat="0" applyAlignment="0" applyProtection="0"/>
    <xf numFmtId="0" fontId="57" fillId="9" borderId="26" applyNumberFormat="0" applyAlignment="0" applyProtection="0"/>
    <xf numFmtId="0" fontId="56" fillId="61" borderId="35" applyNumberFormat="0" applyAlignment="0" applyProtection="0"/>
    <xf numFmtId="0" fontId="57" fillId="9" borderId="26" applyNumberFormat="0" applyAlignment="0" applyProtection="0"/>
    <xf numFmtId="0" fontId="57" fillId="9" borderId="26" applyNumberFormat="0" applyAlignment="0" applyProtection="0"/>
    <xf numFmtId="0" fontId="57" fillId="9" borderId="26" applyNumberFormat="0" applyAlignment="0" applyProtection="0"/>
    <xf numFmtId="0" fontId="57" fillId="9" borderId="26" applyNumberFormat="0" applyAlignment="0" applyProtection="0"/>
    <xf numFmtId="0" fontId="57" fillId="9" borderId="26" applyNumberFormat="0" applyAlignment="0" applyProtection="0"/>
    <xf numFmtId="0" fontId="18" fillId="9" borderId="26" applyNumberFormat="0" applyAlignment="0" applyProtection="0"/>
    <xf numFmtId="0" fontId="18" fillId="9" borderId="26" applyNumberFormat="0" applyAlignment="0" applyProtection="0"/>
    <xf numFmtId="174" fontId="43" fillId="62" borderId="0" applyNumberFormat="0" applyFont="0" applyBorder="0" applyAlignment="0">
      <alignment horizontal="left"/>
    </xf>
    <xf numFmtId="0" fontId="58" fillId="0" borderId="42" applyNumberFormat="0" applyFill="0" applyAlignment="0" applyProtection="0"/>
    <xf numFmtId="209" fontId="5" fillId="0" borderId="0" applyFont="0" applyFill="0" applyBorder="0" applyProtection="0">
      <alignment horizontal="center" vertical="center"/>
    </xf>
    <xf numFmtId="0" fontId="59" fillId="63" borderId="43" applyNumberFormat="0" applyAlignment="0" applyProtection="0"/>
    <xf numFmtId="0" fontId="60" fillId="10" borderId="29" applyNumberFormat="0" applyAlignment="0" applyProtection="0"/>
    <xf numFmtId="0" fontId="60" fillId="10" borderId="29" applyNumberFormat="0" applyAlignment="0" applyProtection="0"/>
    <xf numFmtId="0" fontId="60" fillId="10" borderId="29" applyNumberFormat="0" applyAlignment="0" applyProtection="0"/>
    <xf numFmtId="0" fontId="60" fillId="10" borderId="29" applyNumberFormat="0" applyAlignment="0" applyProtection="0"/>
    <xf numFmtId="0" fontId="60" fillId="10" borderId="29" applyNumberFormat="0" applyAlignment="0" applyProtection="0"/>
    <xf numFmtId="0" fontId="60" fillId="10" borderId="29" applyNumberFormat="0" applyAlignment="0" applyProtection="0"/>
    <xf numFmtId="0" fontId="60" fillId="10" borderId="29" applyNumberFormat="0" applyAlignment="0" applyProtection="0"/>
    <xf numFmtId="0" fontId="20" fillId="10" borderId="29" applyNumberFormat="0" applyAlignment="0" applyProtection="0"/>
    <xf numFmtId="0" fontId="20" fillId="10" borderId="29" applyNumberFormat="0" applyAlignment="0" applyProtection="0"/>
    <xf numFmtId="210" fontId="5" fillId="0" borderId="0" applyNumberFormat="0" applyFont="0" applyFill="0" applyAlignment="0" applyProtection="0"/>
    <xf numFmtId="0" fontId="54" fillId="0" borderId="40" applyNumberFormat="0" applyFill="0" applyProtection="0">
      <alignment horizontal="left" vertical="center"/>
    </xf>
    <xf numFmtId="0" fontId="61" fillId="0" borderId="0">
      <alignment horizontal="center" wrapText="1"/>
      <protection hidden="1"/>
    </xf>
    <xf numFmtId="0" fontId="62" fillId="0" borderId="0">
      <alignment horizontal="right"/>
    </xf>
    <xf numFmtId="211" fontId="35" fillId="0" borderId="0" applyBorder="0">
      <alignment horizontal="right"/>
    </xf>
    <xf numFmtId="211" fontId="35" fillId="0" borderId="9" applyAlignment="0">
      <alignment horizontal="right"/>
    </xf>
    <xf numFmtId="212" fontId="3" fillId="0" borderId="0"/>
    <xf numFmtId="212" fontId="3" fillId="0" borderId="0"/>
    <xf numFmtId="212" fontId="3" fillId="0" borderId="0"/>
    <xf numFmtId="212" fontId="3" fillId="0" borderId="0"/>
    <xf numFmtId="212" fontId="3" fillId="0" borderId="0"/>
    <xf numFmtId="212" fontId="3" fillId="0" borderId="0"/>
    <xf numFmtId="212" fontId="3" fillId="0" borderId="0"/>
    <xf numFmtId="212" fontId="3" fillId="0" borderId="0"/>
    <xf numFmtId="172" fontId="63" fillId="0" borderId="0" applyFont="0" applyBorder="0">
      <alignment horizontal="right"/>
    </xf>
    <xf numFmtId="205" fontId="3" fillId="0" borderId="0" applyFont="0" applyFill="0" applyBorder="0" applyAlignment="0" applyProtection="0"/>
    <xf numFmtId="213" fontId="5" fillId="0" borderId="0" applyFont="0"/>
    <xf numFmtId="0" fontId="64" fillId="0" borderId="0" applyFont="0" applyFill="0" applyBorder="0" applyProtection="0">
      <alignment horizontal="right"/>
    </xf>
    <xf numFmtId="0" fontId="64" fillId="0" borderId="0" applyFont="0" applyFill="0" applyBorder="0" applyProtection="0">
      <alignment horizontal="right"/>
    </xf>
    <xf numFmtId="189" fontId="5" fillId="0" borderId="0" applyFont="0" applyFill="0" applyBorder="0" applyAlignment="0" applyProtection="0">
      <alignment horizontal="right"/>
    </xf>
    <xf numFmtId="214" fontId="5" fillId="0" borderId="0" applyFont="0" applyFill="0" applyBorder="0" applyAlignment="0" applyProtection="0"/>
    <xf numFmtId="215" fontId="65" fillId="0" borderId="0" applyFont="0" applyFill="0" applyBorder="0" applyAlignment="0" applyProtection="0">
      <alignment horizontal="right"/>
    </xf>
    <xf numFmtId="164" fontId="8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66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67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>
      <alignment horizontal="right"/>
    </xf>
    <xf numFmtId="165" fontId="5" fillId="0" borderId="0" applyFont="0" applyFill="0" applyBorder="0" applyAlignment="0" applyProtection="0">
      <alignment horizontal="right"/>
    </xf>
    <xf numFmtId="165" fontId="5" fillId="0" borderId="0" applyFont="0" applyFill="0" applyBorder="0" applyAlignment="0" applyProtection="0">
      <alignment horizontal="right"/>
    </xf>
    <xf numFmtId="165" fontId="5" fillId="0" borderId="0" applyFont="0" applyFill="0" applyBorder="0" applyAlignment="0" applyProtection="0">
      <alignment horizontal="right"/>
    </xf>
    <xf numFmtId="164" fontId="5" fillId="0" borderId="0" applyFont="0" applyFill="0" applyBorder="0" applyAlignment="0" applyProtection="0"/>
    <xf numFmtId="164" fontId="67" fillId="0" borderId="0" applyFont="0" applyFill="0" applyBorder="0" applyAlignment="0" applyProtection="0"/>
    <xf numFmtId="43" fontId="68" fillId="0" borderId="0" applyFont="0" applyFill="0" applyBorder="0" applyAlignment="0" applyProtection="0"/>
    <xf numFmtId="165" fontId="5" fillId="0" borderId="0" applyFont="0" applyFill="0" applyBorder="0" applyAlignment="0" applyProtection="0">
      <alignment horizontal="right"/>
    </xf>
    <xf numFmtId="165" fontId="5" fillId="0" borderId="0" applyFont="0" applyFill="0" applyBorder="0" applyAlignment="0" applyProtection="0">
      <alignment horizontal="right"/>
    </xf>
    <xf numFmtId="165" fontId="5" fillId="0" borderId="0" applyFont="0" applyFill="0" applyBorder="0" applyAlignment="0" applyProtection="0">
      <alignment horizontal="right"/>
    </xf>
    <xf numFmtId="165" fontId="5" fillId="0" borderId="0" applyFont="0" applyFill="0" applyBorder="0" applyAlignment="0" applyProtection="0">
      <alignment horizontal="right"/>
    </xf>
    <xf numFmtId="164" fontId="61" fillId="0" borderId="0" applyFont="0" applyFill="0" applyBorder="0" applyAlignment="0" applyProtection="0"/>
    <xf numFmtId="164" fontId="67" fillId="0" borderId="0" applyFont="0" applyFill="0" applyBorder="0" applyAlignment="0" applyProtection="0"/>
    <xf numFmtId="164" fontId="61" fillId="0" borderId="0" applyFont="0" applyFill="0" applyBorder="0" applyAlignment="0" applyProtection="0"/>
    <xf numFmtId="164" fontId="61" fillId="0" borderId="0" applyFont="0" applyFill="0" applyBorder="0" applyAlignment="0" applyProtection="0"/>
    <xf numFmtId="164" fontId="61" fillId="0" borderId="0" applyFont="0" applyFill="0" applyBorder="0" applyAlignment="0" applyProtection="0"/>
    <xf numFmtId="164" fontId="6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216" fontId="65" fillId="0" borderId="0" applyFont="0" applyFill="0" applyBorder="0" applyAlignment="0" applyProtection="0"/>
    <xf numFmtId="164" fontId="66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46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7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7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7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2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3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3" fontId="74" fillId="0" borderId="0" applyFont="0" applyFill="0" applyBorder="0" applyAlignment="0" applyProtection="0"/>
    <xf numFmtId="174" fontId="75" fillId="0" borderId="0"/>
    <xf numFmtId="0" fontId="76" fillId="0" borderId="0"/>
    <xf numFmtId="0" fontId="5" fillId="64" borderId="44" applyNumberFormat="0" applyFont="0" applyAlignment="0" applyProtection="0"/>
    <xf numFmtId="0" fontId="77" fillId="65" borderId="0">
      <alignment horizontal="center" vertical="center" wrapText="1"/>
    </xf>
    <xf numFmtId="217" fontId="5" fillId="0" borderId="0" applyFill="0" applyBorder="0">
      <alignment horizontal="right"/>
      <protection locked="0"/>
    </xf>
    <xf numFmtId="218" fontId="71" fillId="0" borderId="45" applyFont="0" applyFill="0" applyBorder="0" applyAlignment="0" applyProtection="0"/>
    <xf numFmtId="206" fontId="3" fillId="0" borderId="0" applyFont="0" applyFill="0" applyBorder="0" applyAlignment="0" applyProtection="0"/>
    <xf numFmtId="219" fontId="78" fillId="0" borderId="0">
      <alignment horizontal="right"/>
    </xf>
    <xf numFmtId="170" fontId="79" fillId="0" borderId="46">
      <protection locked="0"/>
    </xf>
    <xf numFmtId="0" fontId="64" fillId="0" borderId="0" applyFont="0" applyFill="0" applyBorder="0" applyProtection="0">
      <alignment horizontal="right"/>
    </xf>
    <xf numFmtId="184" fontId="5" fillId="0" borderId="0" applyFont="0" applyFill="0" applyBorder="0" applyAlignment="0" applyProtection="0">
      <alignment horizontal="right"/>
    </xf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36" fillId="0" borderId="0" applyFont="0" applyFill="0" applyBorder="0" applyAlignment="0" applyProtection="0"/>
    <xf numFmtId="173" fontId="47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34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34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46" fillId="0" borderId="0" applyFont="0" applyFill="0" applyBorder="0" applyAlignment="0" applyProtection="0"/>
    <xf numFmtId="14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8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5" fillId="0" borderId="0" applyFont="0" applyFill="0" applyBorder="0" applyAlignment="0" applyProtection="0"/>
    <xf numFmtId="220" fontId="5" fillId="0" borderId="0" applyFont="0" applyFill="0" applyBorder="0" applyAlignment="0" applyProtection="0">
      <alignment horizontal="right"/>
    </xf>
    <xf numFmtId="220" fontId="5" fillId="0" borderId="0" applyFont="0" applyFill="0" applyBorder="0" applyAlignment="0" applyProtection="0">
      <alignment horizontal="right"/>
    </xf>
    <xf numFmtId="220" fontId="5" fillId="0" borderId="0" applyFont="0" applyFill="0" applyBorder="0" applyAlignment="0" applyProtection="0">
      <alignment horizontal="right"/>
    </xf>
    <xf numFmtId="220" fontId="5" fillId="0" borderId="0" applyFont="0" applyFill="0" applyBorder="0" applyAlignment="0" applyProtection="0">
      <alignment horizontal="right"/>
    </xf>
    <xf numFmtId="173" fontId="5" fillId="0" borderId="0" applyFont="0" applyFill="0" applyBorder="0" applyAlignment="0" applyProtection="0"/>
    <xf numFmtId="173" fontId="34" fillId="0" borderId="0" applyFont="0" applyFill="0" applyBorder="0" applyAlignment="0" applyProtection="0"/>
    <xf numFmtId="44" fontId="8" fillId="0" borderId="0" applyFont="0" applyFill="0" applyBorder="0" applyAlignment="0" applyProtection="0"/>
    <xf numFmtId="220" fontId="5" fillId="0" borderId="0" applyFont="0" applyFill="0" applyBorder="0" applyAlignment="0" applyProtection="0">
      <alignment horizontal="right"/>
    </xf>
    <xf numFmtId="220" fontId="5" fillId="0" borderId="0" applyFont="0" applyFill="0" applyBorder="0" applyAlignment="0" applyProtection="0">
      <alignment horizontal="right"/>
    </xf>
    <xf numFmtId="220" fontId="5" fillId="0" borderId="0" applyFont="0" applyFill="0" applyBorder="0" applyAlignment="0" applyProtection="0">
      <alignment horizontal="right"/>
    </xf>
    <xf numFmtId="220" fontId="5" fillId="0" borderId="0" applyFont="0" applyFill="0" applyBorder="0" applyAlignment="0" applyProtection="0">
      <alignment horizontal="right"/>
    </xf>
    <xf numFmtId="173" fontId="34" fillId="0" borderId="0" applyFont="0" applyFill="0" applyBorder="0" applyAlignment="0" applyProtection="0"/>
    <xf numFmtId="173" fontId="34" fillId="0" borderId="0" applyFont="0" applyFill="0" applyBorder="0" applyAlignment="0" applyProtection="0"/>
    <xf numFmtId="173" fontId="34" fillId="0" borderId="0" applyFont="0" applyFill="0" applyBorder="0" applyAlignment="0" applyProtection="0"/>
    <xf numFmtId="173" fontId="34" fillId="0" borderId="0" applyFont="0" applyFill="0" applyBorder="0" applyAlignment="0" applyProtection="0"/>
    <xf numFmtId="173" fontId="34" fillId="0" borderId="0" applyFont="0" applyFill="0" applyBorder="0" applyAlignment="0" applyProtection="0"/>
    <xf numFmtId="173" fontId="5" fillId="0" borderId="0" applyFont="0" applyFill="0" applyBorder="0" applyAlignment="0" applyProtection="0"/>
    <xf numFmtId="221" fontId="80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44" fontId="5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34" fillId="0" borderId="0" applyFont="0" applyFill="0" applyBorder="0" applyAlignment="0" applyProtection="0"/>
    <xf numFmtId="173" fontId="8" fillId="0" borderId="0" applyFont="0" applyFill="0" applyBorder="0" applyAlignment="0" applyProtection="0"/>
    <xf numFmtId="44" fontId="71" fillId="0" borderId="0" applyFont="0" applyFill="0" applyBorder="0" applyAlignment="0" applyProtection="0"/>
    <xf numFmtId="173" fontId="69" fillId="0" borderId="0" applyFont="0" applyFill="0" applyBorder="0" applyAlignment="0" applyProtection="0"/>
    <xf numFmtId="44" fontId="5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44" fontId="5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34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34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34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222" fontId="3" fillId="0" borderId="0" applyFont="0" applyFill="0" applyBorder="0" applyProtection="0">
      <alignment horizontal="right"/>
    </xf>
    <xf numFmtId="223" fontId="42" fillId="0" borderId="0" applyFont="0" applyFill="0" applyBorder="0" applyAlignment="0" applyProtection="0">
      <alignment vertical="center"/>
    </xf>
    <xf numFmtId="224" fontId="42" fillId="0" borderId="0" applyFont="0" applyFill="0" applyBorder="0" applyAlignment="0" applyProtection="0">
      <alignment vertical="center"/>
    </xf>
    <xf numFmtId="0" fontId="61" fillId="0" borderId="0" applyFont="0" applyFill="0" applyBorder="0" applyAlignment="0">
      <protection locked="0"/>
    </xf>
    <xf numFmtId="0" fontId="33" fillId="0" borderId="0" applyFont="0" applyFill="0" applyBorder="0" applyAlignment="0" applyProtection="0"/>
    <xf numFmtId="225" fontId="81" fillId="0" borderId="47" applyNumberFormat="0" applyFill="0">
      <alignment horizontal="right"/>
    </xf>
    <xf numFmtId="225" fontId="81" fillId="0" borderId="47" applyNumberFormat="0" applyFill="0">
      <alignment horizontal="right"/>
    </xf>
    <xf numFmtId="1" fontId="82" fillId="0" borderId="0"/>
    <xf numFmtId="226" fontId="43" fillId="0" borderId="0" applyFont="0" applyFill="0" applyBorder="0" applyProtection="0">
      <alignment horizontal="right"/>
    </xf>
    <xf numFmtId="227" fontId="71" fillId="0" borderId="0" applyFont="0" applyFill="0" applyBorder="0" applyAlignment="0" applyProtection="0"/>
    <xf numFmtId="227" fontId="71" fillId="0" borderId="0" applyFont="0" applyFill="0" applyBorder="0" applyAlignment="0" applyProtection="0"/>
    <xf numFmtId="228" fontId="27" fillId="60" borderId="19" applyFont="0" applyFill="0" applyBorder="0" applyAlignment="0" applyProtection="0"/>
    <xf numFmtId="229" fontId="35" fillId="0" borderId="33" applyFont="0" applyFill="0" applyBorder="0" applyAlignment="0" applyProtection="0"/>
    <xf numFmtId="175" fontId="5" fillId="0" borderId="0" applyFont="0" applyFill="0" applyBorder="0" applyAlignment="0" applyProtection="0"/>
    <xf numFmtId="230" fontId="65" fillId="0" borderId="0" applyFont="0" applyFill="0" applyBorder="0" applyAlignment="0" applyProtection="0"/>
    <xf numFmtId="0" fontId="65" fillId="0" borderId="0" applyFont="0" applyFill="0" applyBorder="0" applyAlignment="0" applyProtection="0"/>
    <xf numFmtId="14" fontId="34" fillId="0" borderId="0" applyFill="0" applyBorder="0" applyAlignment="0"/>
    <xf numFmtId="0" fontId="5" fillId="0" borderId="0">
      <alignment horizontal="left" vertical="top"/>
    </xf>
    <xf numFmtId="171" fontId="83" fillId="0" borderId="0"/>
    <xf numFmtId="0" fontId="71" fillId="0" borderId="0"/>
    <xf numFmtId="172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84" fillId="0" borderId="0">
      <protection locked="0"/>
    </xf>
    <xf numFmtId="0" fontId="5" fillId="0" borderId="0"/>
    <xf numFmtId="171" fontId="3" fillId="0" borderId="0"/>
    <xf numFmtId="211" fontId="5" fillId="0" borderId="48" applyNumberFormat="0" applyFont="0" applyFill="0" applyAlignment="0" applyProtection="0"/>
    <xf numFmtId="211" fontId="5" fillId="0" borderId="48" applyNumberFormat="0" applyFont="0" applyFill="0" applyAlignment="0" applyProtection="0"/>
    <xf numFmtId="211" fontId="5" fillId="0" borderId="48" applyNumberFormat="0" applyFont="0" applyFill="0" applyAlignment="0" applyProtection="0"/>
    <xf numFmtId="171" fontId="85" fillId="0" borderId="0" applyFill="0" applyBorder="0" applyAlignment="0" applyProtection="0"/>
    <xf numFmtId="1" fontId="43" fillId="0" borderId="0"/>
    <xf numFmtId="231" fontId="86" fillId="0" borderId="0">
      <protection locked="0"/>
    </xf>
    <xf numFmtId="231" fontId="86" fillId="0" borderId="0">
      <protection locked="0"/>
    </xf>
    <xf numFmtId="205" fontId="3" fillId="0" borderId="0" applyFill="0" applyBorder="0" applyAlignment="0"/>
    <xf numFmtId="206" fontId="3" fillId="0" borderId="0" applyFill="0" applyBorder="0" applyAlignment="0"/>
    <xf numFmtId="205" fontId="3" fillId="0" borderId="0" applyFill="0" applyBorder="0" applyAlignment="0"/>
    <xf numFmtId="208" fontId="5" fillId="0" borderId="0" applyFill="0" applyBorder="0" applyAlignment="0"/>
    <xf numFmtId="206" fontId="3" fillId="0" borderId="0" applyFill="0" applyBorder="0" applyAlignment="0"/>
    <xf numFmtId="0" fontId="87" fillId="44" borderId="35" applyNumberFormat="0" applyAlignment="0" applyProtection="0"/>
    <xf numFmtId="232" fontId="31" fillId="0" borderId="0" applyFont="0" applyFill="0" applyBorder="0" applyAlignment="0" applyProtection="0"/>
    <xf numFmtId="0" fontId="88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233" fontId="61" fillId="66" borderId="13">
      <alignment horizontal="left"/>
    </xf>
    <xf numFmtId="1" fontId="90" fillId="67" borderId="16" applyNumberFormat="0" applyBorder="0" applyAlignment="0">
      <alignment horizontal="centerContinuous" vertical="center"/>
      <protection locked="0"/>
    </xf>
    <xf numFmtId="234" fontId="5" fillId="0" borderId="0">
      <protection locked="0"/>
    </xf>
    <xf numFmtId="210" fontId="5" fillId="0" borderId="0">
      <protection locked="0"/>
    </xf>
    <xf numFmtId="2" fontId="74" fillId="0" borderId="0" applyFont="0" applyFill="0" applyBorder="0" applyAlignment="0" applyProtection="0"/>
    <xf numFmtId="0" fontId="91" fillId="0" borderId="0" applyNumberFormat="0" applyFill="0" applyBorder="0" applyAlignment="0" applyProtection="0"/>
    <xf numFmtId="0" fontId="92" fillId="0" borderId="0" applyFill="0" applyBorder="0" applyProtection="0">
      <alignment horizontal="left"/>
    </xf>
    <xf numFmtId="0" fontId="93" fillId="41" borderId="0" applyNumberFormat="0" applyBorder="0" applyAlignment="0" applyProtection="0"/>
    <xf numFmtId="0" fontId="94" fillId="5" borderId="0" applyNumberFormat="0" applyBorder="0" applyAlignment="0" applyProtection="0"/>
    <xf numFmtId="0" fontId="94" fillId="5" borderId="0" applyNumberFormat="0" applyBorder="0" applyAlignment="0" applyProtection="0"/>
    <xf numFmtId="0" fontId="94" fillId="5" borderId="0" applyNumberFormat="0" applyBorder="0" applyAlignment="0" applyProtection="0"/>
    <xf numFmtId="0" fontId="94" fillId="5" borderId="0" applyNumberFormat="0" applyBorder="0" applyAlignment="0" applyProtection="0"/>
    <xf numFmtId="0" fontId="94" fillId="5" borderId="0" applyNumberFormat="0" applyBorder="0" applyAlignment="0" applyProtection="0"/>
    <xf numFmtId="0" fontId="94" fillId="5" borderId="0" applyNumberFormat="0" applyBorder="0" applyAlignment="0" applyProtection="0"/>
    <xf numFmtId="0" fontId="9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38" fontId="71" fillId="68" borderId="0" applyNumberFormat="0" applyBorder="0" applyAlignment="0" applyProtection="0"/>
    <xf numFmtId="0" fontId="95" fillId="0" borderId="0" applyNumberFormat="0">
      <alignment horizontal="right"/>
    </xf>
    <xf numFmtId="0" fontId="5" fillId="0" borderId="0"/>
    <xf numFmtId="0" fontId="5" fillId="0" borderId="0"/>
    <xf numFmtId="0" fontId="5" fillId="0" borderId="0"/>
    <xf numFmtId="0" fontId="5" fillId="0" borderId="0"/>
    <xf numFmtId="166" fontId="5" fillId="69" borderId="14" applyNumberFormat="0" applyFont="0" applyBorder="0" applyAlignment="0" applyProtection="0"/>
    <xf numFmtId="179" fontId="5" fillId="0" borderId="0" applyFont="0" applyFill="0" applyBorder="0" applyAlignment="0" applyProtection="0">
      <alignment horizontal="right"/>
    </xf>
    <xf numFmtId="174" fontId="96" fillId="69" borderId="0" applyNumberFormat="0" applyFont="0" applyAlignment="0"/>
    <xf numFmtId="0" fontId="97" fillId="0" borderId="0" applyProtection="0">
      <alignment horizontal="right"/>
    </xf>
    <xf numFmtId="0" fontId="7" fillId="0" borderId="49" applyNumberFormat="0" applyAlignment="0" applyProtection="0">
      <alignment horizontal="left" vertical="center"/>
    </xf>
    <xf numFmtId="0" fontId="7" fillId="0" borderId="32">
      <alignment horizontal="left" vertical="center"/>
    </xf>
    <xf numFmtId="49" fontId="98" fillId="0" borderId="0">
      <alignment horizontal="centerContinuous"/>
    </xf>
    <xf numFmtId="0" fontId="99" fillId="0" borderId="50" applyNumberFormat="0" applyFill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1" fillId="0" borderId="23" applyNumberFormat="0" applyFill="0" applyAlignment="0" applyProtection="0"/>
    <xf numFmtId="0" fontId="100" fillId="0" borderId="0" applyNumberFormat="0" applyFill="0" applyBorder="0" applyAlignment="0" applyProtection="0"/>
    <xf numFmtId="0" fontId="101" fillId="0" borderId="51" applyNumberFormat="0" applyFill="0" applyAlignment="0" applyProtection="0"/>
    <xf numFmtId="0" fontId="102" fillId="0" borderId="0" applyProtection="0">
      <alignment horizontal="left"/>
    </xf>
    <xf numFmtId="0" fontId="102" fillId="0" borderId="0" applyProtection="0">
      <alignment horizontal="left"/>
    </xf>
    <xf numFmtId="0" fontId="102" fillId="0" borderId="0" applyProtection="0">
      <alignment horizontal="left"/>
    </xf>
    <xf numFmtId="0" fontId="102" fillId="0" borderId="0" applyProtection="0">
      <alignment horizontal="left"/>
    </xf>
    <xf numFmtId="0" fontId="12" fillId="0" borderId="24" applyNumberFormat="0" applyFill="0" applyAlignment="0" applyProtection="0"/>
    <xf numFmtId="0" fontId="102" fillId="0" borderId="0" applyProtection="0">
      <alignment horizontal="left"/>
    </xf>
    <xf numFmtId="0" fontId="103" fillId="0" borderId="52" applyNumberFormat="0" applyFill="0" applyAlignment="0" applyProtection="0"/>
    <xf numFmtId="0" fontId="104" fillId="0" borderId="0" applyProtection="0">
      <alignment horizontal="left"/>
    </xf>
    <xf numFmtId="0" fontId="104" fillId="0" borderId="0" applyProtection="0">
      <alignment horizontal="left"/>
    </xf>
    <xf numFmtId="0" fontId="104" fillId="0" borderId="0" applyProtection="0">
      <alignment horizontal="left"/>
    </xf>
    <xf numFmtId="0" fontId="104" fillId="0" borderId="0" applyProtection="0">
      <alignment horizontal="left"/>
    </xf>
    <xf numFmtId="0" fontId="105" fillId="0" borderId="25" applyNumberFormat="0" applyFill="0" applyAlignment="0" applyProtection="0"/>
    <xf numFmtId="0" fontId="13" fillId="0" borderId="25" applyNumberFormat="0" applyFill="0" applyAlignment="0" applyProtection="0"/>
    <xf numFmtId="0" fontId="104" fillId="0" borderId="0" applyProtection="0">
      <alignment horizontal="left"/>
    </xf>
    <xf numFmtId="0" fontId="10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06" fillId="0" borderId="0"/>
    <xf numFmtId="0" fontId="47" fillId="0" borderId="0"/>
    <xf numFmtId="235" fontId="41" fillId="0" borderId="0">
      <alignment horizontal="centerContinuous"/>
    </xf>
    <xf numFmtId="0" fontId="107" fillId="0" borderId="53" applyNumberFormat="0" applyFill="0" applyBorder="0" applyAlignment="0" applyProtection="0">
      <alignment horizontal="left"/>
    </xf>
    <xf numFmtId="235" fontId="41" fillId="0" borderId="54">
      <alignment horizontal="center"/>
    </xf>
    <xf numFmtId="0" fontId="5" fillId="0" borderId="0" applyNumberFormat="0" applyFill="0" applyBorder="0" applyProtection="0">
      <alignment wrapText="1"/>
    </xf>
    <xf numFmtId="0" fontId="5" fillId="0" borderId="0" applyNumberFormat="0" applyFill="0" applyBorder="0" applyProtection="0">
      <alignment horizontal="justify" vertical="top" wrapText="1"/>
    </xf>
    <xf numFmtId="0" fontId="108" fillId="0" borderId="55">
      <alignment horizontal="left" vertical="center"/>
    </xf>
    <xf numFmtId="0" fontId="108" fillId="70" borderId="0">
      <alignment horizontal="centerContinuous" wrapText="1"/>
    </xf>
    <xf numFmtId="0" fontId="109" fillId="0" borderId="0" applyNumberFormat="0" applyFill="0" applyBorder="0" applyAlignment="0" applyProtection="0"/>
    <xf numFmtId="0" fontId="110" fillId="0" borderId="0" applyNumberFormat="0" applyFill="0" applyBorder="0" applyAlignment="0" applyProtection="0">
      <alignment vertical="top"/>
      <protection locked="0"/>
    </xf>
    <xf numFmtId="0" fontId="111" fillId="0" borderId="0" applyNumberFormat="0" applyFill="0" applyBorder="0" applyAlignment="0" applyProtection="0">
      <alignment vertical="top"/>
      <protection locked="0"/>
    </xf>
    <xf numFmtId="0" fontId="110" fillId="0" borderId="0" applyNumberFormat="0" applyFill="0" applyBorder="0" applyAlignment="0" applyProtection="0">
      <alignment vertical="top"/>
      <protection locked="0"/>
    </xf>
    <xf numFmtId="0" fontId="111" fillId="0" borderId="0" applyNumberFormat="0" applyFill="0" applyBorder="0" applyAlignment="0" applyProtection="0">
      <alignment vertical="top"/>
      <protection locked="0"/>
    </xf>
    <xf numFmtId="0" fontId="112" fillId="0" borderId="0" applyNumberFormat="0" applyFill="0" applyBorder="0" applyAlignment="0" applyProtection="0"/>
    <xf numFmtId="0" fontId="110" fillId="0" borderId="0" applyNumberFormat="0" applyFill="0" applyBorder="0" applyAlignment="0" applyProtection="0">
      <alignment vertical="top"/>
      <protection locked="0"/>
    </xf>
    <xf numFmtId="0" fontId="110" fillId="0" borderId="0" applyNumberFormat="0" applyFill="0" applyBorder="0" applyAlignment="0" applyProtection="0">
      <alignment vertical="top"/>
      <protection locked="0"/>
    </xf>
    <xf numFmtId="0" fontId="110" fillId="0" borderId="0" applyNumberFormat="0" applyFill="0" applyBorder="0" applyAlignment="0" applyProtection="0">
      <alignment vertical="top"/>
      <protection locked="0"/>
    </xf>
    <xf numFmtId="0" fontId="113" fillId="0" borderId="0" applyNumberFormat="0" applyFill="0" applyBorder="0" applyAlignment="0" applyProtection="0">
      <alignment vertical="top"/>
      <protection locked="0"/>
    </xf>
    <xf numFmtId="0" fontId="110" fillId="0" borderId="0" applyNumberFormat="0" applyFill="0" applyBorder="0" applyAlignment="0" applyProtection="0">
      <alignment vertical="top"/>
      <protection locked="0"/>
    </xf>
    <xf numFmtId="0" fontId="110" fillId="0" borderId="0" applyNumberFormat="0" applyFill="0" applyBorder="0" applyAlignment="0" applyProtection="0">
      <alignment vertical="top"/>
      <protection locked="0"/>
    </xf>
    <xf numFmtId="0" fontId="110" fillId="0" borderId="0" applyNumberFormat="0" applyFill="0" applyBorder="0" applyAlignment="0" applyProtection="0">
      <alignment vertical="top"/>
      <protection locked="0"/>
    </xf>
    <xf numFmtId="0" fontId="110" fillId="0" borderId="0" applyNumberFormat="0" applyFill="0" applyBorder="0" applyAlignment="0" applyProtection="0">
      <alignment vertical="top"/>
      <protection locked="0"/>
    </xf>
    <xf numFmtId="0" fontId="110" fillId="0" borderId="0" applyNumberFormat="0" applyFill="0" applyBorder="0" applyAlignment="0" applyProtection="0">
      <alignment vertical="top"/>
      <protection locked="0"/>
    </xf>
    <xf numFmtId="0" fontId="113" fillId="0" borderId="0" applyNumberFormat="0" applyFill="0" applyBorder="0" applyAlignment="0" applyProtection="0">
      <alignment vertical="top"/>
      <protection locked="0"/>
    </xf>
    <xf numFmtId="0" fontId="114" fillId="0" borderId="0" applyNumberFormat="0" applyFill="0" applyBorder="0" applyAlignment="0" applyProtection="0">
      <alignment vertical="top"/>
      <protection locked="0"/>
    </xf>
    <xf numFmtId="0" fontId="110" fillId="0" borderId="0" applyNumberFormat="0" applyFill="0" applyBorder="0" applyAlignment="0" applyProtection="0">
      <alignment vertical="top"/>
      <protection locked="0"/>
    </xf>
    <xf numFmtId="0" fontId="114" fillId="0" borderId="0" applyNumberFormat="0" applyFill="0" applyBorder="0" applyAlignment="0" applyProtection="0">
      <alignment vertical="top"/>
      <protection locked="0"/>
    </xf>
    <xf numFmtId="0" fontId="110" fillId="0" borderId="0" applyNumberFormat="0" applyFill="0" applyBorder="0" applyAlignment="0" applyProtection="0">
      <alignment vertical="top"/>
      <protection locked="0"/>
    </xf>
    <xf numFmtId="0" fontId="110" fillId="0" borderId="0" applyNumberFormat="0" applyFill="0" applyBorder="0" applyAlignment="0" applyProtection="0">
      <alignment vertical="top"/>
      <protection locked="0"/>
    </xf>
    <xf numFmtId="0" fontId="110" fillId="0" borderId="0" applyNumberFormat="0" applyFill="0" applyBorder="0" applyAlignment="0" applyProtection="0">
      <alignment vertical="top"/>
      <protection locked="0"/>
    </xf>
    <xf numFmtId="0" fontId="110" fillId="0" borderId="0" applyNumberFormat="0" applyFill="0" applyBorder="0" applyAlignment="0" applyProtection="0">
      <alignment vertical="top"/>
      <protection locked="0"/>
    </xf>
    <xf numFmtId="0" fontId="110" fillId="0" borderId="0" applyNumberFormat="0" applyFill="0" applyBorder="0" applyAlignment="0" applyProtection="0">
      <alignment vertical="top"/>
      <protection locked="0"/>
    </xf>
    <xf numFmtId="0" fontId="110" fillId="0" borderId="0" applyNumberFormat="0" applyFill="0" applyBorder="0" applyAlignment="0" applyProtection="0">
      <alignment vertical="top"/>
      <protection locked="0"/>
    </xf>
    <xf numFmtId="0" fontId="110" fillId="0" borderId="0" applyNumberFormat="0" applyFill="0" applyBorder="0" applyAlignment="0" applyProtection="0">
      <alignment vertical="top"/>
      <protection locked="0"/>
    </xf>
    <xf numFmtId="0" fontId="110" fillId="0" borderId="0" applyNumberFormat="0" applyFill="0" applyBorder="0" applyAlignment="0" applyProtection="0">
      <alignment vertical="top"/>
      <protection locked="0"/>
    </xf>
    <xf numFmtId="0" fontId="115" fillId="0" borderId="0" applyNumberFormat="0" applyFill="0" applyBorder="0" applyAlignment="0" applyProtection="0">
      <alignment vertical="top"/>
      <protection locked="0"/>
    </xf>
    <xf numFmtId="236" fontId="110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/>
    <xf numFmtId="0" fontId="5" fillId="0" borderId="0">
      <alignment horizontal="right"/>
    </xf>
    <xf numFmtId="10" fontId="71" fillId="60" borderId="14" applyNumberFormat="0" applyBorder="0" applyAlignment="0" applyProtection="0"/>
    <xf numFmtId="0" fontId="87" fillId="44" borderId="35" applyNumberFormat="0" applyAlignment="0" applyProtection="0"/>
    <xf numFmtId="0" fontId="87" fillId="44" borderId="35" applyNumberFormat="0" applyAlignment="0" applyProtection="0"/>
    <xf numFmtId="0" fontId="116" fillId="8" borderId="26" applyNumberFormat="0" applyAlignment="0" applyProtection="0"/>
    <xf numFmtId="0" fontId="87" fillId="44" borderId="35" applyNumberFormat="0" applyAlignment="0" applyProtection="0"/>
    <xf numFmtId="0" fontId="116" fillId="8" borderId="26" applyNumberFormat="0" applyAlignment="0" applyProtection="0"/>
    <xf numFmtId="0" fontId="116" fillId="8" borderId="26" applyNumberFormat="0" applyAlignment="0" applyProtection="0"/>
    <xf numFmtId="0" fontId="116" fillId="8" borderId="26" applyNumberFormat="0" applyAlignment="0" applyProtection="0"/>
    <xf numFmtId="0" fontId="116" fillId="8" borderId="26" applyNumberFormat="0" applyAlignment="0" applyProtection="0"/>
    <xf numFmtId="0" fontId="116" fillId="8" borderId="26" applyNumberFormat="0" applyAlignment="0" applyProtection="0"/>
    <xf numFmtId="0" fontId="16" fillId="8" borderId="26" applyNumberFormat="0" applyAlignment="0" applyProtection="0"/>
    <xf numFmtId="237" fontId="61" fillId="0" borderId="0" applyNumberFormat="0" applyFill="0" applyBorder="0" applyAlignment="0" applyProtection="0"/>
    <xf numFmtId="0" fontId="5" fillId="0" borderId="0" applyNumberFormat="0" applyFill="0" applyBorder="0" applyAlignment="0">
      <protection locked="0"/>
    </xf>
    <xf numFmtId="0" fontId="117" fillId="60" borderId="0" applyNumberFormat="0" applyFont="0" applyBorder="0" applyAlignment="0">
      <alignment horizontal="right"/>
      <protection locked="0"/>
    </xf>
    <xf numFmtId="0" fontId="118" fillId="71" borderId="0" applyNumberFormat="0" applyFont="0" applyBorder="0" applyAlignment="0">
      <alignment horizontal="right" vertical="top"/>
      <protection locked="0"/>
    </xf>
    <xf numFmtId="238" fontId="5" fillId="60" borderId="56" applyNumberFormat="0" applyFont="0" applyBorder="0" applyAlignment="0">
      <alignment horizontal="right" vertical="center"/>
      <protection locked="0"/>
    </xf>
    <xf numFmtId="0" fontId="118" fillId="71" borderId="0" applyNumberFormat="0" applyFont="0" applyBorder="0" applyAlignment="0">
      <alignment horizontal="right" vertical="top"/>
      <protection locked="0"/>
    </xf>
    <xf numFmtId="0" fontId="61" fillId="0" borderId="0" applyFill="0" applyBorder="0">
      <alignment horizontal="right"/>
      <protection locked="0"/>
    </xf>
    <xf numFmtId="239" fontId="119" fillId="0" borderId="34" applyFont="0" applyFill="0" applyBorder="0" applyAlignment="0" applyProtection="0"/>
    <xf numFmtId="240" fontId="5" fillId="0" borderId="0" applyFill="0" applyBorder="0">
      <alignment horizontal="right"/>
      <protection locked="0"/>
    </xf>
    <xf numFmtId="0" fontId="120" fillId="0" borderId="0" applyFill="0" applyBorder="0"/>
    <xf numFmtId="0" fontId="121" fillId="72" borderId="57">
      <alignment horizontal="left" vertical="center" wrapText="1"/>
    </xf>
    <xf numFmtId="0" fontId="33" fillId="0" borderId="0" applyNumberFormat="0" applyFill="0" applyBorder="0" applyProtection="0">
      <alignment horizontal="left" vertical="center"/>
    </xf>
    <xf numFmtId="0" fontId="122" fillId="0" borderId="0" applyNumberFormat="0" applyFill="0" applyBorder="0" applyAlignment="0" applyProtection="0">
      <alignment vertical="top"/>
      <protection locked="0"/>
    </xf>
    <xf numFmtId="0" fontId="110" fillId="0" borderId="0" applyNumberFormat="0" applyFill="0" applyBorder="0" applyAlignment="0" applyProtection="0">
      <alignment vertical="top"/>
      <protection locked="0"/>
    </xf>
    <xf numFmtId="0" fontId="3" fillId="73" borderId="0" applyNumberFormat="0" applyFont="0" applyBorder="0" applyProtection="0"/>
    <xf numFmtId="2" fontId="123" fillId="0" borderId="40"/>
    <xf numFmtId="205" fontId="3" fillId="0" borderId="0" applyFill="0" applyBorder="0" applyAlignment="0"/>
    <xf numFmtId="206" fontId="3" fillId="0" borderId="0" applyFill="0" applyBorder="0" applyAlignment="0"/>
    <xf numFmtId="205" fontId="3" fillId="0" borderId="0" applyFill="0" applyBorder="0" applyAlignment="0"/>
    <xf numFmtId="208" fontId="5" fillId="0" borderId="0" applyFill="0" applyBorder="0" applyAlignment="0"/>
    <xf numFmtId="206" fontId="3" fillId="0" borderId="0" applyFill="0" applyBorder="0" applyAlignment="0"/>
    <xf numFmtId="0" fontId="58" fillId="0" borderId="42" applyNumberFormat="0" applyFill="0" applyAlignment="0" applyProtection="0"/>
    <xf numFmtId="0" fontId="124" fillId="0" borderId="28" applyNumberFormat="0" applyFill="0" applyAlignment="0" applyProtection="0"/>
    <xf numFmtId="0" fontId="124" fillId="0" borderId="28" applyNumberFormat="0" applyFill="0" applyAlignment="0" applyProtection="0"/>
    <xf numFmtId="0" fontId="124" fillId="0" borderId="28" applyNumberFormat="0" applyFill="0" applyAlignment="0" applyProtection="0"/>
    <xf numFmtId="0" fontId="124" fillId="0" borderId="28" applyNumberFormat="0" applyFill="0" applyAlignment="0" applyProtection="0"/>
    <xf numFmtId="0" fontId="124" fillId="0" borderId="28" applyNumberFormat="0" applyFill="0" applyAlignment="0" applyProtection="0"/>
    <xf numFmtId="0" fontId="124" fillId="0" borderId="28" applyNumberFormat="0" applyFill="0" applyAlignment="0" applyProtection="0"/>
    <xf numFmtId="0" fontId="124" fillId="0" borderId="28" applyNumberFormat="0" applyFill="0" applyAlignment="0" applyProtection="0"/>
    <xf numFmtId="0" fontId="19" fillId="0" borderId="28" applyNumberFormat="0" applyFill="0" applyAlignment="0" applyProtection="0"/>
    <xf numFmtId="0" fontId="19" fillId="0" borderId="28" applyNumberFormat="0" applyFill="0" applyAlignment="0" applyProtection="0"/>
    <xf numFmtId="14" fontId="35" fillId="0" borderId="40" applyFont="0" applyFill="0" applyBorder="0" applyAlignment="0" applyProtection="0"/>
    <xf numFmtId="3" fontId="5" fillId="0" borderId="0"/>
    <xf numFmtId="1" fontId="125" fillId="0" borderId="0"/>
    <xf numFmtId="241" fontId="126" fillId="74" borderId="0" applyBorder="0" applyAlignment="0">
      <alignment horizontal="right"/>
    </xf>
    <xf numFmtId="172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242" fontId="5" fillId="0" borderId="0" applyFont="0" applyFill="0" applyBorder="0" applyAlignment="0" applyProtection="0"/>
    <xf numFmtId="243" fontId="8" fillId="0" borderId="0" applyFont="0" applyFill="0" applyBorder="0" applyAlignment="0" applyProtection="0"/>
    <xf numFmtId="244" fontId="5" fillId="0" borderId="0" applyFont="0" applyFill="0" applyBorder="0" applyAlignment="0" applyProtection="0"/>
    <xf numFmtId="14" fontId="28" fillId="0" borderId="0" applyFont="0" applyFill="0" applyBorder="0" applyAlignment="0" applyProtection="0"/>
    <xf numFmtId="3" fontId="33" fillId="0" borderId="0"/>
    <xf numFmtId="3" fontId="33" fillId="0" borderId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245" fontId="5" fillId="0" borderId="0" applyFont="0" applyFill="0" applyBorder="0" applyAlignment="0" applyProtection="0"/>
    <xf numFmtId="246" fontId="8" fillId="0" borderId="0" applyFont="0" applyFill="0" applyBorder="0" applyAlignment="0" applyProtection="0"/>
    <xf numFmtId="247" fontId="5" fillId="0" borderId="0" applyFont="0" applyFill="0" applyBorder="0" applyAlignment="0" applyProtection="0"/>
    <xf numFmtId="248" fontId="5" fillId="0" borderId="0">
      <protection locked="0"/>
    </xf>
    <xf numFmtId="229" fontId="71" fillId="60" borderId="0">
      <alignment horizontal="center"/>
    </xf>
    <xf numFmtId="249" fontId="65" fillId="0" borderId="0" applyFont="0" applyFill="0" applyBorder="0" applyProtection="0">
      <alignment horizontal="right"/>
    </xf>
    <xf numFmtId="250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0" fontId="64" fillId="0" borderId="0" applyFont="0" applyFill="0" applyBorder="0" applyProtection="0">
      <alignment horizontal="right"/>
    </xf>
    <xf numFmtId="0" fontId="64" fillId="0" borderId="0" applyFont="0" applyFill="0" applyBorder="0" applyProtection="0">
      <alignment horizontal="right"/>
    </xf>
    <xf numFmtId="0" fontId="64" fillId="0" borderId="0" applyFont="0" applyFill="0" applyBorder="0" applyProtection="0">
      <alignment horizontal="right"/>
    </xf>
    <xf numFmtId="0" fontId="5" fillId="0" borderId="0" applyFont="0" applyFill="0" applyBorder="0" applyProtection="0">
      <alignment horizontal="right"/>
    </xf>
    <xf numFmtId="211" fontId="5" fillId="0" borderId="0" applyFont="0" applyFill="0" applyBorder="0" applyProtection="0">
      <alignment horizontal="right"/>
    </xf>
    <xf numFmtId="0" fontId="5" fillId="0" borderId="58" applyBorder="0" applyAlignment="0" applyProtection="0">
      <alignment horizontal="center"/>
    </xf>
    <xf numFmtId="0" fontId="127" fillId="71" borderId="0" applyNumberFormat="0" applyBorder="0" applyAlignment="0" applyProtection="0"/>
    <xf numFmtId="0" fontId="128" fillId="7" borderId="0" applyNumberFormat="0" applyBorder="0" applyAlignment="0" applyProtection="0"/>
    <xf numFmtId="0" fontId="128" fillId="7" borderId="0" applyNumberFormat="0" applyBorder="0" applyAlignment="0" applyProtection="0"/>
    <xf numFmtId="0" fontId="128" fillId="7" borderId="0" applyNumberFormat="0" applyBorder="0" applyAlignment="0" applyProtection="0"/>
    <xf numFmtId="0" fontId="128" fillId="7" borderId="0" applyNumberFormat="0" applyBorder="0" applyAlignment="0" applyProtection="0"/>
    <xf numFmtId="0" fontId="128" fillId="7" borderId="0" applyNumberFormat="0" applyBorder="0" applyAlignment="0" applyProtection="0"/>
    <xf numFmtId="0" fontId="128" fillId="7" borderId="0" applyNumberFormat="0" applyBorder="0" applyAlignment="0" applyProtection="0"/>
    <xf numFmtId="0" fontId="128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53" fillId="0" borderId="0"/>
    <xf numFmtId="238" fontId="42" fillId="0" borderId="0" applyNumberFormat="0" applyFont="0" applyFill="0" applyBorder="0" applyAlignment="0" applyProtection="0">
      <alignment vertical="center"/>
    </xf>
    <xf numFmtId="37" fontId="129" fillId="0" borderId="0"/>
    <xf numFmtId="0" fontId="130" fillId="0" borderId="0"/>
    <xf numFmtId="0" fontId="78" fillId="75" borderId="0" applyNumberFormat="0" applyBorder="0" applyAlignment="0">
      <alignment horizontal="right"/>
      <protection hidden="1"/>
    </xf>
    <xf numFmtId="238" fontId="131" fillId="0" borderId="0" applyNumberFormat="0" applyFill="0" applyBorder="0" applyAlignment="0" applyProtection="0">
      <alignment vertical="center"/>
    </xf>
    <xf numFmtId="1" fontId="33" fillId="0" borderId="0"/>
    <xf numFmtId="251" fontId="71" fillId="0" borderId="0" applyFont="0" applyFill="0" applyBorder="0" applyAlignment="0" applyProtection="0">
      <alignment horizontal="right"/>
    </xf>
    <xf numFmtId="252" fontId="132" fillId="0" borderId="0"/>
    <xf numFmtId="37" fontId="27" fillId="76" borderId="0" applyFont="0" applyFill="0" applyBorder="0" applyAlignment="0" applyProtection="0"/>
    <xf numFmtId="231" fontId="5" fillId="0" borderId="0" applyFont="0" applyFill="0" applyBorder="0" applyAlignment="0"/>
    <xf numFmtId="253" fontId="71" fillId="0" borderId="0" applyFont="0" applyFill="0" applyBorder="0" applyAlignment="0"/>
    <xf numFmtId="254" fontId="71" fillId="0" borderId="0" applyFont="0" applyFill="0" applyBorder="0" applyAlignment="0"/>
    <xf numFmtId="253" fontId="71" fillId="0" borderId="0" applyFont="0" applyFill="0" applyBorder="0" applyAlignment="0"/>
    <xf numFmtId="255" fontId="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1" fillId="0" borderId="0"/>
    <xf numFmtId="0" fontId="8" fillId="0" borderId="0"/>
    <xf numFmtId="0" fontId="5" fillId="0" borderId="0"/>
    <xf numFmtId="0" fontId="8" fillId="0" borderId="0"/>
    <xf numFmtId="0" fontId="5" fillId="0" borderId="0"/>
    <xf numFmtId="0" fontId="8" fillId="0" borderId="0"/>
    <xf numFmtId="0" fontId="8" fillId="0" borderId="0"/>
    <xf numFmtId="0" fontId="8" fillId="0" borderId="0"/>
    <xf numFmtId="0" fontId="61" fillId="0" borderId="0"/>
    <xf numFmtId="0" fontId="5" fillId="0" borderId="0"/>
    <xf numFmtId="0" fontId="34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5" fillId="0" borderId="14"/>
    <xf numFmtId="0" fontId="34" fillId="0" borderId="0">
      <alignment vertical="top"/>
    </xf>
    <xf numFmtId="0" fontId="34" fillId="0" borderId="0">
      <alignment vertical="top"/>
    </xf>
    <xf numFmtId="0" fontId="5" fillId="0" borderId="0"/>
    <xf numFmtId="0" fontId="8" fillId="0" borderId="0"/>
    <xf numFmtId="0" fontId="5" fillId="0" borderId="0"/>
    <xf numFmtId="0" fontId="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/>
    <xf numFmtId="0" fontId="5" fillId="0" borderId="0"/>
    <xf numFmtId="0" fontId="5" fillId="0" borderId="0"/>
    <xf numFmtId="0" fontId="61" fillId="0" borderId="0"/>
    <xf numFmtId="0" fontId="8" fillId="0" borderId="0"/>
    <xf numFmtId="0" fontId="61" fillId="0" borderId="0"/>
    <xf numFmtId="0" fontId="61" fillId="0" borderId="0"/>
    <xf numFmtId="255" fontId="5" fillId="0" borderId="0"/>
    <xf numFmtId="251" fontId="71" fillId="0" borderId="0" applyFont="0" applyFill="0" applyBorder="0" applyAlignment="0" applyProtection="0">
      <alignment horizontal="right"/>
    </xf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55" fontId="5" fillId="0" borderId="0"/>
    <xf numFmtId="0" fontId="5" fillId="0" borderId="0"/>
    <xf numFmtId="0" fontId="73" fillId="0" borderId="0"/>
    <xf numFmtId="0" fontId="5" fillId="0" borderId="0"/>
    <xf numFmtId="0" fontId="5" fillId="0" borderId="0"/>
    <xf numFmtId="0" fontId="73" fillId="0" borderId="0"/>
    <xf numFmtId="0" fontId="61" fillId="0" borderId="0"/>
    <xf numFmtId="0" fontId="5" fillId="0" borderId="0"/>
    <xf numFmtId="236" fontId="5" fillId="0" borderId="0"/>
    <xf numFmtId="0" fontId="61" fillId="0" borderId="0"/>
    <xf numFmtId="0" fontId="61" fillId="0" borderId="0"/>
    <xf numFmtId="236" fontId="5" fillId="0" borderId="0"/>
    <xf numFmtId="0" fontId="73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0" fontId="8" fillId="0" borderId="0"/>
    <xf numFmtId="0" fontId="8" fillId="0" borderId="0"/>
    <xf numFmtId="0" fontId="8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0" fontId="5" fillId="0" borderId="0"/>
    <xf numFmtId="0" fontId="46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0" fontId="36" fillId="0" borderId="0"/>
    <xf numFmtId="0" fontId="95" fillId="0" borderId="0"/>
    <xf numFmtId="0" fontId="5" fillId="0" borderId="0"/>
    <xf numFmtId="236" fontId="5" fillId="0" borderId="0"/>
    <xf numFmtId="236" fontId="5" fillId="0" borderId="0"/>
    <xf numFmtId="236" fontId="5" fillId="0" borderId="0"/>
    <xf numFmtId="0" fontId="5" fillId="0" borderId="0"/>
    <xf numFmtId="0" fontId="6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/>
    <xf numFmtId="236" fontId="5" fillId="0" borderId="0"/>
    <xf numFmtId="236" fontId="5" fillId="0" borderId="0"/>
    <xf numFmtId="0" fontId="61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55" fontId="8" fillId="0" borderId="0"/>
    <xf numFmtId="251" fontId="71" fillId="0" borderId="0" applyFont="0" applyFill="0" applyBorder="0" applyAlignment="0" applyProtection="0">
      <alignment horizontal="right"/>
    </xf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255" fontId="8" fillId="0" borderId="0"/>
    <xf numFmtId="0" fontId="5" fillId="0" borderId="0"/>
    <xf numFmtId="0" fontId="5" fillId="0" borderId="0"/>
    <xf numFmtId="0" fontId="61" fillId="0" borderId="0"/>
    <xf numFmtId="0" fontId="69" fillId="0" borderId="0"/>
    <xf numFmtId="0" fontId="61" fillId="0" borderId="0"/>
    <xf numFmtId="0" fontId="61" fillId="0" borderId="0"/>
    <xf numFmtId="0" fontId="5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1" fillId="0" borderId="0"/>
    <xf numFmtId="0" fontId="61" fillId="0" borderId="0"/>
    <xf numFmtId="0" fontId="8" fillId="0" borderId="0"/>
    <xf numFmtId="0" fontId="8" fillId="0" borderId="0"/>
    <xf numFmtId="0" fontId="8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36" fillId="0" borderId="0"/>
    <xf numFmtId="0" fontId="61" fillId="0" borderId="0"/>
    <xf numFmtId="0" fontId="69" fillId="0" borderId="0"/>
    <xf numFmtId="0" fontId="69" fillId="0" borderId="0"/>
    <xf numFmtId="0" fontId="61" fillId="0" borderId="0"/>
    <xf numFmtId="0" fontId="6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9" fillId="0" borderId="0"/>
    <xf numFmtId="0" fontId="8" fillId="0" borderId="0"/>
    <xf numFmtId="0" fontId="61" fillId="0" borderId="0"/>
    <xf numFmtId="0" fontId="5" fillId="0" borderId="0"/>
    <xf numFmtId="0" fontId="69" fillId="0" borderId="0"/>
    <xf numFmtId="0" fontId="5" fillId="0" borderId="0"/>
    <xf numFmtId="0" fontId="5" fillId="0" borderId="0"/>
    <xf numFmtId="0" fontId="6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9" fillId="0" borderId="0"/>
    <xf numFmtId="0" fontId="5" fillId="0" borderId="0"/>
    <xf numFmtId="0" fontId="61" fillId="0" borderId="0"/>
    <xf numFmtId="0" fontId="69" fillId="0" borderId="0"/>
    <xf numFmtId="0" fontId="5" fillId="0" borderId="0"/>
    <xf numFmtId="0" fontId="5" fillId="0" borderId="0"/>
    <xf numFmtId="0" fontId="46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0" fontId="61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0" fontId="61" fillId="0" borderId="0"/>
    <xf numFmtId="0" fontId="61" fillId="0" borderId="0"/>
    <xf numFmtId="0" fontId="61" fillId="0" borderId="0"/>
    <xf numFmtId="255" fontId="8" fillId="0" borderId="0"/>
    <xf numFmtId="251" fontId="71" fillId="0" borderId="0" applyFont="0" applyFill="0" applyBorder="0" applyAlignment="0" applyProtection="0">
      <alignment horizontal="right"/>
    </xf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0" fontId="8" fillId="0" borderId="0"/>
    <xf numFmtId="236" fontId="5" fillId="0" borderId="0"/>
    <xf numFmtId="236" fontId="5" fillId="0" borderId="0"/>
    <xf numFmtId="0" fontId="5" fillId="0" borderId="0"/>
    <xf numFmtId="236" fontId="5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5" fillId="0" borderId="0"/>
    <xf numFmtId="0" fontId="25" fillId="0" borderId="0"/>
    <xf numFmtId="236" fontId="5" fillId="0" borderId="0"/>
    <xf numFmtId="236" fontId="5" fillId="0" borderId="0"/>
    <xf numFmtId="0" fontId="46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55" fontId="8" fillId="0" borderId="0"/>
    <xf numFmtId="0" fontId="8" fillId="0" borderId="0"/>
    <xf numFmtId="0" fontId="70" fillId="0" borderId="0"/>
    <xf numFmtId="236" fontId="5" fillId="0" borderId="0"/>
    <xf numFmtId="0" fontId="5" fillId="0" borderId="0"/>
    <xf numFmtId="236" fontId="5" fillId="0" borderId="0"/>
    <xf numFmtId="0" fontId="69" fillId="0" borderId="0"/>
    <xf numFmtId="0" fontId="8" fillId="0" borderId="0"/>
    <xf numFmtId="0" fontId="69" fillId="0" borderId="0"/>
    <xf numFmtId="236" fontId="5" fillId="0" borderId="0"/>
    <xf numFmtId="236" fontId="5" fillId="0" borderId="0"/>
    <xf numFmtId="236" fontId="5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236" fontId="5" fillId="0" borderId="0"/>
    <xf numFmtId="236" fontId="5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236" fontId="5" fillId="0" borderId="0"/>
    <xf numFmtId="236" fontId="5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236" fontId="5" fillId="0" borderId="0"/>
    <xf numFmtId="236" fontId="5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236" fontId="5" fillId="0" borderId="0"/>
    <xf numFmtId="236" fontId="5" fillId="0" borderId="0"/>
    <xf numFmtId="0" fontId="8" fillId="0" borderId="0"/>
    <xf numFmtId="0" fontId="8" fillId="0" borderId="0"/>
    <xf numFmtId="0" fontId="8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0" fontId="8" fillId="0" borderId="0"/>
    <xf numFmtId="0" fontId="8" fillId="0" borderId="0"/>
    <xf numFmtId="0" fontId="8" fillId="0" borderId="0"/>
    <xf numFmtId="236" fontId="5" fillId="0" borderId="0"/>
    <xf numFmtId="236" fontId="5" fillId="0" borderId="0"/>
    <xf numFmtId="0" fontId="8" fillId="0" borderId="0"/>
    <xf numFmtId="236" fontId="5" fillId="0" borderId="0"/>
    <xf numFmtId="236" fontId="5" fillId="0" borderId="0"/>
    <xf numFmtId="236" fontId="5" fillId="0" borderId="0"/>
    <xf numFmtId="0" fontId="8" fillId="0" borderId="0"/>
    <xf numFmtId="0" fontId="5" fillId="0" borderId="0"/>
    <xf numFmtId="0" fontId="5" fillId="0" borderId="0"/>
    <xf numFmtId="0" fontId="5" fillId="0" borderId="0"/>
    <xf numFmtId="0" fontId="5" fillId="0" borderId="0"/>
    <xf numFmtId="236" fontId="5" fillId="0" borderId="0"/>
    <xf numFmtId="0" fontId="5" fillId="0" borderId="0"/>
    <xf numFmtId="0" fontId="61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0" fontId="5" fillId="0" borderId="0"/>
    <xf numFmtId="0" fontId="61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3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4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5" fillId="0" borderId="0"/>
    <xf numFmtId="251" fontId="71" fillId="0" borderId="0" applyFont="0" applyFill="0" applyBorder="0" applyAlignment="0" applyProtection="0">
      <alignment horizontal="right"/>
    </xf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0" fontId="5" fillId="0" borderId="0"/>
    <xf numFmtId="236" fontId="5" fillId="0" borderId="0"/>
    <xf numFmtId="236" fontId="5" fillId="0" borderId="0"/>
    <xf numFmtId="236" fontId="5" fillId="0" borderId="0"/>
    <xf numFmtId="0" fontId="5" fillId="0" borderId="0">
      <alignment wrapText="1"/>
    </xf>
    <xf numFmtId="0" fontId="5" fillId="0" borderId="0">
      <alignment wrapText="1"/>
    </xf>
    <xf numFmtId="0" fontId="46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0" fontId="5" fillId="0" borderId="0"/>
    <xf numFmtId="236" fontId="5" fillId="0" borderId="0"/>
    <xf numFmtId="0" fontId="5" fillId="0" borderId="0"/>
    <xf numFmtId="0" fontId="8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0" fontId="8" fillId="0" borderId="0"/>
    <xf numFmtId="0" fontId="8" fillId="0" borderId="0"/>
    <xf numFmtId="0" fontId="8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0" fontId="6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5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3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236" fontId="5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255" fontId="8" fillId="0" borderId="0"/>
    <xf numFmtId="251" fontId="71" fillId="0" borderId="0" applyFont="0" applyFill="0" applyBorder="0" applyAlignment="0" applyProtection="0">
      <alignment horizontal="right"/>
    </xf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0" fontId="5" fillId="0" borderId="0"/>
    <xf numFmtId="236" fontId="5" fillId="0" borderId="0"/>
    <xf numFmtId="236" fontId="5" fillId="0" borderId="0"/>
    <xf numFmtId="236" fontId="5" fillId="0" borderId="0"/>
    <xf numFmtId="0" fontId="37" fillId="0" borderId="0"/>
    <xf numFmtId="0" fontId="37" fillId="0" borderId="0"/>
    <xf numFmtId="0" fontId="5" fillId="0" borderId="0">
      <alignment wrapText="1"/>
    </xf>
    <xf numFmtId="0" fontId="5" fillId="0" borderId="0">
      <alignment wrapText="1"/>
    </xf>
    <xf numFmtId="0" fontId="5" fillId="0" borderId="0">
      <alignment wrapText="1"/>
    </xf>
    <xf numFmtId="0" fontId="37" fillId="0" borderId="0"/>
    <xf numFmtId="0" fontId="37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0" fontId="8" fillId="0" borderId="0"/>
    <xf numFmtId="236" fontId="5" fillId="0" borderId="0"/>
    <xf numFmtId="0" fontId="61" fillId="0" borderId="0"/>
    <xf numFmtId="0" fontId="5" fillId="0" borderId="0">
      <alignment wrapText="1"/>
    </xf>
    <xf numFmtId="236" fontId="5" fillId="0" borderId="0"/>
    <xf numFmtId="236" fontId="5" fillId="0" borderId="0"/>
    <xf numFmtId="236" fontId="5" fillId="0" borderId="0"/>
    <xf numFmtId="0" fontId="8" fillId="0" borderId="0"/>
    <xf numFmtId="0" fontId="8" fillId="0" borderId="0"/>
    <xf numFmtId="0" fontId="8" fillId="0" borderId="0"/>
    <xf numFmtId="236" fontId="5" fillId="0" borderId="0"/>
    <xf numFmtId="236" fontId="5" fillId="0" borderId="0"/>
    <xf numFmtId="0" fontId="8" fillId="0" borderId="0"/>
    <xf numFmtId="0" fontId="8" fillId="0" borderId="0"/>
    <xf numFmtId="0" fontId="8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0" fontId="5" fillId="0" borderId="0">
      <alignment wrapText="1"/>
    </xf>
    <xf numFmtId="0" fontId="61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236" fontId="5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255" fontId="8" fillId="0" borderId="0"/>
    <xf numFmtId="251" fontId="71" fillId="0" borderId="0" applyFont="0" applyFill="0" applyBorder="0" applyAlignment="0" applyProtection="0">
      <alignment horizontal="right"/>
    </xf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5" fillId="0" borderId="0"/>
    <xf numFmtId="0" fontId="5" fillId="0" borderId="0"/>
    <xf numFmtId="0" fontId="73" fillId="0" borderId="0"/>
    <xf numFmtId="0" fontId="34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8" fillId="0" borderId="0"/>
    <xf numFmtId="0" fontId="6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4" fillId="0" borderId="0"/>
    <xf numFmtId="0" fontId="34" fillId="0" borderId="0"/>
    <xf numFmtId="236" fontId="5" fillId="0" borderId="0"/>
    <xf numFmtId="0" fontId="5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5" fillId="0" borderId="0"/>
    <xf numFmtId="0" fontId="69" fillId="0" borderId="0"/>
    <xf numFmtId="255" fontId="8" fillId="0" borderId="0"/>
    <xf numFmtId="251" fontId="71" fillId="0" borderId="0" applyFont="0" applyFill="0" applyBorder="0" applyAlignment="0" applyProtection="0">
      <alignment horizontal="right"/>
    </xf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5" fillId="0" borderId="0"/>
    <xf numFmtId="0" fontId="8" fillId="0" borderId="0"/>
    <xf numFmtId="0" fontId="5" fillId="0" borderId="0"/>
    <xf numFmtId="0" fontId="6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1" fillId="0" borderId="0"/>
    <xf numFmtId="0" fontId="8" fillId="0" borderId="0"/>
    <xf numFmtId="0" fontId="8" fillId="0" borderId="0"/>
    <xf numFmtId="0" fontId="8" fillId="0" borderId="0"/>
    <xf numFmtId="0" fontId="61" fillId="0" borderId="0"/>
    <xf numFmtId="0" fontId="8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5" fillId="0" borderId="0"/>
    <xf numFmtId="0" fontId="61" fillId="0" borderId="0"/>
    <xf numFmtId="0" fontId="6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1" fillId="0" borderId="0"/>
    <xf numFmtId="0" fontId="8" fillId="0" borderId="0"/>
    <xf numFmtId="0" fontId="8" fillId="0" borderId="0"/>
    <xf numFmtId="0" fontId="8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255" fontId="8" fillId="0" borderId="0"/>
    <xf numFmtId="0" fontId="34" fillId="0" borderId="0"/>
    <xf numFmtId="0" fontId="5" fillId="0" borderId="0"/>
    <xf numFmtId="0" fontId="5" fillId="0" borderId="0"/>
    <xf numFmtId="0" fontId="71" fillId="0" borderId="0"/>
    <xf numFmtId="0" fontId="8" fillId="0" borderId="0"/>
    <xf numFmtId="0" fontId="61" fillId="0" borderId="0"/>
    <xf numFmtId="0" fontId="133" fillId="0" borderId="0"/>
    <xf numFmtId="0" fontId="5" fillId="0" borderId="0"/>
    <xf numFmtId="0" fontId="134" fillId="0" borderId="0"/>
    <xf numFmtId="256" fontId="71" fillId="0" borderId="0" applyFont="0" applyFill="0" applyBorder="0" applyAlignment="0" applyProtection="0"/>
    <xf numFmtId="0" fontId="8" fillId="11" borderId="30" applyNumberFormat="0" applyFont="0" applyAlignment="0" applyProtection="0"/>
    <xf numFmtId="0" fontId="38" fillId="11" borderId="30" applyNumberFormat="0" applyFont="0" applyAlignment="0" applyProtection="0"/>
    <xf numFmtId="0" fontId="8" fillId="11" borderId="30" applyNumberFormat="0" applyFont="0" applyAlignment="0" applyProtection="0"/>
    <xf numFmtId="0" fontId="36" fillId="64" borderId="44" applyNumberFormat="0" applyFont="0" applyAlignment="0" applyProtection="0"/>
    <xf numFmtId="0" fontId="135" fillId="11" borderId="30" applyNumberFormat="0" applyFont="0" applyAlignment="0" applyProtection="0"/>
    <xf numFmtId="0" fontId="37" fillId="11" borderId="30" applyNumberFormat="0" applyFont="0" applyAlignment="0" applyProtection="0"/>
    <xf numFmtId="0" fontId="8" fillId="11" borderId="30" applyNumberFormat="0" applyFont="0" applyAlignment="0" applyProtection="0"/>
    <xf numFmtId="0" fontId="37" fillId="11" borderId="30" applyNumberFormat="0" applyFont="0" applyAlignment="0" applyProtection="0"/>
    <xf numFmtId="0" fontId="8" fillId="11" borderId="30" applyNumberFormat="0" applyFont="0" applyAlignment="0" applyProtection="0"/>
    <xf numFmtId="0" fontId="36" fillId="64" borderId="44" applyNumberFormat="0" applyFont="0" applyAlignment="0" applyProtection="0"/>
    <xf numFmtId="0" fontId="8" fillId="11" borderId="30" applyNumberFormat="0" applyFont="0" applyAlignment="0" applyProtection="0"/>
    <xf numFmtId="0" fontId="135" fillId="11" borderId="30" applyNumberFormat="0" applyFont="0" applyAlignment="0" applyProtection="0"/>
    <xf numFmtId="0" fontId="135" fillId="11" borderId="30" applyNumberFormat="0" applyFont="0" applyAlignment="0" applyProtection="0"/>
    <xf numFmtId="0" fontId="135" fillId="11" borderId="30" applyNumberFormat="0" applyFont="0" applyAlignment="0" applyProtection="0"/>
    <xf numFmtId="0" fontId="135" fillId="11" borderId="30" applyNumberFormat="0" applyFont="0" applyAlignment="0" applyProtection="0"/>
    <xf numFmtId="0" fontId="135" fillId="11" borderId="30" applyNumberFormat="0" applyFont="0" applyAlignment="0" applyProtection="0"/>
    <xf numFmtId="0" fontId="135" fillId="11" borderId="30" applyNumberFormat="0" applyFont="0" applyAlignment="0" applyProtection="0"/>
    <xf numFmtId="0" fontId="38" fillId="11" borderId="30" applyNumberFormat="0" applyFont="0" applyAlignment="0" applyProtection="0"/>
    <xf numFmtId="0" fontId="8" fillId="11" borderId="30" applyNumberFormat="0" applyFont="0" applyAlignment="0" applyProtection="0"/>
    <xf numFmtId="0" fontId="8" fillId="11" borderId="30" applyNumberFormat="0" applyFont="0" applyAlignment="0" applyProtection="0"/>
    <xf numFmtId="0" fontId="38" fillId="11" borderId="30" applyNumberFormat="0" applyFont="0" applyAlignment="0" applyProtection="0"/>
    <xf numFmtId="0" fontId="8" fillId="11" borderId="30" applyNumberFormat="0" applyFont="0" applyAlignment="0" applyProtection="0"/>
    <xf numFmtId="0" fontId="38" fillId="11" borderId="30" applyNumberFormat="0" applyFont="0" applyAlignment="0" applyProtection="0"/>
    <xf numFmtId="0" fontId="8" fillId="11" borderId="30" applyNumberFormat="0" applyFont="0" applyAlignment="0" applyProtection="0"/>
    <xf numFmtId="0" fontId="38" fillId="11" borderId="30" applyNumberFormat="0" applyFont="0" applyAlignment="0" applyProtection="0"/>
    <xf numFmtId="0" fontId="8" fillId="11" borderId="30" applyNumberFormat="0" applyFont="0" applyAlignment="0" applyProtection="0"/>
    <xf numFmtId="0" fontId="38" fillId="11" borderId="30" applyNumberFormat="0" applyFont="0" applyAlignment="0" applyProtection="0"/>
    <xf numFmtId="0" fontId="8" fillId="11" borderId="30" applyNumberFormat="0" applyFont="0" applyAlignment="0" applyProtection="0"/>
    <xf numFmtId="0" fontId="8" fillId="11" borderId="30" applyNumberFormat="0" applyFont="0" applyAlignment="0" applyProtection="0"/>
    <xf numFmtId="0" fontId="8" fillId="11" borderId="30" applyNumberFormat="0" applyFont="0" applyAlignment="0" applyProtection="0"/>
    <xf numFmtId="0" fontId="8" fillId="11" borderId="30" applyNumberFormat="0" applyFont="0" applyAlignment="0" applyProtection="0"/>
    <xf numFmtId="0" fontId="8" fillId="11" borderId="30" applyNumberFormat="0" applyFont="0" applyAlignment="0" applyProtection="0"/>
    <xf numFmtId="0" fontId="8" fillId="11" borderId="30" applyNumberFormat="0" applyFont="0" applyAlignment="0" applyProtection="0"/>
    <xf numFmtId="0" fontId="8" fillId="11" borderId="30" applyNumberFormat="0" applyFont="0" applyAlignment="0" applyProtection="0"/>
    <xf numFmtId="0" fontId="8" fillId="11" borderId="30" applyNumberFormat="0" applyFont="0" applyAlignment="0" applyProtection="0"/>
    <xf numFmtId="0" fontId="8" fillId="11" borderId="30" applyNumberFormat="0" applyFont="0" applyAlignment="0" applyProtection="0"/>
    <xf numFmtId="0" fontId="8" fillId="11" borderId="30" applyNumberFormat="0" applyFont="0" applyAlignment="0" applyProtection="0"/>
    <xf numFmtId="0" fontId="8" fillId="11" borderId="30" applyNumberFormat="0" applyFont="0" applyAlignment="0" applyProtection="0"/>
    <xf numFmtId="0" fontId="8" fillId="11" borderId="30" applyNumberFormat="0" applyFont="0" applyAlignment="0" applyProtection="0"/>
    <xf numFmtId="0" fontId="8" fillId="11" borderId="30" applyNumberFormat="0" applyFont="0" applyAlignment="0" applyProtection="0"/>
    <xf numFmtId="0" fontId="8" fillId="11" borderId="30" applyNumberFormat="0" applyFont="0" applyAlignment="0" applyProtection="0"/>
    <xf numFmtId="0" fontId="8" fillId="11" borderId="30" applyNumberFormat="0" applyFont="0" applyAlignment="0" applyProtection="0"/>
    <xf numFmtId="0" fontId="8" fillId="11" borderId="30" applyNumberFormat="0" applyFont="0" applyAlignment="0" applyProtection="0"/>
    <xf numFmtId="0" fontId="8" fillId="11" borderId="30" applyNumberFormat="0" applyFont="0" applyAlignment="0" applyProtection="0"/>
    <xf numFmtId="0" fontId="8" fillId="11" borderId="30" applyNumberFormat="0" applyFont="0" applyAlignment="0" applyProtection="0"/>
    <xf numFmtId="0" fontId="8" fillId="11" borderId="30" applyNumberFormat="0" applyFont="0" applyAlignment="0" applyProtection="0"/>
    <xf numFmtId="0" fontId="8" fillId="11" borderId="30" applyNumberFormat="0" applyFont="0" applyAlignment="0" applyProtection="0"/>
    <xf numFmtId="0" fontId="8" fillId="11" borderId="30" applyNumberFormat="0" applyFont="0" applyAlignment="0" applyProtection="0"/>
    <xf numFmtId="0" fontId="8" fillId="11" borderId="30" applyNumberFormat="0" applyFont="0" applyAlignment="0" applyProtection="0"/>
    <xf numFmtId="0" fontId="8" fillId="11" borderId="30" applyNumberFormat="0" applyFont="0" applyAlignment="0" applyProtection="0"/>
    <xf numFmtId="0" fontId="8" fillId="11" borderId="30" applyNumberFormat="0" applyFont="0" applyAlignment="0" applyProtection="0"/>
    <xf numFmtId="0" fontId="8" fillId="11" borderId="30" applyNumberFormat="0" applyFont="0" applyAlignment="0" applyProtection="0"/>
    <xf numFmtId="257" fontId="136" fillId="0" borderId="0" applyBorder="0" applyProtection="0">
      <alignment horizontal="right"/>
    </xf>
    <xf numFmtId="257" fontId="137" fillId="77" borderId="0" applyBorder="0" applyProtection="0">
      <alignment horizontal="right"/>
    </xf>
    <xf numFmtId="257" fontId="138" fillId="0" borderId="32" applyBorder="0"/>
    <xf numFmtId="257" fontId="139" fillId="0" borderId="0" applyBorder="0" applyProtection="0">
      <alignment horizontal="right"/>
    </xf>
    <xf numFmtId="258" fontId="139" fillId="0" borderId="0" applyBorder="0" applyProtection="0">
      <alignment horizontal="right"/>
    </xf>
    <xf numFmtId="258" fontId="140" fillId="77" borderId="0" applyProtection="0">
      <alignment horizontal="right"/>
    </xf>
    <xf numFmtId="37" fontId="32" fillId="0" borderId="0" applyFill="0" applyBorder="0" applyProtection="0">
      <alignment horizontal="right"/>
    </xf>
    <xf numFmtId="185" fontId="27" fillId="0" borderId="0" applyFont="0" applyFill="0" applyBorder="0" applyProtection="0">
      <alignment horizontal="right"/>
    </xf>
    <xf numFmtId="259" fontId="136" fillId="0" borderId="0" applyFill="0" applyBorder="0" applyProtection="0"/>
    <xf numFmtId="0" fontId="52" fillId="60" borderId="0">
      <alignment horizontal="right"/>
    </xf>
    <xf numFmtId="0" fontId="5" fillId="0" borderId="0">
      <alignment horizontal="right"/>
    </xf>
    <xf numFmtId="0" fontId="141" fillId="61" borderId="59" applyNumberFormat="0" applyAlignment="0" applyProtection="0"/>
    <xf numFmtId="0" fontId="141" fillId="61" borderId="59" applyNumberFormat="0" applyAlignment="0" applyProtection="0"/>
    <xf numFmtId="0" fontId="142" fillId="9" borderId="27" applyNumberFormat="0" applyAlignment="0" applyProtection="0"/>
    <xf numFmtId="0" fontId="141" fillId="61" borderId="59" applyNumberFormat="0" applyAlignment="0" applyProtection="0"/>
    <xf numFmtId="0" fontId="142" fillId="9" borderId="27" applyNumberFormat="0" applyAlignment="0" applyProtection="0"/>
    <xf numFmtId="0" fontId="142" fillId="9" borderId="27" applyNumberFormat="0" applyAlignment="0" applyProtection="0"/>
    <xf numFmtId="0" fontId="142" fillId="9" borderId="27" applyNumberFormat="0" applyAlignment="0" applyProtection="0"/>
    <xf numFmtId="0" fontId="142" fillId="9" borderId="27" applyNumberFormat="0" applyAlignment="0" applyProtection="0"/>
    <xf numFmtId="0" fontId="142" fillId="9" borderId="27" applyNumberFormat="0" applyAlignment="0" applyProtection="0"/>
    <xf numFmtId="0" fontId="17" fillId="9" borderId="27" applyNumberFormat="0" applyAlignment="0" applyProtection="0"/>
    <xf numFmtId="0" fontId="17" fillId="9" borderId="27" applyNumberFormat="0" applyAlignment="0" applyProtection="0"/>
    <xf numFmtId="0" fontId="143" fillId="0" borderId="0" applyProtection="0">
      <alignment horizontal="left"/>
    </xf>
    <xf numFmtId="0" fontId="143" fillId="0" borderId="0" applyFill="0" applyBorder="0" applyProtection="0">
      <alignment horizontal="left"/>
    </xf>
    <xf numFmtId="0" fontId="144" fillId="0" borderId="0" applyFill="0" applyBorder="0" applyProtection="0">
      <alignment horizontal="left"/>
    </xf>
    <xf numFmtId="1" fontId="145" fillId="0" borderId="0" applyProtection="0">
      <alignment horizontal="right" vertical="center"/>
    </xf>
    <xf numFmtId="238" fontId="146" fillId="0" borderId="40">
      <alignment vertical="center"/>
    </xf>
    <xf numFmtId="2" fontId="43" fillId="0" borderId="0"/>
    <xf numFmtId="166" fontId="147" fillId="0" borderId="0" applyFill="0" applyBorder="0" applyAlignment="0" applyProtection="0"/>
    <xf numFmtId="207" fontId="5" fillId="0" borderId="0" applyFont="0" applyFill="0" applyBorder="0" applyAlignment="0" applyProtection="0"/>
    <xf numFmtId="260" fontId="3" fillId="0" borderId="0" applyFont="0" applyFill="0" applyBorder="0" applyAlignment="0" applyProtection="0"/>
    <xf numFmtId="261" fontId="148" fillId="60" borderId="14" applyFill="0" applyBorder="0" applyAlignment="0" applyProtection="0">
      <alignment horizontal="right"/>
      <protection locked="0"/>
    </xf>
    <xf numFmtId="262" fontId="148" fillId="68" borderId="0" applyFill="0" applyBorder="0" applyAlignment="0" applyProtection="0">
      <protection hidden="1"/>
    </xf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263" fontId="136" fillId="0" borderId="0" applyBorder="0" applyProtection="0">
      <alignment horizontal="right"/>
    </xf>
    <xf numFmtId="263" fontId="137" fillId="77" borderId="0" applyProtection="0">
      <alignment horizontal="right"/>
    </xf>
    <xf numFmtId="263" fontId="139" fillId="0" borderId="0" applyFont="0" applyBorder="0" applyProtection="0">
      <alignment horizontal="right"/>
    </xf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6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264" fontId="43" fillId="0" borderId="0" applyFont="0" applyFill="0" applyBorder="0" applyProtection="0">
      <alignment horizontal="right"/>
    </xf>
    <xf numFmtId="9" fontId="5" fillId="0" borderId="0"/>
    <xf numFmtId="265" fontId="5" fillId="0" borderId="0" applyFill="0" applyBorder="0">
      <alignment horizontal="right"/>
      <protection locked="0"/>
    </xf>
    <xf numFmtId="1" fontId="33" fillId="0" borderId="0"/>
    <xf numFmtId="248" fontId="5" fillId="0" borderId="0">
      <protection locked="0"/>
    </xf>
    <xf numFmtId="166" fontId="5" fillId="0" borderId="0" applyFont="0" applyFill="0" applyBorder="0" applyAlignment="0" applyProtection="0"/>
    <xf numFmtId="205" fontId="3" fillId="0" borderId="0" applyFill="0" applyBorder="0" applyAlignment="0"/>
    <xf numFmtId="206" fontId="3" fillId="0" borderId="0" applyFill="0" applyBorder="0" applyAlignment="0"/>
    <xf numFmtId="205" fontId="3" fillId="0" borderId="0" applyFill="0" applyBorder="0" applyAlignment="0"/>
    <xf numFmtId="208" fontId="5" fillId="0" borderId="0" applyFill="0" applyBorder="0" applyAlignment="0"/>
    <xf numFmtId="206" fontId="3" fillId="0" borderId="0" applyFill="0" applyBorder="0" applyAlignment="0"/>
    <xf numFmtId="10" fontId="43" fillId="0" borderId="0"/>
    <xf numFmtId="10" fontId="43" fillId="72" borderId="0"/>
    <xf numFmtId="9" fontId="43" fillId="0" borderId="0" applyFont="0" applyFill="0" applyBorder="0" applyAlignment="0" applyProtection="0"/>
    <xf numFmtId="211" fontId="34" fillId="0" borderId="0"/>
    <xf numFmtId="266" fontId="149" fillId="68" borderId="0" applyBorder="0" applyAlignment="0">
      <protection hidden="1"/>
    </xf>
    <xf numFmtId="1" fontId="149" fillId="68" borderId="0">
      <alignment horizontal="center"/>
    </xf>
    <xf numFmtId="0" fontId="61" fillId="0" borderId="0" applyNumberFormat="0" applyFont="0" applyFill="0" applyBorder="0" applyAlignment="0" applyProtection="0">
      <alignment horizontal="left"/>
    </xf>
    <xf numFmtId="15" fontId="61" fillId="0" borderId="0" applyFont="0" applyFill="0" applyBorder="0" applyAlignment="0" applyProtection="0"/>
    <xf numFmtId="4" fontId="61" fillId="0" borderId="0" applyFont="0" applyFill="0" applyBorder="0" applyAlignment="0" applyProtection="0"/>
    <xf numFmtId="0" fontId="121" fillId="0" borderId="9">
      <alignment horizontal="center"/>
    </xf>
    <xf numFmtId="3" fontId="61" fillId="0" borderId="0" applyFont="0" applyFill="0" applyBorder="0" applyAlignment="0" applyProtection="0"/>
    <xf numFmtId="0" fontId="61" fillId="78" borderId="0" applyNumberFormat="0" applyFont="0" applyBorder="0" applyAlignment="0" applyProtection="0"/>
    <xf numFmtId="0" fontId="61" fillId="0" borderId="0">
      <alignment horizontal="right"/>
      <protection locked="0"/>
    </xf>
    <xf numFmtId="231" fontId="150" fillId="0" borderId="0" applyNumberFormat="0" applyFill="0" applyBorder="0" applyAlignment="0" applyProtection="0">
      <alignment horizontal="left"/>
    </xf>
    <xf numFmtId="0" fontId="151" fillId="66" borderId="0"/>
    <xf numFmtId="0" fontId="33" fillId="0" borderId="0" applyNumberFormat="0" applyFill="0" applyBorder="0" applyProtection="0">
      <alignment horizontal="right" vertical="center"/>
    </xf>
    <xf numFmtId="0" fontId="152" fillId="0" borderId="60">
      <alignment vertical="center"/>
    </xf>
    <xf numFmtId="267" fontId="5" fillId="0" borderId="0" applyFill="0" applyBorder="0">
      <alignment horizontal="right"/>
      <protection hidden="1"/>
    </xf>
    <xf numFmtId="0" fontId="153" fillId="65" borderId="14">
      <alignment horizontal="center" vertical="center" wrapText="1"/>
      <protection hidden="1"/>
    </xf>
    <xf numFmtId="0" fontId="61" fillId="79" borderId="61"/>
    <xf numFmtId="0" fontId="3" fillId="80" borderId="0" applyNumberFormat="0" applyFont="0" applyBorder="0" applyAlignment="0" applyProtection="0"/>
    <xf numFmtId="171" fontId="154" fillId="0" borderId="0" applyFill="0" applyBorder="0" applyAlignment="0" applyProtection="0"/>
    <xf numFmtId="172" fontId="155" fillId="0" borderId="0"/>
    <xf numFmtId="0" fontId="71" fillId="0" borderId="0"/>
    <xf numFmtId="0" fontId="156" fillId="0" borderId="0">
      <alignment horizontal="right"/>
    </xf>
    <xf numFmtId="0" fontId="82" fillId="0" borderId="0">
      <alignment horizontal="left"/>
    </xf>
    <xf numFmtId="166" fontId="157" fillId="0" borderId="54"/>
    <xf numFmtId="268" fontId="42" fillId="74" borderId="0" applyFont="0" applyBorder="0"/>
    <xf numFmtId="0" fontId="158" fillId="0" borderId="0"/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5" fillId="0" borderId="0">
      <alignment vertical="top"/>
    </xf>
    <xf numFmtId="172" fontId="5" fillId="0" borderId="0" applyFont="0" applyFill="0" applyBorder="0" applyAlignment="0" applyProtection="0"/>
    <xf numFmtId="0" fontId="78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3" fillId="0" borderId="0">
      <alignment vertical="top"/>
    </xf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3" fillId="0" borderId="0">
      <alignment vertical="top"/>
    </xf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173" fontId="5" fillId="0" borderId="0" applyFont="0" applyFill="0" applyBorder="0" applyAlignment="0" applyProtection="0"/>
    <xf numFmtId="0" fontId="3" fillId="0" borderId="0">
      <alignment vertical="top"/>
    </xf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59" fillId="80" borderId="14" applyNumberFormat="0" applyProtection="0">
      <alignment horizontal="center" vertical="center"/>
    </xf>
    <xf numFmtId="0" fontId="3" fillId="0" borderId="0">
      <alignment vertical="top"/>
    </xf>
    <xf numFmtId="0" fontId="4" fillId="80" borderId="14" applyNumberFormat="0" applyProtection="0">
      <alignment horizontal="center" vertical="center" wrapText="1"/>
    </xf>
    <xf numFmtId="0" fontId="4" fillId="80" borderId="14" applyNumberFormat="0" applyProtection="0">
      <alignment horizontal="center" vertical="center"/>
    </xf>
    <xf numFmtId="0" fontId="4" fillId="80" borderId="14" applyNumberFormat="0" applyProtection="0">
      <alignment horizontal="center" vertical="center" wrapText="1"/>
    </xf>
    <xf numFmtId="0" fontId="160" fillId="0" borderId="0" applyNumberFormat="0" applyFill="0" applyBorder="0" applyAlignment="0" applyProtection="0"/>
    <xf numFmtId="0" fontId="5" fillId="38" borderId="14" applyNumberFormat="0" applyProtection="0">
      <alignment horizontal="left" vertical="center"/>
    </xf>
    <xf numFmtId="0" fontId="5" fillId="38" borderId="14" applyNumberFormat="0" applyProtection="0">
      <alignment horizontal="left" vertical="center"/>
    </xf>
    <xf numFmtId="0" fontId="3" fillId="0" borderId="0">
      <alignment vertical="top"/>
    </xf>
    <xf numFmtId="0" fontId="4" fillId="36" borderId="14" applyNumberFormat="0" applyProtection="0">
      <alignment horizontal="left" vertical="center" wrapText="1"/>
    </xf>
    <xf numFmtId="0" fontId="3" fillId="0" borderId="0">
      <alignment vertical="top"/>
    </xf>
    <xf numFmtId="0" fontId="3" fillId="0" borderId="0">
      <alignment vertical="top"/>
    </xf>
    <xf numFmtId="0" fontId="7" fillId="0" borderId="0" applyNumberFormat="0" applyFill="0" applyBorder="0" applyAlignment="0" applyProtection="0"/>
    <xf numFmtId="255" fontId="4" fillId="81" borderId="14" applyNumberFormat="0" applyProtection="0">
      <alignment horizontal="center" vertical="center" wrapText="1"/>
    </xf>
    <xf numFmtId="0" fontId="5" fillId="38" borderId="14" applyNumberFormat="0" applyProtection="0">
      <alignment horizontal="left" vertical="center" wrapText="1"/>
    </xf>
    <xf numFmtId="0" fontId="3" fillId="0" borderId="0">
      <alignment vertical="top"/>
    </xf>
    <xf numFmtId="0" fontId="4" fillId="36" borderId="14" applyNumberFormat="0" applyProtection="0">
      <alignment horizontal="left" vertical="center" wrapText="1"/>
    </xf>
    <xf numFmtId="0" fontId="3" fillId="0" borderId="0">
      <alignment vertical="top"/>
    </xf>
    <xf numFmtId="0" fontId="3" fillId="0" borderId="0">
      <alignment vertical="top"/>
    </xf>
    <xf numFmtId="0" fontId="161" fillId="82" borderId="0" applyNumberFormat="0" applyBorder="0" applyAlignment="0" applyProtection="0"/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164" fontId="31" fillId="0" borderId="0" applyFont="0" applyFill="0" applyBorder="0" applyAlignment="0" applyProtection="0"/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178" fontId="5" fillId="0" borderId="0" applyFont="0" applyFill="0" applyBorder="0" applyAlignment="0" applyProtection="0"/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173" fontId="5" fillId="0" borderId="0" applyFont="0" applyFill="0" applyBorder="0" applyAlignment="0" applyProtection="0"/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269" fontId="43" fillId="0" borderId="0" applyFont="0" applyFill="0" applyBorder="0" applyAlignment="0" applyProtection="0"/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269" fontId="43" fillId="0" borderId="0" applyFont="0" applyFill="0" applyBorder="0" applyAlignment="0" applyProtection="0"/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4" fillId="0" borderId="0" applyNumberFormat="0" applyBorder="0" applyAlignment="0"/>
    <xf numFmtId="0" fontId="162" fillId="0" borderId="0" applyNumberFormat="0" applyBorder="0" applyAlignment="0"/>
    <xf numFmtId="0" fontId="163" fillId="0" borderId="0" applyNumberFormat="0" applyBorder="0" applyAlignment="0"/>
    <xf numFmtId="0" fontId="54" fillId="0" borderId="0" applyNumberFormat="0" applyFill="0" applyBorder="0" applyProtection="0">
      <alignment horizontal="left" vertical="center"/>
    </xf>
    <xf numFmtId="0" fontId="54" fillId="0" borderId="32" applyNumberFormat="0" applyFill="0" applyProtection="0">
      <alignment horizontal="left" vertical="center"/>
    </xf>
    <xf numFmtId="270" fontId="42" fillId="83" borderId="0" applyNumberFormat="0" applyFont="0" applyBorder="0">
      <alignment horizontal="center" vertical="center"/>
      <protection locked="0"/>
    </xf>
    <xf numFmtId="9" fontId="5" fillId="0" borderId="0"/>
    <xf numFmtId="0" fontId="55" fillId="0" borderId="0" applyFill="0" applyBorder="0" applyProtection="0">
      <alignment horizontal="center" vertical="center"/>
    </xf>
    <xf numFmtId="0" fontId="164" fillId="0" borderId="0" applyBorder="0" applyProtection="0">
      <alignment vertical="center"/>
    </xf>
    <xf numFmtId="211" fontId="5" fillId="0" borderId="40" applyBorder="0" applyProtection="0">
      <alignment horizontal="right" vertical="center"/>
    </xf>
    <xf numFmtId="0" fontId="165" fillId="84" borderId="0" applyBorder="0" applyProtection="0">
      <alignment horizontal="centerContinuous" vertical="center"/>
    </xf>
    <xf numFmtId="0" fontId="165" fillId="82" borderId="40" applyBorder="0" applyProtection="0">
      <alignment horizontal="centerContinuous" vertical="center"/>
    </xf>
    <xf numFmtId="0" fontId="166" fillId="0" borderId="0"/>
    <xf numFmtId="0" fontId="55" fillId="0" borderId="0" applyFill="0" applyBorder="0" applyProtection="0"/>
    <xf numFmtId="0" fontId="134" fillId="0" borderId="0"/>
    <xf numFmtId="0" fontId="167" fillId="0" borderId="0" applyFill="0" applyBorder="0" applyProtection="0">
      <alignment horizontal="left"/>
    </xf>
    <xf numFmtId="0" fontId="168" fillId="0" borderId="0" applyFill="0" applyBorder="0" applyProtection="0">
      <alignment horizontal="left" vertical="top"/>
    </xf>
    <xf numFmtId="0" fontId="10" fillId="0" borderId="0">
      <alignment horizontal="centerContinuous"/>
    </xf>
    <xf numFmtId="238" fontId="5" fillId="38" borderId="62" applyNumberFormat="0" applyAlignment="0">
      <alignment vertical="center"/>
    </xf>
    <xf numFmtId="238" fontId="169" fillId="85" borderId="63" applyNumberFormat="0" applyBorder="0" applyAlignment="0" applyProtection="0">
      <alignment vertical="center"/>
    </xf>
    <xf numFmtId="238" fontId="5" fillId="38" borderId="62" applyNumberFormat="0" applyProtection="0">
      <alignment horizontal="centerContinuous" vertical="center"/>
    </xf>
    <xf numFmtId="238" fontId="170" fillId="86" borderId="0" applyNumberFormat="0" applyBorder="0" applyAlignment="0" applyProtection="0">
      <alignment vertical="center"/>
    </xf>
    <xf numFmtId="238" fontId="5" fillId="85" borderId="0" applyBorder="0" applyAlignment="0" applyProtection="0">
      <alignment vertical="center"/>
    </xf>
    <xf numFmtId="49" fontId="32" fillId="0" borderId="40">
      <alignment vertical="center"/>
    </xf>
    <xf numFmtId="0" fontId="171" fillId="0" borderId="0"/>
    <xf numFmtId="0" fontId="172" fillId="0" borderId="0"/>
    <xf numFmtId="49" fontId="34" fillId="0" borderId="0" applyFill="0" applyBorder="0" applyAlignment="0"/>
    <xf numFmtId="271" fontId="3" fillId="0" borderId="0" applyFill="0" applyBorder="0" applyAlignment="0"/>
    <xf numFmtId="272" fontId="3" fillId="0" borderId="0" applyFill="0" applyBorder="0" applyAlignment="0"/>
    <xf numFmtId="0" fontId="28" fillId="0" borderId="0" applyNumberFormat="0" applyFont="0" applyFill="0" applyBorder="0" applyProtection="0">
      <alignment horizontal="left" vertical="top" wrapText="1"/>
    </xf>
    <xf numFmtId="18" fontId="71" fillId="0" borderId="0" applyFill="0" applyBorder="0" applyAlignment="0" applyProtection="0"/>
    <xf numFmtId="0" fontId="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40" fontId="173" fillId="0" borderId="0"/>
    <xf numFmtId="0" fontId="174" fillId="0" borderId="0" applyNumberFormat="0" applyFill="0" applyBorder="0" applyAlignment="0" applyProtection="0"/>
    <xf numFmtId="0" fontId="175" fillId="0" borderId="0" applyNumberFormat="0" applyBorder="0" applyAlignment="0" applyProtection="0"/>
    <xf numFmtId="0" fontId="175" fillId="0" borderId="0" applyNumberFormat="0" applyBorder="0" applyAlignment="0" applyProtection="0"/>
    <xf numFmtId="273" fontId="176" fillId="82" borderId="0" applyNumberFormat="0" applyProtection="0">
      <alignment horizontal="left" vertical="center"/>
    </xf>
    <xf numFmtId="0" fontId="177" fillId="0" borderId="0" applyNumberFormat="0" applyProtection="0">
      <alignment horizontal="left" vertical="center"/>
    </xf>
    <xf numFmtId="0" fontId="178" fillId="0" borderId="0">
      <alignment horizontal="left"/>
    </xf>
    <xf numFmtId="0" fontId="61" fillId="0" borderId="0" applyBorder="0"/>
    <xf numFmtId="1" fontId="3" fillId="70" borderId="0" applyNumberFormat="0" applyFont="0" applyBorder="0" applyProtection="0">
      <alignment horizontal="left"/>
    </xf>
    <xf numFmtId="274" fontId="5" fillId="0" borderId="0" applyNumberFormat="0" applyFill="0" applyBorder="0" applyProtection="0">
      <alignment vertical="top"/>
    </xf>
    <xf numFmtId="0" fontId="179" fillId="0" borderId="64" applyNumberFormat="0" applyFill="0" applyAlignment="0" applyProtection="0"/>
    <xf numFmtId="0" fontId="23" fillId="0" borderId="31" applyNumberFormat="0" applyFill="0" applyAlignment="0" applyProtection="0"/>
    <xf numFmtId="0" fontId="179" fillId="0" borderId="64" applyNumberFormat="0" applyFill="0" applyAlignment="0" applyProtection="0"/>
    <xf numFmtId="0" fontId="180" fillId="0" borderId="31" applyNumberFormat="0" applyFill="0" applyAlignment="0" applyProtection="0"/>
    <xf numFmtId="0" fontId="179" fillId="0" borderId="64" applyNumberFormat="0" applyFill="0" applyAlignment="0" applyProtection="0"/>
    <xf numFmtId="0" fontId="180" fillId="0" borderId="31" applyNumberFormat="0" applyFill="0" applyAlignment="0" applyProtection="0"/>
    <xf numFmtId="0" fontId="180" fillId="0" borderId="31" applyNumberFormat="0" applyFill="0" applyAlignment="0" applyProtection="0"/>
    <xf numFmtId="0" fontId="180" fillId="0" borderId="31" applyNumberFormat="0" applyFill="0" applyAlignment="0" applyProtection="0"/>
    <xf numFmtId="0" fontId="180" fillId="0" borderId="31" applyNumberFormat="0" applyFill="0" applyAlignment="0" applyProtection="0"/>
    <xf numFmtId="0" fontId="180" fillId="0" borderId="31" applyNumberFormat="0" applyFill="0" applyAlignment="0" applyProtection="0"/>
    <xf numFmtId="0" fontId="181" fillId="0" borderId="31" applyNumberFormat="0" applyFill="0" applyAlignment="0" applyProtection="0"/>
    <xf numFmtId="39" fontId="5" fillId="0" borderId="36">
      <protection locked="0"/>
    </xf>
    <xf numFmtId="169" fontId="10" fillId="0" borderId="36" applyFill="0" applyAlignment="0" applyProtection="0"/>
    <xf numFmtId="211" fontId="35" fillId="0" borderId="65"/>
    <xf numFmtId="0" fontId="182" fillId="0" borderId="0">
      <alignment horizontal="fill"/>
    </xf>
    <xf numFmtId="275" fontId="149" fillId="68" borderId="13" applyBorder="0">
      <alignment horizontal="right" vertical="center"/>
      <protection locked="0"/>
    </xf>
    <xf numFmtId="171" fontId="5" fillId="0" borderId="0" applyFont="0" applyFill="0" applyBorder="0" applyAlignment="0" applyProtection="0"/>
    <xf numFmtId="276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274" fontId="183" fillId="85" borderId="0" applyNumberFormat="0" applyBorder="0" applyProtection="0">
      <alignment horizontal="centerContinuous" vertical="center"/>
    </xf>
    <xf numFmtId="0" fontId="48" fillId="0" borderId="0" applyNumberFormat="0" applyFill="0" applyBorder="0" applyAlignment="0" applyProtection="0"/>
    <xf numFmtId="0" fontId="184" fillId="0" borderId="0" applyNumberFormat="0" applyFill="0" applyBorder="0" applyAlignment="0" applyProtection="0"/>
    <xf numFmtId="0" fontId="184" fillId="0" borderId="0" applyNumberFormat="0" applyFill="0" applyBorder="0" applyAlignment="0" applyProtection="0"/>
    <xf numFmtId="0" fontId="184" fillId="0" borderId="0" applyNumberFormat="0" applyFill="0" applyBorder="0" applyAlignment="0" applyProtection="0"/>
    <xf numFmtId="0" fontId="184" fillId="0" borderId="0" applyNumberFormat="0" applyFill="0" applyBorder="0" applyAlignment="0" applyProtection="0"/>
    <xf numFmtId="0" fontId="184" fillId="0" borderId="0" applyNumberFormat="0" applyFill="0" applyBorder="0" applyAlignment="0" applyProtection="0"/>
    <xf numFmtId="0" fontId="184" fillId="0" borderId="0" applyNumberFormat="0" applyFill="0" applyBorder="0" applyAlignment="0" applyProtection="0"/>
    <xf numFmtId="0" fontId="184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185" fillId="0" borderId="0"/>
    <xf numFmtId="1" fontId="185" fillId="0" borderId="0"/>
    <xf numFmtId="277" fontId="43" fillId="0" borderId="0" applyFont="0" applyFill="0" applyBorder="0" applyProtection="0">
      <alignment horizontal="right"/>
    </xf>
    <xf numFmtId="278" fontId="5" fillId="0" borderId="0"/>
    <xf numFmtId="279" fontId="136" fillId="0" borderId="0" applyFill="0" applyBorder="0" applyProtection="0"/>
    <xf numFmtId="0" fontId="5" fillId="0" borderId="0">
      <alignment horizontal="center"/>
    </xf>
    <xf numFmtId="280" fontId="32" fillId="0" borderId="40">
      <alignment horizontal="right"/>
    </xf>
    <xf numFmtId="281" fontId="5" fillId="0" borderId="0" applyFont="0" applyFill="0" applyBorder="0" applyAlignment="0" applyProtection="0"/>
    <xf numFmtId="282" fontId="45" fillId="0" borderId="0" applyFont="0" applyFill="0" applyBorder="0" applyProtection="0">
      <alignment horizontal="right"/>
    </xf>
    <xf numFmtId="0" fontId="5" fillId="0" borderId="0"/>
    <xf numFmtId="43" fontId="5" fillId="0" borderId="0" applyFont="0" applyFill="0" applyBorder="0" applyAlignment="0" applyProtection="0"/>
    <xf numFmtId="255" fontId="5" fillId="0" borderId="0"/>
    <xf numFmtId="0" fontId="186" fillId="0" borderId="0"/>
    <xf numFmtId="0" fontId="5" fillId="36" borderId="69" applyNumberFormat="0">
      <alignment horizontal="centerContinuous" vertical="center" wrapText="1"/>
    </xf>
    <xf numFmtId="0" fontId="5" fillId="37" borderId="69" applyNumberFormat="0">
      <alignment horizontal="left" vertical="center"/>
    </xf>
    <xf numFmtId="255" fontId="8" fillId="0" borderId="0"/>
    <xf numFmtId="171" fontId="41" fillId="0" borderId="70" applyFont="0"/>
    <xf numFmtId="203" fontId="45" fillId="58" borderId="71"/>
    <xf numFmtId="0" fontId="43" fillId="0" borderId="72" applyNumberFormat="0" applyFont="0" applyFill="0" applyAlignment="0" applyProtection="0"/>
    <xf numFmtId="0" fontId="55" fillId="0" borderId="73" applyNumberFormat="0" applyFont="0" applyFill="0" applyAlignment="0" applyProtection="0">
      <alignment horizontal="centerContinuous"/>
    </xf>
    <xf numFmtId="0" fontId="28" fillId="0" borderId="74" applyNumberFormat="0" applyFont="0" applyFill="0" applyAlignment="0" applyProtection="0"/>
    <xf numFmtId="0" fontId="28" fillId="0" borderId="75" applyNumberFormat="0" applyFont="0" applyFill="0" applyAlignment="0" applyProtection="0"/>
    <xf numFmtId="0" fontId="56" fillId="61" borderId="69" applyNumberFormat="0" applyAlignment="0" applyProtection="0"/>
    <xf numFmtId="0" fontId="56" fillId="61" borderId="69" applyNumberFormat="0" applyAlignment="0" applyProtection="0"/>
    <xf numFmtId="0" fontId="56" fillId="61" borderId="69" applyNumberFormat="0" applyAlignment="0" applyProtection="0"/>
    <xf numFmtId="0" fontId="56" fillId="61" borderId="69" applyNumberFormat="0" applyAlignment="0" applyProtection="0"/>
    <xf numFmtId="211" fontId="35" fillId="0" borderId="72" applyAlignment="0">
      <alignment horizontal="right"/>
    </xf>
    <xf numFmtId="0" fontId="5" fillId="64" borderId="76" applyNumberFormat="0" applyFont="0" applyAlignment="0" applyProtection="0"/>
    <xf numFmtId="170" fontId="79" fillId="0" borderId="77">
      <protection locked="0"/>
    </xf>
    <xf numFmtId="225" fontId="81" fillId="0" borderId="78" applyNumberFormat="0" applyFill="0">
      <alignment horizontal="right"/>
    </xf>
    <xf numFmtId="225" fontId="81" fillId="0" borderId="78" applyNumberFormat="0" applyFill="0">
      <alignment horizontal="right"/>
    </xf>
    <xf numFmtId="0" fontId="87" fillId="44" borderId="69" applyNumberFormat="0" applyAlignment="0" applyProtection="0"/>
    <xf numFmtId="1" fontId="90" fillId="67" borderId="68" applyNumberFormat="0" applyBorder="0" applyAlignment="0">
      <alignment horizontal="centerContinuous" vertical="center"/>
      <protection locked="0"/>
    </xf>
    <xf numFmtId="166" fontId="5" fillId="69" borderId="66" applyNumberFormat="0" applyFont="0" applyBorder="0" applyAlignment="0" applyProtection="0"/>
    <xf numFmtId="0" fontId="7" fillId="0" borderId="67">
      <alignment horizontal="left" vertical="center"/>
    </xf>
    <xf numFmtId="235" fontId="41" fillId="0" borderId="79">
      <alignment horizontal="center"/>
    </xf>
    <xf numFmtId="10" fontId="71" fillId="60" borderId="66" applyNumberFormat="0" applyBorder="0" applyAlignment="0" applyProtection="0"/>
    <xf numFmtId="0" fontId="87" fillId="44" borderId="69" applyNumberFormat="0" applyAlignment="0" applyProtection="0"/>
    <xf numFmtId="0" fontId="87" fillId="44" borderId="69" applyNumberFormat="0" applyAlignment="0" applyProtection="0"/>
    <xf numFmtId="0" fontId="87" fillId="44" borderId="69" applyNumberFormat="0" applyAlignment="0" applyProtection="0"/>
    <xf numFmtId="0" fontId="121" fillId="72" borderId="80">
      <alignment horizontal="left" vertical="center" wrapText="1"/>
    </xf>
    <xf numFmtId="2" fontId="123" fillId="0" borderId="74"/>
    <xf numFmtId="14" fontId="35" fillId="0" borderId="74" applyFont="0" applyFill="0" applyBorder="0" applyAlignment="0" applyProtection="0"/>
    <xf numFmtId="0" fontId="5" fillId="0" borderId="66"/>
    <xf numFmtId="255" fontId="5" fillId="0" borderId="0"/>
    <xf numFmtId="0" fontId="5" fillId="0" borderId="86"/>
    <xf numFmtId="238" fontId="5" fillId="60" borderId="94" applyNumberFormat="0" applyFont="0" applyBorder="0" applyAlignment="0">
      <alignment horizontal="right" vertical="center"/>
      <protection locked="0"/>
    </xf>
    <xf numFmtId="10" fontId="71" fillId="60" borderId="86" applyNumberFormat="0" applyBorder="0" applyAlignment="0" applyProtection="0"/>
    <xf numFmtId="235" fontId="41" fillId="0" borderId="93">
      <alignment horizontal="center"/>
    </xf>
    <xf numFmtId="0" fontId="107" fillId="0" borderId="92" applyNumberFormat="0" applyFill="0" applyBorder="0" applyAlignment="0" applyProtection="0">
      <alignment horizontal="left"/>
    </xf>
    <xf numFmtId="0" fontId="7" fillId="0" borderId="87">
      <alignment horizontal="left" vertical="center"/>
    </xf>
    <xf numFmtId="166" fontId="5" fillId="69" borderId="86" applyNumberFormat="0" applyFont="0" applyBorder="0" applyAlignment="0" applyProtection="0"/>
    <xf numFmtId="1" fontId="90" fillId="67" borderId="89" applyNumberFormat="0" applyBorder="0" applyAlignment="0">
      <alignment horizontal="centerContinuous" vertical="center"/>
      <protection locked="0"/>
    </xf>
    <xf numFmtId="229" fontId="35" fillId="0" borderId="74" applyFont="0" applyFill="0" applyBorder="0" applyAlignment="0" applyProtection="0"/>
    <xf numFmtId="228" fontId="27" fillId="60" borderId="88" applyFont="0" applyFill="0" applyBorder="0" applyAlignment="0" applyProtection="0"/>
    <xf numFmtId="225" fontId="30" fillId="0" borderId="91" applyNumberFormat="0" applyFill="0">
      <alignment horizontal="right"/>
    </xf>
    <xf numFmtId="225" fontId="30" fillId="0" borderId="91" applyNumberFormat="0" applyFill="0">
      <alignment horizontal="right"/>
    </xf>
    <xf numFmtId="0" fontId="55" fillId="0" borderId="90" applyNumberFormat="0" applyFont="0" applyFill="0" applyAlignment="0" applyProtection="0">
      <alignment horizontal="centerContinuous"/>
    </xf>
    <xf numFmtId="0" fontId="54" fillId="0" borderId="74" applyNumberFormat="0" applyFill="0" applyAlignment="0" applyProtection="0"/>
    <xf numFmtId="0" fontId="31" fillId="38" borderId="0" applyFont="0" applyFill="0" applyProtection="0"/>
    <xf numFmtId="195" fontId="31" fillId="0" borderId="0" applyNumberFormat="0" applyFill="0">
      <alignment horizontal="left" vertical="center" wrapText="1"/>
    </xf>
    <xf numFmtId="255" fontId="8" fillId="0" borderId="0"/>
    <xf numFmtId="0" fontId="31" fillId="0" borderId="0" applyNumberFormat="0" applyFill="0">
      <alignment horizontal="left" vertical="center" wrapText="1"/>
    </xf>
    <xf numFmtId="0" fontId="187" fillId="0" borderId="0"/>
    <xf numFmtId="43" fontId="69" fillId="0" borderId="0" applyFont="0" applyFill="0" applyBorder="0" applyAlignment="0" applyProtection="0"/>
    <xf numFmtId="0" fontId="187" fillId="0" borderId="0"/>
    <xf numFmtId="0" fontId="69" fillId="0" borderId="0"/>
    <xf numFmtId="0" fontId="36" fillId="64" borderId="76" applyNumberFormat="0" applyFont="0" applyAlignment="0" applyProtection="0"/>
    <xf numFmtId="0" fontId="36" fillId="64" borderId="76" applyNumberFormat="0" applyFont="0" applyAlignment="0" applyProtection="0"/>
    <xf numFmtId="257" fontId="138" fillId="0" borderId="67" applyBorder="0"/>
    <xf numFmtId="0" fontId="141" fillId="61" borderId="81" applyNumberFormat="0" applyAlignment="0" applyProtection="0"/>
    <xf numFmtId="0" fontId="141" fillId="61" borderId="81" applyNumberFormat="0" applyAlignment="0" applyProtection="0"/>
    <xf numFmtId="0" fontId="141" fillId="61" borderId="81" applyNumberFormat="0" applyAlignment="0" applyProtection="0"/>
    <xf numFmtId="261" fontId="148" fillId="60" borderId="66" applyFill="0" applyBorder="0" applyAlignment="0" applyProtection="0">
      <alignment horizontal="right"/>
      <protection locked="0"/>
    </xf>
    <xf numFmtId="0" fontId="121" fillId="0" borderId="72">
      <alignment horizontal="center"/>
    </xf>
    <xf numFmtId="0" fontId="153" fillId="65" borderId="66">
      <alignment horizontal="center" vertical="center" wrapText="1"/>
      <protection hidden="1"/>
    </xf>
    <xf numFmtId="166" fontId="157" fillId="0" borderId="79"/>
    <xf numFmtId="0" fontId="159" fillId="80" borderId="66" applyNumberFormat="0" applyProtection="0">
      <alignment horizontal="center" vertical="center"/>
    </xf>
    <xf numFmtId="0" fontId="4" fillId="80" borderId="66" applyNumberFormat="0" applyProtection="0">
      <alignment horizontal="center" vertical="center" wrapText="1"/>
    </xf>
    <xf numFmtId="0" fontId="4" fillId="80" borderId="66" applyNumberFormat="0" applyProtection="0">
      <alignment horizontal="center" vertical="center"/>
    </xf>
    <xf numFmtId="0" fontId="4" fillId="80" borderId="66" applyNumberFormat="0" applyProtection="0">
      <alignment horizontal="center" vertical="center" wrapText="1"/>
    </xf>
    <xf numFmtId="0" fontId="5" fillId="38" borderId="66" applyNumberFormat="0" applyProtection="0">
      <alignment horizontal="left" vertical="center"/>
    </xf>
    <xf numFmtId="0" fontId="5" fillId="38" borderId="66" applyNumberFormat="0" applyProtection="0">
      <alignment horizontal="left" vertical="center"/>
    </xf>
    <xf numFmtId="0" fontId="4" fillId="36" borderId="66" applyNumberFormat="0" applyProtection="0">
      <alignment horizontal="left" vertical="center" wrapText="1"/>
    </xf>
    <xf numFmtId="255" fontId="4" fillId="81" borderId="66" applyNumberFormat="0" applyProtection="0">
      <alignment horizontal="center" vertical="center" wrapText="1"/>
    </xf>
    <xf numFmtId="0" fontId="5" fillId="38" borderId="66" applyNumberFormat="0" applyProtection="0">
      <alignment horizontal="left" vertical="center" wrapText="1"/>
    </xf>
    <xf numFmtId="0" fontId="4" fillId="36" borderId="66" applyNumberFormat="0" applyProtection="0">
      <alignment horizontal="left" vertical="center" wrapText="1"/>
    </xf>
    <xf numFmtId="43" fontId="8" fillId="0" borderId="0" applyFont="0" applyFill="0" applyBorder="0" applyAlignment="0" applyProtection="0"/>
    <xf numFmtId="0" fontId="5" fillId="38" borderId="86" applyNumberFormat="0" applyProtection="0">
      <alignment horizontal="left" vertical="center"/>
    </xf>
    <xf numFmtId="0" fontId="5" fillId="38" borderId="86" applyNumberFormat="0" applyProtection="0">
      <alignment horizontal="left" vertical="center"/>
    </xf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79" fillId="0" borderId="84" applyNumberFormat="0" applyFill="0" applyAlignment="0" applyProtection="0"/>
    <xf numFmtId="0" fontId="141" fillId="61" borderId="81" applyNumberFormat="0" applyAlignment="0" applyProtection="0"/>
    <xf numFmtId="0" fontId="5" fillId="64" borderId="76" applyNumberFormat="0" applyFont="0" applyAlignment="0" applyProtection="0"/>
    <xf numFmtId="0" fontId="5" fillId="64" borderId="76" applyNumberFormat="0" applyFont="0" applyAlignment="0" applyProtection="0"/>
    <xf numFmtId="0" fontId="87" fillId="44" borderId="69" applyNumberFormat="0" applyAlignment="0" applyProtection="0"/>
    <xf numFmtId="0" fontId="56" fillId="61" borderId="69" applyNumberFormat="0" applyAlignment="0" applyProtection="0"/>
    <xf numFmtId="0" fontId="5" fillId="64" borderId="76" applyNumberFormat="0" applyFont="0" applyAlignment="0" applyProtection="0"/>
    <xf numFmtId="0" fontId="5" fillId="64" borderId="76" applyNumberFormat="0" applyFont="0" applyAlignment="0" applyProtection="0"/>
    <xf numFmtId="0" fontId="5" fillId="38" borderId="86" applyNumberFormat="0" applyProtection="0">
      <alignment horizontal="left" vertical="center"/>
    </xf>
    <xf numFmtId="0" fontId="5" fillId="38" borderId="86" applyNumberFormat="0" applyProtection="0">
      <alignment horizontal="left" vertical="center"/>
    </xf>
    <xf numFmtId="173" fontId="8" fillId="0" borderId="0" applyFont="0" applyFill="0" applyBorder="0" applyAlignment="0" applyProtection="0"/>
    <xf numFmtId="0" fontId="5" fillId="64" borderId="76" applyNumberFormat="0" applyFont="0" applyAlignment="0" applyProtection="0"/>
    <xf numFmtId="0" fontId="5" fillId="64" borderId="76" applyNumberFormat="0" applyFont="0" applyAlignment="0" applyProtection="0"/>
    <xf numFmtId="211" fontId="5" fillId="0" borderId="74" applyBorder="0" applyProtection="0">
      <alignment horizontal="right" vertical="center"/>
    </xf>
    <xf numFmtId="0" fontId="165" fillId="82" borderId="74" applyBorder="0" applyProtection="0">
      <alignment horizontal="centerContinuous" vertical="center"/>
    </xf>
    <xf numFmtId="0" fontId="5" fillId="38" borderId="86" applyNumberFormat="0" applyProtection="0">
      <alignment horizontal="left" vertical="center"/>
    </xf>
    <xf numFmtId="0" fontId="5" fillId="38" borderId="86" applyNumberFormat="0" applyProtection="0">
      <alignment horizontal="left" vertical="center"/>
    </xf>
    <xf numFmtId="238" fontId="5" fillId="38" borderId="82" applyNumberFormat="0" applyAlignment="0">
      <alignment vertical="center"/>
    </xf>
    <xf numFmtId="238" fontId="169" fillId="85" borderId="83" applyNumberFormat="0" applyBorder="0" applyAlignment="0" applyProtection="0">
      <alignment vertical="center"/>
    </xf>
    <xf numFmtId="238" fontId="5" fillId="38" borderId="82" applyNumberFormat="0" applyProtection="0">
      <alignment horizontal="centerContinuous" vertical="center"/>
    </xf>
    <xf numFmtId="0" fontId="5" fillId="64" borderId="76" applyNumberFormat="0" applyFont="0" applyAlignment="0" applyProtection="0"/>
    <xf numFmtId="49" fontId="32" fillId="0" borderId="74">
      <alignment vertical="center"/>
    </xf>
    <xf numFmtId="0" fontId="5" fillId="64" borderId="76" applyNumberFormat="0" applyFont="0" applyAlignment="0" applyProtection="0"/>
    <xf numFmtId="0" fontId="8" fillId="0" borderId="0"/>
    <xf numFmtId="0" fontId="5" fillId="0" borderId="0"/>
    <xf numFmtId="0" fontId="8" fillId="0" borderId="0"/>
    <xf numFmtId="0" fontId="34" fillId="0" borderId="0"/>
    <xf numFmtId="0" fontId="34" fillId="0" borderId="0"/>
    <xf numFmtId="164" fontId="5" fillId="0" borderId="0" applyFont="0" applyFill="0" applyBorder="0" applyAlignment="0" applyProtection="0"/>
    <xf numFmtId="0" fontId="179" fillId="0" borderId="84" applyNumberFormat="0" applyFill="0" applyAlignment="0" applyProtection="0"/>
    <xf numFmtId="0" fontId="179" fillId="0" borderId="84" applyNumberFormat="0" applyFill="0" applyAlignment="0" applyProtection="0"/>
    <xf numFmtId="0" fontId="179" fillId="0" borderId="84" applyNumberFormat="0" applyFill="0" applyAlignment="0" applyProtection="0"/>
    <xf numFmtId="39" fontId="5" fillId="0" borderId="70">
      <protection locked="0"/>
    </xf>
    <xf numFmtId="169" fontId="10" fillId="0" borderId="70" applyFill="0" applyAlignment="0" applyProtection="0"/>
    <xf numFmtId="211" fontId="35" fillId="0" borderId="85"/>
    <xf numFmtId="9" fontId="8" fillId="0" borderId="0" applyFont="0" applyFill="0" applyBorder="0" applyAlignment="0" applyProtection="0"/>
    <xf numFmtId="0" fontId="5" fillId="0" borderId="0"/>
    <xf numFmtId="0" fontId="187" fillId="0" borderId="0"/>
    <xf numFmtId="280" fontId="32" fillId="0" borderId="74">
      <alignment horizontal="right"/>
    </xf>
    <xf numFmtId="0" fontId="5" fillId="0" borderId="0"/>
    <xf numFmtId="43" fontId="5" fillId="0" borderId="0" applyFont="0" applyFill="0" applyBorder="0" applyAlignment="0" applyProtection="0"/>
    <xf numFmtId="43" fontId="187" fillId="0" borderId="0" applyFont="0" applyFill="0" applyBorder="0" applyAlignment="0" applyProtection="0"/>
    <xf numFmtId="257" fontId="138" fillId="0" borderId="87" applyBorder="0"/>
    <xf numFmtId="258" fontId="136" fillId="0" borderId="0" applyBorder="0" applyProtection="0">
      <alignment horizontal="right"/>
    </xf>
    <xf numFmtId="37" fontId="31" fillId="0" borderId="0" applyFill="0" applyBorder="0" applyProtection="0">
      <alignment horizontal="right"/>
    </xf>
    <xf numFmtId="261" fontId="148" fillId="60" borderId="86" applyFill="0" applyBorder="0" applyAlignment="0" applyProtection="0">
      <alignment horizontal="right"/>
      <protection locked="0"/>
    </xf>
    <xf numFmtId="0" fontId="153" fillId="65" borderId="86">
      <alignment horizontal="center" vertical="center" wrapText="1"/>
      <protection hidden="1"/>
    </xf>
    <xf numFmtId="166" fontId="157" fillId="0" borderId="93"/>
    <xf numFmtId="0" fontId="159" fillId="80" borderId="86" applyNumberFormat="0" applyProtection="0">
      <alignment horizontal="center" vertical="center"/>
    </xf>
    <xf numFmtId="0" fontId="4" fillId="80" borderId="86" applyNumberFormat="0" applyProtection="0">
      <alignment horizontal="center" vertical="center" wrapText="1"/>
    </xf>
    <xf numFmtId="0" fontId="4" fillId="80" borderId="86" applyNumberFormat="0" applyProtection="0">
      <alignment horizontal="center" vertical="center"/>
    </xf>
    <xf numFmtId="0" fontId="4" fillId="80" borderId="86" applyNumberFormat="0" applyProtection="0">
      <alignment horizontal="center" vertical="center" wrapText="1"/>
    </xf>
    <xf numFmtId="0" fontId="4" fillId="36" borderId="86" applyNumberFormat="0" applyProtection="0">
      <alignment horizontal="left" vertical="center" wrapText="1"/>
    </xf>
    <xf numFmtId="255" fontId="4" fillId="81" borderId="86" applyNumberFormat="0" applyProtection="0">
      <alignment horizontal="center" vertical="center" wrapText="1"/>
    </xf>
    <xf numFmtId="0" fontId="5" fillId="38" borderId="86" applyNumberFormat="0" applyProtection="0">
      <alignment horizontal="left" vertical="center" wrapText="1"/>
    </xf>
    <xf numFmtId="0" fontId="4" fillId="36" borderId="86" applyNumberFormat="0" applyProtection="0">
      <alignment horizontal="left" vertical="center" wrapText="1"/>
    </xf>
    <xf numFmtId="238" fontId="5" fillId="38" borderId="95" applyNumberFormat="0" applyAlignment="0">
      <alignment vertical="center"/>
    </xf>
    <xf numFmtId="238" fontId="5" fillId="38" borderId="95" applyNumberFormat="0" applyProtection="0">
      <alignment horizontal="centerContinuous" vertical="center"/>
    </xf>
    <xf numFmtId="49" fontId="31" fillId="0" borderId="74">
      <alignment vertical="center"/>
    </xf>
    <xf numFmtId="280" fontId="31" fillId="0" borderId="74">
      <alignment horizontal="right"/>
    </xf>
    <xf numFmtId="0" fontId="187" fillId="0" borderId="0"/>
    <xf numFmtId="197" fontId="5" fillId="0" borderId="96">
      <alignment horizontal="right"/>
    </xf>
    <xf numFmtId="198" fontId="42" fillId="0" borderId="96">
      <alignment horizontal="right"/>
    </xf>
    <xf numFmtId="198" fontId="42" fillId="0" borderId="96" applyFill="0">
      <alignment horizontal="right"/>
    </xf>
    <xf numFmtId="3" fontId="5" fillId="0" borderId="96" applyFill="0">
      <alignment horizontal="right"/>
    </xf>
    <xf numFmtId="200" fontId="42" fillId="0" borderId="96" applyFill="0">
      <alignment horizontal="right"/>
    </xf>
    <xf numFmtId="202" fontId="5" fillId="0" borderId="96">
      <alignment horizontal="right"/>
      <protection locked="0"/>
    </xf>
    <xf numFmtId="169" fontId="42" fillId="0" borderId="96" applyNumberFormat="0" applyFont="0" applyBorder="0" applyProtection="0">
      <alignment horizontal="right"/>
    </xf>
    <xf numFmtId="1" fontId="51" fillId="59" borderId="97" applyNumberFormat="0" applyBorder="0" applyAlignment="0">
      <alignment horizontal="center" vertical="top" wrapText="1"/>
      <protection hidden="1"/>
    </xf>
    <xf numFmtId="0" fontId="54" fillId="0" borderId="74" applyNumberFormat="0" applyFill="0" applyAlignment="0" applyProtection="0"/>
    <xf numFmtId="0" fontId="28" fillId="0" borderId="97" applyNumberFormat="0" applyFont="0" applyFill="0" applyAlignment="0" applyProtection="0"/>
    <xf numFmtId="228" fontId="27" fillId="60" borderId="88" applyFont="0" applyFill="0" applyBorder="0" applyAlignment="0" applyProtection="0"/>
    <xf numFmtId="229" fontId="35" fillId="0" borderId="74" applyFont="0" applyFill="0" applyBorder="0" applyAlignment="0" applyProtection="0"/>
    <xf numFmtId="233" fontId="61" fillId="66" borderId="97">
      <alignment horizontal="left"/>
    </xf>
    <xf numFmtId="43" fontId="8" fillId="0" borderId="0" applyFont="0" applyFill="0" applyBorder="0" applyAlignment="0" applyProtection="0"/>
    <xf numFmtId="49" fontId="31" fillId="0" borderId="74">
      <alignment vertical="center"/>
    </xf>
    <xf numFmtId="275" fontId="149" fillId="68" borderId="97" applyBorder="0">
      <alignment horizontal="right" vertical="center"/>
      <protection locked="0"/>
    </xf>
    <xf numFmtId="280" fontId="31" fillId="0" borderId="74">
      <alignment horizontal="right"/>
    </xf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21" fillId="72" borderId="100">
      <alignment horizontal="left" vertical="center" wrapText="1"/>
    </xf>
    <xf numFmtId="170" fontId="79" fillId="0" borderId="99">
      <protection locked="0"/>
    </xf>
    <xf numFmtId="203" fontId="45" fillId="58" borderId="98"/>
    <xf numFmtId="238" fontId="169" fillId="85" borderId="101" applyNumberFormat="0" applyBorder="0" applyAlignment="0" applyProtection="0">
      <alignment vertical="center"/>
    </xf>
    <xf numFmtId="211" fontId="35" fillId="0" borderId="102"/>
    <xf numFmtId="0" fontId="56" fillId="61" borderId="103" applyNumberFormat="0" applyAlignment="0" applyProtection="0"/>
    <xf numFmtId="0" fontId="103" fillId="0" borderId="104" applyNumberFormat="0" applyFill="0" applyAlignment="0" applyProtection="0"/>
    <xf numFmtId="0" fontId="87" fillId="44" borderId="103" applyNumberFormat="0" applyAlignment="0" applyProtection="0"/>
    <xf numFmtId="0" fontId="5" fillId="64" borderId="105" applyNumberFormat="0" applyFont="0" applyAlignment="0" applyProtection="0"/>
    <xf numFmtId="0" fontId="5" fillId="64" borderId="105" applyNumberFormat="0" applyFont="0" applyAlignment="0" applyProtection="0"/>
    <xf numFmtId="0" fontId="141" fillId="61" borderId="106" applyNumberFormat="0" applyAlignment="0" applyProtection="0"/>
    <xf numFmtId="0" fontId="179" fillId="0" borderId="107" applyNumberFormat="0" applyFill="0" applyAlignment="0" applyProtection="0"/>
    <xf numFmtId="0" fontId="56" fillId="61" borderId="103" applyNumberFormat="0" applyAlignment="0" applyProtection="0"/>
    <xf numFmtId="0" fontId="87" fillId="44" borderId="103" applyNumberFormat="0" applyAlignment="0" applyProtection="0"/>
    <xf numFmtId="0" fontId="5" fillId="64" borderId="105" applyNumberFormat="0" applyFont="0" applyAlignment="0" applyProtection="0"/>
    <xf numFmtId="0" fontId="5" fillId="64" borderId="105" applyNumberFormat="0" applyFont="0" applyAlignment="0" applyProtection="0"/>
    <xf numFmtId="0" fontId="141" fillId="61" borderId="106" applyNumberFormat="0" applyAlignment="0" applyProtection="0"/>
    <xf numFmtId="0" fontId="179" fillId="0" borderId="107" applyNumberFormat="0" applyFill="0" applyAlignment="0" applyProtection="0"/>
    <xf numFmtId="0" fontId="5" fillId="38" borderId="66" applyNumberFormat="0" applyProtection="0">
      <alignment horizontal="left" vertical="center"/>
    </xf>
    <xf numFmtId="0" fontId="5" fillId="38" borderId="66" applyNumberFormat="0" applyProtection="0">
      <alignment horizontal="left" vertical="center"/>
    </xf>
    <xf numFmtId="0" fontId="56" fillId="61" borderId="103" applyNumberFormat="0" applyAlignment="0" applyProtection="0"/>
    <xf numFmtId="0" fontId="87" fillId="44" borderId="103" applyNumberFormat="0" applyAlignment="0" applyProtection="0"/>
    <xf numFmtId="0" fontId="5" fillId="64" borderId="105" applyNumberFormat="0" applyFont="0" applyAlignment="0" applyProtection="0"/>
    <xf numFmtId="0" fontId="5" fillId="64" borderId="105" applyNumberFormat="0" applyFont="0" applyAlignment="0" applyProtection="0"/>
    <xf numFmtId="0" fontId="141" fillId="61" borderId="106" applyNumberFormat="0" applyAlignment="0" applyProtection="0"/>
    <xf numFmtId="0" fontId="179" fillId="0" borderId="107" applyNumberFormat="0" applyFill="0" applyAlignment="0" applyProtection="0"/>
    <xf numFmtId="0" fontId="56" fillId="61" borderId="103" applyNumberFormat="0" applyAlignment="0" applyProtection="0"/>
    <xf numFmtId="0" fontId="87" fillId="44" borderId="103" applyNumberFormat="0" applyAlignment="0" applyProtection="0"/>
    <xf numFmtId="0" fontId="5" fillId="64" borderId="105" applyNumberFormat="0" applyFont="0" applyAlignment="0" applyProtection="0"/>
    <xf numFmtId="0" fontId="5" fillId="64" borderId="105" applyNumberFormat="0" applyFont="0" applyAlignment="0" applyProtection="0"/>
    <xf numFmtId="0" fontId="141" fillId="61" borderId="106" applyNumberFormat="0" applyAlignment="0" applyProtection="0"/>
    <xf numFmtId="0" fontId="179" fillId="0" borderId="107" applyNumberFormat="0" applyFill="0" applyAlignment="0" applyProtection="0"/>
  </cellStyleXfs>
  <cellXfs count="166">
    <xf numFmtId="0" fontId="0" fillId="0" borderId="0" xfId="0"/>
    <xf numFmtId="165" fontId="8" fillId="0" borderId="1" xfId="1" applyNumberFormat="1" applyFont="1" applyBorder="1"/>
    <xf numFmtId="165" fontId="8" fillId="0" borderId="2" xfId="1" applyNumberFormat="1" applyFont="1" applyBorder="1"/>
    <xf numFmtId="165" fontId="8" fillId="0" borderId="0" xfId="1" applyNumberFormat="1" applyFont="1" applyBorder="1"/>
    <xf numFmtId="165" fontId="8" fillId="2" borderId="0" xfId="1" applyNumberFormat="1" applyFont="1" applyFill="1" applyBorder="1"/>
    <xf numFmtId="165" fontId="8" fillId="2" borderId="2" xfId="1" applyNumberFormat="1" applyFont="1" applyFill="1" applyBorder="1"/>
    <xf numFmtId="0" fontId="3" fillId="0" borderId="0" xfId="5"/>
    <xf numFmtId="0" fontId="4" fillId="0" borderId="0" xfId="5" applyFont="1" applyAlignment="1">
      <alignment horizontal="right"/>
    </xf>
    <xf numFmtId="0" fontId="3" fillId="0" borderId="0" xfId="5" applyFont="1" applyAlignment="1">
      <alignment horizontal="right"/>
    </xf>
    <xf numFmtId="0" fontId="5" fillId="0" borderId="0" xfId="5" applyFont="1" applyAlignment="1">
      <alignment horizontal="right"/>
    </xf>
    <xf numFmtId="15" fontId="3" fillId="0" borderId="0" xfId="5" applyNumberFormat="1"/>
    <xf numFmtId="0" fontId="5" fillId="0" borderId="0" xfId="5" applyFont="1"/>
    <xf numFmtId="0" fontId="6" fillId="0" borderId="0" xfId="5" applyFont="1"/>
    <xf numFmtId="0" fontId="3" fillId="0" borderId="0" xfId="5" applyAlignment="1">
      <alignment horizontal="center"/>
    </xf>
    <xf numFmtId="2" fontId="3" fillId="0" borderId="0" xfId="5" applyNumberFormat="1"/>
    <xf numFmtId="0" fontId="3" fillId="0" borderId="0" xfId="5" applyAlignment="1">
      <alignment horizontal="right"/>
    </xf>
    <xf numFmtId="0" fontId="3" fillId="0" borderId="0" xfId="5" applyFont="1"/>
    <xf numFmtId="0" fontId="5" fillId="0" borderId="0" xfId="6"/>
    <xf numFmtId="17" fontId="3" fillId="0" borderId="0" xfId="5" applyNumberFormat="1"/>
    <xf numFmtId="10" fontId="5" fillId="0" borderId="0" xfId="6" applyNumberFormat="1"/>
    <xf numFmtId="165" fontId="8" fillId="0" borderId="0" xfId="2" applyNumberFormat="1" applyFont="1"/>
    <xf numFmtId="11" fontId="3" fillId="0" borderId="0" xfId="5" applyNumberFormat="1"/>
    <xf numFmtId="14" fontId="3" fillId="0" borderId="0" xfId="5" applyNumberFormat="1"/>
    <xf numFmtId="10" fontId="8" fillId="0" borderId="0" xfId="9" applyNumberFormat="1" applyFont="1"/>
    <xf numFmtId="3" fontId="5" fillId="0" borderId="0" xfId="5" applyNumberFormat="1" applyFont="1"/>
    <xf numFmtId="166" fontId="5" fillId="0" borderId="0" xfId="9" applyNumberFormat="1" applyFont="1"/>
    <xf numFmtId="0" fontId="5" fillId="0" borderId="0" xfId="5" applyFont="1" applyFill="1"/>
    <xf numFmtId="166" fontId="5" fillId="0" borderId="0" xfId="5" applyNumberFormat="1" applyFont="1"/>
    <xf numFmtId="165" fontId="3" fillId="0" borderId="0" xfId="2" applyNumberFormat="1" applyFont="1"/>
    <xf numFmtId="0" fontId="5" fillId="0" borderId="0" xfId="6" applyFont="1"/>
    <xf numFmtId="0" fontId="5" fillId="0" borderId="0" xfId="6" applyFont="1" applyAlignment="1">
      <alignment horizontal="right"/>
    </xf>
    <xf numFmtId="3" fontId="5" fillId="0" borderId="0" xfId="6" applyNumberFormat="1" applyFont="1"/>
    <xf numFmtId="166" fontId="5" fillId="0" borderId="0" xfId="10" applyNumberFormat="1" applyFont="1"/>
    <xf numFmtId="10" fontId="5" fillId="0" borderId="0" xfId="10" applyNumberFormat="1" applyFont="1"/>
    <xf numFmtId="166" fontId="5" fillId="0" borderId="0" xfId="6" applyNumberFormat="1" applyFont="1"/>
    <xf numFmtId="0" fontId="5" fillId="0" borderId="0" xfId="6" applyFont="1" applyFill="1"/>
    <xf numFmtId="0" fontId="9" fillId="0" borderId="0" xfId="6" applyFont="1"/>
    <xf numFmtId="3" fontId="9" fillId="0" borderId="0" xfId="6" applyNumberFormat="1" applyFont="1"/>
    <xf numFmtId="10" fontId="9" fillId="0" borderId="0" xfId="10" applyNumberFormat="1" applyFont="1"/>
    <xf numFmtId="0" fontId="5" fillId="0" borderId="0" xfId="6" applyFont="1" applyAlignment="1">
      <alignment horizontal="center" wrapText="1"/>
    </xf>
    <xf numFmtId="0" fontId="4" fillId="0" borderId="0" xfId="6" applyFont="1"/>
    <xf numFmtId="0" fontId="5" fillId="0" borderId="0" xfId="6" applyFont="1" applyAlignment="1">
      <alignment horizontal="center"/>
    </xf>
    <xf numFmtId="0" fontId="4" fillId="0" borderId="0" xfId="6" applyFont="1" applyAlignment="1">
      <alignment horizontal="center"/>
    </xf>
    <xf numFmtId="167" fontId="5" fillId="0" borderId="0" xfId="3" applyNumberFormat="1" applyFont="1"/>
    <xf numFmtId="167" fontId="4" fillId="0" borderId="0" xfId="3" applyNumberFormat="1" applyFont="1" applyAlignment="1">
      <alignment horizontal="center"/>
    </xf>
    <xf numFmtId="167" fontId="9" fillId="0" borderId="0" xfId="3" applyNumberFormat="1" applyFont="1"/>
    <xf numFmtId="0" fontId="8" fillId="0" borderId="0" xfId="7"/>
    <xf numFmtId="167" fontId="8" fillId="0" borderId="0" xfId="4" applyNumberFormat="1" applyFont="1"/>
    <xf numFmtId="0" fontId="4" fillId="3" borderId="3" xfId="6" applyFont="1" applyFill="1" applyBorder="1"/>
    <xf numFmtId="0" fontId="4" fillId="3" borderId="4" xfId="6" applyFont="1" applyFill="1" applyBorder="1" applyAlignment="1">
      <alignment vertical="center"/>
    </xf>
    <xf numFmtId="0" fontId="4" fillId="3" borderId="5" xfId="6" applyFont="1" applyFill="1" applyBorder="1" applyAlignment="1">
      <alignment vertical="center"/>
    </xf>
    <xf numFmtId="0" fontId="4" fillId="0" borderId="6" xfId="6" applyFont="1" applyBorder="1" applyAlignment="1">
      <alignment horizontal="center"/>
    </xf>
    <xf numFmtId="3" fontId="5" fillId="0" borderId="0" xfId="6" applyNumberFormat="1" applyBorder="1"/>
    <xf numFmtId="3" fontId="5" fillId="0" borderId="2" xfId="6" applyNumberFormat="1" applyBorder="1"/>
    <xf numFmtId="0" fontId="4" fillId="0" borderId="7" xfId="6" applyFont="1" applyBorder="1" applyAlignment="1">
      <alignment horizontal="center"/>
    </xf>
    <xf numFmtId="0" fontId="4" fillId="3" borderId="8" xfId="6" applyFont="1" applyFill="1" applyBorder="1" applyAlignment="1">
      <alignment horizontal="center"/>
    </xf>
    <xf numFmtId="3" fontId="5" fillId="3" borderId="9" xfId="6" applyNumberFormat="1" applyFill="1" applyBorder="1"/>
    <xf numFmtId="3" fontId="5" fillId="3" borderId="10" xfId="6" applyNumberFormat="1" applyFill="1" applyBorder="1"/>
    <xf numFmtId="0" fontId="4" fillId="3" borderId="4" xfId="6" applyFont="1" applyFill="1" applyBorder="1" applyAlignment="1">
      <alignment horizontal="center" vertical="center" wrapText="1"/>
    </xf>
    <xf numFmtId="0" fontId="4" fillId="3" borderId="5" xfId="6" applyFont="1" applyFill="1" applyBorder="1" applyAlignment="1">
      <alignment horizontal="center" vertical="center" wrapText="1"/>
    </xf>
    <xf numFmtId="3" fontId="5" fillId="0" borderId="0" xfId="6" applyNumberFormat="1"/>
    <xf numFmtId="17" fontId="0" fillId="0" borderId="0" xfId="0" applyNumberFormat="1"/>
    <xf numFmtId="167" fontId="0" fillId="0" borderId="0" xfId="0" applyNumberFormat="1"/>
    <xf numFmtId="0" fontId="5" fillId="0" borderId="11" xfId="6" applyBorder="1"/>
    <xf numFmtId="0" fontId="5" fillId="0" borderId="12" xfId="6" applyBorder="1" applyAlignment="1">
      <alignment horizontal="center"/>
    </xf>
    <xf numFmtId="0" fontId="5" fillId="0" borderId="13" xfId="6" applyBorder="1" applyAlignment="1">
      <alignment horizontal="center"/>
    </xf>
    <xf numFmtId="0" fontId="5" fillId="0" borderId="14" xfId="6" applyBorder="1" applyAlignment="1">
      <alignment horizontal="center"/>
    </xf>
    <xf numFmtId="0" fontId="5" fillId="0" borderId="15" xfId="6" applyBorder="1" applyAlignment="1">
      <alignment horizontal="center"/>
    </xf>
    <xf numFmtId="0" fontId="5" fillId="0" borderId="16" xfId="6" applyBorder="1"/>
    <xf numFmtId="167" fontId="5" fillId="0" borderId="11" xfId="4" applyNumberFormat="1" applyFont="1" applyBorder="1"/>
    <xf numFmtId="167" fontId="5" fillId="0" borderId="17" xfId="6" applyNumberFormat="1" applyBorder="1"/>
    <xf numFmtId="0" fontId="5" fillId="0" borderId="13" xfId="6" applyBorder="1"/>
    <xf numFmtId="167" fontId="5" fillId="0" borderId="12" xfId="4" applyNumberFormat="1" applyFont="1" applyBorder="1"/>
    <xf numFmtId="167" fontId="5" fillId="0" borderId="15" xfId="6" applyNumberFormat="1" applyBorder="1"/>
    <xf numFmtId="0" fontId="5" fillId="0" borderId="18" xfId="6" applyBorder="1"/>
    <xf numFmtId="167" fontId="5" fillId="0" borderId="19" xfId="4" applyNumberFormat="1" applyFont="1" applyBorder="1"/>
    <xf numFmtId="167" fontId="5" fillId="0" borderId="20" xfId="6" applyNumberFormat="1" applyBorder="1"/>
    <xf numFmtId="167" fontId="5" fillId="0" borderId="0" xfId="6" applyNumberFormat="1"/>
    <xf numFmtId="0" fontId="5" fillId="0" borderId="0" xfId="6" applyAlignment="1">
      <alignment horizontal="center"/>
    </xf>
    <xf numFmtId="0" fontId="4" fillId="0" borderId="0" xfId="6" applyFont="1" applyAlignment="1">
      <alignment horizontal="center" wrapText="1"/>
    </xf>
    <xf numFmtId="167" fontId="5" fillId="0" borderId="0" xfId="4" applyNumberFormat="1" applyFont="1"/>
    <xf numFmtId="166" fontId="5" fillId="0" borderId="0" xfId="8" applyNumberFormat="1" applyFont="1"/>
    <xf numFmtId="166" fontId="5" fillId="0" borderId="0" xfId="6" applyNumberFormat="1"/>
    <xf numFmtId="0" fontId="0" fillId="0" borderId="0" xfId="0" applyFont="1" applyFill="1" applyProtection="1">
      <protection locked="0"/>
    </xf>
    <xf numFmtId="0" fontId="0" fillId="0" borderId="1" xfId="0" applyFont="1" applyBorder="1"/>
    <xf numFmtId="0" fontId="0" fillId="0" borderId="2" xfId="0" applyFont="1" applyBorder="1"/>
    <xf numFmtId="0" fontId="0" fillId="0" borderId="0" xfId="0" applyFont="1" applyFill="1" applyBorder="1"/>
    <xf numFmtId="0" fontId="0" fillId="0" borderId="0" xfId="0" applyFont="1"/>
    <xf numFmtId="17" fontId="0" fillId="0" borderId="0" xfId="0" applyNumberFormat="1" applyFont="1" applyFill="1" applyProtection="1">
      <protection locked="0"/>
    </xf>
    <xf numFmtId="0" fontId="0" fillId="0" borderId="0" xfId="0" applyNumberFormat="1" applyFont="1" applyFill="1" applyProtection="1">
      <protection locked="0"/>
    </xf>
    <xf numFmtId="165" fontId="8" fillId="0" borderId="1" xfId="1" applyNumberFormat="1" applyFont="1" applyBorder="1"/>
    <xf numFmtId="165" fontId="8" fillId="0" borderId="2" xfId="1" applyNumberFormat="1" applyFont="1" applyBorder="1"/>
    <xf numFmtId="165" fontId="8" fillId="0" borderId="0" xfId="1" applyNumberFormat="1" applyFont="1" applyBorder="1"/>
    <xf numFmtId="43" fontId="8" fillId="0" borderId="0" xfId="1" applyFont="1" applyBorder="1"/>
    <xf numFmtId="0" fontId="0" fillId="2" borderId="2" xfId="0" applyFont="1" applyFill="1" applyBorder="1"/>
    <xf numFmtId="167" fontId="8" fillId="0" borderId="0" xfId="4" applyNumberFormat="1" applyFont="1"/>
    <xf numFmtId="165" fontId="8" fillId="0" borderId="0" xfId="1" applyNumberFormat="1" applyFont="1" applyFill="1" applyBorder="1"/>
    <xf numFmtId="43" fontId="8" fillId="2" borderId="0" xfId="1" applyFont="1" applyFill="1" applyBorder="1"/>
    <xf numFmtId="165" fontId="8" fillId="2" borderId="0" xfId="1" applyNumberFormat="1" applyFont="1" applyFill="1" applyBorder="1"/>
    <xf numFmtId="0" fontId="0" fillId="0" borderId="2" xfId="0" applyFont="1" applyFill="1" applyBorder="1"/>
    <xf numFmtId="165" fontId="8" fillId="0" borderId="1" xfId="1" applyNumberFormat="1" applyFont="1" applyFill="1" applyBorder="1"/>
    <xf numFmtId="165" fontId="8" fillId="2" borderId="1" xfId="1" applyNumberFormat="1" applyFont="1" applyFill="1" applyBorder="1"/>
    <xf numFmtId="165" fontId="0" fillId="2" borderId="2" xfId="0" applyNumberFormat="1" applyFont="1" applyFill="1" applyBorder="1"/>
    <xf numFmtId="3" fontId="0" fillId="0" borderId="0" xfId="0" applyNumberFormat="1" applyFont="1"/>
    <xf numFmtId="0" fontId="0" fillId="0" borderId="0" xfId="0" applyFont="1" applyBorder="1"/>
    <xf numFmtId="10" fontId="3" fillId="0" borderId="0" xfId="5" applyNumberFormat="1"/>
    <xf numFmtId="0" fontId="0" fillId="0" borderId="1" xfId="0" applyFont="1" applyBorder="1"/>
    <xf numFmtId="0" fontId="4" fillId="4" borderId="6" xfId="6" applyFont="1" applyFill="1" applyBorder="1" applyAlignment="1">
      <alignment horizontal="center"/>
    </xf>
    <xf numFmtId="3" fontId="5" fillId="4" borderId="0" xfId="6" applyNumberFormat="1" applyFill="1" applyBorder="1"/>
    <xf numFmtId="3" fontId="5" fillId="4" borderId="2" xfId="6" applyNumberFormat="1" applyFill="1" applyBorder="1"/>
    <xf numFmtId="0" fontId="4" fillId="4" borderId="7" xfId="6" applyFont="1" applyFill="1" applyBorder="1" applyAlignment="1">
      <alignment horizontal="center"/>
    </xf>
    <xf numFmtId="0" fontId="7" fillId="4" borderId="0" xfId="6" applyFont="1" applyFill="1"/>
    <xf numFmtId="0" fontId="5" fillId="4" borderId="0" xfId="6" applyFill="1"/>
    <xf numFmtId="0" fontId="0" fillId="0" borderId="0" xfId="0" applyFont="1" applyFill="1" applyBorder="1"/>
    <xf numFmtId="0" fontId="5" fillId="0" borderId="0" xfId="0" applyFont="1"/>
    <xf numFmtId="0" fontId="5" fillId="4" borderId="0" xfId="6" applyFont="1" applyFill="1"/>
    <xf numFmtId="0" fontId="5" fillId="4" borderId="0" xfId="6" applyFont="1" applyFill="1" applyAlignment="1">
      <alignment horizontal="right"/>
    </xf>
    <xf numFmtId="3" fontId="5" fillId="4" borderId="0" xfId="6" applyNumberFormat="1" applyFont="1" applyFill="1"/>
    <xf numFmtId="166" fontId="5" fillId="4" borderId="0" xfId="10" applyNumberFormat="1" applyFont="1" applyFill="1"/>
    <xf numFmtId="0" fontId="9" fillId="4" borderId="0" xfId="6" applyFont="1" applyFill="1"/>
    <xf numFmtId="3" fontId="9" fillId="4" borderId="0" xfId="6" applyNumberFormat="1" applyFont="1" applyFill="1"/>
    <xf numFmtId="165" fontId="3" fillId="0" borderId="0" xfId="5" applyNumberFormat="1"/>
    <xf numFmtId="0" fontId="0" fillId="0" borderId="0" xfId="0" applyNumberFormat="1" applyFont="1" applyFill="1" applyProtection="1">
      <protection locked="0"/>
    </xf>
    <xf numFmtId="165" fontId="0" fillId="0" borderId="0" xfId="2" applyNumberFormat="1" applyFont="1"/>
    <xf numFmtId="0" fontId="10" fillId="0" borderId="0" xfId="5" applyFont="1"/>
    <xf numFmtId="3" fontId="5" fillId="2" borderId="0" xfId="6" applyNumberFormat="1" applyFont="1" applyFill="1"/>
    <xf numFmtId="3" fontId="9" fillId="2" borderId="0" xfId="6" applyNumberFormat="1" applyFont="1" applyFill="1"/>
    <xf numFmtId="167" fontId="9" fillId="2" borderId="0" xfId="3" applyNumberFormat="1" applyFont="1" applyFill="1"/>
    <xf numFmtId="0" fontId="0" fillId="0" borderId="0" xfId="7" applyFont="1"/>
    <xf numFmtId="3" fontId="25" fillId="0" borderId="10" xfId="0" applyNumberFormat="1" applyFont="1" applyBorder="1" applyAlignment="1">
      <alignment horizontal="right" vertical="center"/>
    </xf>
    <xf numFmtId="0" fontId="25" fillId="0" borderId="10" xfId="0" applyFont="1" applyBorder="1" applyAlignment="1">
      <alignment horizontal="right" vertical="center"/>
    </xf>
    <xf numFmtId="0" fontId="0" fillId="0" borderId="0" xfId="0"/>
    <xf numFmtId="0" fontId="0" fillId="0" borderId="0" xfId="0"/>
    <xf numFmtId="0" fontId="3" fillId="2" borderId="0" xfId="5" applyFill="1"/>
    <xf numFmtId="0" fontId="0" fillId="0" borderId="0" xfId="0" applyFont="1"/>
    <xf numFmtId="17" fontId="0" fillId="0" borderId="0" xfId="0" applyNumberFormat="1"/>
    <xf numFmtId="2" fontId="3" fillId="0" borderId="0" xfId="5" applyNumberFormat="1"/>
    <xf numFmtId="0" fontId="3" fillId="0" borderId="0" xfId="5"/>
    <xf numFmtId="0" fontId="0" fillId="0" borderId="0" xfId="0"/>
    <xf numFmtId="10" fontId="5" fillId="2" borderId="0" xfId="6" applyNumberFormat="1" applyFill="1"/>
    <xf numFmtId="17" fontId="3" fillId="2" borderId="0" xfId="5" applyNumberFormat="1" applyFill="1"/>
    <xf numFmtId="0" fontId="5" fillId="2" borderId="0" xfId="6" applyFill="1"/>
    <xf numFmtId="0" fontId="3" fillId="2" borderId="0" xfId="5" applyFill="1"/>
    <xf numFmtId="211" fontId="3" fillId="2" borderId="0" xfId="5" applyNumberFormat="1" applyFill="1"/>
    <xf numFmtId="0" fontId="0" fillId="0" borderId="0" xfId="0"/>
    <xf numFmtId="43" fontId="8" fillId="0" borderId="0" xfId="7" applyNumberFormat="1"/>
    <xf numFmtId="9" fontId="8" fillId="0" borderId="0" xfId="8" applyNumberFormat="1"/>
    <xf numFmtId="0" fontId="4" fillId="4" borderId="108" xfId="6" applyFont="1" applyFill="1" applyBorder="1" applyAlignment="1">
      <alignment horizontal="center"/>
    </xf>
    <xf numFmtId="0" fontId="4" fillId="4" borderId="1" xfId="6" applyFont="1" applyFill="1" applyBorder="1" applyAlignment="1">
      <alignment horizontal="center"/>
    </xf>
    <xf numFmtId="0" fontId="4" fillId="0" borderId="1" xfId="6" applyFont="1" applyBorder="1" applyAlignment="1">
      <alignment horizontal="center"/>
    </xf>
    <xf numFmtId="0" fontId="4" fillId="3" borderId="109" xfId="6" applyFont="1" applyFill="1" applyBorder="1" applyAlignment="1">
      <alignment horizontal="center"/>
    </xf>
    <xf numFmtId="0" fontId="4" fillId="3" borderId="3" xfId="6" applyFont="1" applyFill="1" applyBorder="1" applyAlignment="1">
      <alignment vertical="center"/>
    </xf>
    <xf numFmtId="3" fontId="5" fillId="4" borderId="1" xfId="6" applyNumberFormat="1" applyFill="1" applyBorder="1"/>
    <xf numFmtId="3" fontId="5" fillId="3" borderId="109" xfId="6" applyNumberFormat="1" applyFill="1" applyBorder="1"/>
    <xf numFmtId="3" fontId="5" fillId="3" borderId="72" xfId="6" applyNumberFormat="1" applyFill="1" applyBorder="1"/>
    <xf numFmtId="3" fontId="8" fillId="0" borderId="0" xfId="7" applyNumberFormat="1"/>
    <xf numFmtId="0" fontId="0" fillId="0" borderId="0" xfId="0" applyAlignment="1">
      <alignment horizontal="center"/>
    </xf>
    <xf numFmtId="0" fontId="5" fillId="0" borderId="0" xfId="5" applyFont="1"/>
    <xf numFmtId="0" fontId="5" fillId="0" borderId="0" xfId="5" applyFont="1" applyAlignment="1">
      <alignment horizontal="left"/>
    </xf>
    <xf numFmtId="0" fontId="5" fillId="0" borderId="0" xfId="5" applyFont="1" applyAlignment="1">
      <alignment horizontal="center"/>
    </xf>
    <xf numFmtId="0" fontId="5" fillId="0" borderId="0" xfId="6" applyFont="1" applyAlignment="1">
      <alignment horizontal="center" wrapText="1"/>
    </xf>
    <xf numFmtId="0" fontId="5" fillId="0" borderId="0" xfId="6" applyFont="1" applyAlignment="1">
      <alignment horizontal="center"/>
    </xf>
    <xf numFmtId="0" fontId="4" fillId="0" borderId="0" xfId="6" applyFont="1" applyAlignment="1">
      <alignment horizontal="center"/>
    </xf>
    <xf numFmtId="0" fontId="5" fillId="0" borderId="21" xfId="6" applyBorder="1" applyAlignment="1">
      <alignment horizontal="center"/>
    </xf>
    <xf numFmtId="0" fontId="5" fillId="0" borderId="22" xfId="6" applyBorder="1" applyAlignment="1">
      <alignment horizontal="center"/>
    </xf>
    <xf numFmtId="166" fontId="5" fillId="0" borderId="0" xfId="8" applyNumberFormat="1" applyFont="1" applyFill="1"/>
  </cellXfs>
  <cellStyles count="4735">
    <cellStyle name="-" xfId="12" xr:uid="{00000000-0005-0000-0000-000000000000}"/>
    <cellStyle name=" 3]_x000d__x000a_Zoomed=1_x000d__x000a_Row=0_x000d__x000a_Column=0_x000d__x000a_Height=300_x000d__x000a_Width=300_x000d__x000a_FontName=細明體_x000d__x000a_FontStyle=0_x000d__x000a_FontSize=9_x000d__x000a_PrtFontName=Co" xfId="13" xr:uid="{00000000-0005-0000-0000-000001000000}"/>
    <cellStyle name="$" xfId="14" xr:uid="{00000000-0005-0000-0000-000002000000}"/>
    <cellStyle name="$ &amp; ¢" xfId="15" xr:uid="{00000000-0005-0000-0000-000003000000}"/>
    <cellStyle name="%" xfId="16" xr:uid="{00000000-0005-0000-0000-000004000000}"/>
    <cellStyle name="%.00" xfId="17" xr:uid="{00000000-0005-0000-0000-000005000000}"/>
    <cellStyle name="(Heading)" xfId="18" xr:uid="{00000000-0005-0000-0000-000006000000}"/>
    <cellStyle name="(Heading) 2" xfId="4543" xr:uid="{00000000-0005-0000-0000-000006000000}"/>
    <cellStyle name="(Lefting)" xfId="19" xr:uid="{00000000-0005-0000-0000-000007000000}"/>
    <cellStyle name="(Lefting) 2" xfId="4544" xr:uid="{00000000-0005-0000-0000-000007000000}"/>
    <cellStyle name="(z*¯_x000f_°(”,¯?À(¢,¯?Ð(°,¯?à(Â,¯?ð(Ô,¯?" xfId="20" xr:uid="{00000000-0005-0000-0000-000008000000}"/>
    <cellStyle name="******************************************" xfId="21" xr:uid="{00000000-0005-0000-0000-000009000000}"/>
    <cellStyle name="_CNMD_Valuation Model_20081212_v2" xfId="22" xr:uid="{00000000-0005-0000-0000-00000A000000}"/>
    <cellStyle name="_Comma" xfId="23" xr:uid="{00000000-0005-0000-0000-00000B000000}"/>
    <cellStyle name="_Comps 4" xfId="24" xr:uid="{00000000-0005-0000-0000-00000C000000}"/>
    <cellStyle name="_Cont Analysis" xfId="25" xr:uid="{00000000-0005-0000-0000-00000D000000}"/>
    <cellStyle name="_Currency" xfId="26" xr:uid="{00000000-0005-0000-0000-00000E000000}"/>
    <cellStyle name="_Currency_Analysis" xfId="27" xr:uid="{00000000-0005-0000-0000-00000F000000}"/>
    <cellStyle name="_Currency_Smartportfolio model" xfId="28" xr:uid="{00000000-0005-0000-0000-000010000000}"/>
    <cellStyle name="_Currency_Smartportfolio model_DB-merged files" xfId="29" xr:uid="{00000000-0005-0000-0000-000011000000}"/>
    <cellStyle name="_CurrencySpace" xfId="30" xr:uid="{00000000-0005-0000-0000-000012000000}"/>
    <cellStyle name="_Gamma Valuation - 8" xfId="31" xr:uid="{00000000-0005-0000-0000-000013000000}"/>
    <cellStyle name="_ITRN" xfId="32" xr:uid="{00000000-0005-0000-0000-000014000000}"/>
    <cellStyle name="-_Merger Model 17 Nov 04" xfId="33" xr:uid="{00000000-0005-0000-0000-000015000000}"/>
    <cellStyle name="_Merger Model_KN&amp;Fzio_v2.30 - Street" xfId="34" xr:uid="{00000000-0005-0000-0000-000016000000}"/>
    <cellStyle name="_Merger Model_KN&amp;Fzio_v2.30 - Street 2" xfId="4592" xr:uid="{00000000-0005-0000-0000-000016000000}"/>
    <cellStyle name="_Multiple" xfId="35" xr:uid="{00000000-0005-0000-0000-000017000000}"/>
    <cellStyle name="_Multiple_Analysis" xfId="36" xr:uid="{00000000-0005-0000-0000-000018000000}"/>
    <cellStyle name="_Multiple_Analysis_DB-merged files" xfId="37" xr:uid="{00000000-0005-0000-0000-000019000000}"/>
    <cellStyle name="_Multiple_Smartportfolio model" xfId="38" xr:uid="{00000000-0005-0000-0000-00001A000000}"/>
    <cellStyle name="_Multiple_Smartportfolio model_DB-merged files" xfId="39" xr:uid="{00000000-0005-0000-0000-00001B000000}"/>
    <cellStyle name="_MultipleSpace" xfId="40" xr:uid="{00000000-0005-0000-0000-00001C000000}"/>
    <cellStyle name="_MultipleSpace_Analysis" xfId="41" xr:uid="{00000000-0005-0000-0000-00001D000000}"/>
    <cellStyle name="_MultipleSpace_csc" xfId="42" xr:uid="{00000000-0005-0000-0000-00001E000000}"/>
    <cellStyle name="_MultipleSpace_Smartportfolio model" xfId="43" xr:uid="{00000000-0005-0000-0000-00001F000000}"/>
    <cellStyle name="_MultipleSpace_Smartportfolio model_DB-merged files" xfId="44" xr:uid="{00000000-0005-0000-0000-000020000000}"/>
    <cellStyle name="_Percent" xfId="45" xr:uid="{00000000-0005-0000-0000-000021000000}"/>
    <cellStyle name="_Percent_Analysis" xfId="46" xr:uid="{00000000-0005-0000-0000-000022000000}"/>
    <cellStyle name="_Percent_Smartportfolio model" xfId="47" xr:uid="{00000000-0005-0000-0000-000023000000}"/>
    <cellStyle name="_Percent_Smartportfolio model_DB-merged files" xfId="48" xr:uid="{00000000-0005-0000-0000-000024000000}"/>
    <cellStyle name="_PercentSpace" xfId="49" xr:uid="{00000000-0005-0000-0000-000025000000}"/>
    <cellStyle name="_PercentSpace_Analysis" xfId="50" xr:uid="{00000000-0005-0000-0000-000026000000}"/>
    <cellStyle name="_PercentSpace_Smartportfolio model" xfId="51" xr:uid="{00000000-0005-0000-0000-000027000000}"/>
    <cellStyle name="_Sepracor Riders_Clean" xfId="52" xr:uid="{00000000-0005-0000-0000-000028000000}"/>
    <cellStyle name="_SIAL_Model_5.22.09 v71" xfId="53" xr:uid="{00000000-0005-0000-0000-000029000000}"/>
    <cellStyle name="£ BP" xfId="54" xr:uid="{00000000-0005-0000-0000-00002A000000}"/>
    <cellStyle name="¥ JY" xfId="55" xr:uid="{00000000-0005-0000-0000-00002B000000}"/>
    <cellStyle name="&lt;9#_x000f_¾Èƒé1ƒÃ_x0002_;M_x0014_}$‹E_x0010_‹_x0004_ˆ…Àt_x001b_Pÿ_x0015_ x¦" xfId="56" xr:uid="{00000000-0005-0000-0000-00002C000000}"/>
    <cellStyle name="=C:\WINNT\SYSTEM32\COMMAND.COM" xfId="57" xr:uid="{00000000-0005-0000-0000-00002D000000}"/>
    <cellStyle name="=C:\WINNT35\SYSTEM32\COMMAND.COM" xfId="58" xr:uid="{00000000-0005-0000-0000-00002E000000}"/>
    <cellStyle name="=C:\WINNT35\SYSTEM32\COMMAND.COM 2" xfId="4590" xr:uid="{00000000-0005-0000-0000-00002E000000}"/>
    <cellStyle name="0752-93035" xfId="59" xr:uid="{00000000-0005-0000-0000-00002F000000}"/>
    <cellStyle name="0752-93035 2" xfId="4589" xr:uid="{00000000-0005-0000-0000-00002F000000}"/>
    <cellStyle name="1,comma" xfId="60" xr:uid="{00000000-0005-0000-0000-000030000000}"/>
    <cellStyle name="10Q" xfId="61" xr:uid="{00000000-0005-0000-0000-000031000000}"/>
    <cellStyle name="20 % - Accent1" xfId="62" xr:uid="{00000000-0005-0000-0000-000032000000}"/>
    <cellStyle name="20 % - Accent2" xfId="63" xr:uid="{00000000-0005-0000-0000-000033000000}"/>
    <cellStyle name="20 % - Accent3" xfId="64" xr:uid="{00000000-0005-0000-0000-000034000000}"/>
    <cellStyle name="20 % - Accent4" xfId="65" xr:uid="{00000000-0005-0000-0000-000035000000}"/>
    <cellStyle name="20 % - Accent5" xfId="66" xr:uid="{00000000-0005-0000-0000-000036000000}"/>
    <cellStyle name="20 % - Accent6" xfId="67" xr:uid="{00000000-0005-0000-0000-000037000000}"/>
    <cellStyle name="20% - Accent1 2" xfId="68" xr:uid="{00000000-0005-0000-0000-000038000000}"/>
    <cellStyle name="20% - Accent1 2 10" xfId="69" xr:uid="{00000000-0005-0000-0000-000039000000}"/>
    <cellStyle name="20% - Accent1 2 2" xfId="70" xr:uid="{00000000-0005-0000-0000-00003A000000}"/>
    <cellStyle name="20% - Accent1 2 2 2" xfId="71" xr:uid="{00000000-0005-0000-0000-00003B000000}"/>
    <cellStyle name="20% - Accent1 2 2 3" xfId="72" xr:uid="{00000000-0005-0000-0000-00003C000000}"/>
    <cellStyle name="20% - Accent1 2 3" xfId="73" xr:uid="{00000000-0005-0000-0000-00003D000000}"/>
    <cellStyle name="20% - Accent1 2 3 2" xfId="74" xr:uid="{00000000-0005-0000-0000-00003E000000}"/>
    <cellStyle name="20% - Accent1 2 4" xfId="75" xr:uid="{00000000-0005-0000-0000-00003F000000}"/>
    <cellStyle name="20% - Accent1 2 5" xfId="76" xr:uid="{00000000-0005-0000-0000-000040000000}"/>
    <cellStyle name="20% - Accent1 2 6" xfId="77" xr:uid="{00000000-0005-0000-0000-000041000000}"/>
    <cellStyle name="20% - Accent1 2 7" xfId="78" xr:uid="{00000000-0005-0000-0000-000042000000}"/>
    <cellStyle name="20% - Accent1 2 8" xfId="79" xr:uid="{00000000-0005-0000-0000-000043000000}"/>
    <cellStyle name="20% - Accent1 2 9" xfId="80" xr:uid="{00000000-0005-0000-0000-000044000000}"/>
    <cellStyle name="20% - Accent1 3" xfId="81" xr:uid="{00000000-0005-0000-0000-000045000000}"/>
    <cellStyle name="20% - Accent1 3 2" xfId="82" xr:uid="{00000000-0005-0000-0000-000046000000}"/>
    <cellStyle name="20% - Accent1 3 2 2" xfId="83" xr:uid="{00000000-0005-0000-0000-000047000000}"/>
    <cellStyle name="20% - Accent1 3 2 2 2" xfId="84" xr:uid="{00000000-0005-0000-0000-000048000000}"/>
    <cellStyle name="20% - Accent1 3 2 2 2 2" xfId="85" xr:uid="{00000000-0005-0000-0000-000049000000}"/>
    <cellStyle name="20% - Accent1 3 2 2 3" xfId="86" xr:uid="{00000000-0005-0000-0000-00004A000000}"/>
    <cellStyle name="20% - Accent1 3 2 3" xfId="87" xr:uid="{00000000-0005-0000-0000-00004B000000}"/>
    <cellStyle name="20% - Accent1 3 2 3 2" xfId="88" xr:uid="{00000000-0005-0000-0000-00004C000000}"/>
    <cellStyle name="20% - Accent1 3 2 4" xfId="89" xr:uid="{00000000-0005-0000-0000-00004D000000}"/>
    <cellStyle name="20% - Accent1 3 3" xfId="90" xr:uid="{00000000-0005-0000-0000-00004E000000}"/>
    <cellStyle name="20% - Accent1 3 3 2" xfId="91" xr:uid="{00000000-0005-0000-0000-00004F000000}"/>
    <cellStyle name="20% - Accent1 3 3 2 2" xfId="92" xr:uid="{00000000-0005-0000-0000-000050000000}"/>
    <cellStyle name="20% - Accent1 3 3 2 2 2" xfId="93" xr:uid="{00000000-0005-0000-0000-000051000000}"/>
    <cellStyle name="20% - Accent1 3 3 2 3" xfId="94" xr:uid="{00000000-0005-0000-0000-000052000000}"/>
    <cellStyle name="20% - Accent1 3 3 3" xfId="95" xr:uid="{00000000-0005-0000-0000-000053000000}"/>
    <cellStyle name="20% - Accent1 3 3 3 2" xfId="96" xr:uid="{00000000-0005-0000-0000-000054000000}"/>
    <cellStyle name="20% - Accent1 3 3 4" xfId="97" xr:uid="{00000000-0005-0000-0000-000055000000}"/>
    <cellStyle name="20% - Accent1 3 4" xfId="98" xr:uid="{00000000-0005-0000-0000-000056000000}"/>
    <cellStyle name="20% - Accent1 3 4 2" xfId="99" xr:uid="{00000000-0005-0000-0000-000057000000}"/>
    <cellStyle name="20% - Accent1 3 4 2 2" xfId="100" xr:uid="{00000000-0005-0000-0000-000058000000}"/>
    <cellStyle name="20% - Accent1 3 4 3" xfId="101" xr:uid="{00000000-0005-0000-0000-000059000000}"/>
    <cellStyle name="20% - Accent1 3 5" xfId="102" xr:uid="{00000000-0005-0000-0000-00005A000000}"/>
    <cellStyle name="20% - Accent1 3 5 2" xfId="103" xr:uid="{00000000-0005-0000-0000-00005B000000}"/>
    <cellStyle name="20% - Accent1 3 6" xfId="104" xr:uid="{00000000-0005-0000-0000-00005C000000}"/>
    <cellStyle name="20% - Accent1 4" xfId="105" xr:uid="{00000000-0005-0000-0000-00005D000000}"/>
    <cellStyle name="20% - Accent1 5" xfId="106" xr:uid="{00000000-0005-0000-0000-00005E000000}"/>
    <cellStyle name="20% - Accent1 6" xfId="107" xr:uid="{00000000-0005-0000-0000-00005F000000}"/>
    <cellStyle name="20% - Accent1 7" xfId="108" xr:uid="{00000000-0005-0000-0000-000060000000}"/>
    <cellStyle name="20% - Accent1 8" xfId="109" xr:uid="{00000000-0005-0000-0000-000061000000}"/>
    <cellStyle name="20% - Accent1 9" xfId="110" xr:uid="{00000000-0005-0000-0000-000062000000}"/>
    <cellStyle name="20% - Accent2 2" xfId="111" xr:uid="{00000000-0005-0000-0000-000063000000}"/>
    <cellStyle name="20% - Accent2 2 10" xfId="112" xr:uid="{00000000-0005-0000-0000-000064000000}"/>
    <cellStyle name="20% - Accent2 2 2" xfId="113" xr:uid="{00000000-0005-0000-0000-000065000000}"/>
    <cellStyle name="20% - Accent2 2 2 2" xfId="114" xr:uid="{00000000-0005-0000-0000-000066000000}"/>
    <cellStyle name="20% - Accent2 2 2 3" xfId="115" xr:uid="{00000000-0005-0000-0000-000067000000}"/>
    <cellStyle name="20% - Accent2 2 3" xfId="116" xr:uid="{00000000-0005-0000-0000-000068000000}"/>
    <cellStyle name="20% - Accent2 2 3 2" xfId="117" xr:uid="{00000000-0005-0000-0000-000069000000}"/>
    <cellStyle name="20% - Accent2 2 4" xfId="118" xr:uid="{00000000-0005-0000-0000-00006A000000}"/>
    <cellStyle name="20% - Accent2 2 5" xfId="119" xr:uid="{00000000-0005-0000-0000-00006B000000}"/>
    <cellStyle name="20% - Accent2 2 6" xfId="120" xr:uid="{00000000-0005-0000-0000-00006C000000}"/>
    <cellStyle name="20% - Accent2 2 7" xfId="121" xr:uid="{00000000-0005-0000-0000-00006D000000}"/>
    <cellStyle name="20% - Accent2 2 8" xfId="122" xr:uid="{00000000-0005-0000-0000-00006E000000}"/>
    <cellStyle name="20% - Accent2 2 9" xfId="123" xr:uid="{00000000-0005-0000-0000-00006F000000}"/>
    <cellStyle name="20% - Accent2 3" xfId="124" xr:uid="{00000000-0005-0000-0000-000070000000}"/>
    <cellStyle name="20% - Accent2 3 2" xfId="125" xr:uid="{00000000-0005-0000-0000-000071000000}"/>
    <cellStyle name="20% - Accent2 3 2 2" xfId="126" xr:uid="{00000000-0005-0000-0000-000072000000}"/>
    <cellStyle name="20% - Accent2 3 2 2 2" xfId="127" xr:uid="{00000000-0005-0000-0000-000073000000}"/>
    <cellStyle name="20% - Accent2 3 2 2 2 2" xfId="128" xr:uid="{00000000-0005-0000-0000-000074000000}"/>
    <cellStyle name="20% - Accent2 3 2 2 3" xfId="129" xr:uid="{00000000-0005-0000-0000-000075000000}"/>
    <cellStyle name="20% - Accent2 3 2 3" xfId="130" xr:uid="{00000000-0005-0000-0000-000076000000}"/>
    <cellStyle name="20% - Accent2 3 2 3 2" xfId="131" xr:uid="{00000000-0005-0000-0000-000077000000}"/>
    <cellStyle name="20% - Accent2 3 2 4" xfId="132" xr:uid="{00000000-0005-0000-0000-000078000000}"/>
    <cellStyle name="20% - Accent2 3 3" xfId="133" xr:uid="{00000000-0005-0000-0000-000079000000}"/>
    <cellStyle name="20% - Accent2 3 3 2" xfId="134" xr:uid="{00000000-0005-0000-0000-00007A000000}"/>
    <cellStyle name="20% - Accent2 3 3 2 2" xfId="135" xr:uid="{00000000-0005-0000-0000-00007B000000}"/>
    <cellStyle name="20% - Accent2 3 3 2 2 2" xfId="136" xr:uid="{00000000-0005-0000-0000-00007C000000}"/>
    <cellStyle name="20% - Accent2 3 3 2 3" xfId="137" xr:uid="{00000000-0005-0000-0000-00007D000000}"/>
    <cellStyle name="20% - Accent2 3 3 3" xfId="138" xr:uid="{00000000-0005-0000-0000-00007E000000}"/>
    <cellStyle name="20% - Accent2 3 3 3 2" xfId="139" xr:uid="{00000000-0005-0000-0000-00007F000000}"/>
    <cellStyle name="20% - Accent2 3 3 4" xfId="140" xr:uid="{00000000-0005-0000-0000-000080000000}"/>
    <cellStyle name="20% - Accent2 3 4" xfId="141" xr:uid="{00000000-0005-0000-0000-000081000000}"/>
    <cellStyle name="20% - Accent2 3 4 2" xfId="142" xr:uid="{00000000-0005-0000-0000-000082000000}"/>
    <cellStyle name="20% - Accent2 3 4 2 2" xfId="143" xr:uid="{00000000-0005-0000-0000-000083000000}"/>
    <cellStyle name="20% - Accent2 3 4 3" xfId="144" xr:uid="{00000000-0005-0000-0000-000084000000}"/>
    <cellStyle name="20% - Accent2 3 5" xfId="145" xr:uid="{00000000-0005-0000-0000-000085000000}"/>
    <cellStyle name="20% - Accent2 3 5 2" xfId="146" xr:uid="{00000000-0005-0000-0000-000086000000}"/>
    <cellStyle name="20% - Accent2 3 6" xfId="147" xr:uid="{00000000-0005-0000-0000-000087000000}"/>
    <cellStyle name="20% - Accent2 4" xfId="148" xr:uid="{00000000-0005-0000-0000-000088000000}"/>
    <cellStyle name="20% - Accent2 5" xfId="149" xr:uid="{00000000-0005-0000-0000-000089000000}"/>
    <cellStyle name="20% - Accent2 6" xfId="150" xr:uid="{00000000-0005-0000-0000-00008A000000}"/>
    <cellStyle name="20% - Accent2 7" xfId="151" xr:uid="{00000000-0005-0000-0000-00008B000000}"/>
    <cellStyle name="20% - Accent2 8" xfId="152" xr:uid="{00000000-0005-0000-0000-00008C000000}"/>
    <cellStyle name="20% - Accent2 9" xfId="153" xr:uid="{00000000-0005-0000-0000-00008D000000}"/>
    <cellStyle name="20% - Accent3 2" xfId="154" xr:uid="{00000000-0005-0000-0000-00008E000000}"/>
    <cellStyle name="20% - Accent3 2 10" xfId="155" xr:uid="{00000000-0005-0000-0000-00008F000000}"/>
    <cellStyle name="20% - Accent3 2 2" xfId="156" xr:uid="{00000000-0005-0000-0000-000090000000}"/>
    <cellStyle name="20% - Accent3 2 2 2" xfId="157" xr:uid="{00000000-0005-0000-0000-000091000000}"/>
    <cellStyle name="20% - Accent3 2 2 3" xfId="158" xr:uid="{00000000-0005-0000-0000-000092000000}"/>
    <cellStyle name="20% - Accent3 2 3" xfId="159" xr:uid="{00000000-0005-0000-0000-000093000000}"/>
    <cellStyle name="20% - Accent3 2 3 2" xfId="160" xr:uid="{00000000-0005-0000-0000-000094000000}"/>
    <cellStyle name="20% - Accent3 2 4" xfId="161" xr:uid="{00000000-0005-0000-0000-000095000000}"/>
    <cellStyle name="20% - Accent3 2 5" xfId="162" xr:uid="{00000000-0005-0000-0000-000096000000}"/>
    <cellStyle name="20% - Accent3 2 6" xfId="163" xr:uid="{00000000-0005-0000-0000-000097000000}"/>
    <cellStyle name="20% - Accent3 2 7" xfId="164" xr:uid="{00000000-0005-0000-0000-000098000000}"/>
    <cellStyle name="20% - Accent3 2 8" xfId="165" xr:uid="{00000000-0005-0000-0000-000099000000}"/>
    <cellStyle name="20% - Accent3 2 9" xfId="166" xr:uid="{00000000-0005-0000-0000-00009A000000}"/>
    <cellStyle name="20% - Accent3 3" xfId="167" xr:uid="{00000000-0005-0000-0000-00009B000000}"/>
    <cellStyle name="20% - Accent3 3 2" xfId="168" xr:uid="{00000000-0005-0000-0000-00009C000000}"/>
    <cellStyle name="20% - Accent3 3 2 2" xfId="169" xr:uid="{00000000-0005-0000-0000-00009D000000}"/>
    <cellStyle name="20% - Accent3 3 2 2 2" xfId="170" xr:uid="{00000000-0005-0000-0000-00009E000000}"/>
    <cellStyle name="20% - Accent3 3 2 2 2 2" xfId="171" xr:uid="{00000000-0005-0000-0000-00009F000000}"/>
    <cellStyle name="20% - Accent3 3 2 2 3" xfId="172" xr:uid="{00000000-0005-0000-0000-0000A0000000}"/>
    <cellStyle name="20% - Accent3 3 2 3" xfId="173" xr:uid="{00000000-0005-0000-0000-0000A1000000}"/>
    <cellStyle name="20% - Accent3 3 2 3 2" xfId="174" xr:uid="{00000000-0005-0000-0000-0000A2000000}"/>
    <cellStyle name="20% - Accent3 3 2 4" xfId="175" xr:uid="{00000000-0005-0000-0000-0000A3000000}"/>
    <cellStyle name="20% - Accent3 3 3" xfId="176" xr:uid="{00000000-0005-0000-0000-0000A4000000}"/>
    <cellStyle name="20% - Accent3 3 3 2" xfId="177" xr:uid="{00000000-0005-0000-0000-0000A5000000}"/>
    <cellStyle name="20% - Accent3 3 3 2 2" xfId="178" xr:uid="{00000000-0005-0000-0000-0000A6000000}"/>
    <cellStyle name="20% - Accent3 3 3 2 2 2" xfId="179" xr:uid="{00000000-0005-0000-0000-0000A7000000}"/>
    <cellStyle name="20% - Accent3 3 3 2 3" xfId="180" xr:uid="{00000000-0005-0000-0000-0000A8000000}"/>
    <cellStyle name="20% - Accent3 3 3 3" xfId="181" xr:uid="{00000000-0005-0000-0000-0000A9000000}"/>
    <cellStyle name="20% - Accent3 3 3 3 2" xfId="182" xr:uid="{00000000-0005-0000-0000-0000AA000000}"/>
    <cellStyle name="20% - Accent3 3 3 4" xfId="183" xr:uid="{00000000-0005-0000-0000-0000AB000000}"/>
    <cellStyle name="20% - Accent3 3 4" xfId="184" xr:uid="{00000000-0005-0000-0000-0000AC000000}"/>
    <cellStyle name="20% - Accent3 3 4 2" xfId="185" xr:uid="{00000000-0005-0000-0000-0000AD000000}"/>
    <cellStyle name="20% - Accent3 3 4 2 2" xfId="186" xr:uid="{00000000-0005-0000-0000-0000AE000000}"/>
    <cellStyle name="20% - Accent3 3 4 3" xfId="187" xr:uid="{00000000-0005-0000-0000-0000AF000000}"/>
    <cellStyle name="20% - Accent3 3 5" xfId="188" xr:uid="{00000000-0005-0000-0000-0000B0000000}"/>
    <cellStyle name="20% - Accent3 3 5 2" xfId="189" xr:uid="{00000000-0005-0000-0000-0000B1000000}"/>
    <cellStyle name="20% - Accent3 3 6" xfId="190" xr:uid="{00000000-0005-0000-0000-0000B2000000}"/>
    <cellStyle name="20% - Accent3 4" xfId="191" xr:uid="{00000000-0005-0000-0000-0000B3000000}"/>
    <cellStyle name="20% - Accent3 5" xfId="192" xr:uid="{00000000-0005-0000-0000-0000B4000000}"/>
    <cellStyle name="20% - Accent3 6" xfId="193" xr:uid="{00000000-0005-0000-0000-0000B5000000}"/>
    <cellStyle name="20% - Accent3 7" xfId="194" xr:uid="{00000000-0005-0000-0000-0000B6000000}"/>
    <cellStyle name="20% - Accent3 8" xfId="195" xr:uid="{00000000-0005-0000-0000-0000B7000000}"/>
    <cellStyle name="20% - Accent3 9" xfId="196" xr:uid="{00000000-0005-0000-0000-0000B8000000}"/>
    <cellStyle name="20% - Accent4 2" xfId="197" xr:uid="{00000000-0005-0000-0000-0000B9000000}"/>
    <cellStyle name="20% - Accent4 2 10" xfId="198" xr:uid="{00000000-0005-0000-0000-0000BA000000}"/>
    <cellStyle name="20% - Accent4 2 2" xfId="199" xr:uid="{00000000-0005-0000-0000-0000BB000000}"/>
    <cellStyle name="20% - Accent4 2 2 2" xfId="200" xr:uid="{00000000-0005-0000-0000-0000BC000000}"/>
    <cellStyle name="20% - Accent4 2 2 3" xfId="201" xr:uid="{00000000-0005-0000-0000-0000BD000000}"/>
    <cellStyle name="20% - Accent4 2 3" xfId="202" xr:uid="{00000000-0005-0000-0000-0000BE000000}"/>
    <cellStyle name="20% - Accent4 2 3 2" xfId="203" xr:uid="{00000000-0005-0000-0000-0000BF000000}"/>
    <cellStyle name="20% - Accent4 2 4" xfId="204" xr:uid="{00000000-0005-0000-0000-0000C0000000}"/>
    <cellStyle name="20% - Accent4 2 5" xfId="205" xr:uid="{00000000-0005-0000-0000-0000C1000000}"/>
    <cellStyle name="20% - Accent4 2 6" xfId="206" xr:uid="{00000000-0005-0000-0000-0000C2000000}"/>
    <cellStyle name="20% - Accent4 2 7" xfId="207" xr:uid="{00000000-0005-0000-0000-0000C3000000}"/>
    <cellStyle name="20% - Accent4 2 8" xfId="208" xr:uid="{00000000-0005-0000-0000-0000C4000000}"/>
    <cellStyle name="20% - Accent4 2 9" xfId="209" xr:uid="{00000000-0005-0000-0000-0000C5000000}"/>
    <cellStyle name="20% - Accent4 3" xfId="210" xr:uid="{00000000-0005-0000-0000-0000C6000000}"/>
    <cellStyle name="20% - Accent4 3 2" xfId="211" xr:uid="{00000000-0005-0000-0000-0000C7000000}"/>
    <cellStyle name="20% - Accent4 3 2 2" xfId="212" xr:uid="{00000000-0005-0000-0000-0000C8000000}"/>
    <cellStyle name="20% - Accent4 3 2 2 2" xfId="213" xr:uid="{00000000-0005-0000-0000-0000C9000000}"/>
    <cellStyle name="20% - Accent4 3 2 2 2 2" xfId="214" xr:uid="{00000000-0005-0000-0000-0000CA000000}"/>
    <cellStyle name="20% - Accent4 3 2 2 3" xfId="215" xr:uid="{00000000-0005-0000-0000-0000CB000000}"/>
    <cellStyle name="20% - Accent4 3 2 3" xfId="216" xr:uid="{00000000-0005-0000-0000-0000CC000000}"/>
    <cellStyle name="20% - Accent4 3 2 3 2" xfId="217" xr:uid="{00000000-0005-0000-0000-0000CD000000}"/>
    <cellStyle name="20% - Accent4 3 2 4" xfId="218" xr:uid="{00000000-0005-0000-0000-0000CE000000}"/>
    <cellStyle name="20% - Accent4 3 3" xfId="219" xr:uid="{00000000-0005-0000-0000-0000CF000000}"/>
    <cellStyle name="20% - Accent4 3 3 2" xfId="220" xr:uid="{00000000-0005-0000-0000-0000D0000000}"/>
    <cellStyle name="20% - Accent4 3 3 2 2" xfId="221" xr:uid="{00000000-0005-0000-0000-0000D1000000}"/>
    <cellStyle name="20% - Accent4 3 3 2 2 2" xfId="222" xr:uid="{00000000-0005-0000-0000-0000D2000000}"/>
    <cellStyle name="20% - Accent4 3 3 2 3" xfId="223" xr:uid="{00000000-0005-0000-0000-0000D3000000}"/>
    <cellStyle name="20% - Accent4 3 3 3" xfId="224" xr:uid="{00000000-0005-0000-0000-0000D4000000}"/>
    <cellStyle name="20% - Accent4 3 3 3 2" xfId="225" xr:uid="{00000000-0005-0000-0000-0000D5000000}"/>
    <cellStyle name="20% - Accent4 3 3 4" xfId="226" xr:uid="{00000000-0005-0000-0000-0000D6000000}"/>
    <cellStyle name="20% - Accent4 3 4" xfId="227" xr:uid="{00000000-0005-0000-0000-0000D7000000}"/>
    <cellStyle name="20% - Accent4 3 4 2" xfId="228" xr:uid="{00000000-0005-0000-0000-0000D8000000}"/>
    <cellStyle name="20% - Accent4 3 4 2 2" xfId="229" xr:uid="{00000000-0005-0000-0000-0000D9000000}"/>
    <cellStyle name="20% - Accent4 3 4 3" xfId="230" xr:uid="{00000000-0005-0000-0000-0000DA000000}"/>
    <cellStyle name="20% - Accent4 3 5" xfId="231" xr:uid="{00000000-0005-0000-0000-0000DB000000}"/>
    <cellStyle name="20% - Accent4 3 5 2" xfId="232" xr:uid="{00000000-0005-0000-0000-0000DC000000}"/>
    <cellStyle name="20% - Accent4 3 6" xfId="233" xr:uid="{00000000-0005-0000-0000-0000DD000000}"/>
    <cellStyle name="20% - Accent4 4" xfId="234" xr:uid="{00000000-0005-0000-0000-0000DE000000}"/>
    <cellStyle name="20% - Accent4 5" xfId="235" xr:uid="{00000000-0005-0000-0000-0000DF000000}"/>
    <cellStyle name="20% - Accent4 6" xfId="236" xr:uid="{00000000-0005-0000-0000-0000E0000000}"/>
    <cellStyle name="20% - Accent4 7" xfId="237" xr:uid="{00000000-0005-0000-0000-0000E1000000}"/>
    <cellStyle name="20% - Accent4 8" xfId="238" xr:uid="{00000000-0005-0000-0000-0000E2000000}"/>
    <cellStyle name="20% - Accent4 9" xfId="239" xr:uid="{00000000-0005-0000-0000-0000E3000000}"/>
    <cellStyle name="20% - Accent5 2" xfId="240" xr:uid="{00000000-0005-0000-0000-0000E4000000}"/>
    <cellStyle name="20% - Accent5 2 10" xfId="241" xr:uid="{00000000-0005-0000-0000-0000E5000000}"/>
    <cellStyle name="20% - Accent5 2 2" xfId="242" xr:uid="{00000000-0005-0000-0000-0000E6000000}"/>
    <cellStyle name="20% - Accent5 2 2 2" xfId="243" xr:uid="{00000000-0005-0000-0000-0000E7000000}"/>
    <cellStyle name="20% - Accent5 2 2 3" xfId="244" xr:uid="{00000000-0005-0000-0000-0000E8000000}"/>
    <cellStyle name="20% - Accent5 2 3" xfId="245" xr:uid="{00000000-0005-0000-0000-0000E9000000}"/>
    <cellStyle name="20% - Accent5 2 3 2" xfId="246" xr:uid="{00000000-0005-0000-0000-0000EA000000}"/>
    <cellStyle name="20% - Accent5 2 4" xfId="247" xr:uid="{00000000-0005-0000-0000-0000EB000000}"/>
    <cellStyle name="20% - Accent5 2 5" xfId="248" xr:uid="{00000000-0005-0000-0000-0000EC000000}"/>
    <cellStyle name="20% - Accent5 2 6" xfId="249" xr:uid="{00000000-0005-0000-0000-0000ED000000}"/>
    <cellStyle name="20% - Accent5 2 7" xfId="250" xr:uid="{00000000-0005-0000-0000-0000EE000000}"/>
    <cellStyle name="20% - Accent5 2 8" xfId="251" xr:uid="{00000000-0005-0000-0000-0000EF000000}"/>
    <cellStyle name="20% - Accent5 2 9" xfId="252" xr:uid="{00000000-0005-0000-0000-0000F0000000}"/>
    <cellStyle name="20% - Accent5 3" xfId="253" xr:uid="{00000000-0005-0000-0000-0000F1000000}"/>
    <cellStyle name="20% - Accent5 3 2" xfId="254" xr:uid="{00000000-0005-0000-0000-0000F2000000}"/>
    <cellStyle name="20% - Accent5 3 2 2" xfId="255" xr:uid="{00000000-0005-0000-0000-0000F3000000}"/>
    <cellStyle name="20% - Accent5 3 2 2 2" xfId="256" xr:uid="{00000000-0005-0000-0000-0000F4000000}"/>
    <cellStyle name="20% - Accent5 3 2 2 2 2" xfId="257" xr:uid="{00000000-0005-0000-0000-0000F5000000}"/>
    <cellStyle name="20% - Accent5 3 2 2 3" xfId="258" xr:uid="{00000000-0005-0000-0000-0000F6000000}"/>
    <cellStyle name="20% - Accent5 3 2 3" xfId="259" xr:uid="{00000000-0005-0000-0000-0000F7000000}"/>
    <cellStyle name="20% - Accent5 3 2 3 2" xfId="260" xr:uid="{00000000-0005-0000-0000-0000F8000000}"/>
    <cellStyle name="20% - Accent5 3 2 4" xfId="261" xr:uid="{00000000-0005-0000-0000-0000F9000000}"/>
    <cellStyle name="20% - Accent5 3 3" xfId="262" xr:uid="{00000000-0005-0000-0000-0000FA000000}"/>
    <cellStyle name="20% - Accent5 3 3 2" xfId="263" xr:uid="{00000000-0005-0000-0000-0000FB000000}"/>
    <cellStyle name="20% - Accent5 3 3 2 2" xfId="264" xr:uid="{00000000-0005-0000-0000-0000FC000000}"/>
    <cellStyle name="20% - Accent5 3 3 2 2 2" xfId="265" xr:uid="{00000000-0005-0000-0000-0000FD000000}"/>
    <cellStyle name="20% - Accent5 3 3 2 3" xfId="266" xr:uid="{00000000-0005-0000-0000-0000FE000000}"/>
    <cellStyle name="20% - Accent5 3 3 3" xfId="267" xr:uid="{00000000-0005-0000-0000-0000FF000000}"/>
    <cellStyle name="20% - Accent5 3 3 3 2" xfId="268" xr:uid="{00000000-0005-0000-0000-000000010000}"/>
    <cellStyle name="20% - Accent5 3 3 4" xfId="269" xr:uid="{00000000-0005-0000-0000-000001010000}"/>
    <cellStyle name="20% - Accent5 3 4" xfId="270" xr:uid="{00000000-0005-0000-0000-000002010000}"/>
    <cellStyle name="20% - Accent5 3 4 2" xfId="271" xr:uid="{00000000-0005-0000-0000-000003010000}"/>
    <cellStyle name="20% - Accent5 3 4 2 2" xfId="272" xr:uid="{00000000-0005-0000-0000-000004010000}"/>
    <cellStyle name="20% - Accent5 3 4 3" xfId="273" xr:uid="{00000000-0005-0000-0000-000005010000}"/>
    <cellStyle name="20% - Accent5 3 5" xfId="274" xr:uid="{00000000-0005-0000-0000-000006010000}"/>
    <cellStyle name="20% - Accent5 3 5 2" xfId="275" xr:uid="{00000000-0005-0000-0000-000007010000}"/>
    <cellStyle name="20% - Accent5 3 6" xfId="276" xr:uid="{00000000-0005-0000-0000-000008010000}"/>
    <cellStyle name="20% - Accent5 4" xfId="277" xr:uid="{00000000-0005-0000-0000-000009010000}"/>
    <cellStyle name="20% - Accent5 5" xfId="278" xr:uid="{00000000-0005-0000-0000-00000A010000}"/>
    <cellStyle name="20% - Accent5 6" xfId="279" xr:uid="{00000000-0005-0000-0000-00000B010000}"/>
    <cellStyle name="20% - Accent5 7" xfId="280" xr:uid="{00000000-0005-0000-0000-00000C010000}"/>
    <cellStyle name="20% - Accent5 8" xfId="281" xr:uid="{00000000-0005-0000-0000-00000D010000}"/>
    <cellStyle name="20% - Accent5 9" xfId="282" xr:uid="{00000000-0005-0000-0000-00000E010000}"/>
    <cellStyle name="20% - Accent6 2" xfId="283" xr:uid="{00000000-0005-0000-0000-00000F010000}"/>
    <cellStyle name="20% - Accent6 2 10" xfId="284" xr:uid="{00000000-0005-0000-0000-000010010000}"/>
    <cellStyle name="20% - Accent6 2 2" xfId="285" xr:uid="{00000000-0005-0000-0000-000011010000}"/>
    <cellStyle name="20% - Accent6 2 2 2" xfId="286" xr:uid="{00000000-0005-0000-0000-000012010000}"/>
    <cellStyle name="20% - Accent6 2 2 3" xfId="287" xr:uid="{00000000-0005-0000-0000-000013010000}"/>
    <cellStyle name="20% - Accent6 2 3" xfId="288" xr:uid="{00000000-0005-0000-0000-000014010000}"/>
    <cellStyle name="20% - Accent6 2 3 2" xfId="289" xr:uid="{00000000-0005-0000-0000-000015010000}"/>
    <cellStyle name="20% - Accent6 2 4" xfId="290" xr:uid="{00000000-0005-0000-0000-000016010000}"/>
    <cellStyle name="20% - Accent6 2 5" xfId="291" xr:uid="{00000000-0005-0000-0000-000017010000}"/>
    <cellStyle name="20% - Accent6 2 6" xfId="292" xr:uid="{00000000-0005-0000-0000-000018010000}"/>
    <cellStyle name="20% - Accent6 2 7" xfId="293" xr:uid="{00000000-0005-0000-0000-000019010000}"/>
    <cellStyle name="20% - Accent6 2 8" xfId="294" xr:uid="{00000000-0005-0000-0000-00001A010000}"/>
    <cellStyle name="20% - Accent6 2 9" xfId="295" xr:uid="{00000000-0005-0000-0000-00001B010000}"/>
    <cellStyle name="20% - Accent6 3" xfId="296" xr:uid="{00000000-0005-0000-0000-00001C010000}"/>
    <cellStyle name="20% - Accent6 3 2" xfId="297" xr:uid="{00000000-0005-0000-0000-00001D010000}"/>
    <cellStyle name="20% - Accent6 3 2 2" xfId="298" xr:uid="{00000000-0005-0000-0000-00001E010000}"/>
    <cellStyle name="20% - Accent6 3 2 2 2" xfId="299" xr:uid="{00000000-0005-0000-0000-00001F010000}"/>
    <cellStyle name="20% - Accent6 3 2 2 2 2" xfId="300" xr:uid="{00000000-0005-0000-0000-000020010000}"/>
    <cellStyle name="20% - Accent6 3 2 2 3" xfId="301" xr:uid="{00000000-0005-0000-0000-000021010000}"/>
    <cellStyle name="20% - Accent6 3 2 3" xfId="302" xr:uid="{00000000-0005-0000-0000-000022010000}"/>
    <cellStyle name="20% - Accent6 3 2 3 2" xfId="303" xr:uid="{00000000-0005-0000-0000-000023010000}"/>
    <cellStyle name="20% - Accent6 3 2 4" xfId="304" xr:uid="{00000000-0005-0000-0000-000024010000}"/>
    <cellStyle name="20% - Accent6 3 3" xfId="305" xr:uid="{00000000-0005-0000-0000-000025010000}"/>
    <cellStyle name="20% - Accent6 3 3 2" xfId="306" xr:uid="{00000000-0005-0000-0000-000026010000}"/>
    <cellStyle name="20% - Accent6 3 3 2 2" xfId="307" xr:uid="{00000000-0005-0000-0000-000027010000}"/>
    <cellStyle name="20% - Accent6 3 3 2 2 2" xfId="308" xr:uid="{00000000-0005-0000-0000-000028010000}"/>
    <cellStyle name="20% - Accent6 3 3 2 3" xfId="309" xr:uid="{00000000-0005-0000-0000-000029010000}"/>
    <cellStyle name="20% - Accent6 3 3 3" xfId="310" xr:uid="{00000000-0005-0000-0000-00002A010000}"/>
    <cellStyle name="20% - Accent6 3 3 3 2" xfId="311" xr:uid="{00000000-0005-0000-0000-00002B010000}"/>
    <cellStyle name="20% - Accent6 3 3 4" xfId="312" xr:uid="{00000000-0005-0000-0000-00002C010000}"/>
    <cellStyle name="20% - Accent6 3 4" xfId="313" xr:uid="{00000000-0005-0000-0000-00002D010000}"/>
    <cellStyle name="20% - Accent6 3 4 2" xfId="314" xr:uid="{00000000-0005-0000-0000-00002E010000}"/>
    <cellStyle name="20% - Accent6 3 4 2 2" xfId="315" xr:uid="{00000000-0005-0000-0000-00002F010000}"/>
    <cellStyle name="20% - Accent6 3 4 3" xfId="316" xr:uid="{00000000-0005-0000-0000-000030010000}"/>
    <cellStyle name="20% - Accent6 3 5" xfId="317" xr:uid="{00000000-0005-0000-0000-000031010000}"/>
    <cellStyle name="20% - Accent6 3 5 2" xfId="318" xr:uid="{00000000-0005-0000-0000-000032010000}"/>
    <cellStyle name="20% - Accent6 3 6" xfId="319" xr:uid="{00000000-0005-0000-0000-000033010000}"/>
    <cellStyle name="20% - Accent6 4" xfId="320" xr:uid="{00000000-0005-0000-0000-000034010000}"/>
    <cellStyle name="20% - Accent6 5" xfId="321" xr:uid="{00000000-0005-0000-0000-000035010000}"/>
    <cellStyle name="20% - Accent6 6" xfId="322" xr:uid="{00000000-0005-0000-0000-000036010000}"/>
    <cellStyle name="20% - Accent6 7" xfId="323" xr:uid="{00000000-0005-0000-0000-000037010000}"/>
    <cellStyle name="20% - Accent6 8" xfId="324" xr:uid="{00000000-0005-0000-0000-000038010000}"/>
    <cellStyle name="20% - Accent6 9" xfId="325" xr:uid="{00000000-0005-0000-0000-000039010000}"/>
    <cellStyle name="40 % - Accent1" xfId="326" xr:uid="{00000000-0005-0000-0000-00003A010000}"/>
    <cellStyle name="40 % - Accent2" xfId="327" xr:uid="{00000000-0005-0000-0000-00003B010000}"/>
    <cellStyle name="40 % - Accent3" xfId="328" xr:uid="{00000000-0005-0000-0000-00003C010000}"/>
    <cellStyle name="40 % - Accent4" xfId="329" xr:uid="{00000000-0005-0000-0000-00003D010000}"/>
    <cellStyle name="40 % - Accent5" xfId="330" xr:uid="{00000000-0005-0000-0000-00003E010000}"/>
    <cellStyle name="40 % - Accent6" xfId="331" xr:uid="{00000000-0005-0000-0000-00003F010000}"/>
    <cellStyle name="40% - Accent1 2" xfId="332" xr:uid="{00000000-0005-0000-0000-000040010000}"/>
    <cellStyle name="40% - Accent1 2 10" xfId="333" xr:uid="{00000000-0005-0000-0000-000041010000}"/>
    <cellStyle name="40% - Accent1 2 2" xfId="334" xr:uid="{00000000-0005-0000-0000-000042010000}"/>
    <cellStyle name="40% - Accent1 2 2 2" xfId="335" xr:uid="{00000000-0005-0000-0000-000043010000}"/>
    <cellStyle name="40% - Accent1 2 2 3" xfId="336" xr:uid="{00000000-0005-0000-0000-000044010000}"/>
    <cellStyle name="40% - Accent1 2 3" xfId="337" xr:uid="{00000000-0005-0000-0000-000045010000}"/>
    <cellStyle name="40% - Accent1 2 3 2" xfId="338" xr:uid="{00000000-0005-0000-0000-000046010000}"/>
    <cellStyle name="40% - Accent1 2 4" xfId="339" xr:uid="{00000000-0005-0000-0000-000047010000}"/>
    <cellStyle name="40% - Accent1 2 5" xfId="340" xr:uid="{00000000-0005-0000-0000-000048010000}"/>
    <cellStyle name="40% - Accent1 2 6" xfId="341" xr:uid="{00000000-0005-0000-0000-000049010000}"/>
    <cellStyle name="40% - Accent1 2 7" xfId="342" xr:uid="{00000000-0005-0000-0000-00004A010000}"/>
    <cellStyle name="40% - Accent1 2 8" xfId="343" xr:uid="{00000000-0005-0000-0000-00004B010000}"/>
    <cellStyle name="40% - Accent1 2 9" xfId="344" xr:uid="{00000000-0005-0000-0000-00004C010000}"/>
    <cellStyle name="40% - Accent1 3" xfId="345" xr:uid="{00000000-0005-0000-0000-00004D010000}"/>
    <cellStyle name="40% - Accent1 3 2" xfId="346" xr:uid="{00000000-0005-0000-0000-00004E010000}"/>
    <cellStyle name="40% - Accent1 3 2 2" xfId="347" xr:uid="{00000000-0005-0000-0000-00004F010000}"/>
    <cellStyle name="40% - Accent1 3 2 2 2" xfId="348" xr:uid="{00000000-0005-0000-0000-000050010000}"/>
    <cellStyle name="40% - Accent1 3 2 2 2 2" xfId="349" xr:uid="{00000000-0005-0000-0000-000051010000}"/>
    <cellStyle name="40% - Accent1 3 2 2 3" xfId="350" xr:uid="{00000000-0005-0000-0000-000052010000}"/>
    <cellStyle name="40% - Accent1 3 2 3" xfId="351" xr:uid="{00000000-0005-0000-0000-000053010000}"/>
    <cellStyle name="40% - Accent1 3 2 3 2" xfId="352" xr:uid="{00000000-0005-0000-0000-000054010000}"/>
    <cellStyle name="40% - Accent1 3 2 4" xfId="353" xr:uid="{00000000-0005-0000-0000-000055010000}"/>
    <cellStyle name="40% - Accent1 3 3" xfId="354" xr:uid="{00000000-0005-0000-0000-000056010000}"/>
    <cellStyle name="40% - Accent1 3 3 2" xfId="355" xr:uid="{00000000-0005-0000-0000-000057010000}"/>
    <cellStyle name="40% - Accent1 3 3 2 2" xfId="356" xr:uid="{00000000-0005-0000-0000-000058010000}"/>
    <cellStyle name="40% - Accent1 3 3 2 2 2" xfId="357" xr:uid="{00000000-0005-0000-0000-000059010000}"/>
    <cellStyle name="40% - Accent1 3 3 2 3" xfId="358" xr:uid="{00000000-0005-0000-0000-00005A010000}"/>
    <cellStyle name="40% - Accent1 3 3 3" xfId="359" xr:uid="{00000000-0005-0000-0000-00005B010000}"/>
    <cellStyle name="40% - Accent1 3 3 3 2" xfId="360" xr:uid="{00000000-0005-0000-0000-00005C010000}"/>
    <cellStyle name="40% - Accent1 3 3 4" xfId="361" xr:uid="{00000000-0005-0000-0000-00005D010000}"/>
    <cellStyle name="40% - Accent1 3 4" xfId="362" xr:uid="{00000000-0005-0000-0000-00005E010000}"/>
    <cellStyle name="40% - Accent1 3 4 2" xfId="363" xr:uid="{00000000-0005-0000-0000-00005F010000}"/>
    <cellStyle name="40% - Accent1 3 4 2 2" xfId="364" xr:uid="{00000000-0005-0000-0000-000060010000}"/>
    <cellStyle name="40% - Accent1 3 4 3" xfId="365" xr:uid="{00000000-0005-0000-0000-000061010000}"/>
    <cellStyle name="40% - Accent1 3 5" xfId="366" xr:uid="{00000000-0005-0000-0000-000062010000}"/>
    <cellStyle name="40% - Accent1 3 5 2" xfId="367" xr:uid="{00000000-0005-0000-0000-000063010000}"/>
    <cellStyle name="40% - Accent1 3 6" xfId="368" xr:uid="{00000000-0005-0000-0000-000064010000}"/>
    <cellStyle name="40% - Accent1 4" xfId="369" xr:uid="{00000000-0005-0000-0000-000065010000}"/>
    <cellStyle name="40% - Accent1 5" xfId="370" xr:uid="{00000000-0005-0000-0000-000066010000}"/>
    <cellStyle name="40% - Accent1 6" xfId="371" xr:uid="{00000000-0005-0000-0000-000067010000}"/>
    <cellStyle name="40% - Accent1 7" xfId="372" xr:uid="{00000000-0005-0000-0000-000068010000}"/>
    <cellStyle name="40% - Accent1 8" xfId="373" xr:uid="{00000000-0005-0000-0000-000069010000}"/>
    <cellStyle name="40% - Accent1 9" xfId="374" xr:uid="{00000000-0005-0000-0000-00006A010000}"/>
    <cellStyle name="40% - Accent2 2" xfId="375" xr:uid="{00000000-0005-0000-0000-00006B010000}"/>
    <cellStyle name="40% - Accent2 2 10" xfId="376" xr:uid="{00000000-0005-0000-0000-00006C010000}"/>
    <cellStyle name="40% - Accent2 2 2" xfId="377" xr:uid="{00000000-0005-0000-0000-00006D010000}"/>
    <cellStyle name="40% - Accent2 2 2 2" xfId="378" xr:uid="{00000000-0005-0000-0000-00006E010000}"/>
    <cellStyle name="40% - Accent2 2 2 3" xfId="379" xr:uid="{00000000-0005-0000-0000-00006F010000}"/>
    <cellStyle name="40% - Accent2 2 3" xfId="380" xr:uid="{00000000-0005-0000-0000-000070010000}"/>
    <cellStyle name="40% - Accent2 2 3 2" xfId="381" xr:uid="{00000000-0005-0000-0000-000071010000}"/>
    <cellStyle name="40% - Accent2 2 4" xfId="382" xr:uid="{00000000-0005-0000-0000-000072010000}"/>
    <cellStyle name="40% - Accent2 2 5" xfId="383" xr:uid="{00000000-0005-0000-0000-000073010000}"/>
    <cellStyle name="40% - Accent2 2 6" xfId="384" xr:uid="{00000000-0005-0000-0000-000074010000}"/>
    <cellStyle name="40% - Accent2 2 7" xfId="385" xr:uid="{00000000-0005-0000-0000-000075010000}"/>
    <cellStyle name="40% - Accent2 2 8" xfId="386" xr:uid="{00000000-0005-0000-0000-000076010000}"/>
    <cellStyle name="40% - Accent2 2 9" xfId="387" xr:uid="{00000000-0005-0000-0000-000077010000}"/>
    <cellStyle name="40% - Accent2 3" xfId="388" xr:uid="{00000000-0005-0000-0000-000078010000}"/>
    <cellStyle name="40% - Accent2 3 2" xfId="389" xr:uid="{00000000-0005-0000-0000-000079010000}"/>
    <cellStyle name="40% - Accent2 3 2 2" xfId="390" xr:uid="{00000000-0005-0000-0000-00007A010000}"/>
    <cellStyle name="40% - Accent2 3 2 2 2" xfId="391" xr:uid="{00000000-0005-0000-0000-00007B010000}"/>
    <cellStyle name="40% - Accent2 3 2 2 2 2" xfId="392" xr:uid="{00000000-0005-0000-0000-00007C010000}"/>
    <cellStyle name="40% - Accent2 3 2 2 3" xfId="393" xr:uid="{00000000-0005-0000-0000-00007D010000}"/>
    <cellStyle name="40% - Accent2 3 2 3" xfId="394" xr:uid="{00000000-0005-0000-0000-00007E010000}"/>
    <cellStyle name="40% - Accent2 3 2 3 2" xfId="395" xr:uid="{00000000-0005-0000-0000-00007F010000}"/>
    <cellStyle name="40% - Accent2 3 2 4" xfId="396" xr:uid="{00000000-0005-0000-0000-000080010000}"/>
    <cellStyle name="40% - Accent2 3 3" xfId="397" xr:uid="{00000000-0005-0000-0000-000081010000}"/>
    <cellStyle name="40% - Accent2 3 3 2" xfId="398" xr:uid="{00000000-0005-0000-0000-000082010000}"/>
    <cellStyle name="40% - Accent2 3 3 2 2" xfId="399" xr:uid="{00000000-0005-0000-0000-000083010000}"/>
    <cellStyle name="40% - Accent2 3 3 2 2 2" xfId="400" xr:uid="{00000000-0005-0000-0000-000084010000}"/>
    <cellStyle name="40% - Accent2 3 3 2 3" xfId="401" xr:uid="{00000000-0005-0000-0000-000085010000}"/>
    <cellStyle name="40% - Accent2 3 3 3" xfId="402" xr:uid="{00000000-0005-0000-0000-000086010000}"/>
    <cellStyle name="40% - Accent2 3 3 3 2" xfId="403" xr:uid="{00000000-0005-0000-0000-000087010000}"/>
    <cellStyle name="40% - Accent2 3 3 4" xfId="404" xr:uid="{00000000-0005-0000-0000-000088010000}"/>
    <cellStyle name="40% - Accent2 3 4" xfId="405" xr:uid="{00000000-0005-0000-0000-000089010000}"/>
    <cellStyle name="40% - Accent2 3 4 2" xfId="406" xr:uid="{00000000-0005-0000-0000-00008A010000}"/>
    <cellStyle name="40% - Accent2 3 4 2 2" xfId="407" xr:uid="{00000000-0005-0000-0000-00008B010000}"/>
    <cellStyle name="40% - Accent2 3 4 3" xfId="408" xr:uid="{00000000-0005-0000-0000-00008C010000}"/>
    <cellStyle name="40% - Accent2 3 5" xfId="409" xr:uid="{00000000-0005-0000-0000-00008D010000}"/>
    <cellStyle name="40% - Accent2 3 5 2" xfId="410" xr:uid="{00000000-0005-0000-0000-00008E010000}"/>
    <cellStyle name="40% - Accent2 3 6" xfId="411" xr:uid="{00000000-0005-0000-0000-00008F010000}"/>
    <cellStyle name="40% - Accent2 4" xfId="412" xr:uid="{00000000-0005-0000-0000-000090010000}"/>
    <cellStyle name="40% - Accent2 5" xfId="413" xr:uid="{00000000-0005-0000-0000-000091010000}"/>
    <cellStyle name="40% - Accent2 6" xfId="414" xr:uid="{00000000-0005-0000-0000-000092010000}"/>
    <cellStyle name="40% - Accent2 7" xfId="415" xr:uid="{00000000-0005-0000-0000-000093010000}"/>
    <cellStyle name="40% - Accent2 8" xfId="416" xr:uid="{00000000-0005-0000-0000-000094010000}"/>
    <cellStyle name="40% - Accent2 9" xfId="417" xr:uid="{00000000-0005-0000-0000-000095010000}"/>
    <cellStyle name="40% - Accent3 2" xfId="418" xr:uid="{00000000-0005-0000-0000-000096010000}"/>
    <cellStyle name="40% - Accent3 2 10" xfId="419" xr:uid="{00000000-0005-0000-0000-000097010000}"/>
    <cellStyle name="40% - Accent3 2 2" xfId="420" xr:uid="{00000000-0005-0000-0000-000098010000}"/>
    <cellStyle name="40% - Accent3 2 2 2" xfId="421" xr:uid="{00000000-0005-0000-0000-000099010000}"/>
    <cellStyle name="40% - Accent3 2 2 3" xfId="422" xr:uid="{00000000-0005-0000-0000-00009A010000}"/>
    <cellStyle name="40% - Accent3 2 3" xfId="423" xr:uid="{00000000-0005-0000-0000-00009B010000}"/>
    <cellStyle name="40% - Accent3 2 3 2" xfId="424" xr:uid="{00000000-0005-0000-0000-00009C010000}"/>
    <cellStyle name="40% - Accent3 2 4" xfId="425" xr:uid="{00000000-0005-0000-0000-00009D010000}"/>
    <cellStyle name="40% - Accent3 2 5" xfId="426" xr:uid="{00000000-0005-0000-0000-00009E010000}"/>
    <cellStyle name="40% - Accent3 2 6" xfId="427" xr:uid="{00000000-0005-0000-0000-00009F010000}"/>
    <cellStyle name="40% - Accent3 2 7" xfId="428" xr:uid="{00000000-0005-0000-0000-0000A0010000}"/>
    <cellStyle name="40% - Accent3 2 8" xfId="429" xr:uid="{00000000-0005-0000-0000-0000A1010000}"/>
    <cellStyle name="40% - Accent3 2 9" xfId="430" xr:uid="{00000000-0005-0000-0000-0000A2010000}"/>
    <cellStyle name="40% - Accent3 3" xfId="431" xr:uid="{00000000-0005-0000-0000-0000A3010000}"/>
    <cellStyle name="40% - Accent3 3 2" xfId="432" xr:uid="{00000000-0005-0000-0000-0000A4010000}"/>
    <cellStyle name="40% - Accent3 3 2 2" xfId="433" xr:uid="{00000000-0005-0000-0000-0000A5010000}"/>
    <cellStyle name="40% - Accent3 3 2 2 2" xfId="434" xr:uid="{00000000-0005-0000-0000-0000A6010000}"/>
    <cellStyle name="40% - Accent3 3 2 2 2 2" xfId="435" xr:uid="{00000000-0005-0000-0000-0000A7010000}"/>
    <cellStyle name="40% - Accent3 3 2 2 3" xfId="436" xr:uid="{00000000-0005-0000-0000-0000A8010000}"/>
    <cellStyle name="40% - Accent3 3 2 3" xfId="437" xr:uid="{00000000-0005-0000-0000-0000A9010000}"/>
    <cellStyle name="40% - Accent3 3 2 3 2" xfId="438" xr:uid="{00000000-0005-0000-0000-0000AA010000}"/>
    <cellStyle name="40% - Accent3 3 2 4" xfId="439" xr:uid="{00000000-0005-0000-0000-0000AB010000}"/>
    <cellStyle name="40% - Accent3 3 3" xfId="440" xr:uid="{00000000-0005-0000-0000-0000AC010000}"/>
    <cellStyle name="40% - Accent3 3 3 2" xfId="441" xr:uid="{00000000-0005-0000-0000-0000AD010000}"/>
    <cellStyle name="40% - Accent3 3 3 2 2" xfId="442" xr:uid="{00000000-0005-0000-0000-0000AE010000}"/>
    <cellStyle name="40% - Accent3 3 3 2 2 2" xfId="443" xr:uid="{00000000-0005-0000-0000-0000AF010000}"/>
    <cellStyle name="40% - Accent3 3 3 2 3" xfId="444" xr:uid="{00000000-0005-0000-0000-0000B0010000}"/>
    <cellStyle name="40% - Accent3 3 3 3" xfId="445" xr:uid="{00000000-0005-0000-0000-0000B1010000}"/>
    <cellStyle name="40% - Accent3 3 3 3 2" xfId="446" xr:uid="{00000000-0005-0000-0000-0000B2010000}"/>
    <cellStyle name="40% - Accent3 3 3 4" xfId="447" xr:uid="{00000000-0005-0000-0000-0000B3010000}"/>
    <cellStyle name="40% - Accent3 3 4" xfId="448" xr:uid="{00000000-0005-0000-0000-0000B4010000}"/>
    <cellStyle name="40% - Accent3 3 4 2" xfId="449" xr:uid="{00000000-0005-0000-0000-0000B5010000}"/>
    <cellStyle name="40% - Accent3 3 4 2 2" xfId="450" xr:uid="{00000000-0005-0000-0000-0000B6010000}"/>
    <cellStyle name="40% - Accent3 3 4 3" xfId="451" xr:uid="{00000000-0005-0000-0000-0000B7010000}"/>
    <cellStyle name="40% - Accent3 3 5" xfId="452" xr:uid="{00000000-0005-0000-0000-0000B8010000}"/>
    <cellStyle name="40% - Accent3 3 5 2" xfId="453" xr:uid="{00000000-0005-0000-0000-0000B9010000}"/>
    <cellStyle name="40% - Accent3 3 6" xfId="454" xr:uid="{00000000-0005-0000-0000-0000BA010000}"/>
    <cellStyle name="40% - Accent3 4" xfId="455" xr:uid="{00000000-0005-0000-0000-0000BB010000}"/>
    <cellStyle name="40% - Accent3 5" xfId="456" xr:uid="{00000000-0005-0000-0000-0000BC010000}"/>
    <cellStyle name="40% - Accent3 6" xfId="457" xr:uid="{00000000-0005-0000-0000-0000BD010000}"/>
    <cellStyle name="40% - Accent3 7" xfId="458" xr:uid="{00000000-0005-0000-0000-0000BE010000}"/>
    <cellStyle name="40% - Accent3 8" xfId="459" xr:uid="{00000000-0005-0000-0000-0000BF010000}"/>
    <cellStyle name="40% - Accent3 9" xfId="460" xr:uid="{00000000-0005-0000-0000-0000C0010000}"/>
    <cellStyle name="40% - Accent4 2" xfId="461" xr:uid="{00000000-0005-0000-0000-0000C1010000}"/>
    <cellStyle name="40% - Accent4 2 10" xfId="462" xr:uid="{00000000-0005-0000-0000-0000C2010000}"/>
    <cellStyle name="40% - Accent4 2 2" xfId="463" xr:uid="{00000000-0005-0000-0000-0000C3010000}"/>
    <cellStyle name="40% - Accent4 2 2 2" xfId="464" xr:uid="{00000000-0005-0000-0000-0000C4010000}"/>
    <cellStyle name="40% - Accent4 2 2 3" xfId="465" xr:uid="{00000000-0005-0000-0000-0000C5010000}"/>
    <cellStyle name="40% - Accent4 2 3" xfId="466" xr:uid="{00000000-0005-0000-0000-0000C6010000}"/>
    <cellStyle name="40% - Accent4 2 3 2" xfId="467" xr:uid="{00000000-0005-0000-0000-0000C7010000}"/>
    <cellStyle name="40% - Accent4 2 4" xfId="468" xr:uid="{00000000-0005-0000-0000-0000C8010000}"/>
    <cellStyle name="40% - Accent4 2 5" xfId="469" xr:uid="{00000000-0005-0000-0000-0000C9010000}"/>
    <cellStyle name="40% - Accent4 2 6" xfId="470" xr:uid="{00000000-0005-0000-0000-0000CA010000}"/>
    <cellStyle name="40% - Accent4 2 7" xfId="471" xr:uid="{00000000-0005-0000-0000-0000CB010000}"/>
    <cellStyle name="40% - Accent4 2 8" xfId="472" xr:uid="{00000000-0005-0000-0000-0000CC010000}"/>
    <cellStyle name="40% - Accent4 2 9" xfId="473" xr:uid="{00000000-0005-0000-0000-0000CD010000}"/>
    <cellStyle name="40% - Accent4 3" xfId="474" xr:uid="{00000000-0005-0000-0000-0000CE010000}"/>
    <cellStyle name="40% - Accent4 3 2" xfId="475" xr:uid="{00000000-0005-0000-0000-0000CF010000}"/>
    <cellStyle name="40% - Accent4 3 2 2" xfId="476" xr:uid="{00000000-0005-0000-0000-0000D0010000}"/>
    <cellStyle name="40% - Accent4 3 2 2 2" xfId="477" xr:uid="{00000000-0005-0000-0000-0000D1010000}"/>
    <cellStyle name="40% - Accent4 3 2 2 2 2" xfId="478" xr:uid="{00000000-0005-0000-0000-0000D2010000}"/>
    <cellStyle name="40% - Accent4 3 2 2 3" xfId="479" xr:uid="{00000000-0005-0000-0000-0000D3010000}"/>
    <cellStyle name="40% - Accent4 3 2 3" xfId="480" xr:uid="{00000000-0005-0000-0000-0000D4010000}"/>
    <cellStyle name="40% - Accent4 3 2 3 2" xfId="481" xr:uid="{00000000-0005-0000-0000-0000D5010000}"/>
    <cellStyle name="40% - Accent4 3 2 4" xfId="482" xr:uid="{00000000-0005-0000-0000-0000D6010000}"/>
    <cellStyle name="40% - Accent4 3 3" xfId="483" xr:uid="{00000000-0005-0000-0000-0000D7010000}"/>
    <cellStyle name="40% - Accent4 3 3 2" xfId="484" xr:uid="{00000000-0005-0000-0000-0000D8010000}"/>
    <cellStyle name="40% - Accent4 3 3 2 2" xfId="485" xr:uid="{00000000-0005-0000-0000-0000D9010000}"/>
    <cellStyle name="40% - Accent4 3 3 2 2 2" xfId="486" xr:uid="{00000000-0005-0000-0000-0000DA010000}"/>
    <cellStyle name="40% - Accent4 3 3 2 3" xfId="487" xr:uid="{00000000-0005-0000-0000-0000DB010000}"/>
    <cellStyle name="40% - Accent4 3 3 3" xfId="488" xr:uid="{00000000-0005-0000-0000-0000DC010000}"/>
    <cellStyle name="40% - Accent4 3 3 3 2" xfId="489" xr:uid="{00000000-0005-0000-0000-0000DD010000}"/>
    <cellStyle name="40% - Accent4 3 3 4" xfId="490" xr:uid="{00000000-0005-0000-0000-0000DE010000}"/>
    <cellStyle name="40% - Accent4 3 4" xfId="491" xr:uid="{00000000-0005-0000-0000-0000DF010000}"/>
    <cellStyle name="40% - Accent4 3 4 2" xfId="492" xr:uid="{00000000-0005-0000-0000-0000E0010000}"/>
    <cellStyle name="40% - Accent4 3 4 2 2" xfId="493" xr:uid="{00000000-0005-0000-0000-0000E1010000}"/>
    <cellStyle name="40% - Accent4 3 4 3" xfId="494" xr:uid="{00000000-0005-0000-0000-0000E2010000}"/>
    <cellStyle name="40% - Accent4 3 5" xfId="495" xr:uid="{00000000-0005-0000-0000-0000E3010000}"/>
    <cellStyle name="40% - Accent4 3 5 2" xfId="496" xr:uid="{00000000-0005-0000-0000-0000E4010000}"/>
    <cellStyle name="40% - Accent4 3 6" xfId="497" xr:uid="{00000000-0005-0000-0000-0000E5010000}"/>
    <cellStyle name="40% - Accent4 4" xfId="498" xr:uid="{00000000-0005-0000-0000-0000E6010000}"/>
    <cellStyle name="40% - Accent4 5" xfId="499" xr:uid="{00000000-0005-0000-0000-0000E7010000}"/>
    <cellStyle name="40% - Accent4 6" xfId="500" xr:uid="{00000000-0005-0000-0000-0000E8010000}"/>
    <cellStyle name="40% - Accent4 7" xfId="501" xr:uid="{00000000-0005-0000-0000-0000E9010000}"/>
    <cellStyle name="40% - Accent4 8" xfId="502" xr:uid="{00000000-0005-0000-0000-0000EA010000}"/>
    <cellStyle name="40% - Accent4 9" xfId="503" xr:uid="{00000000-0005-0000-0000-0000EB010000}"/>
    <cellStyle name="40% - Accent5 2" xfId="504" xr:uid="{00000000-0005-0000-0000-0000EC010000}"/>
    <cellStyle name="40% - Accent5 2 10" xfId="505" xr:uid="{00000000-0005-0000-0000-0000ED010000}"/>
    <cellStyle name="40% - Accent5 2 2" xfId="506" xr:uid="{00000000-0005-0000-0000-0000EE010000}"/>
    <cellStyle name="40% - Accent5 2 2 2" xfId="507" xr:uid="{00000000-0005-0000-0000-0000EF010000}"/>
    <cellStyle name="40% - Accent5 2 2 3" xfId="508" xr:uid="{00000000-0005-0000-0000-0000F0010000}"/>
    <cellStyle name="40% - Accent5 2 3" xfId="509" xr:uid="{00000000-0005-0000-0000-0000F1010000}"/>
    <cellStyle name="40% - Accent5 2 3 2" xfId="510" xr:uid="{00000000-0005-0000-0000-0000F2010000}"/>
    <cellStyle name="40% - Accent5 2 4" xfId="511" xr:uid="{00000000-0005-0000-0000-0000F3010000}"/>
    <cellStyle name="40% - Accent5 2 5" xfId="512" xr:uid="{00000000-0005-0000-0000-0000F4010000}"/>
    <cellStyle name="40% - Accent5 2 6" xfId="513" xr:uid="{00000000-0005-0000-0000-0000F5010000}"/>
    <cellStyle name="40% - Accent5 2 7" xfId="514" xr:uid="{00000000-0005-0000-0000-0000F6010000}"/>
    <cellStyle name="40% - Accent5 2 8" xfId="515" xr:uid="{00000000-0005-0000-0000-0000F7010000}"/>
    <cellStyle name="40% - Accent5 2 9" xfId="516" xr:uid="{00000000-0005-0000-0000-0000F8010000}"/>
    <cellStyle name="40% - Accent5 3" xfId="517" xr:uid="{00000000-0005-0000-0000-0000F9010000}"/>
    <cellStyle name="40% - Accent5 3 2" xfId="518" xr:uid="{00000000-0005-0000-0000-0000FA010000}"/>
    <cellStyle name="40% - Accent5 3 2 2" xfId="519" xr:uid="{00000000-0005-0000-0000-0000FB010000}"/>
    <cellStyle name="40% - Accent5 3 2 2 2" xfId="520" xr:uid="{00000000-0005-0000-0000-0000FC010000}"/>
    <cellStyle name="40% - Accent5 3 2 2 2 2" xfId="521" xr:uid="{00000000-0005-0000-0000-0000FD010000}"/>
    <cellStyle name="40% - Accent5 3 2 2 3" xfId="522" xr:uid="{00000000-0005-0000-0000-0000FE010000}"/>
    <cellStyle name="40% - Accent5 3 2 3" xfId="523" xr:uid="{00000000-0005-0000-0000-0000FF010000}"/>
    <cellStyle name="40% - Accent5 3 2 3 2" xfId="524" xr:uid="{00000000-0005-0000-0000-000000020000}"/>
    <cellStyle name="40% - Accent5 3 2 4" xfId="525" xr:uid="{00000000-0005-0000-0000-000001020000}"/>
    <cellStyle name="40% - Accent5 3 3" xfId="526" xr:uid="{00000000-0005-0000-0000-000002020000}"/>
    <cellStyle name="40% - Accent5 3 3 2" xfId="527" xr:uid="{00000000-0005-0000-0000-000003020000}"/>
    <cellStyle name="40% - Accent5 3 3 2 2" xfId="528" xr:uid="{00000000-0005-0000-0000-000004020000}"/>
    <cellStyle name="40% - Accent5 3 3 2 2 2" xfId="529" xr:uid="{00000000-0005-0000-0000-000005020000}"/>
    <cellStyle name="40% - Accent5 3 3 2 3" xfId="530" xr:uid="{00000000-0005-0000-0000-000006020000}"/>
    <cellStyle name="40% - Accent5 3 3 3" xfId="531" xr:uid="{00000000-0005-0000-0000-000007020000}"/>
    <cellStyle name="40% - Accent5 3 3 3 2" xfId="532" xr:uid="{00000000-0005-0000-0000-000008020000}"/>
    <cellStyle name="40% - Accent5 3 3 4" xfId="533" xr:uid="{00000000-0005-0000-0000-000009020000}"/>
    <cellStyle name="40% - Accent5 3 4" xfId="534" xr:uid="{00000000-0005-0000-0000-00000A020000}"/>
    <cellStyle name="40% - Accent5 3 4 2" xfId="535" xr:uid="{00000000-0005-0000-0000-00000B020000}"/>
    <cellStyle name="40% - Accent5 3 4 2 2" xfId="536" xr:uid="{00000000-0005-0000-0000-00000C020000}"/>
    <cellStyle name="40% - Accent5 3 4 3" xfId="537" xr:uid="{00000000-0005-0000-0000-00000D020000}"/>
    <cellStyle name="40% - Accent5 3 5" xfId="538" xr:uid="{00000000-0005-0000-0000-00000E020000}"/>
    <cellStyle name="40% - Accent5 3 5 2" xfId="539" xr:uid="{00000000-0005-0000-0000-00000F020000}"/>
    <cellStyle name="40% - Accent5 3 6" xfId="540" xr:uid="{00000000-0005-0000-0000-000010020000}"/>
    <cellStyle name="40% - Accent5 4" xfId="541" xr:uid="{00000000-0005-0000-0000-000011020000}"/>
    <cellStyle name="40% - Accent5 5" xfId="542" xr:uid="{00000000-0005-0000-0000-000012020000}"/>
    <cellStyle name="40% - Accent5 6" xfId="543" xr:uid="{00000000-0005-0000-0000-000013020000}"/>
    <cellStyle name="40% - Accent5 7" xfId="544" xr:uid="{00000000-0005-0000-0000-000014020000}"/>
    <cellStyle name="40% - Accent5 8" xfId="545" xr:uid="{00000000-0005-0000-0000-000015020000}"/>
    <cellStyle name="40% - Accent5 9" xfId="546" xr:uid="{00000000-0005-0000-0000-000016020000}"/>
    <cellStyle name="40% - Accent6 2" xfId="547" xr:uid="{00000000-0005-0000-0000-000017020000}"/>
    <cellStyle name="40% - Accent6 2 10" xfId="548" xr:uid="{00000000-0005-0000-0000-000018020000}"/>
    <cellStyle name="40% - Accent6 2 2" xfId="549" xr:uid="{00000000-0005-0000-0000-000019020000}"/>
    <cellStyle name="40% - Accent6 2 2 2" xfId="550" xr:uid="{00000000-0005-0000-0000-00001A020000}"/>
    <cellStyle name="40% - Accent6 2 2 3" xfId="551" xr:uid="{00000000-0005-0000-0000-00001B020000}"/>
    <cellStyle name="40% - Accent6 2 3" xfId="552" xr:uid="{00000000-0005-0000-0000-00001C020000}"/>
    <cellStyle name="40% - Accent6 2 3 2" xfId="553" xr:uid="{00000000-0005-0000-0000-00001D020000}"/>
    <cellStyle name="40% - Accent6 2 4" xfId="554" xr:uid="{00000000-0005-0000-0000-00001E020000}"/>
    <cellStyle name="40% - Accent6 2 5" xfId="555" xr:uid="{00000000-0005-0000-0000-00001F020000}"/>
    <cellStyle name="40% - Accent6 2 6" xfId="556" xr:uid="{00000000-0005-0000-0000-000020020000}"/>
    <cellStyle name="40% - Accent6 2 7" xfId="557" xr:uid="{00000000-0005-0000-0000-000021020000}"/>
    <cellStyle name="40% - Accent6 2 8" xfId="558" xr:uid="{00000000-0005-0000-0000-000022020000}"/>
    <cellStyle name="40% - Accent6 2 9" xfId="559" xr:uid="{00000000-0005-0000-0000-000023020000}"/>
    <cellStyle name="40% - Accent6 3" xfId="560" xr:uid="{00000000-0005-0000-0000-000024020000}"/>
    <cellStyle name="40% - Accent6 3 2" xfId="561" xr:uid="{00000000-0005-0000-0000-000025020000}"/>
    <cellStyle name="40% - Accent6 3 2 2" xfId="562" xr:uid="{00000000-0005-0000-0000-000026020000}"/>
    <cellStyle name="40% - Accent6 3 2 2 2" xfId="563" xr:uid="{00000000-0005-0000-0000-000027020000}"/>
    <cellStyle name="40% - Accent6 3 2 2 2 2" xfId="564" xr:uid="{00000000-0005-0000-0000-000028020000}"/>
    <cellStyle name="40% - Accent6 3 2 2 3" xfId="565" xr:uid="{00000000-0005-0000-0000-000029020000}"/>
    <cellStyle name="40% - Accent6 3 2 3" xfId="566" xr:uid="{00000000-0005-0000-0000-00002A020000}"/>
    <cellStyle name="40% - Accent6 3 2 3 2" xfId="567" xr:uid="{00000000-0005-0000-0000-00002B020000}"/>
    <cellStyle name="40% - Accent6 3 2 4" xfId="568" xr:uid="{00000000-0005-0000-0000-00002C020000}"/>
    <cellStyle name="40% - Accent6 3 3" xfId="569" xr:uid="{00000000-0005-0000-0000-00002D020000}"/>
    <cellStyle name="40% - Accent6 3 3 2" xfId="570" xr:uid="{00000000-0005-0000-0000-00002E020000}"/>
    <cellStyle name="40% - Accent6 3 3 2 2" xfId="571" xr:uid="{00000000-0005-0000-0000-00002F020000}"/>
    <cellStyle name="40% - Accent6 3 3 2 2 2" xfId="572" xr:uid="{00000000-0005-0000-0000-000030020000}"/>
    <cellStyle name="40% - Accent6 3 3 2 3" xfId="573" xr:uid="{00000000-0005-0000-0000-000031020000}"/>
    <cellStyle name="40% - Accent6 3 3 3" xfId="574" xr:uid="{00000000-0005-0000-0000-000032020000}"/>
    <cellStyle name="40% - Accent6 3 3 3 2" xfId="575" xr:uid="{00000000-0005-0000-0000-000033020000}"/>
    <cellStyle name="40% - Accent6 3 3 4" xfId="576" xr:uid="{00000000-0005-0000-0000-000034020000}"/>
    <cellStyle name="40% - Accent6 3 4" xfId="577" xr:uid="{00000000-0005-0000-0000-000035020000}"/>
    <cellStyle name="40% - Accent6 3 4 2" xfId="578" xr:uid="{00000000-0005-0000-0000-000036020000}"/>
    <cellStyle name="40% - Accent6 3 4 2 2" xfId="579" xr:uid="{00000000-0005-0000-0000-000037020000}"/>
    <cellStyle name="40% - Accent6 3 4 3" xfId="580" xr:uid="{00000000-0005-0000-0000-000038020000}"/>
    <cellStyle name="40% - Accent6 3 5" xfId="581" xr:uid="{00000000-0005-0000-0000-000039020000}"/>
    <cellStyle name="40% - Accent6 3 5 2" xfId="582" xr:uid="{00000000-0005-0000-0000-00003A020000}"/>
    <cellStyle name="40% - Accent6 3 6" xfId="583" xr:uid="{00000000-0005-0000-0000-00003B020000}"/>
    <cellStyle name="40% - Accent6 4" xfId="584" xr:uid="{00000000-0005-0000-0000-00003C020000}"/>
    <cellStyle name="40% - Accent6 5" xfId="585" xr:uid="{00000000-0005-0000-0000-00003D020000}"/>
    <cellStyle name="40% - Accent6 6" xfId="586" xr:uid="{00000000-0005-0000-0000-00003E020000}"/>
    <cellStyle name="40% - Accent6 7" xfId="587" xr:uid="{00000000-0005-0000-0000-00003F020000}"/>
    <cellStyle name="40% - Accent6 8" xfId="588" xr:uid="{00000000-0005-0000-0000-000040020000}"/>
    <cellStyle name="40% - Accent6 9" xfId="589" xr:uid="{00000000-0005-0000-0000-000041020000}"/>
    <cellStyle name="60 % - Accent1" xfId="590" xr:uid="{00000000-0005-0000-0000-000042020000}"/>
    <cellStyle name="60 % - Accent2" xfId="591" xr:uid="{00000000-0005-0000-0000-000043020000}"/>
    <cellStyle name="60 % - Accent3" xfId="592" xr:uid="{00000000-0005-0000-0000-000044020000}"/>
    <cellStyle name="60 % - Accent4" xfId="593" xr:uid="{00000000-0005-0000-0000-000045020000}"/>
    <cellStyle name="60 % - Accent5" xfId="594" xr:uid="{00000000-0005-0000-0000-000046020000}"/>
    <cellStyle name="60 % - Accent6" xfId="595" xr:uid="{00000000-0005-0000-0000-000047020000}"/>
    <cellStyle name="60% - Accent1 2" xfId="596" xr:uid="{00000000-0005-0000-0000-000048020000}"/>
    <cellStyle name="60% - Accent1 2 2" xfId="597" xr:uid="{00000000-0005-0000-0000-000049020000}"/>
    <cellStyle name="60% - Accent1 2 3" xfId="598" xr:uid="{00000000-0005-0000-0000-00004A020000}"/>
    <cellStyle name="60% - Accent1 2 4" xfId="599" xr:uid="{00000000-0005-0000-0000-00004B020000}"/>
    <cellStyle name="60% - Accent1 2 5" xfId="600" xr:uid="{00000000-0005-0000-0000-00004C020000}"/>
    <cellStyle name="60% - Accent1 2 6" xfId="601" xr:uid="{00000000-0005-0000-0000-00004D020000}"/>
    <cellStyle name="60% - Accent1 2 7" xfId="602" xr:uid="{00000000-0005-0000-0000-00004E020000}"/>
    <cellStyle name="60% - Accent1 2 8" xfId="603" xr:uid="{00000000-0005-0000-0000-00004F020000}"/>
    <cellStyle name="60% - Accent1 2 9" xfId="604" xr:uid="{00000000-0005-0000-0000-000050020000}"/>
    <cellStyle name="60% - Accent1 3" xfId="605" xr:uid="{00000000-0005-0000-0000-000051020000}"/>
    <cellStyle name="60% - Accent2 2" xfId="606" xr:uid="{00000000-0005-0000-0000-000052020000}"/>
    <cellStyle name="60% - Accent2 2 2" xfId="607" xr:uid="{00000000-0005-0000-0000-000053020000}"/>
    <cellStyle name="60% - Accent2 2 3" xfId="608" xr:uid="{00000000-0005-0000-0000-000054020000}"/>
    <cellStyle name="60% - Accent2 2 4" xfId="609" xr:uid="{00000000-0005-0000-0000-000055020000}"/>
    <cellStyle name="60% - Accent2 2 5" xfId="610" xr:uid="{00000000-0005-0000-0000-000056020000}"/>
    <cellStyle name="60% - Accent2 2 6" xfId="611" xr:uid="{00000000-0005-0000-0000-000057020000}"/>
    <cellStyle name="60% - Accent2 2 7" xfId="612" xr:uid="{00000000-0005-0000-0000-000058020000}"/>
    <cellStyle name="60% - Accent2 2 8" xfId="613" xr:uid="{00000000-0005-0000-0000-000059020000}"/>
    <cellStyle name="60% - Accent2 2 9" xfId="614" xr:uid="{00000000-0005-0000-0000-00005A020000}"/>
    <cellStyle name="60% - Accent2 3" xfId="615" xr:uid="{00000000-0005-0000-0000-00005B020000}"/>
    <cellStyle name="60% - Accent3 2" xfId="616" xr:uid="{00000000-0005-0000-0000-00005C020000}"/>
    <cellStyle name="60% - Accent3 2 2" xfId="617" xr:uid="{00000000-0005-0000-0000-00005D020000}"/>
    <cellStyle name="60% - Accent3 2 3" xfId="618" xr:uid="{00000000-0005-0000-0000-00005E020000}"/>
    <cellStyle name="60% - Accent3 2 4" xfId="619" xr:uid="{00000000-0005-0000-0000-00005F020000}"/>
    <cellStyle name="60% - Accent3 2 5" xfId="620" xr:uid="{00000000-0005-0000-0000-000060020000}"/>
    <cellStyle name="60% - Accent3 2 6" xfId="621" xr:uid="{00000000-0005-0000-0000-000061020000}"/>
    <cellStyle name="60% - Accent3 2 7" xfId="622" xr:uid="{00000000-0005-0000-0000-000062020000}"/>
    <cellStyle name="60% - Accent3 2 8" xfId="623" xr:uid="{00000000-0005-0000-0000-000063020000}"/>
    <cellStyle name="60% - Accent3 2 9" xfId="624" xr:uid="{00000000-0005-0000-0000-000064020000}"/>
    <cellStyle name="60% - Accent3 3" xfId="625" xr:uid="{00000000-0005-0000-0000-000065020000}"/>
    <cellStyle name="60% - Accent4 2" xfId="626" xr:uid="{00000000-0005-0000-0000-000066020000}"/>
    <cellStyle name="60% - Accent4 2 2" xfId="627" xr:uid="{00000000-0005-0000-0000-000067020000}"/>
    <cellStyle name="60% - Accent4 2 3" xfId="628" xr:uid="{00000000-0005-0000-0000-000068020000}"/>
    <cellStyle name="60% - Accent4 2 4" xfId="629" xr:uid="{00000000-0005-0000-0000-000069020000}"/>
    <cellStyle name="60% - Accent4 2 5" xfId="630" xr:uid="{00000000-0005-0000-0000-00006A020000}"/>
    <cellStyle name="60% - Accent4 2 6" xfId="631" xr:uid="{00000000-0005-0000-0000-00006B020000}"/>
    <cellStyle name="60% - Accent4 2 7" xfId="632" xr:uid="{00000000-0005-0000-0000-00006C020000}"/>
    <cellStyle name="60% - Accent4 2 8" xfId="633" xr:uid="{00000000-0005-0000-0000-00006D020000}"/>
    <cellStyle name="60% - Accent4 2 9" xfId="634" xr:uid="{00000000-0005-0000-0000-00006E020000}"/>
    <cellStyle name="60% - Accent4 3" xfId="635" xr:uid="{00000000-0005-0000-0000-00006F020000}"/>
    <cellStyle name="60% - Accent5 2" xfId="636" xr:uid="{00000000-0005-0000-0000-000070020000}"/>
    <cellStyle name="60% - Accent5 2 2" xfId="637" xr:uid="{00000000-0005-0000-0000-000071020000}"/>
    <cellStyle name="60% - Accent5 2 3" xfId="638" xr:uid="{00000000-0005-0000-0000-000072020000}"/>
    <cellStyle name="60% - Accent5 2 4" xfId="639" xr:uid="{00000000-0005-0000-0000-000073020000}"/>
    <cellStyle name="60% - Accent5 2 5" xfId="640" xr:uid="{00000000-0005-0000-0000-000074020000}"/>
    <cellStyle name="60% - Accent5 2 6" xfId="641" xr:uid="{00000000-0005-0000-0000-000075020000}"/>
    <cellStyle name="60% - Accent5 2 7" xfId="642" xr:uid="{00000000-0005-0000-0000-000076020000}"/>
    <cellStyle name="60% - Accent5 2 8" xfId="643" xr:uid="{00000000-0005-0000-0000-000077020000}"/>
    <cellStyle name="60% - Accent5 2 9" xfId="644" xr:uid="{00000000-0005-0000-0000-000078020000}"/>
    <cellStyle name="60% - Accent5 3" xfId="645" xr:uid="{00000000-0005-0000-0000-000079020000}"/>
    <cellStyle name="60% - Accent6 2" xfId="646" xr:uid="{00000000-0005-0000-0000-00007A020000}"/>
    <cellStyle name="60% - Accent6 2 2" xfId="647" xr:uid="{00000000-0005-0000-0000-00007B020000}"/>
    <cellStyle name="60% - Accent6 2 3" xfId="648" xr:uid="{00000000-0005-0000-0000-00007C020000}"/>
    <cellStyle name="60% - Accent6 2 4" xfId="649" xr:uid="{00000000-0005-0000-0000-00007D020000}"/>
    <cellStyle name="60% - Accent6 2 5" xfId="650" xr:uid="{00000000-0005-0000-0000-00007E020000}"/>
    <cellStyle name="60% - Accent6 2 6" xfId="651" xr:uid="{00000000-0005-0000-0000-00007F020000}"/>
    <cellStyle name="60% - Accent6 2 7" xfId="652" xr:uid="{00000000-0005-0000-0000-000080020000}"/>
    <cellStyle name="60% - Accent6 2 8" xfId="653" xr:uid="{00000000-0005-0000-0000-000081020000}"/>
    <cellStyle name="60% - Accent6 2 9" xfId="654" xr:uid="{00000000-0005-0000-0000-000082020000}"/>
    <cellStyle name="60% - Accent6 3" xfId="655" xr:uid="{00000000-0005-0000-0000-000083020000}"/>
    <cellStyle name="A%" xfId="656" xr:uid="{00000000-0005-0000-0000-000084020000}"/>
    <cellStyle name="A% 2" xfId="4683" xr:uid="{00000000-0005-0000-0000-000085020000}"/>
    <cellStyle name="Accent1 2" xfId="657" xr:uid="{00000000-0005-0000-0000-000085020000}"/>
    <cellStyle name="Accent1 2 2" xfId="658" xr:uid="{00000000-0005-0000-0000-000086020000}"/>
    <cellStyle name="Accent1 2 3" xfId="659" xr:uid="{00000000-0005-0000-0000-000087020000}"/>
    <cellStyle name="Accent1 2 4" xfId="660" xr:uid="{00000000-0005-0000-0000-000088020000}"/>
    <cellStyle name="Accent1 2 5" xfId="661" xr:uid="{00000000-0005-0000-0000-000089020000}"/>
    <cellStyle name="Accent1 2 6" xfId="662" xr:uid="{00000000-0005-0000-0000-00008A020000}"/>
    <cellStyle name="Accent1 2 7" xfId="663" xr:uid="{00000000-0005-0000-0000-00008B020000}"/>
    <cellStyle name="Accent1 2 8" xfId="664" xr:uid="{00000000-0005-0000-0000-00008C020000}"/>
    <cellStyle name="Accent1 2 9" xfId="665" xr:uid="{00000000-0005-0000-0000-00008D020000}"/>
    <cellStyle name="Accent1 3" xfId="666" xr:uid="{00000000-0005-0000-0000-00008E020000}"/>
    <cellStyle name="Accent2 2" xfId="667" xr:uid="{00000000-0005-0000-0000-00008F020000}"/>
    <cellStyle name="Accent2 2 2" xfId="668" xr:uid="{00000000-0005-0000-0000-000090020000}"/>
    <cellStyle name="Accent2 2 3" xfId="669" xr:uid="{00000000-0005-0000-0000-000091020000}"/>
    <cellStyle name="Accent2 2 4" xfId="670" xr:uid="{00000000-0005-0000-0000-000092020000}"/>
    <cellStyle name="Accent2 2 5" xfId="671" xr:uid="{00000000-0005-0000-0000-000093020000}"/>
    <cellStyle name="Accent2 2 6" xfId="672" xr:uid="{00000000-0005-0000-0000-000094020000}"/>
    <cellStyle name="Accent2 2 7" xfId="673" xr:uid="{00000000-0005-0000-0000-000095020000}"/>
    <cellStyle name="Accent2 2 8" xfId="674" xr:uid="{00000000-0005-0000-0000-000096020000}"/>
    <cellStyle name="Accent2 2 9" xfId="675" xr:uid="{00000000-0005-0000-0000-000097020000}"/>
    <cellStyle name="Accent2 3" xfId="676" xr:uid="{00000000-0005-0000-0000-000098020000}"/>
    <cellStyle name="Accent3 2" xfId="677" xr:uid="{00000000-0005-0000-0000-000099020000}"/>
    <cellStyle name="Accent3 2 2" xfId="678" xr:uid="{00000000-0005-0000-0000-00009A020000}"/>
    <cellStyle name="Accent3 2 3" xfId="679" xr:uid="{00000000-0005-0000-0000-00009B020000}"/>
    <cellStyle name="Accent3 2 4" xfId="680" xr:uid="{00000000-0005-0000-0000-00009C020000}"/>
    <cellStyle name="Accent3 2 5" xfId="681" xr:uid="{00000000-0005-0000-0000-00009D020000}"/>
    <cellStyle name="Accent3 2 6" xfId="682" xr:uid="{00000000-0005-0000-0000-00009E020000}"/>
    <cellStyle name="Accent3 2 7" xfId="683" xr:uid="{00000000-0005-0000-0000-00009F020000}"/>
    <cellStyle name="Accent3 2 8" xfId="684" xr:uid="{00000000-0005-0000-0000-0000A0020000}"/>
    <cellStyle name="Accent3 2 9" xfId="685" xr:uid="{00000000-0005-0000-0000-0000A1020000}"/>
    <cellStyle name="Accent3 3" xfId="686" xr:uid="{00000000-0005-0000-0000-0000A2020000}"/>
    <cellStyle name="Accent4 2" xfId="687" xr:uid="{00000000-0005-0000-0000-0000A3020000}"/>
    <cellStyle name="Accent4 2 2" xfId="688" xr:uid="{00000000-0005-0000-0000-0000A4020000}"/>
    <cellStyle name="Accent4 2 3" xfId="689" xr:uid="{00000000-0005-0000-0000-0000A5020000}"/>
    <cellStyle name="Accent4 2 4" xfId="690" xr:uid="{00000000-0005-0000-0000-0000A6020000}"/>
    <cellStyle name="Accent4 2 5" xfId="691" xr:uid="{00000000-0005-0000-0000-0000A7020000}"/>
    <cellStyle name="Accent4 2 6" xfId="692" xr:uid="{00000000-0005-0000-0000-0000A8020000}"/>
    <cellStyle name="Accent4 2 7" xfId="693" xr:uid="{00000000-0005-0000-0000-0000A9020000}"/>
    <cellStyle name="Accent4 2 8" xfId="694" xr:uid="{00000000-0005-0000-0000-0000AA020000}"/>
    <cellStyle name="Accent4 2 9" xfId="695" xr:uid="{00000000-0005-0000-0000-0000AB020000}"/>
    <cellStyle name="Accent4 3" xfId="696" xr:uid="{00000000-0005-0000-0000-0000AC020000}"/>
    <cellStyle name="Accent5 2" xfId="697" xr:uid="{00000000-0005-0000-0000-0000AD020000}"/>
    <cellStyle name="Accent5 2 2" xfId="698" xr:uid="{00000000-0005-0000-0000-0000AE020000}"/>
    <cellStyle name="Accent5 2 3" xfId="699" xr:uid="{00000000-0005-0000-0000-0000AF020000}"/>
    <cellStyle name="Accent5 2 4" xfId="700" xr:uid="{00000000-0005-0000-0000-0000B0020000}"/>
    <cellStyle name="Accent5 2 5" xfId="701" xr:uid="{00000000-0005-0000-0000-0000B1020000}"/>
    <cellStyle name="Accent5 2 6" xfId="702" xr:uid="{00000000-0005-0000-0000-0000B2020000}"/>
    <cellStyle name="Accent5 2 7" xfId="703" xr:uid="{00000000-0005-0000-0000-0000B3020000}"/>
    <cellStyle name="Accent5 2 8" xfId="704" xr:uid="{00000000-0005-0000-0000-0000B4020000}"/>
    <cellStyle name="Accent5 2 9" xfId="705" xr:uid="{00000000-0005-0000-0000-0000B5020000}"/>
    <cellStyle name="Accent5 3" xfId="706" xr:uid="{00000000-0005-0000-0000-0000B6020000}"/>
    <cellStyle name="Accent6 2" xfId="707" xr:uid="{00000000-0005-0000-0000-0000B7020000}"/>
    <cellStyle name="Accent6 2 2" xfId="708" xr:uid="{00000000-0005-0000-0000-0000B8020000}"/>
    <cellStyle name="Accent6 2 3" xfId="709" xr:uid="{00000000-0005-0000-0000-0000B9020000}"/>
    <cellStyle name="Accent6 2 4" xfId="710" xr:uid="{00000000-0005-0000-0000-0000BA020000}"/>
    <cellStyle name="Accent6 2 5" xfId="711" xr:uid="{00000000-0005-0000-0000-0000BB020000}"/>
    <cellStyle name="Accent6 2 6" xfId="712" xr:uid="{00000000-0005-0000-0000-0000BC020000}"/>
    <cellStyle name="Accent6 2 7" xfId="713" xr:uid="{00000000-0005-0000-0000-0000BD020000}"/>
    <cellStyle name="Accent6 2 8" xfId="714" xr:uid="{00000000-0005-0000-0000-0000BE020000}"/>
    <cellStyle name="Accent6 2 9" xfId="715" xr:uid="{00000000-0005-0000-0000-0000BF020000}"/>
    <cellStyle name="Accent6 3" xfId="716" xr:uid="{00000000-0005-0000-0000-0000C0020000}"/>
    <cellStyle name="Accounting w/$" xfId="717" xr:uid="{00000000-0005-0000-0000-0000C1020000}"/>
    <cellStyle name="Accounting w/$ Total" xfId="718" xr:uid="{00000000-0005-0000-0000-0000C2020000}"/>
    <cellStyle name="Accounting w/$ Total 2" xfId="4546" xr:uid="{00000000-0005-0000-0000-0000C2020000}"/>
    <cellStyle name="Accounting w/o $" xfId="719" xr:uid="{00000000-0005-0000-0000-0000C3020000}"/>
    <cellStyle name="Acinput" xfId="720" xr:uid="{00000000-0005-0000-0000-0000C4020000}"/>
    <cellStyle name="Acinput 2" xfId="4684" xr:uid="{00000000-0005-0000-0000-0000C6020000}"/>
    <cellStyle name="Acinput,," xfId="721" xr:uid="{00000000-0005-0000-0000-0000C5020000}"/>
    <cellStyle name="Acinput,, 2" xfId="4685" xr:uid="{00000000-0005-0000-0000-0000C8020000}"/>
    <cellStyle name="Acinput_Merger Model_KN&amp;Fzio_v2.30 - Street" xfId="722" xr:uid="{00000000-0005-0000-0000-0000C6020000}"/>
    <cellStyle name="Acoutput" xfId="723" xr:uid="{00000000-0005-0000-0000-0000C7020000}"/>
    <cellStyle name="Acoutput 2" xfId="4686" xr:uid="{00000000-0005-0000-0000-0000CA020000}"/>
    <cellStyle name="Acoutput,," xfId="724" xr:uid="{00000000-0005-0000-0000-0000C8020000}"/>
    <cellStyle name="Acoutput,, 2" xfId="4687" xr:uid="{00000000-0005-0000-0000-0000CC020000}"/>
    <cellStyle name="Acoutput_CAScomps02" xfId="725" xr:uid="{00000000-0005-0000-0000-0000C9020000}"/>
    <cellStyle name="Actual Date" xfId="726" xr:uid="{00000000-0005-0000-0000-0000CA020000}"/>
    <cellStyle name="AFE" xfId="727" xr:uid="{00000000-0005-0000-0000-0000CB020000}"/>
    <cellStyle name="al" xfId="728" xr:uid="{00000000-0005-0000-0000-0000CC020000}"/>
    <cellStyle name="Amount_EQU_RIGH.XLS_Equity market_Preferred Securities " xfId="729" xr:uid="{00000000-0005-0000-0000-0000CD020000}"/>
    <cellStyle name="Apershare" xfId="730" xr:uid="{00000000-0005-0000-0000-0000CE020000}"/>
    <cellStyle name="Apershare 2" xfId="4688" xr:uid="{00000000-0005-0000-0000-0000D2020000}"/>
    <cellStyle name="Aprice" xfId="731" xr:uid="{00000000-0005-0000-0000-0000CF020000}"/>
    <cellStyle name="Aprice 2" xfId="4689" xr:uid="{00000000-0005-0000-0000-0000D4020000}"/>
    <cellStyle name="ar" xfId="732" xr:uid="{00000000-0005-0000-0000-0000D0020000}"/>
    <cellStyle name="ar 2" xfId="4547" xr:uid="{00000000-0005-0000-0000-0000D0020000}"/>
    <cellStyle name="ar 2 2" xfId="4705" xr:uid="{00000000-0005-0000-0000-0000D6020000}"/>
    <cellStyle name="Arial 10" xfId="733" xr:uid="{00000000-0005-0000-0000-0000D1020000}"/>
    <cellStyle name="Arial 12" xfId="734" xr:uid="{00000000-0005-0000-0000-0000D2020000}"/>
    <cellStyle name="Availability" xfId="735" xr:uid="{00000000-0005-0000-0000-0000D3020000}"/>
    <cellStyle name="Avertissement" xfId="736" xr:uid="{00000000-0005-0000-0000-0000D4020000}"/>
    <cellStyle name="Bad 2" xfId="737" xr:uid="{00000000-0005-0000-0000-0000D5020000}"/>
    <cellStyle name="Bad 2 2" xfId="738" xr:uid="{00000000-0005-0000-0000-0000D6020000}"/>
    <cellStyle name="Bad 2 3" xfId="739" xr:uid="{00000000-0005-0000-0000-0000D7020000}"/>
    <cellStyle name="Bad 2 4" xfId="740" xr:uid="{00000000-0005-0000-0000-0000D8020000}"/>
    <cellStyle name="Bad 2 5" xfId="741" xr:uid="{00000000-0005-0000-0000-0000D9020000}"/>
    <cellStyle name="Bad 2 6" xfId="742" xr:uid="{00000000-0005-0000-0000-0000DA020000}"/>
    <cellStyle name="Bad 2 7" xfId="743" xr:uid="{00000000-0005-0000-0000-0000DB020000}"/>
    <cellStyle name="Bad 2 8" xfId="744" xr:uid="{00000000-0005-0000-0000-0000DC020000}"/>
    <cellStyle name="Bad 2 9" xfId="745" xr:uid="{00000000-0005-0000-0000-0000DD020000}"/>
    <cellStyle name="Bad 3" xfId="746" xr:uid="{00000000-0005-0000-0000-0000DE020000}"/>
    <cellStyle name="Band 2" xfId="747" xr:uid="{00000000-0005-0000-0000-0000DF020000}"/>
    <cellStyle name="Band 2 2" xfId="4690" xr:uid="{00000000-0005-0000-0000-0000E6020000}"/>
    <cellStyle name="Blank" xfId="748" xr:uid="{00000000-0005-0000-0000-0000E0020000}"/>
    <cellStyle name="Blue" xfId="749" xr:uid="{00000000-0005-0000-0000-0000E1020000}"/>
    <cellStyle name="Bold/Border" xfId="750" xr:uid="{00000000-0005-0000-0000-0000E2020000}"/>
    <cellStyle name="Bold/Border 2" xfId="4691" xr:uid="{00000000-0005-0000-0000-0000EA020000}"/>
    <cellStyle name="Bold/Border 3" xfId="4588" xr:uid="{00000000-0005-0000-0000-0000E9020000}"/>
    <cellStyle name="Border Heavy" xfId="751" xr:uid="{00000000-0005-0000-0000-0000E3020000}"/>
    <cellStyle name="Border Heavy 2" xfId="4548" xr:uid="{00000000-0005-0000-0000-0000E3020000}"/>
    <cellStyle name="Border Thin" xfId="752" xr:uid="{00000000-0005-0000-0000-0000E4020000}"/>
    <cellStyle name="Border Thin 2" xfId="4549" xr:uid="{00000000-0005-0000-0000-0000E4020000}"/>
    <cellStyle name="Border Thin 3" xfId="4587" xr:uid="{00000000-0005-0000-0000-0000EC020000}"/>
    <cellStyle name="Border, Bottom" xfId="753" xr:uid="{00000000-0005-0000-0000-0000E5020000}"/>
    <cellStyle name="Border, Bottom 2" xfId="4550" xr:uid="{00000000-0005-0000-0000-0000E5020000}"/>
    <cellStyle name="Border, Left" xfId="754" xr:uid="{00000000-0005-0000-0000-0000E6020000}"/>
    <cellStyle name="Border, Left 2" xfId="4692" xr:uid="{00000000-0005-0000-0000-0000F0020000}"/>
    <cellStyle name="Border, Right" xfId="755" xr:uid="{00000000-0005-0000-0000-0000E7020000}"/>
    <cellStyle name="Border, Top" xfId="756" xr:uid="{00000000-0005-0000-0000-0000E8020000}"/>
    <cellStyle name="Border, Top 2" xfId="4551" xr:uid="{00000000-0005-0000-0000-0000E8020000}"/>
    <cellStyle name="British Pound" xfId="757" xr:uid="{00000000-0005-0000-0000-0000E9020000}"/>
    <cellStyle name="BritPound" xfId="758" xr:uid="{00000000-0005-0000-0000-0000EA020000}"/>
    <cellStyle name="Bullet" xfId="759" xr:uid="{00000000-0005-0000-0000-0000EB020000}"/>
    <cellStyle name="Calc Currency (0)" xfId="760" xr:uid="{00000000-0005-0000-0000-0000EC020000}"/>
    <cellStyle name="Calc Currency (2)" xfId="761" xr:uid="{00000000-0005-0000-0000-0000ED020000}"/>
    <cellStyle name="Calc Percent (0)" xfId="762" xr:uid="{00000000-0005-0000-0000-0000EE020000}"/>
    <cellStyle name="Calc Percent (1)" xfId="763" xr:uid="{00000000-0005-0000-0000-0000EF020000}"/>
    <cellStyle name="Calc Percent (2)" xfId="764" xr:uid="{00000000-0005-0000-0000-0000F0020000}"/>
    <cellStyle name="Calc Units (0)" xfId="765" xr:uid="{00000000-0005-0000-0000-0000F1020000}"/>
    <cellStyle name="Calc Units (1)" xfId="766" xr:uid="{00000000-0005-0000-0000-0000F2020000}"/>
    <cellStyle name="Calc Units (2)" xfId="767" xr:uid="{00000000-0005-0000-0000-0000F3020000}"/>
    <cellStyle name="Calcul" xfId="768" xr:uid="{00000000-0005-0000-0000-0000F4020000}"/>
    <cellStyle name="Calcul 2" xfId="4552" xr:uid="{00000000-0005-0000-0000-0000F4020000}"/>
    <cellStyle name="Calculation 2" xfId="769" xr:uid="{00000000-0005-0000-0000-0000F5020000}"/>
    <cellStyle name="Calculation 2 10" xfId="4553" xr:uid="{00000000-0005-0000-0000-0000F5020000}"/>
    <cellStyle name="Calculation 2 10 2" xfId="4708" xr:uid="{00000000-0005-0000-0000-000000030000}"/>
    <cellStyle name="Calculation 2 2" xfId="770" xr:uid="{00000000-0005-0000-0000-0000F6020000}"/>
    <cellStyle name="Calculation 2 2 2" xfId="771" xr:uid="{00000000-0005-0000-0000-0000F7020000}"/>
    <cellStyle name="Calculation 2 2 2 2" xfId="4729" xr:uid="{00000000-0005-0000-0000-000003030000}"/>
    <cellStyle name="Calculation 2 2 2 3" xfId="4627" xr:uid="{00000000-0005-0000-0000-000002030000}"/>
    <cellStyle name="Calculation 2 2 3" xfId="4554" xr:uid="{00000000-0005-0000-0000-0000F6020000}"/>
    <cellStyle name="Calculation 2 2 3 2" xfId="4715" xr:uid="{00000000-0005-0000-0000-000004030000}"/>
    <cellStyle name="Calculation 2 3" xfId="772" xr:uid="{00000000-0005-0000-0000-0000F8020000}"/>
    <cellStyle name="Calculation 2 3 2" xfId="4555" xr:uid="{00000000-0005-0000-0000-0000F8020000}"/>
    <cellStyle name="Calculation 2 3 2 2" xfId="4723" xr:uid="{00000000-0005-0000-0000-000006030000}"/>
    <cellStyle name="Calculation 2 4" xfId="773" xr:uid="{00000000-0005-0000-0000-0000F9020000}"/>
    <cellStyle name="Calculation 2 5" xfId="774" xr:uid="{00000000-0005-0000-0000-0000FA020000}"/>
    <cellStyle name="Calculation 2 6" xfId="775" xr:uid="{00000000-0005-0000-0000-0000FB020000}"/>
    <cellStyle name="Calculation 2 7" xfId="776" xr:uid="{00000000-0005-0000-0000-0000FC020000}"/>
    <cellStyle name="Calculation 2 8" xfId="777" xr:uid="{00000000-0005-0000-0000-0000FD020000}"/>
    <cellStyle name="Calculation 2 9" xfId="778" xr:uid="{00000000-0005-0000-0000-0000FE020000}"/>
    <cellStyle name="Calculation 3" xfId="779" xr:uid="{00000000-0005-0000-0000-0000FF020000}"/>
    <cellStyle name="Case" xfId="780" xr:uid="{00000000-0005-0000-0000-000000030000}"/>
    <cellStyle name="Cellule liée" xfId="781" xr:uid="{00000000-0005-0000-0000-000001030000}"/>
    <cellStyle name="Check" xfId="782" xr:uid="{00000000-0005-0000-0000-000002030000}"/>
    <cellStyle name="Check Cell 2" xfId="783" xr:uid="{00000000-0005-0000-0000-000003030000}"/>
    <cellStyle name="Check Cell 2 2" xfId="784" xr:uid="{00000000-0005-0000-0000-000004030000}"/>
    <cellStyle name="Check Cell 2 3" xfId="785" xr:uid="{00000000-0005-0000-0000-000005030000}"/>
    <cellStyle name="Check Cell 2 4" xfId="786" xr:uid="{00000000-0005-0000-0000-000006030000}"/>
    <cellStyle name="Check Cell 2 5" xfId="787" xr:uid="{00000000-0005-0000-0000-000007030000}"/>
    <cellStyle name="Check Cell 2 6" xfId="788" xr:uid="{00000000-0005-0000-0000-000008030000}"/>
    <cellStyle name="Check Cell 2 7" xfId="789" xr:uid="{00000000-0005-0000-0000-000009030000}"/>
    <cellStyle name="Check Cell 2 8" xfId="790" xr:uid="{00000000-0005-0000-0000-00000A030000}"/>
    <cellStyle name="Check Cell 2 9" xfId="791" xr:uid="{00000000-0005-0000-0000-00000B030000}"/>
    <cellStyle name="Check Cell 3" xfId="792" xr:uid="{00000000-0005-0000-0000-00000C030000}"/>
    <cellStyle name="Chiffre" xfId="793" xr:uid="{00000000-0005-0000-0000-00000D030000}"/>
    <cellStyle name="Colhead_left" xfId="794" xr:uid="{00000000-0005-0000-0000-00000E030000}"/>
    <cellStyle name="ColHeading" xfId="795" xr:uid="{00000000-0005-0000-0000-00000F030000}"/>
    <cellStyle name="Column Title" xfId="796" xr:uid="{00000000-0005-0000-0000-000010030000}"/>
    <cellStyle name="ColumnHeadings" xfId="797" xr:uid="{00000000-0005-0000-0000-000011030000}"/>
    <cellStyle name="ColumnHeadings2" xfId="798" xr:uid="{00000000-0005-0000-0000-000012030000}"/>
    <cellStyle name="ColumnHeadings2 2" xfId="4556" xr:uid="{00000000-0005-0000-0000-000012030000}"/>
    <cellStyle name="Comma" xfId="1" builtinId="3"/>
    <cellStyle name="Comma  - Style1" xfId="799" xr:uid="{00000000-0005-0000-0000-000013030000}"/>
    <cellStyle name="Comma  - Style2" xfId="800" xr:uid="{00000000-0005-0000-0000-000014030000}"/>
    <cellStyle name="Comma  - Style3" xfId="801" xr:uid="{00000000-0005-0000-0000-000015030000}"/>
    <cellStyle name="Comma  - Style4" xfId="802" xr:uid="{00000000-0005-0000-0000-000016030000}"/>
    <cellStyle name="Comma  - Style5" xfId="803" xr:uid="{00000000-0005-0000-0000-000017030000}"/>
    <cellStyle name="Comma  - Style6" xfId="804" xr:uid="{00000000-0005-0000-0000-000018030000}"/>
    <cellStyle name="Comma  - Style7" xfId="805" xr:uid="{00000000-0005-0000-0000-000019030000}"/>
    <cellStyle name="Comma  - Style8" xfId="806" xr:uid="{00000000-0005-0000-0000-00001A030000}"/>
    <cellStyle name="Comma ," xfId="807" xr:uid="{00000000-0005-0000-0000-00001B030000}"/>
    <cellStyle name="Comma [00]" xfId="808" xr:uid="{00000000-0005-0000-0000-00001C030000}"/>
    <cellStyle name="Comma [1]" xfId="809" xr:uid="{00000000-0005-0000-0000-00001D030000}"/>
    <cellStyle name="Comma [2]" xfId="810" xr:uid="{00000000-0005-0000-0000-00001E030000}"/>
    <cellStyle name="Comma [3]" xfId="811" xr:uid="{00000000-0005-0000-0000-00001F030000}"/>
    <cellStyle name="Comma 0" xfId="812" xr:uid="{00000000-0005-0000-0000-000020030000}"/>
    <cellStyle name="Comma 0*" xfId="813" xr:uid="{00000000-0005-0000-0000-000021030000}"/>
    <cellStyle name="Comma 0_Merger Model_KN&amp;Fzio_v2.30 - Street" xfId="814" xr:uid="{00000000-0005-0000-0000-000022030000}"/>
    <cellStyle name="Comma 10" xfId="815" xr:uid="{00000000-0005-0000-0000-000023030000}"/>
    <cellStyle name="Comma 10 2" xfId="816" xr:uid="{00000000-0005-0000-0000-000024030000}"/>
    <cellStyle name="Comma 10 3" xfId="817" xr:uid="{00000000-0005-0000-0000-000025030000}"/>
    <cellStyle name="Comma 10 4" xfId="818" xr:uid="{00000000-0005-0000-0000-000026030000}"/>
    <cellStyle name="Comma 10 5" xfId="819" xr:uid="{00000000-0005-0000-0000-000027030000}"/>
    <cellStyle name="Comma 11" xfId="820" xr:uid="{00000000-0005-0000-0000-000028030000}"/>
    <cellStyle name="Comma 12" xfId="821" xr:uid="{00000000-0005-0000-0000-000029030000}"/>
    <cellStyle name="Comma 13" xfId="4617" xr:uid="{00000000-0005-0000-0000-000038030000}"/>
    <cellStyle name="Comma 14" xfId="4696" xr:uid="{00000000-0005-0000-0000-000039030000}"/>
    <cellStyle name="Comma 15" xfId="4700" xr:uid="{00000000-0005-0000-0000-00003A030000}"/>
    <cellStyle name="Comma 16" xfId="4702" xr:uid="{00000000-0005-0000-0000-00003B030000}"/>
    <cellStyle name="Comma 17" xfId="4701" xr:uid="{00000000-0005-0000-0000-00003C030000}"/>
    <cellStyle name="Comma 2" xfId="2" xr:uid="{00000000-0005-0000-0000-000001000000}"/>
    <cellStyle name="Comma 2 10" xfId="823" xr:uid="{00000000-0005-0000-0000-00002B030000}"/>
    <cellStyle name="Comma 2 11" xfId="824" xr:uid="{00000000-0005-0000-0000-00002C030000}"/>
    <cellStyle name="Comma 2 11 2" xfId="825" xr:uid="{00000000-0005-0000-0000-00002D030000}"/>
    <cellStyle name="Comma 2 11 2 2" xfId="826" xr:uid="{00000000-0005-0000-0000-00002E030000}"/>
    <cellStyle name="Comma 2 11 3" xfId="827" xr:uid="{00000000-0005-0000-0000-00002F030000}"/>
    <cellStyle name="Comma 2 12" xfId="828" xr:uid="{00000000-0005-0000-0000-000030030000}"/>
    <cellStyle name="Comma 2 12 2" xfId="829" xr:uid="{00000000-0005-0000-0000-000031030000}"/>
    <cellStyle name="Comma 2 13" xfId="830" xr:uid="{00000000-0005-0000-0000-000032030000}"/>
    <cellStyle name="Comma 2 14" xfId="831" xr:uid="{00000000-0005-0000-0000-000033030000}"/>
    <cellStyle name="Comma 2 15" xfId="832" xr:uid="{00000000-0005-0000-0000-000034030000}"/>
    <cellStyle name="Comma 2 16" xfId="833" xr:uid="{00000000-0005-0000-0000-000035030000}"/>
    <cellStyle name="Comma 2 17" xfId="834" xr:uid="{00000000-0005-0000-0000-000036030000}"/>
    <cellStyle name="Comma 2 18" xfId="835" xr:uid="{00000000-0005-0000-0000-000037030000}"/>
    <cellStyle name="Comma 2 19" xfId="836" xr:uid="{00000000-0005-0000-0000-000038030000}"/>
    <cellStyle name="Comma 2 2" xfId="837" xr:uid="{00000000-0005-0000-0000-000039030000}"/>
    <cellStyle name="Comma 2 2 10" xfId="838" xr:uid="{00000000-0005-0000-0000-00003A030000}"/>
    <cellStyle name="Comma 2 2 11" xfId="839" xr:uid="{00000000-0005-0000-0000-00003B030000}"/>
    <cellStyle name="Comma 2 2 12" xfId="4663" xr:uid="{00000000-0005-0000-0000-00004C030000}"/>
    <cellStyle name="Comma 2 2 2" xfId="840" xr:uid="{00000000-0005-0000-0000-00003C030000}"/>
    <cellStyle name="Comma 2 2 2 2" xfId="841" xr:uid="{00000000-0005-0000-0000-00003D030000}"/>
    <cellStyle name="Comma 2 2 3" xfId="842" xr:uid="{00000000-0005-0000-0000-00003E030000}"/>
    <cellStyle name="Comma 2 2 4" xfId="843" xr:uid="{00000000-0005-0000-0000-00003F030000}"/>
    <cellStyle name="Comma 2 2 5" xfId="844" xr:uid="{00000000-0005-0000-0000-000040030000}"/>
    <cellStyle name="Comma 2 2 6" xfId="845" xr:uid="{00000000-0005-0000-0000-000041030000}"/>
    <cellStyle name="Comma 2 2 7" xfId="846" xr:uid="{00000000-0005-0000-0000-000042030000}"/>
    <cellStyle name="Comma 2 2 8" xfId="847" xr:uid="{00000000-0005-0000-0000-000043030000}"/>
    <cellStyle name="Comma 2 2 9" xfId="848" xr:uid="{00000000-0005-0000-0000-000044030000}"/>
    <cellStyle name="Comma 2 20" xfId="822" xr:uid="{00000000-0005-0000-0000-00002A030000}"/>
    <cellStyle name="Comma 2 3" xfId="849" xr:uid="{00000000-0005-0000-0000-000045030000}"/>
    <cellStyle name="Comma 2 3 2" xfId="850" xr:uid="{00000000-0005-0000-0000-000046030000}"/>
    <cellStyle name="Comma 2 3 3" xfId="851" xr:uid="{00000000-0005-0000-0000-000047030000}"/>
    <cellStyle name="Comma 2 3 4" xfId="852" xr:uid="{00000000-0005-0000-0000-000048030000}"/>
    <cellStyle name="Comma 2 3 5" xfId="853" xr:uid="{00000000-0005-0000-0000-000049030000}"/>
    <cellStyle name="Comma 2 3 6" xfId="854" xr:uid="{00000000-0005-0000-0000-00004A030000}"/>
    <cellStyle name="Comma 2 3 7" xfId="855" xr:uid="{00000000-0005-0000-0000-00004B030000}"/>
    <cellStyle name="Comma 2 3 8" xfId="856" xr:uid="{00000000-0005-0000-0000-00004C030000}"/>
    <cellStyle name="Comma 2 3 9" xfId="4650" xr:uid="{00000000-0005-0000-0000-000058030000}"/>
    <cellStyle name="Comma 2 4" xfId="857" xr:uid="{00000000-0005-0000-0000-00004D030000}"/>
    <cellStyle name="Comma 2 4 2" xfId="858" xr:uid="{00000000-0005-0000-0000-00004E030000}"/>
    <cellStyle name="Comma 2 4 3" xfId="859" xr:uid="{00000000-0005-0000-0000-00004F030000}"/>
    <cellStyle name="Comma 2 5" xfId="860" xr:uid="{00000000-0005-0000-0000-000050030000}"/>
    <cellStyle name="Comma 2 5 2" xfId="861" xr:uid="{00000000-0005-0000-0000-000051030000}"/>
    <cellStyle name="Comma 2 5 2 2" xfId="862" xr:uid="{00000000-0005-0000-0000-000052030000}"/>
    <cellStyle name="Comma 2 5 2 2 2" xfId="863" xr:uid="{00000000-0005-0000-0000-000053030000}"/>
    <cellStyle name="Comma 2 5 2 2 2 2" xfId="864" xr:uid="{00000000-0005-0000-0000-000054030000}"/>
    <cellStyle name="Comma 2 5 2 2 3" xfId="865" xr:uid="{00000000-0005-0000-0000-000055030000}"/>
    <cellStyle name="Comma 2 5 2 3" xfId="866" xr:uid="{00000000-0005-0000-0000-000056030000}"/>
    <cellStyle name="Comma 2 5 2 3 2" xfId="867" xr:uid="{00000000-0005-0000-0000-000057030000}"/>
    <cellStyle name="Comma 2 5 2 4" xfId="868" xr:uid="{00000000-0005-0000-0000-000058030000}"/>
    <cellStyle name="Comma 2 5 3" xfId="869" xr:uid="{00000000-0005-0000-0000-000059030000}"/>
    <cellStyle name="Comma 2 5 3 2" xfId="870" xr:uid="{00000000-0005-0000-0000-00005A030000}"/>
    <cellStyle name="Comma 2 5 3 2 2" xfId="871" xr:uid="{00000000-0005-0000-0000-00005B030000}"/>
    <cellStyle name="Comma 2 5 3 2 2 2" xfId="872" xr:uid="{00000000-0005-0000-0000-00005C030000}"/>
    <cellStyle name="Comma 2 5 3 2 3" xfId="873" xr:uid="{00000000-0005-0000-0000-00005D030000}"/>
    <cellStyle name="Comma 2 5 3 3" xfId="874" xr:uid="{00000000-0005-0000-0000-00005E030000}"/>
    <cellStyle name="Comma 2 5 3 3 2" xfId="875" xr:uid="{00000000-0005-0000-0000-00005F030000}"/>
    <cellStyle name="Comma 2 5 3 4" xfId="876" xr:uid="{00000000-0005-0000-0000-000060030000}"/>
    <cellStyle name="Comma 2 5 4" xfId="877" xr:uid="{00000000-0005-0000-0000-000061030000}"/>
    <cellStyle name="Comma 2 5 4 2" xfId="878" xr:uid="{00000000-0005-0000-0000-000062030000}"/>
    <cellStyle name="Comma 2 5 4 2 2" xfId="879" xr:uid="{00000000-0005-0000-0000-000063030000}"/>
    <cellStyle name="Comma 2 5 4 3" xfId="880" xr:uid="{00000000-0005-0000-0000-000064030000}"/>
    <cellStyle name="Comma 2 5 5" xfId="881" xr:uid="{00000000-0005-0000-0000-000065030000}"/>
    <cellStyle name="Comma 2 5 5 2" xfId="882" xr:uid="{00000000-0005-0000-0000-000066030000}"/>
    <cellStyle name="Comma 2 5 6" xfId="883" xr:uid="{00000000-0005-0000-0000-000067030000}"/>
    <cellStyle name="Comma 2 6" xfId="884" xr:uid="{00000000-0005-0000-0000-000068030000}"/>
    <cellStyle name="Comma 2 6 2" xfId="885" xr:uid="{00000000-0005-0000-0000-000069030000}"/>
    <cellStyle name="Comma 2 6 2 2" xfId="886" xr:uid="{00000000-0005-0000-0000-00006A030000}"/>
    <cellStyle name="Comma 2 6 2 2 2" xfId="887" xr:uid="{00000000-0005-0000-0000-00006B030000}"/>
    <cellStyle name="Comma 2 6 2 3" xfId="888" xr:uid="{00000000-0005-0000-0000-00006C030000}"/>
    <cellStyle name="Comma 2 6 3" xfId="889" xr:uid="{00000000-0005-0000-0000-00006D030000}"/>
    <cellStyle name="Comma 2 6 3 2" xfId="890" xr:uid="{00000000-0005-0000-0000-00006E030000}"/>
    <cellStyle name="Comma 2 6 4" xfId="891" xr:uid="{00000000-0005-0000-0000-00006F030000}"/>
    <cellStyle name="Comma 2 7" xfId="892" xr:uid="{00000000-0005-0000-0000-000070030000}"/>
    <cellStyle name="Comma 2 7 2" xfId="893" xr:uid="{00000000-0005-0000-0000-000071030000}"/>
    <cellStyle name="Comma 2 7 2 2" xfId="894" xr:uid="{00000000-0005-0000-0000-000072030000}"/>
    <cellStyle name="Comma 2 7 2 2 2" xfId="895" xr:uid="{00000000-0005-0000-0000-000073030000}"/>
    <cellStyle name="Comma 2 7 2 3" xfId="896" xr:uid="{00000000-0005-0000-0000-000074030000}"/>
    <cellStyle name="Comma 2 7 3" xfId="897" xr:uid="{00000000-0005-0000-0000-000075030000}"/>
    <cellStyle name="Comma 2 7 3 2" xfId="898" xr:uid="{00000000-0005-0000-0000-000076030000}"/>
    <cellStyle name="Comma 2 7 4" xfId="899" xr:uid="{00000000-0005-0000-0000-000077030000}"/>
    <cellStyle name="Comma 2 8" xfId="900" xr:uid="{00000000-0005-0000-0000-000078030000}"/>
    <cellStyle name="Comma 2 9" xfId="901" xr:uid="{00000000-0005-0000-0000-000079030000}"/>
    <cellStyle name="Comma 2 9 2" xfId="902" xr:uid="{00000000-0005-0000-0000-00007A030000}"/>
    <cellStyle name="Comma 2 9 2 2" xfId="903" xr:uid="{00000000-0005-0000-0000-00007B030000}"/>
    <cellStyle name="Comma 2 9 3" xfId="904" xr:uid="{00000000-0005-0000-0000-00007C030000}"/>
    <cellStyle name="Comma 2*" xfId="905" xr:uid="{00000000-0005-0000-0000-00007D030000}"/>
    <cellStyle name="Comma 3" xfId="906" xr:uid="{00000000-0005-0000-0000-00007E030000}"/>
    <cellStyle name="Comma 3 10" xfId="4662" xr:uid="{00000000-0005-0000-0000-000091030000}"/>
    <cellStyle name="Comma 3 2" xfId="907" xr:uid="{00000000-0005-0000-0000-00007F030000}"/>
    <cellStyle name="Comma 3 2 2" xfId="908" xr:uid="{00000000-0005-0000-0000-000080030000}"/>
    <cellStyle name="Comma 3 3" xfId="909" xr:uid="{00000000-0005-0000-0000-000081030000}"/>
    <cellStyle name="Comma 3 3 2" xfId="910" xr:uid="{00000000-0005-0000-0000-000082030000}"/>
    <cellStyle name="Comma 3 3 2 2" xfId="911" xr:uid="{00000000-0005-0000-0000-000083030000}"/>
    <cellStyle name="Comma 3 3 3" xfId="912" xr:uid="{00000000-0005-0000-0000-000084030000}"/>
    <cellStyle name="Comma 3 3 4" xfId="913" xr:uid="{00000000-0005-0000-0000-000085030000}"/>
    <cellStyle name="Comma 3 4" xfId="914" xr:uid="{00000000-0005-0000-0000-000086030000}"/>
    <cellStyle name="Comma 3 4 2" xfId="915" xr:uid="{00000000-0005-0000-0000-000087030000}"/>
    <cellStyle name="Comma 3 4 3" xfId="916" xr:uid="{00000000-0005-0000-0000-000088030000}"/>
    <cellStyle name="Comma 3 5" xfId="917" xr:uid="{00000000-0005-0000-0000-000089030000}"/>
    <cellStyle name="Comma 3 6" xfId="918" xr:uid="{00000000-0005-0000-0000-00008A030000}"/>
    <cellStyle name="Comma 3 7" xfId="919" xr:uid="{00000000-0005-0000-0000-00008B030000}"/>
    <cellStyle name="Comma 3 8" xfId="920" xr:uid="{00000000-0005-0000-0000-00008C030000}"/>
    <cellStyle name="Comma 3 9" xfId="921" xr:uid="{00000000-0005-0000-0000-00008D030000}"/>
    <cellStyle name="Comma 4" xfId="922" xr:uid="{00000000-0005-0000-0000-00008E030000}"/>
    <cellStyle name="Comma 4 10" xfId="923" xr:uid="{00000000-0005-0000-0000-00008F030000}"/>
    <cellStyle name="Comma 4 11" xfId="924" xr:uid="{00000000-0005-0000-0000-000090030000}"/>
    <cellStyle name="Comma 4 12" xfId="925" xr:uid="{00000000-0005-0000-0000-000091030000}"/>
    <cellStyle name="Comma 4 13" xfId="926" xr:uid="{00000000-0005-0000-0000-000092030000}"/>
    <cellStyle name="Comma 4 14" xfId="927" xr:uid="{00000000-0005-0000-0000-000093030000}"/>
    <cellStyle name="Comma 4 2" xfId="928" xr:uid="{00000000-0005-0000-0000-000094030000}"/>
    <cellStyle name="Comma 4 2 2" xfId="929" xr:uid="{00000000-0005-0000-0000-000095030000}"/>
    <cellStyle name="Comma 4 2 2 2" xfId="930" xr:uid="{00000000-0005-0000-0000-000096030000}"/>
    <cellStyle name="Comma 4 2 2 2 2" xfId="931" xr:uid="{00000000-0005-0000-0000-000097030000}"/>
    <cellStyle name="Comma 4 2 2 3" xfId="932" xr:uid="{00000000-0005-0000-0000-000098030000}"/>
    <cellStyle name="Comma 4 2 3" xfId="933" xr:uid="{00000000-0005-0000-0000-000099030000}"/>
    <cellStyle name="Comma 4 2 3 2" xfId="934" xr:uid="{00000000-0005-0000-0000-00009A030000}"/>
    <cellStyle name="Comma 4 2 4" xfId="935" xr:uid="{00000000-0005-0000-0000-00009B030000}"/>
    <cellStyle name="Comma 4 2 5" xfId="936" xr:uid="{00000000-0005-0000-0000-00009C030000}"/>
    <cellStyle name="Comma 4 3" xfId="937" xr:uid="{00000000-0005-0000-0000-00009D030000}"/>
    <cellStyle name="Comma 4 3 2" xfId="938" xr:uid="{00000000-0005-0000-0000-00009E030000}"/>
    <cellStyle name="Comma 4 3 2 2" xfId="939" xr:uid="{00000000-0005-0000-0000-00009F030000}"/>
    <cellStyle name="Comma 4 3 2 2 2" xfId="940" xr:uid="{00000000-0005-0000-0000-0000A0030000}"/>
    <cellStyle name="Comma 4 3 2 3" xfId="941" xr:uid="{00000000-0005-0000-0000-0000A1030000}"/>
    <cellStyle name="Comma 4 3 3" xfId="942" xr:uid="{00000000-0005-0000-0000-0000A2030000}"/>
    <cellStyle name="Comma 4 3 3 2" xfId="943" xr:uid="{00000000-0005-0000-0000-0000A3030000}"/>
    <cellStyle name="Comma 4 3 4" xfId="944" xr:uid="{00000000-0005-0000-0000-0000A4030000}"/>
    <cellStyle name="Comma 4 4" xfId="945" xr:uid="{00000000-0005-0000-0000-0000A5030000}"/>
    <cellStyle name="Comma 4 4 2" xfId="946" xr:uid="{00000000-0005-0000-0000-0000A6030000}"/>
    <cellStyle name="Comma 4 4 2 2" xfId="947" xr:uid="{00000000-0005-0000-0000-0000A7030000}"/>
    <cellStyle name="Comma 4 4 2 2 2" xfId="948" xr:uid="{00000000-0005-0000-0000-0000A8030000}"/>
    <cellStyle name="Comma 4 4 2 3" xfId="949" xr:uid="{00000000-0005-0000-0000-0000A9030000}"/>
    <cellStyle name="Comma 4 4 3" xfId="950" xr:uid="{00000000-0005-0000-0000-0000AA030000}"/>
    <cellStyle name="Comma 4 4 3 2" xfId="951" xr:uid="{00000000-0005-0000-0000-0000AB030000}"/>
    <cellStyle name="Comma 4 4 4" xfId="952" xr:uid="{00000000-0005-0000-0000-0000AC030000}"/>
    <cellStyle name="Comma 4 5" xfId="953" xr:uid="{00000000-0005-0000-0000-0000AD030000}"/>
    <cellStyle name="Comma 4 5 2" xfId="954" xr:uid="{00000000-0005-0000-0000-0000AE030000}"/>
    <cellStyle name="Comma 4 5 2 2" xfId="955" xr:uid="{00000000-0005-0000-0000-0000AF030000}"/>
    <cellStyle name="Comma 4 5 3" xfId="956" xr:uid="{00000000-0005-0000-0000-0000B0030000}"/>
    <cellStyle name="Comma 4 6" xfId="957" xr:uid="{00000000-0005-0000-0000-0000B1030000}"/>
    <cellStyle name="Comma 4 6 2" xfId="958" xr:uid="{00000000-0005-0000-0000-0000B2030000}"/>
    <cellStyle name="Comma 4 6 2 2" xfId="959" xr:uid="{00000000-0005-0000-0000-0000B3030000}"/>
    <cellStyle name="Comma 4 6 3" xfId="960" xr:uid="{00000000-0005-0000-0000-0000B4030000}"/>
    <cellStyle name="Comma 4 7" xfId="961" xr:uid="{00000000-0005-0000-0000-0000B5030000}"/>
    <cellStyle name="Comma 4 7 2" xfId="962" xr:uid="{00000000-0005-0000-0000-0000B6030000}"/>
    <cellStyle name="Comma 4 8" xfId="963" xr:uid="{00000000-0005-0000-0000-0000B7030000}"/>
    <cellStyle name="Comma 4 9" xfId="964" xr:uid="{00000000-0005-0000-0000-0000B8030000}"/>
    <cellStyle name="Comma 5" xfId="3" xr:uid="{00000000-0005-0000-0000-000002000000}"/>
    <cellStyle name="Comma 5 10" xfId="966" xr:uid="{00000000-0005-0000-0000-0000BA030000}"/>
    <cellStyle name="Comma 5 11" xfId="967" xr:uid="{00000000-0005-0000-0000-0000BB030000}"/>
    <cellStyle name="Comma 5 12" xfId="968" xr:uid="{00000000-0005-0000-0000-0000BC030000}"/>
    <cellStyle name="Comma 5 13" xfId="965" xr:uid="{00000000-0005-0000-0000-0000B9030000}"/>
    <cellStyle name="Comma 5 14" xfId="4621" xr:uid="{00000000-0005-0000-0000-0000CC030000}"/>
    <cellStyle name="Comma 5 2" xfId="969" xr:uid="{00000000-0005-0000-0000-0000BD030000}"/>
    <cellStyle name="Comma 5 2 2" xfId="970" xr:uid="{00000000-0005-0000-0000-0000BE030000}"/>
    <cellStyle name="Comma 5 2 2 2" xfId="971" xr:uid="{00000000-0005-0000-0000-0000BF030000}"/>
    <cellStyle name="Comma 5 2 2 2 2" xfId="972" xr:uid="{00000000-0005-0000-0000-0000C0030000}"/>
    <cellStyle name="Comma 5 2 2 3" xfId="973" xr:uid="{00000000-0005-0000-0000-0000C1030000}"/>
    <cellStyle name="Comma 5 2 3" xfId="974" xr:uid="{00000000-0005-0000-0000-0000C2030000}"/>
    <cellStyle name="Comma 5 2 3 2" xfId="975" xr:uid="{00000000-0005-0000-0000-0000C3030000}"/>
    <cellStyle name="Comma 5 2 4" xfId="976" xr:uid="{00000000-0005-0000-0000-0000C4030000}"/>
    <cellStyle name="Comma 5 3" xfId="977" xr:uid="{00000000-0005-0000-0000-0000C5030000}"/>
    <cellStyle name="Comma 5 3 2" xfId="978" xr:uid="{00000000-0005-0000-0000-0000C6030000}"/>
    <cellStyle name="Comma 5 3 2 2" xfId="979" xr:uid="{00000000-0005-0000-0000-0000C7030000}"/>
    <cellStyle name="Comma 5 3 2 2 2" xfId="980" xr:uid="{00000000-0005-0000-0000-0000C8030000}"/>
    <cellStyle name="Comma 5 3 2 3" xfId="981" xr:uid="{00000000-0005-0000-0000-0000C9030000}"/>
    <cellStyle name="Comma 5 3 3" xfId="982" xr:uid="{00000000-0005-0000-0000-0000CA030000}"/>
    <cellStyle name="Comma 5 3 3 2" xfId="983" xr:uid="{00000000-0005-0000-0000-0000CB030000}"/>
    <cellStyle name="Comma 5 3 4" xfId="984" xr:uid="{00000000-0005-0000-0000-0000CC030000}"/>
    <cellStyle name="Comma 5 4" xfId="985" xr:uid="{00000000-0005-0000-0000-0000CD030000}"/>
    <cellStyle name="Comma 5 4 2" xfId="986" xr:uid="{00000000-0005-0000-0000-0000CE030000}"/>
    <cellStyle name="Comma 5 4 2 2" xfId="987" xr:uid="{00000000-0005-0000-0000-0000CF030000}"/>
    <cellStyle name="Comma 5 4 3" xfId="988" xr:uid="{00000000-0005-0000-0000-0000D0030000}"/>
    <cellStyle name="Comma 5 5" xfId="989" xr:uid="{00000000-0005-0000-0000-0000D1030000}"/>
    <cellStyle name="Comma 5 5 2" xfId="990" xr:uid="{00000000-0005-0000-0000-0000D2030000}"/>
    <cellStyle name="Comma 5 5 2 2" xfId="991" xr:uid="{00000000-0005-0000-0000-0000D3030000}"/>
    <cellStyle name="Comma 5 5 3" xfId="992" xr:uid="{00000000-0005-0000-0000-0000D4030000}"/>
    <cellStyle name="Comma 5 6" xfId="993" xr:uid="{00000000-0005-0000-0000-0000D5030000}"/>
    <cellStyle name="Comma 5 6 2" xfId="994" xr:uid="{00000000-0005-0000-0000-0000D6030000}"/>
    <cellStyle name="Comma 5 7" xfId="995" xr:uid="{00000000-0005-0000-0000-0000D7030000}"/>
    <cellStyle name="Comma 5 8" xfId="996" xr:uid="{00000000-0005-0000-0000-0000D8030000}"/>
    <cellStyle name="Comma 5 9" xfId="997" xr:uid="{00000000-0005-0000-0000-0000D9030000}"/>
    <cellStyle name="Comma 6" xfId="4" xr:uid="{00000000-0005-0000-0000-000003000000}"/>
    <cellStyle name="Comma 6 2" xfId="999" xr:uid="{00000000-0005-0000-0000-0000DB030000}"/>
    <cellStyle name="Comma 6 3" xfId="1000" xr:uid="{00000000-0005-0000-0000-0000DC030000}"/>
    <cellStyle name="Comma 6 4" xfId="1001" xr:uid="{00000000-0005-0000-0000-0000DD030000}"/>
    <cellStyle name="Comma 6 5" xfId="1002" xr:uid="{00000000-0005-0000-0000-0000DE030000}"/>
    <cellStyle name="Comma 6 6" xfId="1003" xr:uid="{00000000-0005-0000-0000-0000DF030000}"/>
    <cellStyle name="Comma 6 7" xfId="998" xr:uid="{00000000-0005-0000-0000-0000DA030000}"/>
    <cellStyle name="Comma 6 7 2" xfId="4594" xr:uid="{00000000-0005-0000-0000-0000F3030000}"/>
    <cellStyle name="Comma 6 8" xfId="4620" xr:uid="{00000000-0005-0000-0000-0000ED030000}"/>
    <cellStyle name="Comma 7" xfId="1004" xr:uid="{00000000-0005-0000-0000-0000E0030000}"/>
    <cellStyle name="Comma 7 2" xfId="1005" xr:uid="{00000000-0005-0000-0000-0000E1030000}"/>
    <cellStyle name="Comma 7 2 2" xfId="1006" xr:uid="{00000000-0005-0000-0000-0000E2030000}"/>
    <cellStyle name="Comma 7 2 2 2" xfId="1007" xr:uid="{00000000-0005-0000-0000-0000E3030000}"/>
    <cellStyle name="Comma 7 2 3" xfId="1008" xr:uid="{00000000-0005-0000-0000-0000E4030000}"/>
    <cellStyle name="Comma 7 3" xfId="1009" xr:uid="{00000000-0005-0000-0000-0000E5030000}"/>
    <cellStyle name="Comma 7 3 2" xfId="1010" xr:uid="{00000000-0005-0000-0000-0000E6030000}"/>
    <cellStyle name="Comma 7 4" xfId="1011" xr:uid="{00000000-0005-0000-0000-0000E7030000}"/>
    <cellStyle name="Comma 7 5" xfId="1012" xr:uid="{00000000-0005-0000-0000-0000E8030000}"/>
    <cellStyle name="Comma 7 6" xfId="1013" xr:uid="{00000000-0005-0000-0000-0000E9030000}"/>
    <cellStyle name="Comma 7 7" xfId="1014" xr:uid="{00000000-0005-0000-0000-0000EA030000}"/>
    <cellStyle name="Comma 7 8" xfId="1015" xr:uid="{00000000-0005-0000-0000-0000EB030000}"/>
    <cellStyle name="Comma 8" xfId="1016" xr:uid="{00000000-0005-0000-0000-0000EC030000}"/>
    <cellStyle name="Comma 8 2" xfId="1017" xr:uid="{00000000-0005-0000-0000-0000ED030000}"/>
    <cellStyle name="Comma 8 2 2" xfId="1018" xr:uid="{00000000-0005-0000-0000-0000EE030000}"/>
    <cellStyle name="Comma 8 3" xfId="1019" xr:uid="{00000000-0005-0000-0000-0000EF030000}"/>
    <cellStyle name="Comma 8 4" xfId="1020" xr:uid="{00000000-0005-0000-0000-0000F0030000}"/>
    <cellStyle name="Comma 8 5" xfId="1021" xr:uid="{00000000-0005-0000-0000-0000F1030000}"/>
    <cellStyle name="Comma 8 6" xfId="1022" xr:uid="{00000000-0005-0000-0000-0000F2030000}"/>
    <cellStyle name="Comma 8 7" xfId="1023" xr:uid="{00000000-0005-0000-0000-0000F3030000}"/>
    <cellStyle name="Comma 9" xfId="1024" xr:uid="{00000000-0005-0000-0000-0000F4030000}"/>
    <cellStyle name="Comma 9 2" xfId="1025" xr:uid="{00000000-0005-0000-0000-0000F5030000}"/>
    <cellStyle name="Comma 9 3" xfId="1026" xr:uid="{00000000-0005-0000-0000-0000F6030000}"/>
    <cellStyle name="Comma 9 4" xfId="1027" xr:uid="{00000000-0005-0000-0000-0000F7030000}"/>
    <cellStyle name="Comma 9 5" xfId="1028" xr:uid="{00000000-0005-0000-0000-0000F8030000}"/>
    <cellStyle name="Comma0" xfId="1029" xr:uid="{00000000-0005-0000-0000-0000F9030000}"/>
    <cellStyle name="Comma2 (0)" xfId="1030" xr:uid="{00000000-0005-0000-0000-0000FA030000}"/>
    <cellStyle name="Comment" xfId="1031" xr:uid="{00000000-0005-0000-0000-0000FB030000}"/>
    <cellStyle name="Commentaire" xfId="1032" xr:uid="{00000000-0005-0000-0000-0000FC030000}"/>
    <cellStyle name="Commentaire 2" xfId="4557" xr:uid="{00000000-0005-0000-0000-0000FC030000}"/>
    <cellStyle name="Company" xfId="1033" xr:uid="{00000000-0005-0000-0000-0000FD030000}"/>
    <cellStyle name="CurRatio" xfId="1034" xr:uid="{00000000-0005-0000-0000-0000FE030000}"/>
    <cellStyle name="Currency--" xfId="1035" xr:uid="{00000000-0005-0000-0000-0000FF030000}"/>
    <cellStyle name="Currency [00]" xfId="1036" xr:uid="{00000000-0005-0000-0000-000000040000}"/>
    <cellStyle name="Currency [1]" xfId="1037" xr:uid="{00000000-0005-0000-0000-000001040000}"/>
    <cellStyle name="Currency [2]" xfId="1038" xr:uid="{00000000-0005-0000-0000-000002040000}"/>
    <cellStyle name="Currency [2] 2" xfId="4558" xr:uid="{00000000-0005-0000-0000-000002040000}"/>
    <cellStyle name="Currency [2] 2 2" xfId="4704" xr:uid="{00000000-0005-0000-0000-000018040000}"/>
    <cellStyle name="Currency [3]" xfId="1039" xr:uid="{00000000-0005-0000-0000-000003040000}"/>
    <cellStyle name="Currency 0" xfId="1040" xr:uid="{00000000-0005-0000-0000-000004040000}"/>
    <cellStyle name="Currency 10" xfId="1041" xr:uid="{00000000-0005-0000-0000-000005040000}"/>
    <cellStyle name="Currency 10 2" xfId="1042" xr:uid="{00000000-0005-0000-0000-000006040000}"/>
    <cellStyle name="Currency 10 2 2" xfId="1043" xr:uid="{00000000-0005-0000-0000-000007040000}"/>
    <cellStyle name="Currency 10 2 2 2" xfId="1044" xr:uid="{00000000-0005-0000-0000-000008040000}"/>
    <cellStyle name="Currency 10 2 2 2 2" xfId="1045" xr:uid="{00000000-0005-0000-0000-000009040000}"/>
    <cellStyle name="Currency 10 2 2 3" xfId="1046" xr:uid="{00000000-0005-0000-0000-00000A040000}"/>
    <cellStyle name="Currency 10 2 3" xfId="1047" xr:uid="{00000000-0005-0000-0000-00000B040000}"/>
    <cellStyle name="Currency 10 2 3 2" xfId="1048" xr:uid="{00000000-0005-0000-0000-00000C040000}"/>
    <cellStyle name="Currency 10 2 4" xfId="1049" xr:uid="{00000000-0005-0000-0000-00000D040000}"/>
    <cellStyle name="Currency 10 3" xfId="1050" xr:uid="{00000000-0005-0000-0000-00000E040000}"/>
    <cellStyle name="Currency 10 3 2" xfId="1051" xr:uid="{00000000-0005-0000-0000-00000F040000}"/>
    <cellStyle name="Currency 10 3 2 2" xfId="1052" xr:uid="{00000000-0005-0000-0000-000010040000}"/>
    <cellStyle name="Currency 10 3 2 2 2" xfId="1053" xr:uid="{00000000-0005-0000-0000-000011040000}"/>
    <cellStyle name="Currency 10 3 2 3" xfId="1054" xr:uid="{00000000-0005-0000-0000-000012040000}"/>
    <cellStyle name="Currency 10 3 3" xfId="1055" xr:uid="{00000000-0005-0000-0000-000013040000}"/>
    <cellStyle name="Currency 10 3 3 2" xfId="1056" xr:uid="{00000000-0005-0000-0000-000014040000}"/>
    <cellStyle name="Currency 10 3 4" xfId="1057" xr:uid="{00000000-0005-0000-0000-000015040000}"/>
    <cellStyle name="Currency 10 4" xfId="1058" xr:uid="{00000000-0005-0000-0000-000016040000}"/>
    <cellStyle name="Currency 10 4 2" xfId="1059" xr:uid="{00000000-0005-0000-0000-000017040000}"/>
    <cellStyle name="Currency 10 4 2 2" xfId="1060" xr:uid="{00000000-0005-0000-0000-000018040000}"/>
    <cellStyle name="Currency 10 4 3" xfId="1061" xr:uid="{00000000-0005-0000-0000-000019040000}"/>
    <cellStyle name="Currency 10 5" xfId="1062" xr:uid="{00000000-0005-0000-0000-00001A040000}"/>
    <cellStyle name="Currency 10 5 2" xfId="1063" xr:uid="{00000000-0005-0000-0000-00001B040000}"/>
    <cellStyle name="Currency 10 6" xfId="1064" xr:uid="{00000000-0005-0000-0000-00001C040000}"/>
    <cellStyle name="Currency 11" xfId="1065" xr:uid="{00000000-0005-0000-0000-00001D040000}"/>
    <cellStyle name="Currency 11 2" xfId="1066" xr:uid="{00000000-0005-0000-0000-00001E040000}"/>
    <cellStyle name="Currency 11 2 2" xfId="1067" xr:uid="{00000000-0005-0000-0000-00001F040000}"/>
    <cellStyle name="Currency 11 2 2 2" xfId="1068" xr:uid="{00000000-0005-0000-0000-000020040000}"/>
    <cellStyle name="Currency 11 2 2 2 2" xfId="1069" xr:uid="{00000000-0005-0000-0000-000021040000}"/>
    <cellStyle name="Currency 11 2 2 3" xfId="1070" xr:uid="{00000000-0005-0000-0000-000022040000}"/>
    <cellStyle name="Currency 11 2 3" xfId="1071" xr:uid="{00000000-0005-0000-0000-000023040000}"/>
    <cellStyle name="Currency 11 2 3 2" xfId="1072" xr:uid="{00000000-0005-0000-0000-000024040000}"/>
    <cellStyle name="Currency 11 2 4" xfId="1073" xr:uid="{00000000-0005-0000-0000-000025040000}"/>
    <cellStyle name="Currency 11 3" xfId="1074" xr:uid="{00000000-0005-0000-0000-000026040000}"/>
    <cellStyle name="Currency 11 3 2" xfId="1075" xr:uid="{00000000-0005-0000-0000-000027040000}"/>
    <cellStyle name="Currency 11 3 2 2" xfId="1076" xr:uid="{00000000-0005-0000-0000-000028040000}"/>
    <cellStyle name="Currency 11 3 2 2 2" xfId="1077" xr:uid="{00000000-0005-0000-0000-000029040000}"/>
    <cellStyle name="Currency 11 3 2 3" xfId="1078" xr:uid="{00000000-0005-0000-0000-00002A040000}"/>
    <cellStyle name="Currency 11 3 3" xfId="1079" xr:uid="{00000000-0005-0000-0000-00002B040000}"/>
    <cellStyle name="Currency 11 3 3 2" xfId="1080" xr:uid="{00000000-0005-0000-0000-00002C040000}"/>
    <cellStyle name="Currency 11 3 4" xfId="1081" xr:uid="{00000000-0005-0000-0000-00002D040000}"/>
    <cellStyle name="Currency 11 4" xfId="1082" xr:uid="{00000000-0005-0000-0000-00002E040000}"/>
    <cellStyle name="Currency 11 4 2" xfId="1083" xr:uid="{00000000-0005-0000-0000-00002F040000}"/>
    <cellStyle name="Currency 11 4 2 2" xfId="1084" xr:uid="{00000000-0005-0000-0000-000030040000}"/>
    <cellStyle name="Currency 11 4 3" xfId="1085" xr:uid="{00000000-0005-0000-0000-000031040000}"/>
    <cellStyle name="Currency 11 5" xfId="1086" xr:uid="{00000000-0005-0000-0000-000032040000}"/>
    <cellStyle name="Currency 11 5 2" xfId="1087" xr:uid="{00000000-0005-0000-0000-000033040000}"/>
    <cellStyle name="Currency 11 6" xfId="1088" xr:uid="{00000000-0005-0000-0000-000034040000}"/>
    <cellStyle name="Currency 12" xfId="1089" xr:uid="{00000000-0005-0000-0000-000035040000}"/>
    <cellStyle name="Currency 13" xfId="1090" xr:uid="{00000000-0005-0000-0000-000036040000}"/>
    <cellStyle name="Currency 14" xfId="1091" xr:uid="{00000000-0005-0000-0000-000037040000}"/>
    <cellStyle name="Currency 14 2" xfId="1092" xr:uid="{00000000-0005-0000-0000-000038040000}"/>
    <cellStyle name="Currency 14 2 2" xfId="1093" xr:uid="{00000000-0005-0000-0000-000039040000}"/>
    <cellStyle name="Currency 14 2 2 2" xfId="1094" xr:uid="{00000000-0005-0000-0000-00003A040000}"/>
    <cellStyle name="Currency 14 2 2 2 2" xfId="1095" xr:uid="{00000000-0005-0000-0000-00003B040000}"/>
    <cellStyle name="Currency 14 2 2 3" xfId="1096" xr:uid="{00000000-0005-0000-0000-00003C040000}"/>
    <cellStyle name="Currency 14 2 3" xfId="1097" xr:uid="{00000000-0005-0000-0000-00003D040000}"/>
    <cellStyle name="Currency 14 2 3 2" xfId="1098" xr:uid="{00000000-0005-0000-0000-00003E040000}"/>
    <cellStyle name="Currency 14 2 4" xfId="1099" xr:uid="{00000000-0005-0000-0000-00003F040000}"/>
    <cellStyle name="Currency 14 3" xfId="1100" xr:uid="{00000000-0005-0000-0000-000040040000}"/>
    <cellStyle name="Currency 14 3 2" xfId="1101" xr:uid="{00000000-0005-0000-0000-000041040000}"/>
    <cellStyle name="Currency 14 3 2 2" xfId="1102" xr:uid="{00000000-0005-0000-0000-000042040000}"/>
    <cellStyle name="Currency 14 3 2 2 2" xfId="1103" xr:uid="{00000000-0005-0000-0000-000043040000}"/>
    <cellStyle name="Currency 14 3 2 3" xfId="1104" xr:uid="{00000000-0005-0000-0000-000044040000}"/>
    <cellStyle name="Currency 14 3 3" xfId="1105" xr:uid="{00000000-0005-0000-0000-000045040000}"/>
    <cellStyle name="Currency 14 3 3 2" xfId="1106" xr:uid="{00000000-0005-0000-0000-000046040000}"/>
    <cellStyle name="Currency 14 3 4" xfId="1107" xr:uid="{00000000-0005-0000-0000-000047040000}"/>
    <cellStyle name="Currency 14 4" xfId="1108" xr:uid="{00000000-0005-0000-0000-000048040000}"/>
    <cellStyle name="Currency 14 4 2" xfId="1109" xr:uid="{00000000-0005-0000-0000-000049040000}"/>
    <cellStyle name="Currency 14 4 2 2" xfId="1110" xr:uid="{00000000-0005-0000-0000-00004A040000}"/>
    <cellStyle name="Currency 14 4 2 2 2" xfId="1111" xr:uid="{00000000-0005-0000-0000-00004B040000}"/>
    <cellStyle name="Currency 14 4 2 3" xfId="1112" xr:uid="{00000000-0005-0000-0000-00004C040000}"/>
    <cellStyle name="Currency 14 4 3" xfId="1113" xr:uid="{00000000-0005-0000-0000-00004D040000}"/>
    <cellStyle name="Currency 14 4 3 2" xfId="1114" xr:uid="{00000000-0005-0000-0000-00004E040000}"/>
    <cellStyle name="Currency 14 4 4" xfId="1115" xr:uid="{00000000-0005-0000-0000-00004F040000}"/>
    <cellStyle name="Currency 14 5" xfId="1116" xr:uid="{00000000-0005-0000-0000-000050040000}"/>
    <cellStyle name="Currency 14 5 2" xfId="1117" xr:uid="{00000000-0005-0000-0000-000051040000}"/>
    <cellStyle name="Currency 14 5 2 2" xfId="1118" xr:uid="{00000000-0005-0000-0000-000052040000}"/>
    <cellStyle name="Currency 14 5 3" xfId="1119" xr:uid="{00000000-0005-0000-0000-000053040000}"/>
    <cellStyle name="Currency 14 6" xfId="1120" xr:uid="{00000000-0005-0000-0000-000054040000}"/>
    <cellStyle name="Currency 14 6 2" xfId="1121" xr:uid="{00000000-0005-0000-0000-000055040000}"/>
    <cellStyle name="Currency 14 7" xfId="1122" xr:uid="{00000000-0005-0000-0000-000056040000}"/>
    <cellStyle name="Currency 15" xfId="1123" xr:uid="{00000000-0005-0000-0000-000057040000}"/>
    <cellStyle name="Currency 15 2" xfId="1124" xr:uid="{00000000-0005-0000-0000-000058040000}"/>
    <cellStyle name="Currency 15 2 2" xfId="1125" xr:uid="{00000000-0005-0000-0000-000059040000}"/>
    <cellStyle name="Currency 15 2 2 2" xfId="1126" xr:uid="{00000000-0005-0000-0000-00005A040000}"/>
    <cellStyle name="Currency 15 2 3" xfId="1127" xr:uid="{00000000-0005-0000-0000-00005B040000}"/>
    <cellStyle name="Currency 15 3" xfId="1128" xr:uid="{00000000-0005-0000-0000-00005C040000}"/>
    <cellStyle name="Currency 15 3 2" xfId="1129" xr:uid="{00000000-0005-0000-0000-00005D040000}"/>
    <cellStyle name="Currency 15 4" xfId="1130" xr:uid="{00000000-0005-0000-0000-00005E040000}"/>
    <cellStyle name="Currency 16" xfId="1131" xr:uid="{00000000-0005-0000-0000-00005F040000}"/>
    <cellStyle name="Currency 16 2" xfId="1132" xr:uid="{00000000-0005-0000-0000-000060040000}"/>
    <cellStyle name="Currency 17" xfId="1133" xr:uid="{00000000-0005-0000-0000-000061040000}"/>
    <cellStyle name="Currency 18" xfId="1134" xr:uid="{00000000-0005-0000-0000-000062040000}"/>
    <cellStyle name="Currency 19" xfId="1135" xr:uid="{00000000-0005-0000-0000-000063040000}"/>
    <cellStyle name="Currency 19 2" xfId="1136" xr:uid="{00000000-0005-0000-0000-000064040000}"/>
    <cellStyle name="Currency 19 2 2" xfId="1137" xr:uid="{00000000-0005-0000-0000-000065040000}"/>
    <cellStyle name="Currency 19 2 2 2" xfId="1138" xr:uid="{00000000-0005-0000-0000-000066040000}"/>
    <cellStyle name="Currency 19 2 2 2 2" xfId="1139" xr:uid="{00000000-0005-0000-0000-000067040000}"/>
    <cellStyle name="Currency 19 2 2 3" xfId="1140" xr:uid="{00000000-0005-0000-0000-000068040000}"/>
    <cellStyle name="Currency 19 2 3" xfId="1141" xr:uid="{00000000-0005-0000-0000-000069040000}"/>
    <cellStyle name="Currency 19 2 3 2" xfId="1142" xr:uid="{00000000-0005-0000-0000-00006A040000}"/>
    <cellStyle name="Currency 19 2 4" xfId="1143" xr:uid="{00000000-0005-0000-0000-00006B040000}"/>
    <cellStyle name="Currency 19 3" xfId="1144" xr:uid="{00000000-0005-0000-0000-00006C040000}"/>
    <cellStyle name="Currency 19 3 2" xfId="1145" xr:uid="{00000000-0005-0000-0000-00006D040000}"/>
    <cellStyle name="Currency 19 3 2 2" xfId="1146" xr:uid="{00000000-0005-0000-0000-00006E040000}"/>
    <cellStyle name="Currency 19 3 2 2 2" xfId="1147" xr:uid="{00000000-0005-0000-0000-00006F040000}"/>
    <cellStyle name="Currency 19 3 2 3" xfId="1148" xr:uid="{00000000-0005-0000-0000-000070040000}"/>
    <cellStyle name="Currency 19 3 3" xfId="1149" xr:uid="{00000000-0005-0000-0000-000071040000}"/>
    <cellStyle name="Currency 19 3 3 2" xfId="1150" xr:uid="{00000000-0005-0000-0000-000072040000}"/>
    <cellStyle name="Currency 19 3 4" xfId="1151" xr:uid="{00000000-0005-0000-0000-000073040000}"/>
    <cellStyle name="Currency 19 4" xfId="1152" xr:uid="{00000000-0005-0000-0000-000074040000}"/>
    <cellStyle name="Currency 19 4 2" xfId="1153" xr:uid="{00000000-0005-0000-0000-000075040000}"/>
    <cellStyle name="Currency 19 4 2 2" xfId="1154" xr:uid="{00000000-0005-0000-0000-000076040000}"/>
    <cellStyle name="Currency 19 4 3" xfId="1155" xr:uid="{00000000-0005-0000-0000-000077040000}"/>
    <cellStyle name="Currency 19 5" xfId="1156" xr:uid="{00000000-0005-0000-0000-000078040000}"/>
    <cellStyle name="Currency 19 5 2" xfId="1157" xr:uid="{00000000-0005-0000-0000-000079040000}"/>
    <cellStyle name="Currency 19 6" xfId="1158" xr:uid="{00000000-0005-0000-0000-00007A040000}"/>
    <cellStyle name="Currency 2" xfId="1159" xr:uid="{00000000-0005-0000-0000-00007B040000}"/>
    <cellStyle name="Currency 2 10" xfId="1160" xr:uid="{00000000-0005-0000-0000-00007C040000}"/>
    <cellStyle name="Currency 2 10 2" xfId="1161" xr:uid="{00000000-0005-0000-0000-00007D040000}"/>
    <cellStyle name="Currency 2 10 2 2" xfId="1162" xr:uid="{00000000-0005-0000-0000-00007E040000}"/>
    <cellStyle name="Currency 2 10 3" xfId="1163" xr:uid="{00000000-0005-0000-0000-00007F040000}"/>
    <cellStyle name="Currency 2 11" xfId="1164" xr:uid="{00000000-0005-0000-0000-000080040000}"/>
    <cellStyle name="Currency 2 12" xfId="1165" xr:uid="{00000000-0005-0000-0000-000081040000}"/>
    <cellStyle name="Currency 2 13" xfId="1166" xr:uid="{00000000-0005-0000-0000-000082040000}"/>
    <cellStyle name="Currency 2 14" xfId="1167" xr:uid="{00000000-0005-0000-0000-000083040000}"/>
    <cellStyle name="Currency 2 15" xfId="1168" xr:uid="{00000000-0005-0000-0000-000084040000}"/>
    <cellStyle name="Currency 2 16" xfId="1169" xr:uid="{00000000-0005-0000-0000-000085040000}"/>
    <cellStyle name="Currency 2 17" xfId="1170" xr:uid="{00000000-0005-0000-0000-000086040000}"/>
    <cellStyle name="Currency 2 18" xfId="1171" xr:uid="{00000000-0005-0000-0000-000087040000}"/>
    <cellStyle name="Currency 2 2" xfId="1172" xr:uid="{00000000-0005-0000-0000-000088040000}"/>
    <cellStyle name="Currency 2 2 10" xfId="1173" xr:uid="{00000000-0005-0000-0000-000089040000}"/>
    <cellStyle name="Currency 2 2 11" xfId="1174" xr:uid="{00000000-0005-0000-0000-00008A040000}"/>
    <cellStyle name="Currency 2 2 2" xfId="1175" xr:uid="{00000000-0005-0000-0000-00008B040000}"/>
    <cellStyle name="Currency 2 2 3" xfId="1176" xr:uid="{00000000-0005-0000-0000-00008C040000}"/>
    <cellStyle name="Currency 2 2 4" xfId="1177" xr:uid="{00000000-0005-0000-0000-00008D040000}"/>
    <cellStyle name="Currency 2 2 5" xfId="1178" xr:uid="{00000000-0005-0000-0000-00008E040000}"/>
    <cellStyle name="Currency 2 2 6" xfId="1179" xr:uid="{00000000-0005-0000-0000-00008F040000}"/>
    <cellStyle name="Currency 2 2 7" xfId="1180" xr:uid="{00000000-0005-0000-0000-000090040000}"/>
    <cellStyle name="Currency 2 2 8" xfId="1181" xr:uid="{00000000-0005-0000-0000-000091040000}"/>
    <cellStyle name="Currency 2 2 9" xfId="1182" xr:uid="{00000000-0005-0000-0000-000092040000}"/>
    <cellStyle name="Currency 2 3" xfId="1183" xr:uid="{00000000-0005-0000-0000-000093040000}"/>
    <cellStyle name="Currency 2 3 2" xfId="1184" xr:uid="{00000000-0005-0000-0000-000094040000}"/>
    <cellStyle name="Currency 2 3 3" xfId="1185" xr:uid="{00000000-0005-0000-0000-000095040000}"/>
    <cellStyle name="Currency 2 3 4" xfId="1186" xr:uid="{00000000-0005-0000-0000-000096040000}"/>
    <cellStyle name="Currency 2 3 5" xfId="1187" xr:uid="{00000000-0005-0000-0000-000097040000}"/>
    <cellStyle name="Currency 2 4" xfId="1188" xr:uid="{00000000-0005-0000-0000-000098040000}"/>
    <cellStyle name="Currency 2 5" xfId="1189" xr:uid="{00000000-0005-0000-0000-000099040000}"/>
    <cellStyle name="Currency 2 6" xfId="1190" xr:uid="{00000000-0005-0000-0000-00009A040000}"/>
    <cellStyle name="Currency 2 7" xfId="1191" xr:uid="{00000000-0005-0000-0000-00009B040000}"/>
    <cellStyle name="Currency 2 8" xfId="1192" xr:uid="{00000000-0005-0000-0000-00009C040000}"/>
    <cellStyle name="Currency 2 9" xfId="1193" xr:uid="{00000000-0005-0000-0000-00009D040000}"/>
    <cellStyle name="Currency 2*" xfId="1194" xr:uid="{00000000-0005-0000-0000-00009E040000}"/>
    <cellStyle name="Currency 2_CLdcfmodel" xfId="1195" xr:uid="{00000000-0005-0000-0000-00009F040000}"/>
    <cellStyle name="Currency 20" xfId="1196" xr:uid="{00000000-0005-0000-0000-0000A0040000}"/>
    <cellStyle name="Currency 20 2" xfId="1197" xr:uid="{00000000-0005-0000-0000-0000A1040000}"/>
    <cellStyle name="Currency 20 2 2" xfId="1198" xr:uid="{00000000-0005-0000-0000-0000A2040000}"/>
    <cellStyle name="Currency 20 2 2 2" xfId="1199" xr:uid="{00000000-0005-0000-0000-0000A3040000}"/>
    <cellStyle name="Currency 20 2 2 2 2" xfId="1200" xr:uid="{00000000-0005-0000-0000-0000A4040000}"/>
    <cellStyle name="Currency 20 2 2 3" xfId="1201" xr:uid="{00000000-0005-0000-0000-0000A5040000}"/>
    <cellStyle name="Currency 20 2 3" xfId="1202" xr:uid="{00000000-0005-0000-0000-0000A6040000}"/>
    <cellStyle name="Currency 20 2 3 2" xfId="1203" xr:uid="{00000000-0005-0000-0000-0000A7040000}"/>
    <cellStyle name="Currency 20 2 4" xfId="1204" xr:uid="{00000000-0005-0000-0000-0000A8040000}"/>
    <cellStyle name="Currency 20 3" xfId="1205" xr:uid="{00000000-0005-0000-0000-0000A9040000}"/>
    <cellStyle name="Currency 20 3 2" xfId="1206" xr:uid="{00000000-0005-0000-0000-0000AA040000}"/>
    <cellStyle name="Currency 20 3 2 2" xfId="1207" xr:uid="{00000000-0005-0000-0000-0000AB040000}"/>
    <cellStyle name="Currency 20 3 2 2 2" xfId="1208" xr:uid="{00000000-0005-0000-0000-0000AC040000}"/>
    <cellStyle name="Currency 20 3 2 3" xfId="1209" xr:uid="{00000000-0005-0000-0000-0000AD040000}"/>
    <cellStyle name="Currency 20 3 3" xfId="1210" xr:uid="{00000000-0005-0000-0000-0000AE040000}"/>
    <cellStyle name="Currency 20 3 3 2" xfId="1211" xr:uid="{00000000-0005-0000-0000-0000AF040000}"/>
    <cellStyle name="Currency 20 3 4" xfId="1212" xr:uid="{00000000-0005-0000-0000-0000B0040000}"/>
    <cellStyle name="Currency 20 4" xfId="1213" xr:uid="{00000000-0005-0000-0000-0000B1040000}"/>
    <cellStyle name="Currency 20 4 2" xfId="1214" xr:uid="{00000000-0005-0000-0000-0000B2040000}"/>
    <cellStyle name="Currency 20 4 2 2" xfId="1215" xr:uid="{00000000-0005-0000-0000-0000B3040000}"/>
    <cellStyle name="Currency 20 4 3" xfId="1216" xr:uid="{00000000-0005-0000-0000-0000B4040000}"/>
    <cellStyle name="Currency 20 5" xfId="1217" xr:uid="{00000000-0005-0000-0000-0000B5040000}"/>
    <cellStyle name="Currency 20 5 2" xfId="1218" xr:uid="{00000000-0005-0000-0000-0000B6040000}"/>
    <cellStyle name="Currency 20 6" xfId="1219" xr:uid="{00000000-0005-0000-0000-0000B7040000}"/>
    <cellStyle name="Currency 21" xfId="1220" xr:uid="{00000000-0005-0000-0000-0000B8040000}"/>
    <cellStyle name="Currency 21 2" xfId="1221" xr:uid="{00000000-0005-0000-0000-0000B9040000}"/>
    <cellStyle name="Currency 21 2 2" xfId="1222" xr:uid="{00000000-0005-0000-0000-0000BA040000}"/>
    <cellStyle name="Currency 21 2 2 2" xfId="1223" xr:uid="{00000000-0005-0000-0000-0000BB040000}"/>
    <cellStyle name="Currency 21 2 2 2 2" xfId="1224" xr:uid="{00000000-0005-0000-0000-0000BC040000}"/>
    <cellStyle name="Currency 21 2 2 3" xfId="1225" xr:uid="{00000000-0005-0000-0000-0000BD040000}"/>
    <cellStyle name="Currency 21 2 3" xfId="1226" xr:uid="{00000000-0005-0000-0000-0000BE040000}"/>
    <cellStyle name="Currency 21 2 3 2" xfId="1227" xr:uid="{00000000-0005-0000-0000-0000BF040000}"/>
    <cellStyle name="Currency 21 2 4" xfId="1228" xr:uid="{00000000-0005-0000-0000-0000C0040000}"/>
    <cellStyle name="Currency 21 3" xfId="1229" xr:uid="{00000000-0005-0000-0000-0000C1040000}"/>
    <cellStyle name="Currency 21 3 2" xfId="1230" xr:uid="{00000000-0005-0000-0000-0000C2040000}"/>
    <cellStyle name="Currency 21 3 2 2" xfId="1231" xr:uid="{00000000-0005-0000-0000-0000C3040000}"/>
    <cellStyle name="Currency 21 3 2 2 2" xfId="1232" xr:uid="{00000000-0005-0000-0000-0000C4040000}"/>
    <cellStyle name="Currency 21 3 2 3" xfId="1233" xr:uid="{00000000-0005-0000-0000-0000C5040000}"/>
    <cellStyle name="Currency 21 3 3" xfId="1234" xr:uid="{00000000-0005-0000-0000-0000C6040000}"/>
    <cellStyle name="Currency 21 3 3 2" xfId="1235" xr:uid="{00000000-0005-0000-0000-0000C7040000}"/>
    <cellStyle name="Currency 21 3 4" xfId="1236" xr:uid="{00000000-0005-0000-0000-0000C8040000}"/>
    <cellStyle name="Currency 21 4" xfId="1237" xr:uid="{00000000-0005-0000-0000-0000C9040000}"/>
    <cellStyle name="Currency 21 4 2" xfId="1238" xr:uid="{00000000-0005-0000-0000-0000CA040000}"/>
    <cellStyle name="Currency 21 4 2 2" xfId="1239" xr:uid="{00000000-0005-0000-0000-0000CB040000}"/>
    <cellStyle name="Currency 21 4 3" xfId="1240" xr:uid="{00000000-0005-0000-0000-0000CC040000}"/>
    <cellStyle name="Currency 21 5" xfId="1241" xr:uid="{00000000-0005-0000-0000-0000CD040000}"/>
    <cellStyle name="Currency 21 5 2" xfId="1242" xr:uid="{00000000-0005-0000-0000-0000CE040000}"/>
    <cellStyle name="Currency 21 6" xfId="1243" xr:uid="{00000000-0005-0000-0000-0000CF040000}"/>
    <cellStyle name="Currency 22" xfId="1244" xr:uid="{00000000-0005-0000-0000-0000D0040000}"/>
    <cellStyle name="Currency 22 2" xfId="1245" xr:uid="{00000000-0005-0000-0000-0000D1040000}"/>
    <cellStyle name="Currency 22 2 2" xfId="1246" xr:uid="{00000000-0005-0000-0000-0000D2040000}"/>
    <cellStyle name="Currency 22 2 2 2" xfId="1247" xr:uid="{00000000-0005-0000-0000-0000D3040000}"/>
    <cellStyle name="Currency 22 2 2 2 2" xfId="1248" xr:uid="{00000000-0005-0000-0000-0000D4040000}"/>
    <cellStyle name="Currency 22 2 2 3" xfId="1249" xr:uid="{00000000-0005-0000-0000-0000D5040000}"/>
    <cellStyle name="Currency 22 2 3" xfId="1250" xr:uid="{00000000-0005-0000-0000-0000D6040000}"/>
    <cellStyle name="Currency 22 2 3 2" xfId="1251" xr:uid="{00000000-0005-0000-0000-0000D7040000}"/>
    <cellStyle name="Currency 22 2 4" xfId="1252" xr:uid="{00000000-0005-0000-0000-0000D8040000}"/>
    <cellStyle name="Currency 22 3" xfId="1253" xr:uid="{00000000-0005-0000-0000-0000D9040000}"/>
    <cellStyle name="Currency 22 3 2" xfId="1254" xr:uid="{00000000-0005-0000-0000-0000DA040000}"/>
    <cellStyle name="Currency 22 3 2 2" xfId="1255" xr:uid="{00000000-0005-0000-0000-0000DB040000}"/>
    <cellStyle name="Currency 22 3 2 2 2" xfId="1256" xr:uid="{00000000-0005-0000-0000-0000DC040000}"/>
    <cellStyle name="Currency 22 3 2 3" xfId="1257" xr:uid="{00000000-0005-0000-0000-0000DD040000}"/>
    <cellStyle name="Currency 22 3 3" xfId="1258" xr:uid="{00000000-0005-0000-0000-0000DE040000}"/>
    <cellStyle name="Currency 22 3 3 2" xfId="1259" xr:uid="{00000000-0005-0000-0000-0000DF040000}"/>
    <cellStyle name="Currency 22 3 4" xfId="1260" xr:uid="{00000000-0005-0000-0000-0000E0040000}"/>
    <cellStyle name="Currency 22 4" xfId="1261" xr:uid="{00000000-0005-0000-0000-0000E1040000}"/>
    <cellStyle name="Currency 22 4 2" xfId="1262" xr:uid="{00000000-0005-0000-0000-0000E2040000}"/>
    <cellStyle name="Currency 22 4 2 2" xfId="1263" xr:uid="{00000000-0005-0000-0000-0000E3040000}"/>
    <cellStyle name="Currency 22 4 3" xfId="1264" xr:uid="{00000000-0005-0000-0000-0000E4040000}"/>
    <cellStyle name="Currency 22 5" xfId="1265" xr:uid="{00000000-0005-0000-0000-0000E5040000}"/>
    <cellStyle name="Currency 22 5 2" xfId="1266" xr:uid="{00000000-0005-0000-0000-0000E6040000}"/>
    <cellStyle name="Currency 22 6" xfId="1267" xr:uid="{00000000-0005-0000-0000-0000E7040000}"/>
    <cellStyle name="Currency 23" xfId="1268" xr:uid="{00000000-0005-0000-0000-0000E8040000}"/>
    <cellStyle name="Currency 23 2" xfId="1269" xr:uid="{00000000-0005-0000-0000-0000E9040000}"/>
    <cellStyle name="Currency 23 2 2" xfId="1270" xr:uid="{00000000-0005-0000-0000-0000EA040000}"/>
    <cellStyle name="Currency 23 2 2 2" xfId="1271" xr:uid="{00000000-0005-0000-0000-0000EB040000}"/>
    <cellStyle name="Currency 23 2 2 2 2" xfId="1272" xr:uid="{00000000-0005-0000-0000-0000EC040000}"/>
    <cellStyle name="Currency 23 2 2 3" xfId="1273" xr:uid="{00000000-0005-0000-0000-0000ED040000}"/>
    <cellStyle name="Currency 23 2 3" xfId="1274" xr:uid="{00000000-0005-0000-0000-0000EE040000}"/>
    <cellStyle name="Currency 23 2 3 2" xfId="1275" xr:uid="{00000000-0005-0000-0000-0000EF040000}"/>
    <cellStyle name="Currency 23 2 4" xfId="1276" xr:uid="{00000000-0005-0000-0000-0000F0040000}"/>
    <cellStyle name="Currency 23 3" xfId="1277" xr:uid="{00000000-0005-0000-0000-0000F1040000}"/>
    <cellStyle name="Currency 23 3 2" xfId="1278" xr:uid="{00000000-0005-0000-0000-0000F2040000}"/>
    <cellStyle name="Currency 23 3 2 2" xfId="1279" xr:uid="{00000000-0005-0000-0000-0000F3040000}"/>
    <cellStyle name="Currency 23 3 2 2 2" xfId="1280" xr:uid="{00000000-0005-0000-0000-0000F4040000}"/>
    <cellStyle name="Currency 23 3 2 3" xfId="1281" xr:uid="{00000000-0005-0000-0000-0000F5040000}"/>
    <cellStyle name="Currency 23 3 3" xfId="1282" xr:uid="{00000000-0005-0000-0000-0000F6040000}"/>
    <cellStyle name="Currency 23 3 3 2" xfId="1283" xr:uid="{00000000-0005-0000-0000-0000F7040000}"/>
    <cellStyle name="Currency 23 3 4" xfId="1284" xr:uid="{00000000-0005-0000-0000-0000F8040000}"/>
    <cellStyle name="Currency 23 4" xfId="1285" xr:uid="{00000000-0005-0000-0000-0000F9040000}"/>
    <cellStyle name="Currency 23 4 2" xfId="1286" xr:uid="{00000000-0005-0000-0000-0000FA040000}"/>
    <cellStyle name="Currency 23 4 2 2" xfId="1287" xr:uid="{00000000-0005-0000-0000-0000FB040000}"/>
    <cellStyle name="Currency 23 4 3" xfId="1288" xr:uid="{00000000-0005-0000-0000-0000FC040000}"/>
    <cellStyle name="Currency 23 5" xfId="1289" xr:uid="{00000000-0005-0000-0000-0000FD040000}"/>
    <cellStyle name="Currency 23 5 2" xfId="1290" xr:uid="{00000000-0005-0000-0000-0000FE040000}"/>
    <cellStyle name="Currency 23 6" xfId="1291" xr:uid="{00000000-0005-0000-0000-0000FF040000}"/>
    <cellStyle name="Currency 24" xfId="1292" xr:uid="{00000000-0005-0000-0000-000000050000}"/>
    <cellStyle name="Currency 24 2" xfId="1293" xr:uid="{00000000-0005-0000-0000-000001050000}"/>
    <cellStyle name="Currency 24 2 2" xfId="1294" xr:uid="{00000000-0005-0000-0000-000002050000}"/>
    <cellStyle name="Currency 24 2 2 2" xfId="1295" xr:uid="{00000000-0005-0000-0000-000003050000}"/>
    <cellStyle name="Currency 24 2 2 2 2" xfId="1296" xr:uid="{00000000-0005-0000-0000-000004050000}"/>
    <cellStyle name="Currency 24 2 2 3" xfId="1297" xr:uid="{00000000-0005-0000-0000-000005050000}"/>
    <cellStyle name="Currency 24 2 3" xfId="1298" xr:uid="{00000000-0005-0000-0000-000006050000}"/>
    <cellStyle name="Currency 24 2 3 2" xfId="1299" xr:uid="{00000000-0005-0000-0000-000007050000}"/>
    <cellStyle name="Currency 24 2 4" xfId="1300" xr:uid="{00000000-0005-0000-0000-000008050000}"/>
    <cellStyle name="Currency 24 3" xfId="1301" xr:uid="{00000000-0005-0000-0000-000009050000}"/>
    <cellStyle name="Currency 24 3 2" xfId="1302" xr:uid="{00000000-0005-0000-0000-00000A050000}"/>
    <cellStyle name="Currency 24 3 2 2" xfId="1303" xr:uid="{00000000-0005-0000-0000-00000B050000}"/>
    <cellStyle name="Currency 24 3 2 2 2" xfId="1304" xr:uid="{00000000-0005-0000-0000-00000C050000}"/>
    <cellStyle name="Currency 24 3 2 3" xfId="1305" xr:uid="{00000000-0005-0000-0000-00000D050000}"/>
    <cellStyle name="Currency 24 3 3" xfId="1306" xr:uid="{00000000-0005-0000-0000-00000E050000}"/>
    <cellStyle name="Currency 24 3 3 2" xfId="1307" xr:uid="{00000000-0005-0000-0000-00000F050000}"/>
    <cellStyle name="Currency 24 3 4" xfId="1308" xr:uid="{00000000-0005-0000-0000-000010050000}"/>
    <cellStyle name="Currency 24 4" xfId="1309" xr:uid="{00000000-0005-0000-0000-000011050000}"/>
    <cellStyle name="Currency 24 4 2" xfId="1310" xr:uid="{00000000-0005-0000-0000-000012050000}"/>
    <cellStyle name="Currency 24 4 2 2" xfId="1311" xr:uid="{00000000-0005-0000-0000-000013050000}"/>
    <cellStyle name="Currency 24 4 3" xfId="1312" xr:uid="{00000000-0005-0000-0000-000014050000}"/>
    <cellStyle name="Currency 24 5" xfId="1313" xr:uid="{00000000-0005-0000-0000-000015050000}"/>
    <cellStyle name="Currency 24 5 2" xfId="1314" xr:uid="{00000000-0005-0000-0000-000016050000}"/>
    <cellStyle name="Currency 24 6" xfId="1315" xr:uid="{00000000-0005-0000-0000-000017050000}"/>
    <cellStyle name="Currency 25" xfId="1316" xr:uid="{00000000-0005-0000-0000-000018050000}"/>
    <cellStyle name="Currency 26" xfId="1317" xr:uid="{00000000-0005-0000-0000-000019050000}"/>
    <cellStyle name="Currency 26 2" xfId="1318" xr:uid="{00000000-0005-0000-0000-00001A050000}"/>
    <cellStyle name="Currency 26 2 2" xfId="1319" xr:uid="{00000000-0005-0000-0000-00001B050000}"/>
    <cellStyle name="Currency 26 2 2 2" xfId="1320" xr:uid="{00000000-0005-0000-0000-00001C050000}"/>
    <cellStyle name="Currency 26 2 2 2 2" xfId="1321" xr:uid="{00000000-0005-0000-0000-00001D050000}"/>
    <cellStyle name="Currency 26 2 2 3" xfId="1322" xr:uid="{00000000-0005-0000-0000-00001E050000}"/>
    <cellStyle name="Currency 26 2 3" xfId="1323" xr:uid="{00000000-0005-0000-0000-00001F050000}"/>
    <cellStyle name="Currency 26 2 3 2" xfId="1324" xr:uid="{00000000-0005-0000-0000-000020050000}"/>
    <cellStyle name="Currency 26 2 4" xfId="1325" xr:uid="{00000000-0005-0000-0000-000021050000}"/>
    <cellStyle name="Currency 26 3" xfId="1326" xr:uid="{00000000-0005-0000-0000-000022050000}"/>
    <cellStyle name="Currency 26 3 2" xfId="1327" xr:uid="{00000000-0005-0000-0000-000023050000}"/>
    <cellStyle name="Currency 26 3 2 2" xfId="1328" xr:uid="{00000000-0005-0000-0000-000024050000}"/>
    <cellStyle name="Currency 26 3 2 2 2" xfId="1329" xr:uid="{00000000-0005-0000-0000-000025050000}"/>
    <cellStyle name="Currency 26 3 2 3" xfId="1330" xr:uid="{00000000-0005-0000-0000-000026050000}"/>
    <cellStyle name="Currency 26 3 3" xfId="1331" xr:uid="{00000000-0005-0000-0000-000027050000}"/>
    <cellStyle name="Currency 26 3 3 2" xfId="1332" xr:uid="{00000000-0005-0000-0000-000028050000}"/>
    <cellStyle name="Currency 26 3 4" xfId="1333" xr:uid="{00000000-0005-0000-0000-000029050000}"/>
    <cellStyle name="Currency 26 4" xfId="1334" xr:uid="{00000000-0005-0000-0000-00002A050000}"/>
    <cellStyle name="Currency 26 4 2" xfId="1335" xr:uid="{00000000-0005-0000-0000-00002B050000}"/>
    <cellStyle name="Currency 26 4 2 2" xfId="1336" xr:uid="{00000000-0005-0000-0000-00002C050000}"/>
    <cellStyle name="Currency 26 4 3" xfId="1337" xr:uid="{00000000-0005-0000-0000-00002D050000}"/>
    <cellStyle name="Currency 26 5" xfId="1338" xr:uid="{00000000-0005-0000-0000-00002E050000}"/>
    <cellStyle name="Currency 26 5 2" xfId="1339" xr:uid="{00000000-0005-0000-0000-00002F050000}"/>
    <cellStyle name="Currency 26 6" xfId="1340" xr:uid="{00000000-0005-0000-0000-000030050000}"/>
    <cellStyle name="Currency 27" xfId="1341" xr:uid="{00000000-0005-0000-0000-000031050000}"/>
    <cellStyle name="Currency 27 2" xfId="1342" xr:uid="{00000000-0005-0000-0000-000032050000}"/>
    <cellStyle name="Currency 27 2 2" xfId="1343" xr:uid="{00000000-0005-0000-0000-000033050000}"/>
    <cellStyle name="Currency 27 2 2 2" xfId="1344" xr:uid="{00000000-0005-0000-0000-000034050000}"/>
    <cellStyle name="Currency 27 2 2 2 2" xfId="1345" xr:uid="{00000000-0005-0000-0000-000035050000}"/>
    <cellStyle name="Currency 27 2 2 3" xfId="1346" xr:uid="{00000000-0005-0000-0000-000036050000}"/>
    <cellStyle name="Currency 27 2 3" xfId="1347" xr:uid="{00000000-0005-0000-0000-000037050000}"/>
    <cellStyle name="Currency 27 2 3 2" xfId="1348" xr:uid="{00000000-0005-0000-0000-000038050000}"/>
    <cellStyle name="Currency 27 2 4" xfId="1349" xr:uid="{00000000-0005-0000-0000-000039050000}"/>
    <cellStyle name="Currency 27 3" xfId="1350" xr:uid="{00000000-0005-0000-0000-00003A050000}"/>
    <cellStyle name="Currency 27 3 2" xfId="1351" xr:uid="{00000000-0005-0000-0000-00003B050000}"/>
    <cellStyle name="Currency 27 3 2 2" xfId="1352" xr:uid="{00000000-0005-0000-0000-00003C050000}"/>
    <cellStyle name="Currency 27 3 2 2 2" xfId="1353" xr:uid="{00000000-0005-0000-0000-00003D050000}"/>
    <cellStyle name="Currency 27 3 2 3" xfId="1354" xr:uid="{00000000-0005-0000-0000-00003E050000}"/>
    <cellStyle name="Currency 27 3 3" xfId="1355" xr:uid="{00000000-0005-0000-0000-00003F050000}"/>
    <cellStyle name="Currency 27 3 3 2" xfId="1356" xr:uid="{00000000-0005-0000-0000-000040050000}"/>
    <cellStyle name="Currency 27 3 4" xfId="1357" xr:uid="{00000000-0005-0000-0000-000041050000}"/>
    <cellStyle name="Currency 27 4" xfId="1358" xr:uid="{00000000-0005-0000-0000-000042050000}"/>
    <cellStyle name="Currency 27 4 2" xfId="1359" xr:uid="{00000000-0005-0000-0000-000043050000}"/>
    <cellStyle name="Currency 27 4 2 2" xfId="1360" xr:uid="{00000000-0005-0000-0000-000044050000}"/>
    <cellStyle name="Currency 27 4 3" xfId="1361" xr:uid="{00000000-0005-0000-0000-000045050000}"/>
    <cellStyle name="Currency 27 5" xfId="1362" xr:uid="{00000000-0005-0000-0000-000046050000}"/>
    <cellStyle name="Currency 27 5 2" xfId="1363" xr:uid="{00000000-0005-0000-0000-000047050000}"/>
    <cellStyle name="Currency 27 6" xfId="1364" xr:uid="{00000000-0005-0000-0000-000048050000}"/>
    <cellStyle name="Currency 28" xfId="1365" xr:uid="{00000000-0005-0000-0000-000049050000}"/>
    <cellStyle name="Currency 28 2" xfId="1366" xr:uid="{00000000-0005-0000-0000-00004A050000}"/>
    <cellStyle name="Currency 28 2 2" xfId="1367" xr:uid="{00000000-0005-0000-0000-00004B050000}"/>
    <cellStyle name="Currency 28 2 2 2" xfId="1368" xr:uid="{00000000-0005-0000-0000-00004C050000}"/>
    <cellStyle name="Currency 28 2 2 2 2" xfId="1369" xr:uid="{00000000-0005-0000-0000-00004D050000}"/>
    <cellStyle name="Currency 28 2 2 3" xfId="1370" xr:uid="{00000000-0005-0000-0000-00004E050000}"/>
    <cellStyle name="Currency 28 2 3" xfId="1371" xr:uid="{00000000-0005-0000-0000-00004F050000}"/>
    <cellStyle name="Currency 28 2 3 2" xfId="1372" xr:uid="{00000000-0005-0000-0000-000050050000}"/>
    <cellStyle name="Currency 28 2 4" xfId="1373" xr:uid="{00000000-0005-0000-0000-000051050000}"/>
    <cellStyle name="Currency 28 3" xfId="1374" xr:uid="{00000000-0005-0000-0000-000052050000}"/>
    <cellStyle name="Currency 28 3 2" xfId="1375" xr:uid="{00000000-0005-0000-0000-000053050000}"/>
    <cellStyle name="Currency 28 3 2 2" xfId="1376" xr:uid="{00000000-0005-0000-0000-000054050000}"/>
    <cellStyle name="Currency 28 3 2 2 2" xfId="1377" xr:uid="{00000000-0005-0000-0000-000055050000}"/>
    <cellStyle name="Currency 28 3 2 3" xfId="1378" xr:uid="{00000000-0005-0000-0000-000056050000}"/>
    <cellStyle name="Currency 28 3 3" xfId="1379" xr:uid="{00000000-0005-0000-0000-000057050000}"/>
    <cellStyle name="Currency 28 3 3 2" xfId="1380" xr:uid="{00000000-0005-0000-0000-000058050000}"/>
    <cellStyle name="Currency 28 3 4" xfId="1381" xr:uid="{00000000-0005-0000-0000-000059050000}"/>
    <cellStyle name="Currency 28 4" xfId="1382" xr:uid="{00000000-0005-0000-0000-00005A050000}"/>
    <cellStyle name="Currency 28 4 2" xfId="1383" xr:uid="{00000000-0005-0000-0000-00005B050000}"/>
    <cellStyle name="Currency 28 4 2 2" xfId="1384" xr:uid="{00000000-0005-0000-0000-00005C050000}"/>
    <cellStyle name="Currency 28 4 3" xfId="1385" xr:uid="{00000000-0005-0000-0000-00005D050000}"/>
    <cellStyle name="Currency 28 5" xfId="1386" xr:uid="{00000000-0005-0000-0000-00005E050000}"/>
    <cellStyle name="Currency 28 5 2" xfId="1387" xr:uid="{00000000-0005-0000-0000-00005F050000}"/>
    <cellStyle name="Currency 28 6" xfId="1388" xr:uid="{00000000-0005-0000-0000-000060050000}"/>
    <cellStyle name="Currency 29" xfId="1389" xr:uid="{00000000-0005-0000-0000-000061050000}"/>
    <cellStyle name="Currency 29 2" xfId="1390" xr:uid="{00000000-0005-0000-0000-000062050000}"/>
    <cellStyle name="Currency 29 2 2" xfId="1391" xr:uid="{00000000-0005-0000-0000-000063050000}"/>
    <cellStyle name="Currency 29 2 2 2" xfId="1392" xr:uid="{00000000-0005-0000-0000-000064050000}"/>
    <cellStyle name="Currency 29 2 2 2 2" xfId="1393" xr:uid="{00000000-0005-0000-0000-000065050000}"/>
    <cellStyle name="Currency 29 2 2 3" xfId="1394" xr:uid="{00000000-0005-0000-0000-000066050000}"/>
    <cellStyle name="Currency 29 2 3" xfId="1395" xr:uid="{00000000-0005-0000-0000-000067050000}"/>
    <cellStyle name="Currency 29 2 3 2" xfId="1396" xr:uid="{00000000-0005-0000-0000-000068050000}"/>
    <cellStyle name="Currency 29 2 4" xfId="1397" xr:uid="{00000000-0005-0000-0000-000069050000}"/>
    <cellStyle name="Currency 29 3" xfId="1398" xr:uid="{00000000-0005-0000-0000-00006A050000}"/>
    <cellStyle name="Currency 29 3 2" xfId="1399" xr:uid="{00000000-0005-0000-0000-00006B050000}"/>
    <cellStyle name="Currency 29 3 2 2" xfId="1400" xr:uid="{00000000-0005-0000-0000-00006C050000}"/>
    <cellStyle name="Currency 29 3 2 2 2" xfId="1401" xr:uid="{00000000-0005-0000-0000-00006D050000}"/>
    <cellStyle name="Currency 29 3 2 3" xfId="1402" xr:uid="{00000000-0005-0000-0000-00006E050000}"/>
    <cellStyle name="Currency 29 3 3" xfId="1403" xr:uid="{00000000-0005-0000-0000-00006F050000}"/>
    <cellStyle name="Currency 29 3 3 2" xfId="1404" xr:uid="{00000000-0005-0000-0000-000070050000}"/>
    <cellStyle name="Currency 29 3 4" xfId="1405" xr:uid="{00000000-0005-0000-0000-000071050000}"/>
    <cellStyle name="Currency 29 4" xfId="1406" xr:uid="{00000000-0005-0000-0000-000072050000}"/>
    <cellStyle name="Currency 29 4 2" xfId="1407" xr:uid="{00000000-0005-0000-0000-000073050000}"/>
    <cellStyle name="Currency 29 4 2 2" xfId="1408" xr:uid="{00000000-0005-0000-0000-000074050000}"/>
    <cellStyle name="Currency 29 4 3" xfId="1409" xr:uid="{00000000-0005-0000-0000-000075050000}"/>
    <cellStyle name="Currency 29 5" xfId="1410" xr:uid="{00000000-0005-0000-0000-000076050000}"/>
    <cellStyle name="Currency 29 5 2" xfId="1411" xr:uid="{00000000-0005-0000-0000-000077050000}"/>
    <cellStyle name="Currency 29 6" xfId="1412" xr:uid="{00000000-0005-0000-0000-000078050000}"/>
    <cellStyle name="Currency 3" xfId="1413" xr:uid="{00000000-0005-0000-0000-000079050000}"/>
    <cellStyle name="Currency 3 2" xfId="1414" xr:uid="{00000000-0005-0000-0000-00007A050000}"/>
    <cellStyle name="Currency 3 2 2" xfId="1415" xr:uid="{00000000-0005-0000-0000-00007B050000}"/>
    <cellStyle name="Currency 3 2 2 2" xfId="1416" xr:uid="{00000000-0005-0000-0000-00007C050000}"/>
    <cellStyle name="Currency 3 2 3" xfId="1417" xr:uid="{00000000-0005-0000-0000-00007D050000}"/>
    <cellStyle name="Currency 3 2 4" xfId="1418" xr:uid="{00000000-0005-0000-0000-00007E050000}"/>
    <cellStyle name="Currency 3 2 5" xfId="1419" xr:uid="{00000000-0005-0000-0000-00007F050000}"/>
    <cellStyle name="Currency 3 3" xfId="1420" xr:uid="{00000000-0005-0000-0000-000080050000}"/>
    <cellStyle name="Currency 3 4" xfId="1421" xr:uid="{00000000-0005-0000-0000-000081050000}"/>
    <cellStyle name="Currency 3 5" xfId="1422" xr:uid="{00000000-0005-0000-0000-000082050000}"/>
    <cellStyle name="Currency 3 6" xfId="1423" xr:uid="{00000000-0005-0000-0000-000083050000}"/>
    <cellStyle name="Currency 30" xfId="4632" xr:uid="{00000000-0005-0000-0000-000050120000}"/>
    <cellStyle name="Currency 4" xfId="1424" xr:uid="{00000000-0005-0000-0000-000084050000}"/>
    <cellStyle name="Currency 4 10" xfId="1425" xr:uid="{00000000-0005-0000-0000-000085050000}"/>
    <cellStyle name="Currency 4 2" xfId="1426" xr:uid="{00000000-0005-0000-0000-000086050000}"/>
    <cellStyle name="Currency 4 2 2" xfId="1427" xr:uid="{00000000-0005-0000-0000-000087050000}"/>
    <cellStyle name="Currency 4 2 2 2" xfId="1428" xr:uid="{00000000-0005-0000-0000-000088050000}"/>
    <cellStyle name="Currency 4 2 2 2 2" xfId="1429" xr:uid="{00000000-0005-0000-0000-000089050000}"/>
    <cellStyle name="Currency 4 2 2 3" xfId="1430" xr:uid="{00000000-0005-0000-0000-00008A050000}"/>
    <cellStyle name="Currency 4 2 3" xfId="1431" xr:uid="{00000000-0005-0000-0000-00008B050000}"/>
    <cellStyle name="Currency 4 2 3 2" xfId="1432" xr:uid="{00000000-0005-0000-0000-00008C050000}"/>
    <cellStyle name="Currency 4 2 4" xfId="1433" xr:uid="{00000000-0005-0000-0000-00008D050000}"/>
    <cellStyle name="Currency 4 3" xfId="1434" xr:uid="{00000000-0005-0000-0000-00008E050000}"/>
    <cellStyle name="Currency 4 3 2" xfId="1435" xr:uid="{00000000-0005-0000-0000-00008F050000}"/>
    <cellStyle name="Currency 4 3 2 2" xfId="1436" xr:uid="{00000000-0005-0000-0000-000090050000}"/>
    <cellStyle name="Currency 4 3 2 2 2" xfId="1437" xr:uid="{00000000-0005-0000-0000-000091050000}"/>
    <cellStyle name="Currency 4 3 2 3" xfId="1438" xr:uid="{00000000-0005-0000-0000-000092050000}"/>
    <cellStyle name="Currency 4 3 3" xfId="1439" xr:uid="{00000000-0005-0000-0000-000093050000}"/>
    <cellStyle name="Currency 4 3 3 2" xfId="1440" xr:uid="{00000000-0005-0000-0000-000094050000}"/>
    <cellStyle name="Currency 4 3 4" xfId="1441" xr:uid="{00000000-0005-0000-0000-000095050000}"/>
    <cellStyle name="Currency 4 4" xfId="1442" xr:uid="{00000000-0005-0000-0000-000096050000}"/>
    <cellStyle name="Currency 4 4 2" xfId="1443" xr:uid="{00000000-0005-0000-0000-000097050000}"/>
    <cellStyle name="Currency 4 4 2 2" xfId="1444" xr:uid="{00000000-0005-0000-0000-000098050000}"/>
    <cellStyle name="Currency 4 4 3" xfId="1445" xr:uid="{00000000-0005-0000-0000-000099050000}"/>
    <cellStyle name="Currency 4 5" xfId="1446" xr:uid="{00000000-0005-0000-0000-00009A050000}"/>
    <cellStyle name="Currency 4 5 2" xfId="1447" xr:uid="{00000000-0005-0000-0000-00009B050000}"/>
    <cellStyle name="Currency 4 5 2 2" xfId="1448" xr:uid="{00000000-0005-0000-0000-00009C050000}"/>
    <cellStyle name="Currency 4 5 3" xfId="1449" xr:uid="{00000000-0005-0000-0000-00009D050000}"/>
    <cellStyle name="Currency 4 6" xfId="1450" xr:uid="{00000000-0005-0000-0000-00009E050000}"/>
    <cellStyle name="Currency 4 6 2" xfId="1451" xr:uid="{00000000-0005-0000-0000-00009F050000}"/>
    <cellStyle name="Currency 4 6 2 2" xfId="1452" xr:uid="{00000000-0005-0000-0000-0000A0050000}"/>
    <cellStyle name="Currency 4 6 3" xfId="1453" xr:uid="{00000000-0005-0000-0000-0000A1050000}"/>
    <cellStyle name="Currency 4 7" xfId="1454" xr:uid="{00000000-0005-0000-0000-0000A2050000}"/>
    <cellStyle name="Currency 4 7 2" xfId="1455" xr:uid="{00000000-0005-0000-0000-0000A3050000}"/>
    <cellStyle name="Currency 4 8" xfId="1456" xr:uid="{00000000-0005-0000-0000-0000A4050000}"/>
    <cellStyle name="Currency 4 9" xfId="1457" xr:uid="{00000000-0005-0000-0000-0000A5050000}"/>
    <cellStyle name="Currency 5" xfId="1458" xr:uid="{00000000-0005-0000-0000-0000A6050000}"/>
    <cellStyle name="Currency 5 2" xfId="1459" xr:uid="{00000000-0005-0000-0000-0000A7050000}"/>
    <cellStyle name="Currency 5 2 2" xfId="1460" xr:uid="{00000000-0005-0000-0000-0000A8050000}"/>
    <cellStyle name="Currency 5 2 2 2" xfId="1461" xr:uid="{00000000-0005-0000-0000-0000A9050000}"/>
    <cellStyle name="Currency 5 2 2 2 2" xfId="1462" xr:uid="{00000000-0005-0000-0000-0000AA050000}"/>
    <cellStyle name="Currency 5 2 2 3" xfId="1463" xr:uid="{00000000-0005-0000-0000-0000AB050000}"/>
    <cellStyle name="Currency 5 2 3" xfId="1464" xr:uid="{00000000-0005-0000-0000-0000AC050000}"/>
    <cellStyle name="Currency 5 2 3 2" xfId="1465" xr:uid="{00000000-0005-0000-0000-0000AD050000}"/>
    <cellStyle name="Currency 5 2 4" xfId="1466" xr:uid="{00000000-0005-0000-0000-0000AE050000}"/>
    <cellStyle name="Currency 5 3" xfId="1467" xr:uid="{00000000-0005-0000-0000-0000AF050000}"/>
    <cellStyle name="Currency 5 3 2" xfId="1468" xr:uid="{00000000-0005-0000-0000-0000B0050000}"/>
    <cellStyle name="Currency 5 3 2 2" xfId="1469" xr:uid="{00000000-0005-0000-0000-0000B1050000}"/>
    <cellStyle name="Currency 5 3 2 2 2" xfId="1470" xr:uid="{00000000-0005-0000-0000-0000B2050000}"/>
    <cellStyle name="Currency 5 3 2 3" xfId="1471" xr:uid="{00000000-0005-0000-0000-0000B3050000}"/>
    <cellStyle name="Currency 5 3 3" xfId="1472" xr:uid="{00000000-0005-0000-0000-0000B4050000}"/>
    <cellStyle name="Currency 5 3 3 2" xfId="1473" xr:uid="{00000000-0005-0000-0000-0000B5050000}"/>
    <cellStyle name="Currency 5 3 4" xfId="1474" xr:uid="{00000000-0005-0000-0000-0000B6050000}"/>
    <cellStyle name="Currency 5 4" xfId="1475" xr:uid="{00000000-0005-0000-0000-0000B7050000}"/>
    <cellStyle name="Currency 5 4 2" xfId="1476" xr:uid="{00000000-0005-0000-0000-0000B8050000}"/>
    <cellStyle name="Currency 5 4 2 2" xfId="1477" xr:uid="{00000000-0005-0000-0000-0000B9050000}"/>
    <cellStyle name="Currency 5 4 3" xfId="1478" xr:uid="{00000000-0005-0000-0000-0000BA050000}"/>
    <cellStyle name="Currency 5 5" xfId="1479" xr:uid="{00000000-0005-0000-0000-0000BB050000}"/>
    <cellStyle name="Currency 5 5 2" xfId="1480" xr:uid="{00000000-0005-0000-0000-0000BC050000}"/>
    <cellStyle name="Currency 5 6" xfId="1481" xr:uid="{00000000-0005-0000-0000-0000BD050000}"/>
    <cellStyle name="Currency 6" xfId="1482" xr:uid="{00000000-0005-0000-0000-0000BE050000}"/>
    <cellStyle name="Currency 6 2" xfId="1483" xr:uid="{00000000-0005-0000-0000-0000BF050000}"/>
    <cellStyle name="Currency 6 2 2" xfId="1484" xr:uid="{00000000-0005-0000-0000-0000C0050000}"/>
    <cellStyle name="Currency 6 2 2 2" xfId="1485" xr:uid="{00000000-0005-0000-0000-0000C1050000}"/>
    <cellStyle name="Currency 6 2 2 2 2" xfId="1486" xr:uid="{00000000-0005-0000-0000-0000C2050000}"/>
    <cellStyle name="Currency 6 2 2 3" xfId="1487" xr:uid="{00000000-0005-0000-0000-0000C3050000}"/>
    <cellStyle name="Currency 6 2 3" xfId="1488" xr:uid="{00000000-0005-0000-0000-0000C4050000}"/>
    <cellStyle name="Currency 6 2 3 2" xfId="1489" xr:uid="{00000000-0005-0000-0000-0000C5050000}"/>
    <cellStyle name="Currency 6 2 4" xfId="1490" xr:uid="{00000000-0005-0000-0000-0000C6050000}"/>
    <cellStyle name="Currency 6 3" xfId="1491" xr:uid="{00000000-0005-0000-0000-0000C7050000}"/>
    <cellStyle name="Currency 6 3 2" xfId="1492" xr:uid="{00000000-0005-0000-0000-0000C8050000}"/>
    <cellStyle name="Currency 6 3 2 2" xfId="1493" xr:uid="{00000000-0005-0000-0000-0000C9050000}"/>
    <cellStyle name="Currency 6 3 2 2 2" xfId="1494" xr:uid="{00000000-0005-0000-0000-0000CA050000}"/>
    <cellStyle name="Currency 6 3 2 3" xfId="1495" xr:uid="{00000000-0005-0000-0000-0000CB050000}"/>
    <cellStyle name="Currency 6 3 3" xfId="1496" xr:uid="{00000000-0005-0000-0000-0000CC050000}"/>
    <cellStyle name="Currency 6 3 3 2" xfId="1497" xr:uid="{00000000-0005-0000-0000-0000CD050000}"/>
    <cellStyle name="Currency 6 3 4" xfId="1498" xr:uid="{00000000-0005-0000-0000-0000CE050000}"/>
    <cellStyle name="Currency 6 4" xfId="1499" xr:uid="{00000000-0005-0000-0000-0000CF050000}"/>
    <cellStyle name="Currency 6 4 2" xfId="1500" xr:uid="{00000000-0005-0000-0000-0000D0050000}"/>
    <cellStyle name="Currency 6 4 2 2" xfId="1501" xr:uid="{00000000-0005-0000-0000-0000D1050000}"/>
    <cellStyle name="Currency 6 4 3" xfId="1502" xr:uid="{00000000-0005-0000-0000-0000D2050000}"/>
    <cellStyle name="Currency 6 5" xfId="1503" xr:uid="{00000000-0005-0000-0000-0000D3050000}"/>
    <cellStyle name="Currency 6 5 2" xfId="1504" xr:uid="{00000000-0005-0000-0000-0000D4050000}"/>
    <cellStyle name="Currency 6 6" xfId="1505" xr:uid="{00000000-0005-0000-0000-0000D5050000}"/>
    <cellStyle name="Currency 7" xfId="1506" xr:uid="{00000000-0005-0000-0000-0000D6050000}"/>
    <cellStyle name="Currency 7 2" xfId="1507" xr:uid="{00000000-0005-0000-0000-0000D7050000}"/>
    <cellStyle name="Currency 8" xfId="1508" xr:uid="{00000000-0005-0000-0000-0000D8050000}"/>
    <cellStyle name="Currency 8 2" xfId="1509" xr:uid="{00000000-0005-0000-0000-0000D9050000}"/>
    <cellStyle name="Currency 8 2 2" xfId="1510" xr:uid="{00000000-0005-0000-0000-0000DA050000}"/>
    <cellStyle name="Currency 8 2 2 2" xfId="1511" xr:uid="{00000000-0005-0000-0000-0000DB050000}"/>
    <cellStyle name="Currency 8 2 2 2 2" xfId="1512" xr:uid="{00000000-0005-0000-0000-0000DC050000}"/>
    <cellStyle name="Currency 8 2 2 3" xfId="1513" xr:uid="{00000000-0005-0000-0000-0000DD050000}"/>
    <cellStyle name="Currency 8 2 3" xfId="1514" xr:uid="{00000000-0005-0000-0000-0000DE050000}"/>
    <cellStyle name="Currency 8 2 3 2" xfId="1515" xr:uid="{00000000-0005-0000-0000-0000DF050000}"/>
    <cellStyle name="Currency 8 2 4" xfId="1516" xr:uid="{00000000-0005-0000-0000-0000E0050000}"/>
    <cellStyle name="Currency 8 3" xfId="1517" xr:uid="{00000000-0005-0000-0000-0000E1050000}"/>
    <cellStyle name="Currency 8 3 2" xfId="1518" xr:uid="{00000000-0005-0000-0000-0000E2050000}"/>
    <cellStyle name="Currency 8 3 2 2" xfId="1519" xr:uid="{00000000-0005-0000-0000-0000E3050000}"/>
    <cellStyle name="Currency 8 3 2 2 2" xfId="1520" xr:uid="{00000000-0005-0000-0000-0000E4050000}"/>
    <cellStyle name="Currency 8 3 2 3" xfId="1521" xr:uid="{00000000-0005-0000-0000-0000E5050000}"/>
    <cellStyle name="Currency 8 3 3" xfId="1522" xr:uid="{00000000-0005-0000-0000-0000E6050000}"/>
    <cellStyle name="Currency 8 3 3 2" xfId="1523" xr:uid="{00000000-0005-0000-0000-0000E7050000}"/>
    <cellStyle name="Currency 8 3 4" xfId="1524" xr:uid="{00000000-0005-0000-0000-0000E8050000}"/>
    <cellStyle name="Currency 8 4" xfId="1525" xr:uid="{00000000-0005-0000-0000-0000E9050000}"/>
    <cellStyle name="Currency 8 4 2" xfId="1526" xr:uid="{00000000-0005-0000-0000-0000EA050000}"/>
    <cellStyle name="Currency 8 4 2 2" xfId="1527" xr:uid="{00000000-0005-0000-0000-0000EB050000}"/>
    <cellStyle name="Currency 8 4 3" xfId="1528" xr:uid="{00000000-0005-0000-0000-0000EC050000}"/>
    <cellStyle name="Currency 8 5" xfId="1529" xr:uid="{00000000-0005-0000-0000-0000ED050000}"/>
    <cellStyle name="Currency 8 5 2" xfId="1530" xr:uid="{00000000-0005-0000-0000-0000EE050000}"/>
    <cellStyle name="Currency 8 6" xfId="1531" xr:uid="{00000000-0005-0000-0000-0000EF050000}"/>
    <cellStyle name="Currency 8 7" xfId="1532" xr:uid="{00000000-0005-0000-0000-0000F0050000}"/>
    <cellStyle name="Currency 9" xfId="1533" xr:uid="{00000000-0005-0000-0000-0000F1050000}"/>
    <cellStyle name="Currency 9 2" xfId="1534" xr:uid="{00000000-0005-0000-0000-0000F2050000}"/>
    <cellStyle name="Currency 9 2 2" xfId="1535" xr:uid="{00000000-0005-0000-0000-0000F3050000}"/>
    <cellStyle name="Currency 9 2 2 2" xfId="1536" xr:uid="{00000000-0005-0000-0000-0000F4050000}"/>
    <cellStyle name="Currency 9 2 2 2 2" xfId="1537" xr:uid="{00000000-0005-0000-0000-0000F5050000}"/>
    <cellStyle name="Currency 9 2 2 3" xfId="1538" xr:uid="{00000000-0005-0000-0000-0000F6050000}"/>
    <cellStyle name="Currency 9 2 3" xfId="1539" xr:uid="{00000000-0005-0000-0000-0000F7050000}"/>
    <cellStyle name="Currency 9 2 3 2" xfId="1540" xr:uid="{00000000-0005-0000-0000-0000F8050000}"/>
    <cellStyle name="Currency 9 2 4" xfId="1541" xr:uid="{00000000-0005-0000-0000-0000F9050000}"/>
    <cellStyle name="Currency 9 3" xfId="1542" xr:uid="{00000000-0005-0000-0000-0000FA050000}"/>
    <cellStyle name="Currency 9 3 2" xfId="1543" xr:uid="{00000000-0005-0000-0000-0000FB050000}"/>
    <cellStyle name="Currency 9 3 2 2" xfId="1544" xr:uid="{00000000-0005-0000-0000-0000FC050000}"/>
    <cellStyle name="Currency 9 3 2 2 2" xfId="1545" xr:uid="{00000000-0005-0000-0000-0000FD050000}"/>
    <cellStyle name="Currency 9 3 2 3" xfId="1546" xr:uid="{00000000-0005-0000-0000-0000FE050000}"/>
    <cellStyle name="Currency 9 3 3" xfId="1547" xr:uid="{00000000-0005-0000-0000-0000FF050000}"/>
    <cellStyle name="Currency 9 3 3 2" xfId="1548" xr:uid="{00000000-0005-0000-0000-000000060000}"/>
    <cellStyle name="Currency 9 3 4" xfId="1549" xr:uid="{00000000-0005-0000-0000-000001060000}"/>
    <cellStyle name="Currency 9 4" xfId="1550" xr:uid="{00000000-0005-0000-0000-000002060000}"/>
    <cellStyle name="Currency 9 4 2" xfId="1551" xr:uid="{00000000-0005-0000-0000-000003060000}"/>
    <cellStyle name="Currency 9 4 2 2" xfId="1552" xr:uid="{00000000-0005-0000-0000-000004060000}"/>
    <cellStyle name="Currency 9 4 3" xfId="1553" xr:uid="{00000000-0005-0000-0000-000005060000}"/>
    <cellStyle name="Currency 9 5" xfId="1554" xr:uid="{00000000-0005-0000-0000-000006060000}"/>
    <cellStyle name="Currency 9 5 2" xfId="1555" xr:uid="{00000000-0005-0000-0000-000007060000}"/>
    <cellStyle name="Currency 9 6" xfId="1556" xr:uid="{00000000-0005-0000-0000-000008060000}"/>
    <cellStyle name="Currency Per Share" xfId="1557" xr:uid="{00000000-0005-0000-0000-000009060000}"/>
    <cellStyle name="Currency0" xfId="1558" xr:uid="{00000000-0005-0000-0000-00000A060000}"/>
    <cellStyle name="Currency2" xfId="1559" xr:uid="{00000000-0005-0000-0000-00000B060000}"/>
    <cellStyle name="CUS.Work.Area" xfId="1560" xr:uid="{00000000-0005-0000-0000-00000C060000}"/>
    <cellStyle name="Dash" xfId="1561" xr:uid="{00000000-0005-0000-0000-00000D060000}"/>
    <cellStyle name="Data" xfId="1562" xr:uid="{00000000-0005-0000-0000-00000E060000}"/>
    <cellStyle name="Data 2" xfId="1563" xr:uid="{00000000-0005-0000-0000-00000F060000}"/>
    <cellStyle name="Data 2 2" xfId="4560" xr:uid="{00000000-0005-0000-0000-00000F060000}"/>
    <cellStyle name="Data 2 3" xfId="4585" xr:uid="{00000000-0005-0000-0000-000025060000}"/>
    <cellStyle name="Data 3" xfId="1564" xr:uid="{00000000-0005-0000-0000-000010060000}"/>
    <cellStyle name="Data 4" xfId="4559" xr:uid="{00000000-0005-0000-0000-00000E060000}"/>
    <cellStyle name="Data 5" xfId="4586" xr:uid="{00000000-0005-0000-0000-000024060000}"/>
    <cellStyle name="Date" xfId="1565" xr:uid="{00000000-0005-0000-0000-000011060000}"/>
    <cellStyle name="Date [mm-dd-yyyy]" xfId="1566" xr:uid="{00000000-0005-0000-0000-000012060000}"/>
    <cellStyle name="Date [mm-dd-yyyy] 2" xfId="1567" xr:uid="{00000000-0005-0000-0000-000013060000}"/>
    <cellStyle name="Date [mm-d-yyyy]" xfId="1568" xr:uid="{00000000-0005-0000-0000-000014060000}"/>
    <cellStyle name="Date [mm-d-yyyy] 2" xfId="4693" xr:uid="{00000000-0005-0000-0000-00002B060000}"/>
    <cellStyle name="Date [mm-d-yyyy] 3" xfId="4584" xr:uid="{00000000-0005-0000-0000-00002A060000}"/>
    <cellStyle name="Date [mmm-yyyy]" xfId="1569" xr:uid="{00000000-0005-0000-0000-000015060000}"/>
    <cellStyle name="Date [mmm-yyyy] 2" xfId="4694" xr:uid="{00000000-0005-0000-0000-00002D060000}"/>
    <cellStyle name="Date [mmm-yyyy] 3" xfId="4583" xr:uid="{00000000-0005-0000-0000-00002C060000}"/>
    <cellStyle name="Date Aligned" xfId="1570" xr:uid="{00000000-0005-0000-0000-000016060000}"/>
    <cellStyle name="Date Aligned*" xfId="1571" xr:uid="{00000000-0005-0000-0000-000017060000}"/>
    <cellStyle name="Date Aligned_comp_Integrateds" xfId="1572" xr:uid="{00000000-0005-0000-0000-000018060000}"/>
    <cellStyle name="Date Short" xfId="1573" xr:uid="{00000000-0005-0000-0000-000019060000}"/>
    <cellStyle name="date_ Pies " xfId="1574" xr:uid="{00000000-0005-0000-0000-00001A060000}"/>
    <cellStyle name="DblLineDollarAcct" xfId="1575" xr:uid="{00000000-0005-0000-0000-00001B060000}"/>
    <cellStyle name="DblLinePercent" xfId="1576" xr:uid="{00000000-0005-0000-0000-00001C060000}"/>
    <cellStyle name="Dezimal [0]_A17 - 31.03.1998" xfId="1577" xr:uid="{00000000-0005-0000-0000-00001D060000}"/>
    <cellStyle name="Dezimal_A17 - 31.03.1998" xfId="1578" xr:uid="{00000000-0005-0000-0000-00001E060000}"/>
    <cellStyle name="Dia" xfId="1579" xr:uid="{00000000-0005-0000-0000-00001F060000}"/>
    <cellStyle name="Dollar_ Pies " xfId="1580" xr:uid="{00000000-0005-0000-0000-000020060000}"/>
    <cellStyle name="DollarAccounting" xfId="1581" xr:uid="{00000000-0005-0000-0000-000021060000}"/>
    <cellStyle name="Dotted Line" xfId="1582" xr:uid="{00000000-0005-0000-0000-000022060000}"/>
    <cellStyle name="Dotted Line 2" xfId="1583" xr:uid="{00000000-0005-0000-0000-000023060000}"/>
    <cellStyle name="Dotted Line 3" xfId="1584" xr:uid="{00000000-0005-0000-0000-000024060000}"/>
    <cellStyle name="Double Accounting" xfId="1585" xr:uid="{00000000-0005-0000-0000-000025060000}"/>
    <cellStyle name="Duizenden" xfId="1586" xr:uid="{00000000-0005-0000-0000-000026060000}"/>
    <cellStyle name="Encabez1" xfId="1587" xr:uid="{00000000-0005-0000-0000-000027060000}"/>
    <cellStyle name="Encabez2" xfId="1588" xr:uid="{00000000-0005-0000-0000-000028060000}"/>
    <cellStyle name="Enter Currency (0)" xfId="1589" xr:uid="{00000000-0005-0000-0000-000029060000}"/>
    <cellStyle name="Enter Currency (2)" xfId="1590" xr:uid="{00000000-0005-0000-0000-00002A060000}"/>
    <cellStyle name="Enter Units (0)" xfId="1591" xr:uid="{00000000-0005-0000-0000-00002B060000}"/>
    <cellStyle name="Enter Units (1)" xfId="1592" xr:uid="{00000000-0005-0000-0000-00002C060000}"/>
    <cellStyle name="Enter Units (2)" xfId="1593" xr:uid="{00000000-0005-0000-0000-00002D060000}"/>
    <cellStyle name="Entrée" xfId="1594" xr:uid="{00000000-0005-0000-0000-00002E060000}"/>
    <cellStyle name="Entrée 2" xfId="4561" xr:uid="{00000000-0005-0000-0000-00002E060000}"/>
    <cellStyle name="Euro" xfId="1595" xr:uid="{00000000-0005-0000-0000-00002F060000}"/>
    <cellStyle name="Explanatory Text 2" xfId="1596" xr:uid="{00000000-0005-0000-0000-000030060000}"/>
    <cellStyle name="Explanatory Text 2 2" xfId="1597" xr:uid="{00000000-0005-0000-0000-000031060000}"/>
    <cellStyle name="Explanatory Text 2 3" xfId="1598" xr:uid="{00000000-0005-0000-0000-000032060000}"/>
    <cellStyle name="Explanatory Text 2 4" xfId="1599" xr:uid="{00000000-0005-0000-0000-000033060000}"/>
    <cellStyle name="Explanatory Text 2 5" xfId="1600" xr:uid="{00000000-0005-0000-0000-000034060000}"/>
    <cellStyle name="Explanatory Text 2 6" xfId="1601" xr:uid="{00000000-0005-0000-0000-000035060000}"/>
    <cellStyle name="Explanatory Text 2 7" xfId="1602" xr:uid="{00000000-0005-0000-0000-000036060000}"/>
    <cellStyle name="Explanatory Text 2 8" xfId="1603" xr:uid="{00000000-0005-0000-0000-000037060000}"/>
    <cellStyle name="Explanatory Text 2 9" xfId="1604" xr:uid="{00000000-0005-0000-0000-000038060000}"/>
    <cellStyle name="Explanatory Text 3" xfId="1605" xr:uid="{00000000-0005-0000-0000-000039060000}"/>
    <cellStyle name="fact" xfId="1606" xr:uid="{00000000-0005-0000-0000-00003A060000}"/>
    <cellStyle name="fact 2" xfId="4695" xr:uid="{00000000-0005-0000-0000-000052060000}"/>
    <cellStyle name="FieldName" xfId="1607" xr:uid="{00000000-0005-0000-0000-00003B060000}"/>
    <cellStyle name="FieldName 2" xfId="4562" xr:uid="{00000000-0005-0000-0000-00003B060000}"/>
    <cellStyle name="FieldName 3" xfId="4582" xr:uid="{00000000-0005-0000-0000-000053060000}"/>
    <cellStyle name="Fijo" xfId="1608" xr:uid="{00000000-0005-0000-0000-00003C060000}"/>
    <cellStyle name="Financiero" xfId="1609" xr:uid="{00000000-0005-0000-0000-00003D060000}"/>
    <cellStyle name="Fixed" xfId="1610" xr:uid="{00000000-0005-0000-0000-00003E060000}"/>
    <cellStyle name="Followed Hyperlink 2" xfId="1611" xr:uid="{00000000-0005-0000-0000-00003F060000}"/>
    <cellStyle name="Footnote" xfId="1612" xr:uid="{00000000-0005-0000-0000-000040060000}"/>
    <cellStyle name="Good 2" xfId="1613" xr:uid="{00000000-0005-0000-0000-000041060000}"/>
    <cellStyle name="Good 2 2" xfId="1614" xr:uid="{00000000-0005-0000-0000-000042060000}"/>
    <cellStyle name="Good 2 3" xfId="1615" xr:uid="{00000000-0005-0000-0000-000043060000}"/>
    <cellStyle name="Good 2 4" xfId="1616" xr:uid="{00000000-0005-0000-0000-000044060000}"/>
    <cellStyle name="Good 2 5" xfId="1617" xr:uid="{00000000-0005-0000-0000-000045060000}"/>
    <cellStyle name="Good 2 6" xfId="1618" xr:uid="{00000000-0005-0000-0000-000046060000}"/>
    <cellStyle name="Good 2 7" xfId="1619" xr:uid="{00000000-0005-0000-0000-000047060000}"/>
    <cellStyle name="Good 2 8" xfId="1620" xr:uid="{00000000-0005-0000-0000-000048060000}"/>
    <cellStyle name="Good 2 9" xfId="1621" xr:uid="{00000000-0005-0000-0000-000049060000}"/>
    <cellStyle name="Good 3" xfId="1622" xr:uid="{00000000-0005-0000-0000-00004A060000}"/>
    <cellStyle name="Grey" xfId="1623" xr:uid="{00000000-0005-0000-0000-00004B060000}"/>
    <cellStyle name="GWN Table Body" xfId="1624" xr:uid="{00000000-0005-0000-0000-00004C060000}"/>
    <cellStyle name="GWN Table Header" xfId="1625" xr:uid="{00000000-0005-0000-0000-00004D060000}"/>
    <cellStyle name="GWN Table Left Header" xfId="1626" xr:uid="{00000000-0005-0000-0000-00004E060000}"/>
    <cellStyle name="GWN Table Note" xfId="1627" xr:uid="{00000000-0005-0000-0000-00004F060000}"/>
    <cellStyle name="GWN Table Title" xfId="1628" xr:uid="{00000000-0005-0000-0000-000050060000}"/>
    <cellStyle name="hard no" xfId="1629" xr:uid="{00000000-0005-0000-0000-000051060000}"/>
    <cellStyle name="hard no 2" xfId="4563" xr:uid="{00000000-0005-0000-0000-000051060000}"/>
    <cellStyle name="hard no 3" xfId="4581" xr:uid="{00000000-0005-0000-0000-0000A01A0000}"/>
    <cellStyle name="Hard Percent" xfId="1630" xr:uid="{00000000-0005-0000-0000-000052060000}"/>
    <cellStyle name="hardno" xfId="1631" xr:uid="{00000000-0005-0000-0000-000053060000}"/>
    <cellStyle name="Header" xfId="1632" xr:uid="{00000000-0005-0000-0000-000054060000}"/>
    <cellStyle name="Header1" xfId="1633" xr:uid="{00000000-0005-0000-0000-000055060000}"/>
    <cellStyle name="Header2" xfId="1634" xr:uid="{00000000-0005-0000-0000-000056060000}"/>
    <cellStyle name="Header2 2" xfId="4564" xr:uid="{00000000-0005-0000-0000-000056060000}"/>
    <cellStyle name="Header2 3" xfId="4580" xr:uid="{00000000-0005-0000-0000-0000A51A0000}"/>
    <cellStyle name="Heading" xfId="1635" xr:uid="{00000000-0005-0000-0000-000057060000}"/>
    <cellStyle name="Heading 1 2" xfId="1636" xr:uid="{00000000-0005-0000-0000-000058060000}"/>
    <cellStyle name="Heading 1 2 2" xfId="1637" xr:uid="{00000000-0005-0000-0000-000059060000}"/>
    <cellStyle name="Heading 1 2 3" xfId="1638" xr:uid="{00000000-0005-0000-0000-00005A060000}"/>
    <cellStyle name="Heading 1 2 4" xfId="1639" xr:uid="{00000000-0005-0000-0000-00005B060000}"/>
    <cellStyle name="Heading 1 2 5" xfId="1640" xr:uid="{00000000-0005-0000-0000-00005C060000}"/>
    <cellStyle name="Heading 1 2 6" xfId="1641" xr:uid="{00000000-0005-0000-0000-00005D060000}"/>
    <cellStyle name="Heading 1 3" xfId="1642" xr:uid="{00000000-0005-0000-0000-00005E060000}"/>
    <cellStyle name="Heading 2 2" xfId="1643" xr:uid="{00000000-0005-0000-0000-00005F060000}"/>
    <cellStyle name="Heading 2 2 2" xfId="1644" xr:uid="{00000000-0005-0000-0000-000060060000}"/>
    <cellStyle name="Heading 2 2 3" xfId="1645" xr:uid="{00000000-0005-0000-0000-000061060000}"/>
    <cellStyle name="Heading 2 2 4" xfId="1646" xr:uid="{00000000-0005-0000-0000-000062060000}"/>
    <cellStyle name="Heading 2 2 5" xfId="1647" xr:uid="{00000000-0005-0000-0000-000063060000}"/>
    <cellStyle name="Heading 2 2 6" xfId="1648" xr:uid="{00000000-0005-0000-0000-000064060000}"/>
    <cellStyle name="Heading 2 3" xfId="1649" xr:uid="{00000000-0005-0000-0000-000065060000}"/>
    <cellStyle name="Heading 3 2" xfId="1650" xr:uid="{00000000-0005-0000-0000-000066060000}"/>
    <cellStyle name="Heading 3 2 2" xfId="1651" xr:uid="{00000000-0005-0000-0000-000067060000}"/>
    <cellStyle name="Heading 3 2 3" xfId="1652" xr:uid="{00000000-0005-0000-0000-000068060000}"/>
    <cellStyle name="Heading 3 2 4" xfId="1653" xr:uid="{00000000-0005-0000-0000-000069060000}"/>
    <cellStyle name="Heading 3 2 5" xfId="1654" xr:uid="{00000000-0005-0000-0000-00006A060000}"/>
    <cellStyle name="Heading 3 2 6" xfId="1655" xr:uid="{00000000-0005-0000-0000-00006B060000}"/>
    <cellStyle name="Heading 3 2 7" xfId="1656" xr:uid="{00000000-0005-0000-0000-00006C060000}"/>
    <cellStyle name="Heading 3 2 8" xfId="4709" xr:uid="{00000000-0005-0000-0000-0000BC1A0000}"/>
    <cellStyle name="Heading 3 3" xfId="1657" xr:uid="{00000000-0005-0000-0000-00006D060000}"/>
    <cellStyle name="Heading 4 2" xfId="1658" xr:uid="{00000000-0005-0000-0000-00006E060000}"/>
    <cellStyle name="Heading 4 2 2" xfId="1659" xr:uid="{00000000-0005-0000-0000-00006F060000}"/>
    <cellStyle name="Heading 4 3" xfId="1660" xr:uid="{00000000-0005-0000-0000-000070060000}"/>
    <cellStyle name="Heading2" xfId="1661" xr:uid="{00000000-0005-0000-0000-000071060000}"/>
    <cellStyle name="Heading3" xfId="1662" xr:uid="{00000000-0005-0000-0000-000072060000}"/>
    <cellStyle name="HeadingColumn" xfId="1663" xr:uid="{00000000-0005-0000-0000-000073060000}"/>
    <cellStyle name="HeadingS" xfId="1664" xr:uid="{00000000-0005-0000-0000-000074060000}"/>
    <cellStyle name="HeadingS 2" xfId="4579" xr:uid="{00000000-0005-0000-0000-0000C41A0000}"/>
    <cellStyle name="HeadingYear" xfId="1665" xr:uid="{00000000-0005-0000-0000-000075060000}"/>
    <cellStyle name="HeadingYear 2" xfId="4565" xr:uid="{00000000-0005-0000-0000-000075060000}"/>
    <cellStyle name="HeadingYear 3" xfId="4578" xr:uid="{00000000-0005-0000-0000-0000C51A0000}"/>
    <cellStyle name="HeadlineStyle" xfId="1666" xr:uid="{00000000-0005-0000-0000-000076060000}"/>
    <cellStyle name="HeadlineStyleJustified" xfId="1667" xr:uid="{00000000-0005-0000-0000-000077060000}"/>
    <cellStyle name="Hed Side_Sheet1" xfId="1668" xr:uid="{00000000-0005-0000-0000-000078060000}"/>
    <cellStyle name="Hed Top" xfId="1669" xr:uid="{00000000-0005-0000-0000-000079060000}"/>
    <cellStyle name="Hyperlink 2" xfId="1670" xr:uid="{00000000-0005-0000-0000-00007B060000}"/>
    <cellStyle name="Hyperlink 2 10" xfId="1671" xr:uid="{00000000-0005-0000-0000-00007C060000}"/>
    <cellStyle name="Hyperlink 2 11" xfId="1672" xr:uid="{00000000-0005-0000-0000-00007D060000}"/>
    <cellStyle name="Hyperlink 2 12" xfId="1673" xr:uid="{00000000-0005-0000-0000-00007E060000}"/>
    <cellStyle name="Hyperlink 2 13" xfId="1674" xr:uid="{00000000-0005-0000-0000-00007F060000}"/>
    <cellStyle name="Hyperlink 2 2" xfId="1675" xr:uid="{00000000-0005-0000-0000-000080060000}"/>
    <cellStyle name="Hyperlink 2 2 2" xfId="1676" xr:uid="{00000000-0005-0000-0000-000081060000}"/>
    <cellStyle name="Hyperlink 2 3" xfId="1677" xr:uid="{00000000-0005-0000-0000-000082060000}"/>
    <cellStyle name="Hyperlink 2 3 2" xfId="1678" xr:uid="{00000000-0005-0000-0000-000083060000}"/>
    <cellStyle name="Hyperlink 2 4" xfId="1679" xr:uid="{00000000-0005-0000-0000-000084060000}"/>
    <cellStyle name="Hyperlink 2 5" xfId="1680" xr:uid="{00000000-0005-0000-0000-000085060000}"/>
    <cellStyle name="Hyperlink 2 6" xfId="1681" xr:uid="{00000000-0005-0000-0000-000086060000}"/>
    <cellStyle name="Hyperlink 2 7" xfId="1682" xr:uid="{00000000-0005-0000-0000-000087060000}"/>
    <cellStyle name="Hyperlink 2 8" xfId="1683" xr:uid="{00000000-0005-0000-0000-000088060000}"/>
    <cellStyle name="Hyperlink 2 9" xfId="1684" xr:uid="{00000000-0005-0000-0000-000089060000}"/>
    <cellStyle name="Hyperlink 3" xfId="1685" xr:uid="{00000000-0005-0000-0000-00008A060000}"/>
    <cellStyle name="Hyperlink 3 10" xfId="1686" xr:uid="{00000000-0005-0000-0000-00008B060000}"/>
    <cellStyle name="Hyperlink 3 11" xfId="1687" xr:uid="{00000000-0005-0000-0000-00008C060000}"/>
    <cellStyle name="Hyperlink 3 12" xfId="1688" xr:uid="{00000000-0005-0000-0000-00008D060000}"/>
    <cellStyle name="Hyperlink 3 2" xfId="1689" xr:uid="{00000000-0005-0000-0000-00008E060000}"/>
    <cellStyle name="Hyperlink 3 3" xfId="1690" xr:uid="{00000000-0005-0000-0000-00008F060000}"/>
    <cellStyle name="Hyperlink 3 4" xfId="1691" xr:uid="{00000000-0005-0000-0000-000090060000}"/>
    <cellStyle name="Hyperlink 3 5" xfId="1692" xr:uid="{00000000-0005-0000-0000-000091060000}"/>
    <cellStyle name="Hyperlink 3 6" xfId="1693" xr:uid="{00000000-0005-0000-0000-000092060000}"/>
    <cellStyle name="Hyperlink 3 7" xfId="1694" xr:uid="{00000000-0005-0000-0000-000093060000}"/>
    <cellStyle name="Hyperlink 3 8" xfId="1695" xr:uid="{00000000-0005-0000-0000-000094060000}"/>
    <cellStyle name="Hyperlink 3 9" xfId="1696" xr:uid="{00000000-0005-0000-0000-000095060000}"/>
    <cellStyle name="Hyperlink 4" xfId="1697" xr:uid="{00000000-0005-0000-0000-000096060000}"/>
    <cellStyle name="Hyperlink 5" xfId="1698" xr:uid="{00000000-0005-0000-0000-000097060000}"/>
    <cellStyle name="InLink_Acquis_CapitalCost " xfId="1699" xr:uid="{00000000-0005-0000-0000-000098060000}"/>
    <cellStyle name="Input (1dp#)_ Pies " xfId="1700" xr:uid="{00000000-0005-0000-0000-000099060000}"/>
    <cellStyle name="Input [yellow]" xfId="1701" xr:uid="{00000000-0005-0000-0000-00009A060000}"/>
    <cellStyle name="Input [yellow] 2" xfId="4566" xr:uid="{00000000-0005-0000-0000-00009A060000}"/>
    <cellStyle name="Input [yellow] 3" xfId="4577" xr:uid="{00000000-0005-0000-0000-0000EA1A0000}"/>
    <cellStyle name="Input 2" xfId="1702" xr:uid="{00000000-0005-0000-0000-00009B060000}"/>
    <cellStyle name="Input 2 10" xfId="4567" xr:uid="{00000000-0005-0000-0000-00009B060000}"/>
    <cellStyle name="Input 2 10 2" xfId="4710" xr:uid="{00000000-0005-0000-0000-0000EC1A0000}"/>
    <cellStyle name="Input 2 2" xfId="1703" xr:uid="{00000000-0005-0000-0000-00009C060000}"/>
    <cellStyle name="Input 2 2 2" xfId="1704" xr:uid="{00000000-0005-0000-0000-00009D060000}"/>
    <cellStyle name="Input 2 2 2 2" xfId="4730" xr:uid="{00000000-0005-0000-0000-0000EF1A0000}"/>
    <cellStyle name="Input 2 2 2 3" xfId="4626" xr:uid="{00000000-0005-0000-0000-0000EE1A0000}"/>
    <cellStyle name="Input 2 2 3" xfId="4568" xr:uid="{00000000-0005-0000-0000-00009C060000}"/>
    <cellStyle name="Input 2 2 3 2" xfId="4716" xr:uid="{00000000-0005-0000-0000-0000F01A0000}"/>
    <cellStyle name="Input 2 3" xfId="1705" xr:uid="{00000000-0005-0000-0000-00009E060000}"/>
    <cellStyle name="Input 2 3 2" xfId="4569" xr:uid="{00000000-0005-0000-0000-00009E060000}"/>
    <cellStyle name="Input 2 3 2 2" xfId="4724" xr:uid="{00000000-0005-0000-0000-0000F21A0000}"/>
    <cellStyle name="Input 2 4" xfId="1706" xr:uid="{00000000-0005-0000-0000-00009F060000}"/>
    <cellStyle name="Input 2 5" xfId="1707" xr:uid="{00000000-0005-0000-0000-0000A0060000}"/>
    <cellStyle name="Input 2 6" xfId="1708" xr:uid="{00000000-0005-0000-0000-0000A1060000}"/>
    <cellStyle name="Input 2 7" xfId="1709" xr:uid="{00000000-0005-0000-0000-0000A2060000}"/>
    <cellStyle name="Input 2 8" xfId="1710" xr:uid="{00000000-0005-0000-0000-0000A3060000}"/>
    <cellStyle name="Input 2 9" xfId="1711" xr:uid="{00000000-0005-0000-0000-0000A4060000}"/>
    <cellStyle name="Input 3" xfId="1712" xr:uid="{00000000-0005-0000-0000-0000A5060000}"/>
    <cellStyle name="InputBlueFont" xfId="1713" xr:uid="{00000000-0005-0000-0000-0000A6060000}"/>
    <cellStyle name="InputGen" xfId="1714" xr:uid="{00000000-0005-0000-0000-0000A7060000}"/>
    <cellStyle name="InputKeepColour" xfId="1715" xr:uid="{00000000-0005-0000-0000-0000A8060000}"/>
    <cellStyle name="InputKeepPale" xfId="1716" xr:uid="{00000000-0005-0000-0000-0000A9060000}"/>
    <cellStyle name="InputKeepPale 2" xfId="4576" xr:uid="{00000000-0005-0000-0000-0000FD1A0000}"/>
    <cellStyle name="InputVariColour" xfId="1717" xr:uid="{00000000-0005-0000-0000-0000AA060000}"/>
    <cellStyle name="Integer" xfId="1718" xr:uid="{00000000-0005-0000-0000-0000AB060000}"/>
    <cellStyle name="Invisible" xfId="1719" xr:uid="{00000000-0005-0000-0000-0000AC060000}"/>
    <cellStyle name="Item" xfId="1720" xr:uid="{00000000-0005-0000-0000-0000AD060000}"/>
    <cellStyle name="Items_Obligatory" xfId="1721" xr:uid="{00000000-0005-0000-0000-0000AE060000}"/>
    <cellStyle name="ItemTypeClass" xfId="1722" xr:uid="{00000000-0005-0000-0000-0000AF060000}"/>
    <cellStyle name="ItemTypeClass 2" xfId="4570" xr:uid="{00000000-0005-0000-0000-0000AF060000}"/>
    <cellStyle name="ItemTypeClass 2 2" xfId="4703" xr:uid="{00000000-0005-0000-0000-0000041B0000}"/>
    <cellStyle name="KP_Normal" xfId="1723" xr:uid="{00000000-0005-0000-0000-0000B0060000}"/>
    <cellStyle name="Lien hypertexte visité_index" xfId="1724" xr:uid="{00000000-0005-0000-0000-0000B1060000}"/>
    <cellStyle name="Lien hypertexte_index" xfId="1725" xr:uid="{00000000-0005-0000-0000-0000B2060000}"/>
    <cellStyle name="ligne_detail" xfId="1726" xr:uid="{00000000-0005-0000-0000-0000B3060000}"/>
    <cellStyle name="Line" xfId="1727" xr:uid="{00000000-0005-0000-0000-0000B4060000}"/>
    <cellStyle name="Line 2" xfId="4571" xr:uid="{00000000-0005-0000-0000-0000B4060000}"/>
    <cellStyle name="Link Currency (0)" xfId="1728" xr:uid="{00000000-0005-0000-0000-0000B5060000}"/>
    <cellStyle name="Link Currency (2)" xfId="1729" xr:uid="{00000000-0005-0000-0000-0000B6060000}"/>
    <cellStyle name="Link Units (0)" xfId="1730" xr:uid="{00000000-0005-0000-0000-0000B7060000}"/>
    <cellStyle name="Link Units (1)" xfId="1731" xr:uid="{00000000-0005-0000-0000-0000B8060000}"/>
    <cellStyle name="Link Units (2)" xfId="1732" xr:uid="{00000000-0005-0000-0000-0000B9060000}"/>
    <cellStyle name="Linked Cell 2" xfId="1733" xr:uid="{00000000-0005-0000-0000-0000BA060000}"/>
    <cellStyle name="Linked Cell 2 2" xfId="1734" xr:uid="{00000000-0005-0000-0000-0000BB060000}"/>
    <cellStyle name="Linked Cell 2 3" xfId="1735" xr:uid="{00000000-0005-0000-0000-0000BC060000}"/>
    <cellStyle name="Linked Cell 2 4" xfId="1736" xr:uid="{00000000-0005-0000-0000-0000BD060000}"/>
    <cellStyle name="Linked Cell 2 5" xfId="1737" xr:uid="{00000000-0005-0000-0000-0000BE060000}"/>
    <cellStyle name="Linked Cell 2 6" xfId="1738" xr:uid="{00000000-0005-0000-0000-0000BF060000}"/>
    <cellStyle name="Linked Cell 2 7" xfId="1739" xr:uid="{00000000-0005-0000-0000-0000C0060000}"/>
    <cellStyle name="Linked Cell 2 8" xfId="1740" xr:uid="{00000000-0005-0000-0000-0000C1060000}"/>
    <cellStyle name="Linked Cell 2 9" xfId="1741" xr:uid="{00000000-0005-0000-0000-0000C2060000}"/>
    <cellStyle name="Linked Cell 3" xfId="1742" xr:uid="{00000000-0005-0000-0000-0000C3060000}"/>
    <cellStyle name="m/d/yy" xfId="1743" xr:uid="{00000000-0005-0000-0000-0000C4060000}"/>
    <cellStyle name="m/d/yy 2" xfId="4572" xr:uid="{00000000-0005-0000-0000-0000C4060000}"/>
    <cellStyle name="m1" xfId="1744" xr:uid="{00000000-0005-0000-0000-0000C5060000}"/>
    <cellStyle name="Major item" xfId="1745" xr:uid="{00000000-0005-0000-0000-0000C6060000}"/>
    <cellStyle name="Margin" xfId="1746" xr:uid="{00000000-0005-0000-0000-0000C7060000}"/>
    <cellStyle name="Migliaia (0)_Sheet1" xfId="1747" xr:uid="{00000000-0005-0000-0000-0000C8060000}"/>
    <cellStyle name="Migliaia_piv_polio" xfId="1748" xr:uid="{00000000-0005-0000-0000-0000C9060000}"/>
    <cellStyle name="Millares [0]_Asset Mgmt " xfId="1749" xr:uid="{00000000-0005-0000-0000-0000CA060000}"/>
    <cellStyle name="Millares_2AV_M_M " xfId="1750" xr:uid="{00000000-0005-0000-0000-0000CB060000}"/>
    <cellStyle name="Milliers [0]_CANADA1" xfId="1751" xr:uid="{00000000-0005-0000-0000-0000CC060000}"/>
    <cellStyle name="Milliers 2" xfId="1752" xr:uid="{00000000-0005-0000-0000-0000CD060000}"/>
    <cellStyle name="Milliers_CANADA1" xfId="1753" xr:uid="{00000000-0005-0000-0000-0000CE060000}"/>
    <cellStyle name="mm/dd/yy" xfId="1754" xr:uid="{00000000-0005-0000-0000-0000CF060000}"/>
    <cellStyle name="mod1" xfId="1755" xr:uid="{00000000-0005-0000-0000-0000D0060000}"/>
    <cellStyle name="modelo1" xfId="1756" xr:uid="{00000000-0005-0000-0000-0000D1060000}"/>
    <cellStyle name="Moneda [0]_2AV_M_M " xfId="1757" xr:uid="{00000000-0005-0000-0000-0000D2060000}"/>
    <cellStyle name="Moneda_2AV_M_M " xfId="1758" xr:uid="{00000000-0005-0000-0000-0000D3060000}"/>
    <cellStyle name="Monétaire [0]_CANADA1" xfId="1759" xr:uid="{00000000-0005-0000-0000-0000D4060000}"/>
    <cellStyle name="Monétaire 2" xfId="1760" xr:uid="{00000000-0005-0000-0000-0000D5060000}"/>
    <cellStyle name="Monétaire_CANADA1" xfId="1761" xr:uid="{00000000-0005-0000-0000-0000D6060000}"/>
    <cellStyle name="Monetario" xfId="1762" xr:uid="{00000000-0005-0000-0000-0000D7060000}"/>
    <cellStyle name="MonthYears" xfId="1763" xr:uid="{00000000-0005-0000-0000-0000D8060000}"/>
    <cellStyle name="Multiple" xfId="1764" xr:uid="{00000000-0005-0000-0000-0000D9060000}"/>
    <cellStyle name="Multiple (no x)" xfId="1765" xr:uid="{00000000-0005-0000-0000-0000DA060000}"/>
    <cellStyle name="Multiple (x)" xfId="1766" xr:uid="{00000000-0005-0000-0000-0000DB060000}"/>
    <cellStyle name="Multiple [0]" xfId="1767" xr:uid="{00000000-0005-0000-0000-0000DC060000}"/>
    <cellStyle name="Multiple [1]" xfId="1768" xr:uid="{00000000-0005-0000-0000-0000DD060000}"/>
    <cellStyle name="Multiple [2]" xfId="1769" xr:uid="{00000000-0005-0000-0000-0000DE060000}"/>
    <cellStyle name="Multiple [3]" xfId="1770" xr:uid="{00000000-0005-0000-0000-0000DF060000}"/>
    <cellStyle name="Multiple_1030171N" xfId="1771" xr:uid="{00000000-0005-0000-0000-0000E0060000}"/>
    <cellStyle name="neg0.0_CapitalCost " xfId="1772" xr:uid="{00000000-0005-0000-0000-0000E1060000}"/>
    <cellStyle name="Neutral 2" xfId="1773" xr:uid="{00000000-0005-0000-0000-0000E2060000}"/>
    <cellStyle name="Neutral 2 2" xfId="1774" xr:uid="{00000000-0005-0000-0000-0000E3060000}"/>
    <cellStyle name="Neutral 2 3" xfId="1775" xr:uid="{00000000-0005-0000-0000-0000E4060000}"/>
    <cellStyle name="Neutral 2 4" xfId="1776" xr:uid="{00000000-0005-0000-0000-0000E5060000}"/>
    <cellStyle name="Neutral 2 5" xfId="1777" xr:uid="{00000000-0005-0000-0000-0000E6060000}"/>
    <cellStyle name="Neutral 2 6" xfId="1778" xr:uid="{00000000-0005-0000-0000-0000E7060000}"/>
    <cellStyle name="Neutral 2 7" xfId="1779" xr:uid="{00000000-0005-0000-0000-0000E8060000}"/>
    <cellStyle name="Neutral 2 8" xfId="1780" xr:uid="{00000000-0005-0000-0000-0000E9060000}"/>
    <cellStyle name="Neutral 2 9" xfId="1781" xr:uid="{00000000-0005-0000-0000-0000EA060000}"/>
    <cellStyle name="Neutral 3" xfId="1782" xr:uid="{00000000-0005-0000-0000-0000EB060000}"/>
    <cellStyle name="New" xfId="1783" xr:uid="{00000000-0005-0000-0000-0000EC060000}"/>
    <cellStyle name="Nil" xfId="1784" xr:uid="{00000000-0005-0000-0000-0000ED060000}"/>
    <cellStyle name="no dec" xfId="1785" xr:uid="{00000000-0005-0000-0000-0000EE060000}"/>
    <cellStyle name="No-definido" xfId="1786" xr:uid="{00000000-0005-0000-0000-0000EF060000}"/>
    <cellStyle name="Non_Input_Cell_Figures" xfId="1787" xr:uid="{00000000-0005-0000-0000-0000F0060000}"/>
    <cellStyle name="NonPrintingArea" xfId="1788" xr:uid="{00000000-0005-0000-0000-0000F1060000}"/>
    <cellStyle name="NORAYAS" xfId="1789" xr:uid="{00000000-0005-0000-0000-0000F2060000}"/>
    <cellStyle name="Normal" xfId="0" builtinId="0"/>
    <cellStyle name="Normal--" xfId="1790" xr:uid="{00000000-0005-0000-0000-0000F4060000}"/>
    <cellStyle name="Normal - Style1" xfId="1791" xr:uid="{00000000-0005-0000-0000-0000F5060000}"/>
    <cellStyle name="Normal [0]" xfId="1792" xr:uid="{00000000-0005-0000-0000-0000F6060000}"/>
    <cellStyle name="Normal [1]" xfId="1793" xr:uid="{00000000-0005-0000-0000-0000F7060000}"/>
    <cellStyle name="Normal [3]" xfId="1794" xr:uid="{00000000-0005-0000-0000-0000F8060000}"/>
    <cellStyle name="Normal [3] 2" xfId="1795" xr:uid="{00000000-0005-0000-0000-0000F9060000}"/>
    <cellStyle name="Normal [3] 3" xfId="1796" xr:uid="{00000000-0005-0000-0000-0000FA060000}"/>
    <cellStyle name="Normal 10" xfId="1797" xr:uid="{00000000-0005-0000-0000-0000FB060000}"/>
    <cellStyle name="Normal 10 2" xfId="1798" xr:uid="{00000000-0005-0000-0000-0000FC060000}"/>
    <cellStyle name="Normal 10 3" xfId="1799" xr:uid="{00000000-0005-0000-0000-0000FD060000}"/>
    <cellStyle name="Normal 10 4" xfId="1800" xr:uid="{00000000-0005-0000-0000-0000FE060000}"/>
    <cellStyle name="Normal 10 5" xfId="1801" xr:uid="{00000000-0005-0000-0000-0000FF060000}"/>
    <cellStyle name="Normal 10 6" xfId="1802" xr:uid="{00000000-0005-0000-0000-000000070000}"/>
    <cellStyle name="Normal 10 7" xfId="1803" xr:uid="{00000000-0005-0000-0000-000001070000}"/>
    <cellStyle name="Normal 11" xfId="1804" xr:uid="{00000000-0005-0000-0000-000002070000}"/>
    <cellStyle name="Normal 11 2" xfId="1805" xr:uid="{00000000-0005-0000-0000-000003070000}"/>
    <cellStyle name="Normal 11 2 2" xfId="1806" xr:uid="{00000000-0005-0000-0000-000004070000}"/>
    <cellStyle name="Normal 11 3" xfId="1807" xr:uid="{00000000-0005-0000-0000-000005070000}"/>
    <cellStyle name="Normal 11 4" xfId="1808" xr:uid="{00000000-0005-0000-0000-000006070000}"/>
    <cellStyle name="Normal 11 5" xfId="1809" xr:uid="{00000000-0005-0000-0000-000007070000}"/>
    <cellStyle name="Normal 11 6" xfId="1810" xr:uid="{00000000-0005-0000-0000-000008070000}"/>
    <cellStyle name="Normal 11 7" xfId="1811" xr:uid="{00000000-0005-0000-0000-000009070000}"/>
    <cellStyle name="Normal 12" xfId="1812" xr:uid="{00000000-0005-0000-0000-00000A070000}"/>
    <cellStyle name="Normal 12 2" xfId="1813" xr:uid="{00000000-0005-0000-0000-00000B070000}"/>
    <cellStyle name="Normal 12 3" xfId="1814" xr:uid="{00000000-0005-0000-0000-00000C070000}"/>
    <cellStyle name="Normal 12 4" xfId="1815" xr:uid="{00000000-0005-0000-0000-00000D070000}"/>
    <cellStyle name="Normal 12 5" xfId="1816" xr:uid="{00000000-0005-0000-0000-00000E070000}"/>
    <cellStyle name="Normal 13" xfId="1817" xr:uid="{00000000-0005-0000-0000-00000F070000}"/>
    <cellStyle name="Normal 13 2" xfId="1818" xr:uid="{00000000-0005-0000-0000-000010070000}"/>
    <cellStyle name="Normal 13 3" xfId="1819" xr:uid="{00000000-0005-0000-0000-000011070000}"/>
    <cellStyle name="Normal 13 4" xfId="4573" xr:uid="{00000000-0005-0000-0000-00000F070000}"/>
    <cellStyle name="Normal 13 5" xfId="4575" xr:uid="{00000000-0005-0000-0000-0000661B0000}"/>
    <cellStyle name="Normal 14" xfId="1820" xr:uid="{00000000-0005-0000-0000-000012070000}"/>
    <cellStyle name="Normal 14 2" xfId="1821" xr:uid="{00000000-0005-0000-0000-000013070000}"/>
    <cellStyle name="Normal 14 3" xfId="1822" xr:uid="{00000000-0005-0000-0000-000014070000}"/>
    <cellStyle name="Normal 15" xfId="1823" xr:uid="{00000000-0005-0000-0000-000015070000}"/>
    <cellStyle name="Normal 15 2" xfId="1824" xr:uid="{00000000-0005-0000-0000-000016070000}"/>
    <cellStyle name="Normal 15 2 2" xfId="1825" xr:uid="{00000000-0005-0000-0000-000017070000}"/>
    <cellStyle name="Normal 15 3" xfId="1826" xr:uid="{00000000-0005-0000-0000-000018070000}"/>
    <cellStyle name="Normal 15 4" xfId="1827" xr:uid="{00000000-0005-0000-0000-000019070000}"/>
    <cellStyle name="Normal 16" xfId="1828" xr:uid="{00000000-0005-0000-0000-00001A070000}"/>
    <cellStyle name="Normal 16 2" xfId="1829" xr:uid="{00000000-0005-0000-0000-00001B070000}"/>
    <cellStyle name="Normal 16 3" xfId="1830" xr:uid="{00000000-0005-0000-0000-00001C070000}"/>
    <cellStyle name="Normal 17" xfId="1831" xr:uid="{00000000-0005-0000-0000-00001D070000}"/>
    <cellStyle name="Normal 18" xfId="1832" xr:uid="{00000000-0005-0000-0000-00001E070000}"/>
    <cellStyle name="Normal 18 2" xfId="1833" xr:uid="{00000000-0005-0000-0000-00001F070000}"/>
    <cellStyle name="Normal 19" xfId="1834" xr:uid="{00000000-0005-0000-0000-000020070000}"/>
    <cellStyle name="Normal 2" xfId="5" xr:uid="{00000000-0005-0000-0000-000005000000}"/>
    <cellStyle name="Normal-- 2" xfId="1836" xr:uid="{00000000-0005-0000-0000-000022070000}"/>
    <cellStyle name="Normal 2 10" xfId="1837" xr:uid="{00000000-0005-0000-0000-000023070000}"/>
    <cellStyle name="Normal 2 10 2" xfId="1838" xr:uid="{00000000-0005-0000-0000-000024070000}"/>
    <cellStyle name="Normal 2 11" xfId="1839" xr:uid="{00000000-0005-0000-0000-000025070000}"/>
    <cellStyle name="Normal 2 11 2" xfId="1840" xr:uid="{00000000-0005-0000-0000-000026070000}"/>
    <cellStyle name="Normal 2 12" xfId="1841" xr:uid="{00000000-0005-0000-0000-000027070000}"/>
    <cellStyle name="Normal 2 12 2" xfId="1842" xr:uid="{00000000-0005-0000-0000-000028070000}"/>
    <cellStyle name="Normal 2 13" xfId="1843" xr:uid="{00000000-0005-0000-0000-000029070000}"/>
    <cellStyle name="Normal 2 13 2" xfId="1844" xr:uid="{00000000-0005-0000-0000-00002A070000}"/>
    <cellStyle name="Normal 2 14" xfId="1845" xr:uid="{00000000-0005-0000-0000-00002B070000}"/>
    <cellStyle name="Normal 2 14 2" xfId="1846" xr:uid="{00000000-0005-0000-0000-00002C070000}"/>
    <cellStyle name="Normal 2 15" xfId="1847" xr:uid="{00000000-0005-0000-0000-00002D070000}"/>
    <cellStyle name="Normal 2 15 2" xfId="1848" xr:uid="{00000000-0005-0000-0000-00002E070000}"/>
    <cellStyle name="Normal 2 16" xfId="1849" xr:uid="{00000000-0005-0000-0000-00002F070000}"/>
    <cellStyle name="Normal 2 16 2" xfId="1850" xr:uid="{00000000-0005-0000-0000-000030070000}"/>
    <cellStyle name="Normal 2 17" xfId="1851" xr:uid="{00000000-0005-0000-0000-000031070000}"/>
    <cellStyle name="Normal 2 17 2" xfId="1852" xr:uid="{00000000-0005-0000-0000-000032070000}"/>
    <cellStyle name="Normal 2 18" xfId="1853" xr:uid="{00000000-0005-0000-0000-000033070000}"/>
    <cellStyle name="Normal 2 18 2" xfId="1854" xr:uid="{00000000-0005-0000-0000-000034070000}"/>
    <cellStyle name="Normal 2 19" xfId="1855" xr:uid="{00000000-0005-0000-0000-000035070000}"/>
    <cellStyle name="Normal 2 19 2" xfId="1856" xr:uid="{00000000-0005-0000-0000-000036070000}"/>
    <cellStyle name="Normal 2 2" xfId="6" xr:uid="{00000000-0005-0000-0000-000006000000}"/>
    <cellStyle name="Normal 2 2 2" xfId="1858" xr:uid="{00000000-0005-0000-0000-000038070000}"/>
    <cellStyle name="Normal 2 2 2 2" xfId="1859" xr:uid="{00000000-0005-0000-0000-000039070000}"/>
    <cellStyle name="Normal 2 2 2 2 2" xfId="1860" xr:uid="{00000000-0005-0000-0000-00003A070000}"/>
    <cellStyle name="Normal 2 2 2 3" xfId="1861" xr:uid="{00000000-0005-0000-0000-00003B070000}"/>
    <cellStyle name="Normal 2 2 2 4" xfId="1862" xr:uid="{00000000-0005-0000-0000-00003C070000}"/>
    <cellStyle name="Normal 2 2 2 5" xfId="1863" xr:uid="{00000000-0005-0000-0000-00003D070000}"/>
    <cellStyle name="Normal 2 2 2 6" xfId="1864" xr:uid="{00000000-0005-0000-0000-00003E070000}"/>
    <cellStyle name="Normal 2 2 2 7" xfId="4648" xr:uid="{00000000-0005-0000-0000-00008F1B0000}"/>
    <cellStyle name="Normal 2 2 3" xfId="1865" xr:uid="{00000000-0005-0000-0000-00003F070000}"/>
    <cellStyle name="Normal 2 2 4" xfId="1866" xr:uid="{00000000-0005-0000-0000-000040070000}"/>
    <cellStyle name="Normal 2 2 4 2" xfId="1867" xr:uid="{00000000-0005-0000-0000-000041070000}"/>
    <cellStyle name="Normal 2 2 4 3" xfId="1868" xr:uid="{00000000-0005-0000-0000-000042070000}"/>
    <cellStyle name="Normal 2 2 5" xfId="1869" xr:uid="{00000000-0005-0000-0000-000043070000}"/>
    <cellStyle name="Normal 2 2 6" xfId="1870" xr:uid="{00000000-0005-0000-0000-000044070000}"/>
    <cellStyle name="Normal 2 2 7" xfId="1857" xr:uid="{00000000-0005-0000-0000-000037070000}"/>
    <cellStyle name="Normal 2 2 8" xfId="4659" xr:uid="{00000000-0005-0000-0000-00008E1B0000}"/>
    <cellStyle name="Normal 2 20" xfId="1871" xr:uid="{00000000-0005-0000-0000-000045070000}"/>
    <cellStyle name="Normal 2 20 2" xfId="1872" xr:uid="{00000000-0005-0000-0000-000046070000}"/>
    <cellStyle name="Normal 2 21" xfId="1873" xr:uid="{00000000-0005-0000-0000-000047070000}"/>
    <cellStyle name="Normal 2 21 2" xfId="1874" xr:uid="{00000000-0005-0000-0000-000048070000}"/>
    <cellStyle name="Normal 2 22" xfId="1875" xr:uid="{00000000-0005-0000-0000-000049070000}"/>
    <cellStyle name="Normal 2 22 2" xfId="1876" xr:uid="{00000000-0005-0000-0000-00004A070000}"/>
    <cellStyle name="Normal 2 23" xfId="1877" xr:uid="{00000000-0005-0000-0000-00004B070000}"/>
    <cellStyle name="Normal 2 23 2" xfId="1878" xr:uid="{00000000-0005-0000-0000-00004C070000}"/>
    <cellStyle name="Normal 2 24" xfId="1879" xr:uid="{00000000-0005-0000-0000-00004D070000}"/>
    <cellStyle name="Normal 2 24 2" xfId="1880" xr:uid="{00000000-0005-0000-0000-00004E070000}"/>
    <cellStyle name="Normal 2 24 2 2" xfId="1881" xr:uid="{00000000-0005-0000-0000-00004F070000}"/>
    <cellStyle name="Normal 2 24 3" xfId="1882" xr:uid="{00000000-0005-0000-0000-000050070000}"/>
    <cellStyle name="Normal 2 24 4" xfId="1883" xr:uid="{00000000-0005-0000-0000-000051070000}"/>
    <cellStyle name="Normal 2 25" xfId="1884" xr:uid="{00000000-0005-0000-0000-000052070000}"/>
    <cellStyle name="Normal 2 25 2" xfId="1885" xr:uid="{00000000-0005-0000-0000-000053070000}"/>
    <cellStyle name="Normal 2 26" xfId="1886" xr:uid="{00000000-0005-0000-0000-000054070000}"/>
    <cellStyle name="Normal 2 26 2" xfId="1887" xr:uid="{00000000-0005-0000-0000-000055070000}"/>
    <cellStyle name="Normal 2 27" xfId="1888" xr:uid="{00000000-0005-0000-0000-000056070000}"/>
    <cellStyle name="Normal 2 27 2" xfId="1889" xr:uid="{00000000-0005-0000-0000-000057070000}"/>
    <cellStyle name="Normal 2 28" xfId="1890" xr:uid="{00000000-0005-0000-0000-000058070000}"/>
    <cellStyle name="Normal 2 28 2" xfId="1891" xr:uid="{00000000-0005-0000-0000-000059070000}"/>
    <cellStyle name="Normal 2 29" xfId="1892" xr:uid="{00000000-0005-0000-0000-00005A070000}"/>
    <cellStyle name="Normal 2 29 2" xfId="1893" xr:uid="{00000000-0005-0000-0000-00005B070000}"/>
    <cellStyle name="Normal 2 3" xfId="1894" xr:uid="{00000000-0005-0000-0000-00005C070000}"/>
    <cellStyle name="Normal 2 3 2" xfId="1895" xr:uid="{00000000-0005-0000-0000-00005D070000}"/>
    <cellStyle name="Normal 2 3 3" xfId="1896" xr:uid="{00000000-0005-0000-0000-00005E070000}"/>
    <cellStyle name="Normal 2 3 4" xfId="4649" xr:uid="{00000000-0005-0000-0000-0000B31B0000}"/>
    <cellStyle name="Normal 2 30" xfId="1897" xr:uid="{00000000-0005-0000-0000-00005F070000}"/>
    <cellStyle name="Normal 2 30 2" xfId="1898" xr:uid="{00000000-0005-0000-0000-000060070000}"/>
    <cellStyle name="Normal 2 31" xfId="1899" xr:uid="{00000000-0005-0000-0000-000061070000}"/>
    <cellStyle name="Normal 2 31 2" xfId="1900" xr:uid="{00000000-0005-0000-0000-000062070000}"/>
    <cellStyle name="Normal 2 32" xfId="1901" xr:uid="{00000000-0005-0000-0000-000063070000}"/>
    <cellStyle name="Normal 2 33" xfId="1902" xr:uid="{00000000-0005-0000-0000-000064070000}"/>
    <cellStyle name="Normal 2 34" xfId="1903" xr:uid="{00000000-0005-0000-0000-000065070000}"/>
    <cellStyle name="Normal 2 35" xfId="1904" xr:uid="{00000000-0005-0000-0000-000066070000}"/>
    <cellStyle name="Normal 2 36" xfId="1905" xr:uid="{00000000-0005-0000-0000-000067070000}"/>
    <cellStyle name="Normal 2 37" xfId="1906" xr:uid="{00000000-0005-0000-0000-000068070000}"/>
    <cellStyle name="Normal 2 38" xfId="1907" xr:uid="{00000000-0005-0000-0000-000069070000}"/>
    <cellStyle name="Normal 2 38 2" xfId="1908" xr:uid="{00000000-0005-0000-0000-00006A070000}"/>
    <cellStyle name="Normal 2 39" xfId="1909" xr:uid="{00000000-0005-0000-0000-00006B070000}"/>
    <cellStyle name="Normal 2 4" xfId="1910" xr:uid="{00000000-0005-0000-0000-00006C070000}"/>
    <cellStyle name="Normal 2 4 2" xfId="1911" xr:uid="{00000000-0005-0000-0000-00006D070000}"/>
    <cellStyle name="Normal 2 4 3" xfId="1912" xr:uid="{00000000-0005-0000-0000-00006E070000}"/>
    <cellStyle name="Normal 2 4 4" xfId="1913" xr:uid="{00000000-0005-0000-0000-00006F070000}"/>
    <cellStyle name="Normal 2 4 5" xfId="4595" xr:uid="{00000000-0005-0000-0000-0000C31B0000}"/>
    <cellStyle name="Normal 2 40" xfId="1914" xr:uid="{00000000-0005-0000-0000-000070070000}"/>
    <cellStyle name="Normal 2 41" xfId="1915" xr:uid="{00000000-0005-0000-0000-000071070000}"/>
    <cellStyle name="Normal 2 42" xfId="1916" xr:uid="{00000000-0005-0000-0000-000072070000}"/>
    <cellStyle name="Normal 2 43" xfId="1917" xr:uid="{00000000-0005-0000-0000-000073070000}"/>
    <cellStyle name="Normal 2 44" xfId="1918" xr:uid="{00000000-0005-0000-0000-000074070000}"/>
    <cellStyle name="Normal 2 45" xfId="1919" xr:uid="{00000000-0005-0000-0000-000075070000}"/>
    <cellStyle name="Normal 2 46" xfId="1920" xr:uid="{00000000-0005-0000-0000-000076070000}"/>
    <cellStyle name="Normal 2 47" xfId="1921" xr:uid="{00000000-0005-0000-0000-000077070000}"/>
    <cellStyle name="Normal 2 48" xfId="1835" xr:uid="{00000000-0005-0000-0000-000021070000}"/>
    <cellStyle name="Normal 2 48 2" xfId="4682" xr:uid="{00000000-0005-0000-0000-0000CF1B0000}"/>
    <cellStyle name="Normal 2 49" xfId="4574" xr:uid="{00000000-0005-0000-0000-000021070000}"/>
    <cellStyle name="Normal 2 5" xfId="1922" xr:uid="{00000000-0005-0000-0000-000078070000}"/>
    <cellStyle name="Normal 2 5 2" xfId="1923" xr:uid="{00000000-0005-0000-0000-000079070000}"/>
    <cellStyle name="Normal 2 5 3" xfId="1924" xr:uid="{00000000-0005-0000-0000-00007A070000}"/>
    <cellStyle name="Normal 2 5 4" xfId="4593" xr:uid="{00000000-0005-0000-0000-0000D01B0000}"/>
    <cellStyle name="Normal 2 50" xfId="4661" xr:uid="{00000000-0005-0000-0000-0000781B0000}"/>
    <cellStyle name="Normal 2 6" xfId="1925" xr:uid="{00000000-0005-0000-0000-00007B070000}"/>
    <cellStyle name="Normal 2 6 2" xfId="1926" xr:uid="{00000000-0005-0000-0000-00007C070000}"/>
    <cellStyle name="Normal 2 7" xfId="1927" xr:uid="{00000000-0005-0000-0000-00007D070000}"/>
    <cellStyle name="Normal 2 7 2" xfId="1928" xr:uid="{00000000-0005-0000-0000-00007E070000}"/>
    <cellStyle name="Normal 2 8" xfId="1929" xr:uid="{00000000-0005-0000-0000-00007F070000}"/>
    <cellStyle name="Normal 2 8 2" xfId="1930" xr:uid="{00000000-0005-0000-0000-000080070000}"/>
    <cellStyle name="Normal 2 9" xfId="1931" xr:uid="{00000000-0005-0000-0000-000081070000}"/>
    <cellStyle name="Normal 2 9 2" xfId="1932" xr:uid="{00000000-0005-0000-0000-000082070000}"/>
    <cellStyle name="Normal 20" xfId="1933" xr:uid="{00000000-0005-0000-0000-000083070000}"/>
    <cellStyle name="Normal 21" xfId="1934" xr:uid="{00000000-0005-0000-0000-000084070000}"/>
    <cellStyle name="Normal 22" xfId="1935" xr:uid="{00000000-0005-0000-0000-000085070000}"/>
    <cellStyle name="Normal 23" xfId="1936" xr:uid="{00000000-0005-0000-0000-000086070000}"/>
    <cellStyle name="Normal 24" xfId="1937" xr:uid="{00000000-0005-0000-0000-000087070000}"/>
    <cellStyle name="Normal 25" xfId="1938" xr:uid="{00000000-0005-0000-0000-000088070000}"/>
    <cellStyle name="Normal 25 10" xfId="1939" xr:uid="{00000000-0005-0000-0000-000089070000}"/>
    <cellStyle name="Normal 25 100" xfId="1940" xr:uid="{00000000-0005-0000-0000-00008A070000}"/>
    <cellStyle name="Normal 25 101" xfId="1941" xr:uid="{00000000-0005-0000-0000-00008B070000}"/>
    <cellStyle name="Normal 25 102" xfId="1942" xr:uid="{00000000-0005-0000-0000-00008C070000}"/>
    <cellStyle name="Normal 25 103" xfId="1943" xr:uid="{00000000-0005-0000-0000-00008D070000}"/>
    <cellStyle name="Normal 25 104" xfId="1944" xr:uid="{00000000-0005-0000-0000-00008E070000}"/>
    <cellStyle name="Normal 25 105" xfId="1945" xr:uid="{00000000-0005-0000-0000-00008F070000}"/>
    <cellStyle name="Normal 25 106" xfId="1946" xr:uid="{00000000-0005-0000-0000-000090070000}"/>
    <cellStyle name="Normal 25 107" xfId="1947" xr:uid="{00000000-0005-0000-0000-000091070000}"/>
    <cellStyle name="Normal 25 108" xfId="1948" xr:uid="{00000000-0005-0000-0000-000092070000}"/>
    <cellStyle name="Normal 25 109" xfId="1949" xr:uid="{00000000-0005-0000-0000-000093070000}"/>
    <cellStyle name="Normal 25 11" xfId="1950" xr:uid="{00000000-0005-0000-0000-000094070000}"/>
    <cellStyle name="Normal 25 12" xfId="1951" xr:uid="{00000000-0005-0000-0000-000095070000}"/>
    <cellStyle name="Normal 25 13" xfId="1952" xr:uid="{00000000-0005-0000-0000-000096070000}"/>
    <cellStyle name="Normal 25 14" xfId="1953" xr:uid="{00000000-0005-0000-0000-000097070000}"/>
    <cellStyle name="Normal 25 15" xfId="1954" xr:uid="{00000000-0005-0000-0000-000098070000}"/>
    <cellStyle name="Normal 25 16" xfId="1955" xr:uid="{00000000-0005-0000-0000-000099070000}"/>
    <cellStyle name="Normal 25 17" xfId="1956" xr:uid="{00000000-0005-0000-0000-00009A070000}"/>
    <cellStyle name="Normal 25 18" xfId="1957" xr:uid="{00000000-0005-0000-0000-00009B070000}"/>
    <cellStyle name="Normal 25 19" xfId="1958" xr:uid="{00000000-0005-0000-0000-00009C070000}"/>
    <cellStyle name="Normal 25 2" xfId="1959" xr:uid="{00000000-0005-0000-0000-00009D070000}"/>
    <cellStyle name="Normal 25 20" xfId="1960" xr:uid="{00000000-0005-0000-0000-00009E070000}"/>
    <cellStyle name="Normal 25 21" xfId="1961" xr:uid="{00000000-0005-0000-0000-00009F070000}"/>
    <cellStyle name="Normal 25 22" xfId="1962" xr:uid="{00000000-0005-0000-0000-0000A0070000}"/>
    <cellStyle name="Normal 25 23" xfId="1963" xr:uid="{00000000-0005-0000-0000-0000A1070000}"/>
    <cellStyle name="Normal 25 24" xfId="1964" xr:uid="{00000000-0005-0000-0000-0000A2070000}"/>
    <cellStyle name="Normal 25 25" xfId="1965" xr:uid="{00000000-0005-0000-0000-0000A3070000}"/>
    <cellStyle name="Normal 25 26" xfId="1966" xr:uid="{00000000-0005-0000-0000-0000A4070000}"/>
    <cellStyle name="Normal 25 27" xfId="1967" xr:uid="{00000000-0005-0000-0000-0000A5070000}"/>
    <cellStyle name="Normal 25 28" xfId="1968" xr:uid="{00000000-0005-0000-0000-0000A6070000}"/>
    <cellStyle name="Normal 25 29" xfId="1969" xr:uid="{00000000-0005-0000-0000-0000A7070000}"/>
    <cellStyle name="Normal 25 3" xfId="1970" xr:uid="{00000000-0005-0000-0000-0000A8070000}"/>
    <cellStyle name="Normal 25 30" xfId="1971" xr:uid="{00000000-0005-0000-0000-0000A9070000}"/>
    <cellStyle name="Normal 25 31" xfId="1972" xr:uid="{00000000-0005-0000-0000-0000AA070000}"/>
    <cellStyle name="Normal 25 32" xfId="1973" xr:uid="{00000000-0005-0000-0000-0000AB070000}"/>
    <cellStyle name="Normal 25 33" xfId="1974" xr:uid="{00000000-0005-0000-0000-0000AC070000}"/>
    <cellStyle name="Normal 25 34" xfId="1975" xr:uid="{00000000-0005-0000-0000-0000AD070000}"/>
    <cellStyle name="Normal 25 35" xfId="1976" xr:uid="{00000000-0005-0000-0000-0000AE070000}"/>
    <cellStyle name="Normal 25 36" xfId="1977" xr:uid="{00000000-0005-0000-0000-0000AF070000}"/>
    <cellStyle name="Normal 25 37" xfId="1978" xr:uid="{00000000-0005-0000-0000-0000B0070000}"/>
    <cellStyle name="Normal 25 38" xfId="1979" xr:uid="{00000000-0005-0000-0000-0000B1070000}"/>
    <cellStyle name="Normal 25 39" xfId="1980" xr:uid="{00000000-0005-0000-0000-0000B2070000}"/>
    <cellStyle name="Normal 25 4" xfId="1981" xr:uid="{00000000-0005-0000-0000-0000B3070000}"/>
    <cellStyle name="Normal 25 40" xfId="1982" xr:uid="{00000000-0005-0000-0000-0000B4070000}"/>
    <cellStyle name="Normal 25 41" xfId="1983" xr:uid="{00000000-0005-0000-0000-0000B5070000}"/>
    <cellStyle name="Normal 25 42" xfId="1984" xr:uid="{00000000-0005-0000-0000-0000B6070000}"/>
    <cellStyle name="Normal 25 43" xfId="1985" xr:uid="{00000000-0005-0000-0000-0000B7070000}"/>
    <cellStyle name="Normal 25 44" xfId="1986" xr:uid="{00000000-0005-0000-0000-0000B8070000}"/>
    <cellStyle name="Normal 25 45" xfId="1987" xr:uid="{00000000-0005-0000-0000-0000B9070000}"/>
    <cellStyle name="Normal 25 46" xfId="1988" xr:uid="{00000000-0005-0000-0000-0000BA070000}"/>
    <cellStyle name="Normal 25 47" xfId="1989" xr:uid="{00000000-0005-0000-0000-0000BB070000}"/>
    <cellStyle name="Normal 25 48" xfId="1990" xr:uid="{00000000-0005-0000-0000-0000BC070000}"/>
    <cellStyle name="Normal 25 49" xfId="1991" xr:uid="{00000000-0005-0000-0000-0000BD070000}"/>
    <cellStyle name="Normal 25 5" xfId="1992" xr:uid="{00000000-0005-0000-0000-0000BE070000}"/>
    <cellStyle name="Normal 25 50" xfId="1993" xr:uid="{00000000-0005-0000-0000-0000BF070000}"/>
    <cellStyle name="Normal 25 51" xfId="1994" xr:uid="{00000000-0005-0000-0000-0000C0070000}"/>
    <cellStyle name="Normal 25 52" xfId="1995" xr:uid="{00000000-0005-0000-0000-0000C1070000}"/>
    <cellStyle name="Normal 25 53" xfId="1996" xr:uid="{00000000-0005-0000-0000-0000C2070000}"/>
    <cellStyle name="Normal 25 54" xfId="1997" xr:uid="{00000000-0005-0000-0000-0000C3070000}"/>
    <cellStyle name="Normal 25 55" xfId="1998" xr:uid="{00000000-0005-0000-0000-0000C4070000}"/>
    <cellStyle name="Normal 25 56" xfId="1999" xr:uid="{00000000-0005-0000-0000-0000C5070000}"/>
    <cellStyle name="Normal 25 57" xfId="2000" xr:uid="{00000000-0005-0000-0000-0000C6070000}"/>
    <cellStyle name="Normal 25 58" xfId="2001" xr:uid="{00000000-0005-0000-0000-0000C7070000}"/>
    <cellStyle name="Normal 25 59" xfId="2002" xr:uid="{00000000-0005-0000-0000-0000C8070000}"/>
    <cellStyle name="Normal 25 6" xfId="2003" xr:uid="{00000000-0005-0000-0000-0000C9070000}"/>
    <cellStyle name="Normal 25 60" xfId="2004" xr:uid="{00000000-0005-0000-0000-0000CA070000}"/>
    <cellStyle name="Normal 25 61" xfId="2005" xr:uid="{00000000-0005-0000-0000-0000CB070000}"/>
    <cellStyle name="Normal 25 62" xfId="2006" xr:uid="{00000000-0005-0000-0000-0000CC070000}"/>
    <cellStyle name="Normal 25 63" xfId="2007" xr:uid="{00000000-0005-0000-0000-0000CD070000}"/>
    <cellStyle name="Normal 25 64" xfId="2008" xr:uid="{00000000-0005-0000-0000-0000CE070000}"/>
    <cellStyle name="Normal 25 65" xfId="2009" xr:uid="{00000000-0005-0000-0000-0000CF070000}"/>
    <cellStyle name="Normal 25 66" xfId="2010" xr:uid="{00000000-0005-0000-0000-0000D0070000}"/>
    <cellStyle name="Normal 25 67" xfId="2011" xr:uid="{00000000-0005-0000-0000-0000D1070000}"/>
    <cellStyle name="Normal 25 68" xfId="2012" xr:uid="{00000000-0005-0000-0000-0000D2070000}"/>
    <cellStyle name="Normal 25 69" xfId="2013" xr:uid="{00000000-0005-0000-0000-0000D3070000}"/>
    <cellStyle name="Normal 25 7" xfId="2014" xr:uid="{00000000-0005-0000-0000-0000D4070000}"/>
    <cellStyle name="Normal 25 70" xfId="2015" xr:uid="{00000000-0005-0000-0000-0000D5070000}"/>
    <cellStyle name="Normal 25 71" xfId="2016" xr:uid="{00000000-0005-0000-0000-0000D6070000}"/>
    <cellStyle name="Normal 25 72" xfId="2017" xr:uid="{00000000-0005-0000-0000-0000D7070000}"/>
    <cellStyle name="Normal 25 73" xfId="2018" xr:uid="{00000000-0005-0000-0000-0000D8070000}"/>
    <cellStyle name="Normal 25 74" xfId="2019" xr:uid="{00000000-0005-0000-0000-0000D9070000}"/>
    <cellStyle name="Normal 25 75" xfId="2020" xr:uid="{00000000-0005-0000-0000-0000DA070000}"/>
    <cellStyle name="Normal 25 76" xfId="2021" xr:uid="{00000000-0005-0000-0000-0000DB070000}"/>
    <cellStyle name="Normal 25 77" xfId="2022" xr:uid="{00000000-0005-0000-0000-0000DC070000}"/>
    <cellStyle name="Normal 25 78" xfId="2023" xr:uid="{00000000-0005-0000-0000-0000DD070000}"/>
    <cellStyle name="Normal 25 79" xfId="2024" xr:uid="{00000000-0005-0000-0000-0000DE070000}"/>
    <cellStyle name="Normal 25 8" xfId="2025" xr:uid="{00000000-0005-0000-0000-0000DF070000}"/>
    <cellStyle name="Normal 25 80" xfId="2026" xr:uid="{00000000-0005-0000-0000-0000E0070000}"/>
    <cellStyle name="Normal 25 81" xfId="2027" xr:uid="{00000000-0005-0000-0000-0000E1070000}"/>
    <cellStyle name="Normal 25 82" xfId="2028" xr:uid="{00000000-0005-0000-0000-0000E2070000}"/>
    <cellStyle name="Normal 25 83" xfId="2029" xr:uid="{00000000-0005-0000-0000-0000E3070000}"/>
    <cellStyle name="Normal 25 84" xfId="2030" xr:uid="{00000000-0005-0000-0000-0000E4070000}"/>
    <cellStyle name="Normal 25 85" xfId="2031" xr:uid="{00000000-0005-0000-0000-0000E5070000}"/>
    <cellStyle name="Normal 25 86" xfId="2032" xr:uid="{00000000-0005-0000-0000-0000E6070000}"/>
    <cellStyle name="Normal 25 87" xfId="2033" xr:uid="{00000000-0005-0000-0000-0000E7070000}"/>
    <cellStyle name="Normal 25 88" xfId="2034" xr:uid="{00000000-0005-0000-0000-0000E8070000}"/>
    <cellStyle name="Normal 25 89" xfId="2035" xr:uid="{00000000-0005-0000-0000-0000E9070000}"/>
    <cellStyle name="Normal 25 9" xfId="2036" xr:uid="{00000000-0005-0000-0000-0000EA070000}"/>
    <cellStyle name="Normal 25 90" xfId="2037" xr:uid="{00000000-0005-0000-0000-0000EB070000}"/>
    <cellStyle name="Normal 25 91" xfId="2038" xr:uid="{00000000-0005-0000-0000-0000EC070000}"/>
    <cellStyle name="Normal 25 92" xfId="2039" xr:uid="{00000000-0005-0000-0000-0000ED070000}"/>
    <cellStyle name="Normal 25 93" xfId="2040" xr:uid="{00000000-0005-0000-0000-0000EE070000}"/>
    <cellStyle name="Normal 25 94" xfId="2041" xr:uid="{00000000-0005-0000-0000-0000EF070000}"/>
    <cellStyle name="Normal 25 95" xfId="2042" xr:uid="{00000000-0005-0000-0000-0000F0070000}"/>
    <cellStyle name="Normal 25 96" xfId="2043" xr:uid="{00000000-0005-0000-0000-0000F1070000}"/>
    <cellStyle name="Normal 25 97" xfId="2044" xr:uid="{00000000-0005-0000-0000-0000F2070000}"/>
    <cellStyle name="Normal 25 98" xfId="2045" xr:uid="{00000000-0005-0000-0000-0000F3070000}"/>
    <cellStyle name="Normal 25 99" xfId="2046" xr:uid="{00000000-0005-0000-0000-0000F4070000}"/>
    <cellStyle name="Normal 26" xfId="2047" xr:uid="{00000000-0005-0000-0000-0000F5070000}"/>
    <cellStyle name="Normal 26 10" xfId="2048" xr:uid="{00000000-0005-0000-0000-0000F6070000}"/>
    <cellStyle name="Normal 26 100" xfId="2049" xr:uid="{00000000-0005-0000-0000-0000F7070000}"/>
    <cellStyle name="Normal 26 101" xfId="2050" xr:uid="{00000000-0005-0000-0000-0000F8070000}"/>
    <cellStyle name="Normal 26 102" xfId="2051" xr:uid="{00000000-0005-0000-0000-0000F9070000}"/>
    <cellStyle name="Normal 26 103" xfId="2052" xr:uid="{00000000-0005-0000-0000-0000FA070000}"/>
    <cellStyle name="Normal 26 104" xfId="2053" xr:uid="{00000000-0005-0000-0000-0000FB070000}"/>
    <cellStyle name="Normal 26 105" xfId="2054" xr:uid="{00000000-0005-0000-0000-0000FC070000}"/>
    <cellStyle name="Normal 26 106" xfId="2055" xr:uid="{00000000-0005-0000-0000-0000FD070000}"/>
    <cellStyle name="Normal 26 107" xfId="2056" xr:uid="{00000000-0005-0000-0000-0000FE070000}"/>
    <cellStyle name="Normal 26 108" xfId="2057" xr:uid="{00000000-0005-0000-0000-0000FF070000}"/>
    <cellStyle name="Normal 26 109" xfId="2058" xr:uid="{00000000-0005-0000-0000-000000080000}"/>
    <cellStyle name="Normal 26 11" xfId="2059" xr:uid="{00000000-0005-0000-0000-000001080000}"/>
    <cellStyle name="Normal 26 12" xfId="2060" xr:uid="{00000000-0005-0000-0000-000002080000}"/>
    <cellStyle name="Normal 26 13" xfId="2061" xr:uid="{00000000-0005-0000-0000-000003080000}"/>
    <cellStyle name="Normal 26 14" xfId="2062" xr:uid="{00000000-0005-0000-0000-000004080000}"/>
    <cellStyle name="Normal 26 15" xfId="2063" xr:uid="{00000000-0005-0000-0000-000005080000}"/>
    <cellStyle name="Normal 26 16" xfId="2064" xr:uid="{00000000-0005-0000-0000-000006080000}"/>
    <cellStyle name="Normal 26 17" xfId="2065" xr:uid="{00000000-0005-0000-0000-000007080000}"/>
    <cellStyle name="Normal 26 18" xfId="2066" xr:uid="{00000000-0005-0000-0000-000008080000}"/>
    <cellStyle name="Normal 26 19" xfId="2067" xr:uid="{00000000-0005-0000-0000-000009080000}"/>
    <cellStyle name="Normal 26 2" xfId="2068" xr:uid="{00000000-0005-0000-0000-00000A080000}"/>
    <cellStyle name="Normal 26 20" xfId="2069" xr:uid="{00000000-0005-0000-0000-00000B080000}"/>
    <cellStyle name="Normal 26 21" xfId="2070" xr:uid="{00000000-0005-0000-0000-00000C080000}"/>
    <cellStyle name="Normal 26 22" xfId="2071" xr:uid="{00000000-0005-0000-0000-00000D080000}"/>
    <cellStyle name="Normal 26 23" xfId="2072" xr:uid="{00000000-0005-0000-0000-00000E080000}"/>
    <cellStyle name="Normal 26 24" xfId="2073" xr:uid="{00000000-0005-0000-0000-00000F080000}"/>
    <cellStyle name="Normal 26 25" xfId="2074" xr:uid="{00000000-0005-0000-0000-000010080000}"/>
    <cellStyle name="Normal 26 26" xfId="2075" xr:uid="{00000000-0005-0000-0000-000011080000}"/>
    <cellStyle name="Normal 26 27" xfId="2076" xr:uid="{00000000-0005-0000-0000-000012080000}"/>
    <cellStyle name="Normal 26 28" xfId="2077" xr:uid="{00000000-0005-0000-0000-000013080000}"/>
    <cellStyle name="Normal 26 29" xfId="2078" xr:uid="{00000000-0005-0000-0000-000014080000}"/>
    <cellStyle name="Normal 26 3" xfId="2079" xr:uid="{00000000-0005-0000-0000-000015080000}"/>
    <cellStyle name="Normal 26 30" xfId="2080" xr:uid="{00000000-0005-0000-0000-000016080000}"/>
    <cellStyle name="Normal 26 31" xfId="2081" xr:uid="{00000000-0005-0000-0000-000017080000}"/>
    <cellStyle name="Normal 26 32" xfId="2082" xr:uid="{00000000-0005-0000-0000-000018080000}"/>
    <cellStyle name="Normal 26 33" xfId="2083" xr:uid="{00000000-0005-0000-0000-000019080000}"/>
    <cellStyle name="Normal 26 34" xfId="2084" xr:uid="{00000000-0005-0000-0000-00001A080000}"/>
    <cellStyle name="Normal 26 35" xfId="2085" xr:uid="{00000000-0005-0000-0000-00001B080000}"/>
    <cellStyle name="Normal 26 36" xfId="2086" xr:uid="{00000000-0005-0000-0000-00001C080000}"/>
    <cellStyle name="Normal 26 37" xfId="2087" xr:uid="{00000000-0005-0000-0000-00001D080000}"/>
    <cellStyle name="Normal 26 38" xfId="2088" xr:uid="{00000000-0005-0000-0000-00001E080000}"/>
    <cellStyle name="Normal 26 39" xfId="2089" xr:uid="{00000000-0005-0000-0000-00001F080000}"/>
    <cellStyle name="Normal 26 4" xfId="2090" xr:uid="{00000000-0005-0000-0000-000020080000}"/>
    <cellStyle name="Normal 26 40" xfId="2091" xr:uid="{00000000-0005-0000-0000-000021080000}"/>
    <cellStyle name="Normal 26 41" xfId="2092" xr:uid="{00000000-0005-0000-0000-000022080000}"/>
    <cellStyle name="Normal 26 42" xfId="2093" xr:uid="{00000000-0005-0000-0000-000023080000}"/>
    <cellStyle name="Normal 26 43" xfId="2094" xr:uid="{00000000-0005-0000-0000-000024080000}"/>
    <cellStyle name="Normal 26 44" xfId="2095" xr:uid="{00000000-0005-0000-0000-000025080000}"/>
    <cellStyle name="Normal 26 45" xfId="2096" xr:uid="{00000000-0005-0000-0000-000026080000}"/>
    <cellStyle name="Normal 26 46" xfId="2097" xr:uid="{00000000-0005-0000-0000-000027080000}"/>
    <cellStyle name="Normal 26 47" xfId="2098" xr:uid="{00000000-0005-0000-0000-000028080000}"/>
    <cellStyle name="Normal 26 48" xfId="2099" xr:uid="{00000000-0005-0000-0000-000029080000}"/>
    <cellStyle name="Normal 26 49" xfId="2100" xr:uid="{00000000-0005-0000-0000-00002A080000}"/>
    <cellStyle name="Normal 26 5" xfId="2101" xr:uid="{00000000-0005-0000-0000-00002B080000}"/>
    <cellStyle name="Normal 26 50" xfId="2102" xr:uid="{00000000-0005-0000-0000-00002C080000}"/>
    <cellStyle name="Normal 26 51" xfId="2103" xr:uid="{00000000-0005-0000-0000-00002D080000}"/>
    <cellStyle name="Normal 26 52" xfId="2104" xr:uid="{00000000-0005-0000-0000-00002E080000}"/>
    <cellStyle name="Normal 26 53" xfId="2105" xr:uid="{00000000-0005-0000-0000-00002F080000}"/>
    <cellStyle name="Normal 26 54" xfId="2106" xr:uid="{00000000-0005-0000-0000-000030080000}"/>
    <cellStyle name="Normal 26 55" xfId="2107" xr:uid="{00000000-0005-0000-0000-000031080000}"/>
    <cellStyle name="Normal 26 56" xfId="2108" xr:uid="{00000000-0005-0000-0000-000032080000}"/>
    <cellStyle name="Normal 26 57" xfId="2109" xr:uid="{00000000-0005-0000-0000-000033080000}"/>
    <cellStyle name="Normal 26 58" xfId="2110" xr:uid="{00000000-0005-0000-0000-000034080000}"/>
    <cellStyle name="Normal 26 59" xfId="2111" xr:uid="{00000000-0005-0000-0000-000035080000}"/>
    <cellStyle name="Normal 26 6" xfId="2112" xr:uid="{00000000-0005-0000-0000-000036080000}"/>
    <cellStyle name="Normal 26 60" xfId="2113" xr:uid="{00000000-0005-0000-0000-000037080000}"/>
    <cellStyle name="Normal 26 61" xfId="2114" xr:uid="{00000000-0005-0000-0000-000038080000}"/>
    <cellStyle name="Normal 26 62" xfId="2115" xr:uid="{00000000-0005-0000-0000-000039080000}"/>
    <cellStyle name="Normal 26 63" xfId="2116" xr:uid="{00000000-0005-0000-0000-00003A080000}"/>
    <cellStyle name="Normal 26 64" xfId="2117" xr:uid="{00000000-0005-0000-0000-00003B080000}"/>
    <cellStyle name="Normal 26 65" xfId="2118" xr:uid="{00000000-0005-0000-0000-00003C080000}"/>
    <cellStyle name="Normal 26 66" xfId="2119" xr:uid="{00000000-0005-0000-0000-00003D080000}"/>
    <cellStyle name="Normal 26 67" xfId="2120" xr:uid="{00000000-0005-0000-0000-00003E080000}"/>
    <cellStyle name="Normal 26 68" xfId="2121" xr:uid="{00000000-0005-0000-0000-00003F080000}"/>
    <cellStyle name="Normal 26 69" xfId="2122" xr:uid="{00000000-0005-0000-0000-000040080000}"/>
    <cellStyle name="Normal 26 7" xfId="2123" xr:uid="{00000000-0005-0000-0000-000041080000}"/>
    <cellStyle name="Normal 26 70" xfId="2124" xr:uid="{00000000-0005-0000-0000-000042080000}"/>
    <cellStyle name="Normal 26 71" xfId="2125" xr:uid="{00000000-0005-0000-0000-000043080000}"/>
    <cellStyle name="Normal 26 72" xfId="2126" xr:uid="{00000000-0005-0000-0000-000044080000}"/>
    <cellStyle name="Normal 26 73" xfId="2127" xr:uid="{00000000-0005-0000-0000-000045080000}"/>
    <cellStyle name="Normal 26 74" xfId="2128" xr:uid="{00000000-0005-0000-0000-000046080000}"/>
    <cellStyle name="Normal 26 75" xfId="2129" xr:uid="{00000000-0005-0000-0000-000047080000}"/>
    <cellStyle name="Normal 26 76" xfId="2130" xr:uid="{00000000-0005-0000-0000-000048080000}"/>
    <cellStyle name="Normal 26 77" xfId="2131" xr:uid="{00000000-0005-0000-0000-000049080000}"/>
    <cellStyle name="Normal 26 78" xfId="2132" xr:uid="{00000000-0005-0000-0000-00004A080000}"/>
    <cellStyle name="Normal 26 79" xfId="2133" xr:uid="{00000000-0005-0000-0000-00004B080000}"/>
    <cellStyle name="Normal 26 8" xfId="2134" xr:uid="{00000000-0005-0000-0000-00004C080000}"/>
    <cellStyle name="Normal 26 80" xfId="2135" xr:uid="{00000000-0005-0000-0000-00004D080000}"/>
    <cellStyle name="Normal 26 81" xfId="2136" xr:uid="{00000000-0005-0000-0000-00004E080000}"/>
    <cellStyle name="Normal 26 82" xfId="2137" xr:uid="{00000000-0005-0000-0000-00004F080000}"/>
    <cellStyle name="Normal 26 83" xfId="2138" xr:uid="{00000000-0005-0000-0000-000050080000}"/>
    <cellStyle name="Normal 26 84" xfId="2139" xr:uid="{00000000-0005-0000-0000-000051080000}"/>
    <cellStyle name="Normal 26 85" xfId="2140" xr:uid="{00000000-0005-0000-0000-000052080000}"/>
    <cellStyle name="Normal 26 86" xfId="2141" xr:uid="{00000000-0005-0000-0000-000053080000}"/>
    <cellStyle name="Normal 26 87" xfId="2142" xr:uid="{00000000-0005-0000-0000-000054080000}"/>
    <cellStyle name="Normal 26 88" xfId="2143" xr:uid="{00000000-0005-0000-0000-000055080000}"/>
    <cellStyle name="Normal 26 89" xfId="2144" xr:uid="{00000000-0005-0000-0000-000056080000}"/>
    <cellStyle name="Normal 26 9" xfId="2145" xr:uid="{00000000-0005-0000-0000-000057080000}"/>
    <cellStyle name="Normal 26 90" xfId="2146" xr:uid="{00000000-0005-0000-0000-000058080000}"/>
    <cellStyle name="Normal 26 91" xfId="2147" xr:uid="{00000000-0005-0000-0000-000059080000}"/>
    <cellStyle name="Normal 26 92" xfId="2148" xr:uid="{00000000-0005-0000-0000-00005A080000}"/>
    <cellStyle name="Normal 26 93" xfId="2149" xr:uid="{00000000-0005-0000-0000-00005B080000}"/>
    <cellStyle name="Normal 26 94" xfId="2150" xr:uid="{00000000-0005-0000-0000-00005C080000}"/>
    <cellStyle name="Normal 26 95" xfId="2151" xr:uid="{00000000-0005-0000-0000-00005D080000}"/>
    <cellStyle name="Normal 26 96" xfId="2152" xr:uid="{00000000-0005-0000-0000-00005E080000}"/>
    <cellStyle name="Normal 26 97" xfId="2153" xr:uid="{00000000-0005-0000-0000-00005F080000}"/>
    <cellStyle name="Normal 26 98" xfId="2154" xr:uid="{00000000-0005-0000-0000-000060080000}"/>
    <cellStyle name="Normal 26 99" xfId="2155" xr:uid="{00000000-0005-0000-0000-000061080000}"/>
    <cellStyle name="Normal 27" xfId="2156" xr:uid="{00000000-0005-0000-0000-000062080000}"/>
    <cellStyle name="Normal 27 10" xfId="2157" xr:uid="{00000000-0005-0000-0000-000063080000}"/>
    <cellStyle name="Normal 27 100" xfId="2158" xr:uid="{00000000-0005-0000-0000-000064080000}"/>
    <cellStyle name="Normal 27 101" xfId="2159" xr:uid="{00000000-0005-0000-0000-000065080000}"/>
    <cellStyle name="Normal 27 102" xfId="2160" xr:uid="{00000000-0005-0000-0000-000066080000}"/>
    <cellStyle name="Normal 27 103" xfId="2161" xr:uid="{00000000-0005-0000-0000-000067080000}"/>
    <cellStyle name="Normal 27 104" xfId="2162" xr:uid="{00000000-0005-0000-0000-000068080000}"/>
    <cellStyle name="Normal 27 105" xfId="2163" xr:uid="{00000000-0005-0000-0000-000069080000}"/>
    <cellStyle name="Normal 27 106" xfId="2164" xr:uid="{00000000-0005-0000-0000-00006A080000}"/>
    <cellStyle name="Normal 27 107" xfId="2165" xr:uid="{00000000-0005-0000-0000-00006B080000}"/>
    <cellStyle name="Normal 27 108" xfId="2166" xr:uid="{00000000-0005-0000-0000-00006C080000}"/>
    <cellStyle name="Normal 27 109" xfId="2167" xr:uid="{00000000-0005-0000-0000-00006D080000}"/>
    <cellStyle name="Normal 27 11" xfId="2168" xr:uid="{00000000-0005-0000-0000-00006E080000}"/>
    <cellStyle name="Normal 27 12" xfId="2169" xr:uid="{00000000-0005-0000-0000-00006F080000}"/>
    <cellStyle name="Normal 27 13" xfId="2170" xr:uid="{00000000-0005-0000-0000-000070080000}"/>
    <cellStyle name="Normal 27 14" xfId="2171" xr:uid="{00000000-0005-0000-0000-000071080000}"/>
    <cellStyle name="Normal 27 15" xfId="2172" xr:uid="{00000000-0005-0000-0000-000072080000}"/>
    <cellStyle name="Normal 27 16" xfId="2173" xr:uid="{00000000-0005-0000-0000-000073080000}"/>
    <cellStyle name="Normal 27 17" xfId="2174" xr:uid="{00000000-0005-0000-0000-000074080000}"/>
    <cellStyle name="Normal 27 18" xfId="2175" xr:uid="{00000000-0005-0000-0000-000075080000}"/>
    <cellStyle name="Normal 27 19" xfId="2176" xr:uid="{00000000-0005-0000-0000-000076080000}"/>
    <cellStyle name="Normal 27 2" xfId="2177" xr:uid="{00000000-0005-0000-0000-000077080000}"/>
    <cellStyle name="Normal 27 20" xfId="2178" xr:uid="{00000000-0005-0000-0000-000078080000}"/>
    <cellStyle name="Normal 27 21" xfId="2179" xr:uid="{00000000-0005-0000-0000-000079080000}"/>
    <cellStyle name="Normal 27 22" xfId="2180" xr:uid="{00000000-0005-0000-0000-00007A080000}"/>
    <cellStyle name="Normal 27 23" xfId="2181" xr:uid="{00000000-0005-0000-0000-00007B080000}"/>
    <cellStyle name="Normal 27 24" xfId="2182" xr:uid="{00000000-0005-0000-0000-00007C080000}"/>
    <cellStyle name="Normal 27 25" xfId="2183" xr:uid="{00000000-0005-0000-0000-00007D080000}"/>
    <cellStyle name="Normal 27 26" xfId="2184" xr:uid="{00000000-0005-0000-0000-00007E080000}"/>
    <cellStyle name="Normal 27 27" xfId="2185" xr:uid="{00000000-0005-0000-0000-00007F080000}"/>
    <cellStyle name="Normal 27 28" xfId="2186" xr:uid="{00000000-0005-0000-0000-000080080000}"/>
    <cellStyle name="Normal 27 29" xfId="2187" xr:uid="{00000000-0005-0000-0000-000081080000}"/>
    <cellStyle name="Normal 27 3" xfId="2188" xr:uid="{00000000-0005-0000-0000-000082080000}"/>
    <cellStyle name="Normal 27 30" xfId="2189" xr:uid="{00000000-0005-0000-0000-000083080000}"/>
    <cellStyle name="Normal 27 31" xfId="2190" xr:uid="{00000000-0005-0000-0000-000084080000}"/>
    <cellStyle name="Normal 27 32" xfId="2191" xr:uid="{00000000-0005-0000-0000-000085080000}"/>
    <cellStyle name="Normal 27 33" xfId="2192" xr:uid="{00000000-0005-0000-0000-000086080000}"/>
    <cellStyle name="Normal 27 34" xfId="2193" xr:uid="{00000000-0005-0000-0000-000087080000}"/>
    <cellStyle name="Normal 27 35" xfId="2194" xr:uid="{00000000-0005-0000-0000-000088080000}"/>
    <cellStyle name="Normal 27 36" xfId="2195" xr:uid="{00000000-0005-0000-0000-000089080000}"/>
    <cellStyle name="Normal 27 37" xfId="2196" xr:uid="{00000000-0005-0000-0000-00008A080000}"/>
    <cellStyle name="Normal 27 38" xfId="2197" xr:uid="{00000000-0005-0000-0000-00008B080000}"/>
    <cellStyle name="Normal 27 39" xfId="2198" xr:uid="{00000000-0005-0000-0000-00008C080000}"/>
    <cellStyle name="Normal 27 4" xfId="2199" xr:uid="{00000000-0005-0000-0000-00008D080000}"/>
    <cellStyle name="Normal 27 40" xfId="2200" xr:uid="{00000000-0005-0000-0000-00008E080000}"/>
    <cellStyle name="Normal 27 41" xfId="2201" xr:uid="{00000000-0005-0000-0000-00008F080000}"/>
    <cellStyle name="Normal 27 42" xfId="2202" xr:uid="{00000000-0005-0000-0000-000090080000}"/>
    <cellStyle name="Normal 27 43" xfId="2203" xr:uid="{00000000-0005-0000-0000-000091080000}"/>
    <cellStyle name="Normal 27 44" xfId="2204" xr:uid="{00000000-0005-0000-0000-000092080000}"/>
    <cellStyle name="Normal 27 45" xfId="2205" xr:uid="{00000000-0005-0000-0000-000093080000}"/>
    <cellStyle name="Normal 27 46" xfId="2206" xr:uid="{00000000-0005-0000-0000-000094080000}"/>
    <cellStyle name="Normal 27 47" xfId="2207" xr:uid="{00000000-0005-0000-0000-000095080000}"/>
    <cellStyle name="Normal 27 48" xfId="2208" xr:uid="{00000000-0005-0000-0000-000096080000}"/>
    <cellStyle name="Normal 27 49" xfId="2209" xr:uid="{00000000-0005-0000-0000-000097080000}"/>
    <cellStyle name="Normal 27 5" xfId="2210" xr:uid="{00000000-0005-0000-0000-000098080000}"/>
    <cellStyle name="Normal 27 50" xfId="2211" xr:uid="{00000000-0005-0000-0000-000099080000}"/>
    <cellStyle name="Normal 27 51" xfId="2212" xr:uid="{00000000-0005-0000-0000-00009A080000}"/>
    <cellStyle name="Normal 27 52" xfId="2213" xr:uid="{00000000-0005-0000-0000-00009B080000}"/>
    <cellStyle name="Normal 27 53" xfId="2214" xr:uid="{00000000-0005-0000-0000-00009C080000}"/>
    <cellStyle name="Normal 27 54" xfId="2215" xr:uid="{00000000-0005-0000-0000-00009D080000}"/>
    <cellStyle name="Normal 27 55" xfId="2216" xr:uid="{00000000-0005-0000-0000-00009E080000}"/>
    <cellStyle name="Normal 27 56" xfId="2217" xr:uid="{00000000-0005-0000-0000-00009F080000}"/>
    <cellStyle name="Normal 27 57" xfId="2218" xr:uid="{00000000-0005-0000-0000-0000A0080000}"/>
    <cellStyle name="Normal 27 58" xfId="2219" xr:uid="{00000000-0005-0000-0000-0000A1080000}"/>
    <cellStyle name="Normal 27 59" xfId="2220" xr:uid="{00000000-0005-0000-0000-0000A2080000}"/>
    <cellStyle name="Normal 27 6" xfId="2221" xr:uid="{00000000-0005-0000-0000-0000A3080000}"/>
    <cellStyle name="Normal 27 60" xfId="2222" xr:uid="{00000000-0005-0000-0000-0000A4080000}"/>
    <cellStyle name="Normal 27 61" xfId="2223" xr:uid="{00000000-0005-0000-0000-0000A5080000}"/>
    <cellStyle name="Normal 27 62" xfId="2224" xr:uid="{00000000-0005-0000-0000-0000A6080000}"/>
    <cellStyle name="Normal 27 63" xfId="2225" xr:uid="{00000000-0005-0000-0000-0000A7080000}"/>
    <cellStyle name="Normal 27 64" xfId="2226" xr:uid="{00000000-0005-0000-0000-0000A8080000}"/>
    <cellStyle name="Normal 27 65" xfId="2227" xr:uid="{00000000-0005-0000-0000-0000A9080000}"/>
    <cellStyle name="Normal 27 66" xfId="2228" xr:uid="{00000000-0005-0000-0000-0000AA080000}"/>
    <cellStyle name="Normal 27 67" xfId="2229" xr:uid="{00000000-0005-0000-0000-0000AB080000}"/>
    <cellStyle name="Normal 27 68" xfId="2230" xr:uid="{00000000-0005-0000-0000-0000AC080000}"/>
    <cellStyle name="Normal 27 69" xfId="2231" xr:uid="{00000000-0005-0000-0000-0000AD080000}"/>
    <cellStyle name="Normal 27 7" xfId="2232" xr:uid="{00000000-0005-0000-0000-0000AE080000}"/>
    <cellStyle name="Normal 27 70" xfId="2233" xr:uid="{00000000-0005-0000-0000-0000AF080000}"/>
    <cellStyle name="Normal 27 71" xfId="2234" xr:uid="{00000000-0005-0000-0000-0000B0080000}"/>
    <cellStyle name="Normal 27 72" xfId="2235" xr:uid="{00000000-0005-0000-0000-0000B1080000}"/>
    <cellStyle name="Normal 27 73" xfId="2236" xr:uid="{00000000-0005-0000-0000-0000B2080000}"/>
    <cellStyle name="Normal 27 74" xfId="2237" xr:uid="{00000000-0005-0000-0000-0000B3080000}"/>
    <cellStyle name="Normal 27 75" xfId="2238" xr:uid="{00000000-0005-0000-0000-0000B4080000}"/>
    <cellStyle name="Normal 27 76" xfId="2239" xr:uid="{00000000-0005-0000-0000-0000B5080000}"/>
    <cellStyle name="Normal 27 77" xfId="2240" xr:uid="{00000000-0005-0000-0000-0000B6080000}"/>
    <cellStyle name="Normal 27 78" xfId="2241" xr:uid="{00000000-0005-0000-0000-0000B7080000}"/>
    <cellStyle name="Normal 27 79" xfId="2242" xr:uid="{00000000-0005-0000-0000-0000B8080000}"/>
    <cellStyle name="Normal 27 8" xfId="2243" xr:uid="{00000000-0005-0000-0000-0000B9080000}"/>
    <cellStyle name="Normal 27 80" xfId="2244" xr:uid="{00000000-0005-0000-0000-0000BA080000}"/>
    <cellStyle name="Normal 27 81" xfId="2245" xr:uid="{00000000-0005-0000-0000-0000BB080000}"/>
    <cellStyle name="Normal 27 82" xfId="2246" xr:uid="{00000000-0005-0000-0000-0000BC080000}"/>
    <cellStyle name="Normal 27 83" xfId="2247" xr:uid="{00000000-0005-0000-0000-0000BD080000}"/>
    <cellStyle name="Normal 27 84" xfId="2248" xr:uid="{00000000-0005-0000-0000-0000BE080000}"/>
    <cellStyle name="Normal 27 85" xfId="2249" xr:uid="{00000000-0005-0000-0000-0000BF080000}"/>
    <cellStyle name="Normal 27 86" xfId="2250" xr:uid="{00000000-0005-0000-0000-0000C0080000}"/>
    <cellStyle name="Normal 27 87" xfId="2251" xr:uid="{00000000-0005-0000-0000-0000C1080000}"/>
    <cellStyle name="Normal 27 88" xfId="2252" xr:uid="{00000000-0005-0000-0000-0000C2080000}"/>
    <cellStyle name="Normal 27 89" xfId="2253" xr:uid="{00000000-0005-0000-0000-0000C3080000}"/>
    <cellStyle name="Normal 27 9" xfId="2254" xr:uid="{00000000-0005-0000-0000-0000C4080000}"/>
    <cellStyle name="Normal 27 90" xfId="2255" xr:uid="{00000000-0005-0000-0000-0000C5080000}"/>
    <cellStyle name="Normal 27 91" xfId="2256" xr:uid="{00000000-0005-0000-0000-0000C6080000}"/>
    <cellStyle name="Normal 27 92" xfId="2257" xr:uid="{00000000-0005-0000-0000-0000C7080000}"/>
    <cellStyle name="Normal 27 93" xfId="2258" xr:uid="{00000000-0005-0000-0000-0000C8080000}"/>
    <cellStyle name="Normal 27 94" xfId="2259" xr:uid="{00000000-0005-0000-0000-0000C9080000}"/>
    <cellStyle name="Normal 27 95" xfId="2260" xr:uid="{00000000-0005-0000-0000-0000CA080000}"/>
    <cellStyle name="Normal 27 96" xfId="2261" xr:uid="{00000000-0005-0000-0000-0000CB080000}"/>
    <cellStyle name="Normal 27 97" xfId="2262" xr:uid="{00000000-0005-0000-0000-0000CC080000}"/>
    <cellStyle name="Normal 27 98" xfId="2263" xr:uid="{00000000-0005-0000-0000-0000CD080000}"/>
    <cellStyle name="Normal 27 99" xfId="2264" xr:uid="{00000000-0005-0000-0000-0000CE080000}"/>
    <cellStyle name="Normal 28" xfId="2265" xr:uid="{00000000-0005-0000-0000-0000CF080000}"/>
    <cellStyle name="Normal 28 10" xfId="2266" xr:uid="{00000000-0005-0000-0000-0000D0080000}"/>
    <cellStyle name="Normal 28 100" xfId="2267" xr:uid="{00000000-0005-0000-0000-0000D1080000}"/>
    <cellStyle name="Normal 28 101" xfId="2268" xr:uid="{00000000-0005-0000-0000-0000D2080000}"/>
    <cellStyle name="Normal 28 102" xfId="2269" xr:uid="{00000000-0005-0000-0000-0000D3080000}"/>
    <cellStyle name="Normal 28 103" xfId="2270" xr:uid="{00000000-0005-0000-0000-0000D4080000}"/>
    <cellStyle name="Normal 28 104" xfId="2271" xr:uid="{00000000-0005-0000-0000-0000D5080000}"/>
    <cellStyle name="Normal 28 105" xfId="2272" xr:uid="{00000000-0005-0000-0000-0000D6080000}"/>
    <cellStyle name="Normal 28 106" xfId="2273" xr:uid="{00000000-0005-0000-0000-0000D7080000}"/>
    <cellStyle name="Normal 28 107" xfId="2274" xr:uid="{00000000-0005-0000-0000-0000D8080000}"/>
    <cellStyle name="Normal 28 108" xfId="2275" xr:uid="{00000000-0005-0000-0000-0000D9080000}"/>
    <cellStyle name="Normal 28 109" xfId="2276" xr:uid="{00000000-0005-0000-0000-0000DA080000}"/>
    <cellStyle name="Normal 28 11" xfId="2277" xr:uid="{00000000-0005-0000-0000-0000DB080000}"/>
    <cellStyle name="Normal 28 12" xfId="2278" xr:uid="{00000000-0005-0000-0000-0000DC080000}"/>
    <cellStyle name="Normal 28 13" xfId="2279" xr:uid="{00000000-0005-0000-0000-0000DD080000}"/>
    <cellStyle name="Normal 28 14" xfId="2280" xr:uid="{00000000-0005-0000-0000-0000DE080000}"/>
    <cellStyle name="Normal 28 15" xfId="2281" xr:uid="{00000000-0005-0000-0000-0000DF080000}"/>
    <cellStyle name="Normal 28 16" xfId="2282" xr:uid="{00000000-0005-0000-0000-0000E0080000}"/>
    <cellStyle name="Normal 28 17" xfId="2283" xr:uid="{00000000-0005-0000-0000-0000E1080000}"/>
    <cellStyle name="Normal 28 18" xfId="2284" xr:uid="{00000000-0005-0000-0000-0000E2080000}"/>
    <cellStyle name="Normal 28 19" xfId="2285" xr:uid="{00000000-0005-0000-0000-0000E3080000}"/>
    <cellStyle name="Normal 28 2" xfId="2286" xr:uid="{00000000-0005-0000-0000-0000E4080000}"/>
    <cellStyle name="Normal 28 20" xfId="2287" xr:uid="{00000000-0005-0000-0000-0000E5080000}"/>
    <cellStyle name="Normal 28 21" xfId="2288" xr:uid="{00000000-0005-0000-0000-0000E6080000}"/>
    <cellStyle name="Normal 28 22" xfId="2289" xr:uid="{00000000-0005-0000-0000-0000E7080000}"/>
    <cellStyle name="Normal 28 23" xfId="2290" xr:uid="{00000000-0005-0000-0000-0000E8080000}"/>
    <cellStyle name="Normal 28 24" xfId="2291" xr:uid="{00000000-0005-0000-0000-0000E9080000}"/>
    <cellStyle name="Normal 28 25" xfId="2292" xr:uid="{00000000-0005-0000-0000-0000EA080000}"/>
    <cellStyle name="Normal 28 26" xfId="2293" xr:uid="{00000000-0005-0000-0000-0000EB080000}"/>
    <cellStyle name="Normal 28 27" xfId="2294" xr:uid="{00000000-0005-0000-0000-0000EC080000}"/>
    <cellStyle name="Normal 28 28" xfId="2295" xr:uid="{00000000-0005-0000-0000-0000ED080000}"/>
    <cellStyle name="Normal 28 29" xfId="2296" xr:uid="{00000000-0005-0000-0000-0000EE080000}"/>
    <cellStyle name="Normal 28 3" xfId="2297" xr:uid="{00000000-0005-0000-0000-0000EF080000}"/>
    <cellStyle name="Normal 28 30" xfId="2298" xr:uid="{00000000-0005-0000-0000-0000F0080000}"/>
    <cellStyle name="Normal 28 31" xfId="2299" xr:uid="{00000000-0005-0000-0000-0000F1080000}"/>
    <cellStyle name="Normal 28 32" xfId="2300" xr:uid="{00000000-0005-0000-0000-0000F2080000}"/>
    <cellStyle name="Normal 28 33" xfId="2301" xr:uid="{00000000-0005-0000-0000-0000F3080000}"/>
    <cellStyle name="Normal 28 34" xfId="2302" xr:uid="{00000000-0005-0000-0000-0000F4080000}"/>
    <cellStyle name="Normal 28 35" xfId="2303" xr:uid="{00000000-0005-0000-0000-0000F5080000}"/>
    <cellStyle name="Normal 28 36" xfId="2304" xr:uid="{00000000-0005-0000-0000-0000F6080000}"/>
    <cellStyle name="Normal 28 37" xfId="2305" xr:uid="{00000000-0005-0000-0000-0000F7080000}"/>
    <cellStyle name="Normal 28 38" xfId="2306" xr:uid="{00000000-0005-0000-0000-0000F8080000}"/>
    <cellStyle name="Normal 28 39" xfId="2307" xr:uid="{00000000-0005-0000-0000-0000F9080000}"/>
    <cellStyle name="Normal 28 4" xfId="2308" xr:uid="{00000000-0005-0000-0000-0000FA080000}"/>
    <cellStyle name="Normal 28 40" xfId="2309" xr:uid="{00000000-0005-0000-0000-0000FB080000}"/>
    <cellStyle name="Normal 28 41" xfId="2310" xr:uid="{00000000-0005-0000-0000-0000FC080000}"/>
    <cellStyle name="Normal 28 42" xfId="2311" xr:uid="{00000000-0005-0000-0000-0000FD080000}"/>
    <cellStyle name="Normal 28 43" xfId="2312" xr:uid="{00000000-0005-0000-0000-0000FE080000}"/>
    <cellStyle name="Normal 28 44" xfId="2313" xr:uid="{00000000-0005-0000-0000-0000FF080000}"/>
    <cellStyle name="Normal 28 45" xfId="2314" xr:uid="{00000000-0005-0000-0000-000000090000}"/>
    <cellStyle name="Normal 28 46" xfId="2315" xr:uid="{00000000-0005-0000-0000-000001090000}"/>
    <cellStyle name="Normal 28 47" xfId="2316" xr:uid="{00000000-0005-0000-0000-000002090000}"/>
    <cellStyle name="Normal 28 48" xfId="2317" xr:uid="{00000000-0005-0000-0000-000003090000}"/>
    <cellStyle name="Normal 28 49" xfId="2318" xr:uid="{00000000-0005-0000-0000-000004090000}"/>
    <cellStyle name="Normal 28 5" xfId="2319" xr:uid="{00000000-0005-0000-0000-000005090000}"/>
    <cellStyle name="Normal 28 50" xfId="2320" xr:uid="{00000000-0005-0000-0000-000006090000}"/>
    <cellStyle name="Normal 28 51" xfId="2321" xr:uid="{00000000-0005-0000-0000-000007090000}"/>
    <cellStyle name="Normal 28 52" xfId="2322" xr:uid="{00000000-0005-0000-0000-000008090000}"/>
    <cellStyle name="Normal 28 53" xfId="2323" xr:uid="{00000000-0005-0000-0000-000009090000}"/>
    <cellStyle name="Normal 28 54" xfId="2324" xr:uid="{00000000-0005-0000-0000-00000A090000}"/>
    <cellStyle name="Normal 28 55" xfId="2325" xr:uid="{00000000-0005-0000-0000-00000B090000}"/>
    <cellStyle name="Normal 28 56" xfId="2326" xr:uid="{00000000-0005-0000-0000-00000C090000}"/>
    <cellStyle name="Normal 28 57" xfId="2327" xr:uid="{00000000-0005-0000-0000-00000D090000}"/>
    <cellStyle name="Normal 28 58" xfId="2328" xr:uid="{00000000-0005-0000-0000-00000E090000}"/>
    <cellStyle name="Normal 28 59" xfId="2329" xr:uid="{00000000-0005-0000-0000-00000F090000}"/>
    <cellStyle name="Normal 28 6" xfId="2330" xr:uid="{00000000-0005-0000-0000-000010090000}"/>
    <cellStyle name="Normal 28 60" xfId="2331" xr:uid="{00000000-0005-0000-0000-000011090000}"/>
    <cellStyle name="Normal 28 61" xfId="2332" xr:uid="{00000000-0005-0000-0000-000012090000}"/>
    <cellStyle name="Normal 28 62" xfId="2333" xr:uid="{00000000-0005-0000-0000-000013090000}"/>
    <cellStyle name="Normal 28 63" xfId="2334" xr:uid="{00000000-0005-0000-0000-000014090000}"/>
    <cellStyle name="Normal 28 64" xfId="2335" xr:uid="{00000000-0005-0000-0000-000015090000}"/>
    <cellStyle name="Normal 28 65" xfId="2336" xr:uid="{00000000-0005-0000-0000-000016090000}"/>
    <cellStyle name="Normal 28 66" xfId="2337" xr:uid="{00000000-0005-0000-0000-000017090000}"/>
    <cellStyle name="Normal 28 67" xfId="2338" xr:uid="{00000000-0005-0000-0000-000018090000}"/>
    <cellStyle name="Normal 28 68" xfId="2339" xr:uid="{00000000-0005-0000-0000-000019090000}"/>
    <cellStyle name="Normal 28 69" xfId="2340" xr:uid="{00000000-0005-0000-0000-00001A090000}"/>
    <cellStyle name="Normal 28 7" xfId="2341" xr:uid="{00000000-0005-0000-0000-00001B090000}"/>
    <cellStyle name="Normal 28 70" xfId="2342" xr:uid="{00000000-0005-0000-0000-00001C090000}"/>
    <cellStyle name="Normal 28 71" xfId="2343" xr:uid="{00000000-0005-0000-0000-00001D090000}"/>
    <cellStyle name="Normal 28 72" xfId="2344" xr:uid="{00000000-0005-0000-0000-00001E090000}"/>
    <cellStyle name="Normal 28 73" xfId="2345" xr:uid="{00000000-0005-0000-0000-00001F090000}"/>
    <cellStyle name="Normal 28 74" xfId="2346" xr:uid="{00000000-0005-0000-0000-000020090000}"/>
    <cellStyle name="Normal 28 75" xfId="2347" xr:uid="{00000000-0005-0000-0000-000021090000}"/>
    <cellStyle name="Normal 28 76" xfId="2348" xr:uid="{00000000-0005-0000-0000-000022090000}"/>
    <cellStyle name="Normal 28 77" xfId="2349" xr:uid="{00000000-0005-0000-0000-000023090000}"/>
    <cellStyle name="Normal 28 78" xfId="2350" xr:uid="{00000000-0005-0000-0000-000024090000}"/>
    <cellStyle name="Normal 28 79" xfId="2351" xr:uid="{00000000-0005-0000-0000-000025090000}"/>
    <cellStyle name="Normal 28 8" xfId="2352" xr:uid="{00000000-0005-0000-0000-000026090000}"/>
    <cellStyle name="Normal 28 80" xfId="2353" xr:uid="{00000000-0005-0000-0000-000027090000}"/>
    <cellStyle name="Normal 28 81" xfId="2354" xr:uid="{00000000-0005-0000-0000-000028090000}"/>
    <cellStyle name="Normal 28 82" xfId="2355" xr:uid="{00000000-0005-0000-0000-000029090000}"/>
    <cellStyle name="Normal 28 83" xfId="2356" xr:uid="{00000000-0005-0000-0000-00002A090000}"/>
    <cellStyle name="Normal 28 84" xfId="2357" xr:uid="{00000000-0005-0000-0000-00002B090000}"/>
    <cellStyle name="Normal 28 85" xfId="2358" xr:uid="{00000000-0005-0000-0000-00002C090000}"/>
    <cellStyle name="Normal 28 86" xfId="2359" xr:uid="{00000000-0005-0000-0000-00002D090000}"/>
    <cellStyle name="Normal 28 87" xfId="2360" xr:uid="{00000000-0005-0000-0000-00002E090000}"/>
    <cellStyle name="Normal 28 88" xfId="2361" xr:uid="{00000000-0005-0000-0000-00002F090000}"/>
    <cellStyle name="Normal 28 89" xfId="2362" xr:uid="{00000000-0005-0000-0000-000030090000}"/>
    <cellStyle name="Normal 28 9" xfId="2363" xr:uid="{00000000-0005-0000-0000-000031090000}"/>
    <cellStyle name="Normal 28 90" xfId="2364" xr:uid="{00000000-0005-0000-0000-000032090000}"/>
    <cellStyle name="Normal 28 91" xfId="2365" xr:uid="{00000000-0005-0000-0000-000033090000}"/>
    <cellStyle name="Normal 28 92" xfId="2366" xr:uid="{00000000-0005-0000-0000-000034090000}"/>
    <cellStyle name="Normal 28 93" xfId="2367" xr:uid="{00000000-0005-0000-0000-000035090000}"/>
    <cellStyle name="Normal 28 94" xfId="2368" xr:uid="{00000000-0005-0000-0000-000036090000}"/>
    <cellStyle name="Normal 28 95" xfId="2369" xr:uid="{00000000-0005-0000-0000-000037090000}"/>
    <cellStyle name="Normal 28 96" xfId="2370" xr:uid="{00000000-0005-0000-0000-000038090000}"/>
    <cellStyle name="Normal 28 97" xfId="2371" xr:uid="{00000000-0005-0000-0000-000039090000}"/>
    <cellStyle name="Normal 28 98" xfId="2372" xr:uid="{00000000-0005-0000-0000-00003A090000}"/>
    <cellStyle name="Normal 28 99" xfId="2373" xr:uid="{00000000-0005-0000-0000-00003B090000}"/>
    <cellStyle name="Normal 29" xfId="2374" xr:uid="{00000000-0005-0000-0000-00003C090000}"/>
    <cellStyle name="Normal 29 10" xfId="2375" xr:uid="{00000000-0005-0000-0000-00003D090000}"/>
    <cellStyle name="Normal 29 100" xfId="2376" xr:uid="{00000000-0005-0000-0000-00003E090000}"/>
    <cellStyle name="Normal 29 101" xfId="2377" xr:uid="{00000000-0005-0000-0000-00003F090000}"/>
    <cellStyle name="Normal 29 102" xfId="2378" xr:uid="{00000000-0005-0000-0000-000040090000}"/>
    <cellStyle name="Normal 29 103" xfId="2379" xr:uid="{00000000-0005-0000-0000-000041090000}"/>
    <cellStyle name="Normal 29 104" xfId="2380" xr:uid="{00000000-0005-0000-0000-000042090000}"/>
    <cellStyle name="Normal 29 105" xfId="2381" xr:uid="{00000000-0005-0000-0000-000043090000}"/>
    <cellStyle name="Normal 29 106" xfId="2382" xr:uid="{00000000-0005-0000-0000-000044090000}"/>
    <cellStyle name="Normal 29 107" xfId="2383" xr:uid="{00000000-0005-0000-0000-000045090000}"/>
    <cellStyle name="Normal 29 108" xfId="2384" xr:uid="{00000000-0005-0000-0000-000046090000}"/>
    <cellStyle name="Normal 29 109" xfId="2385" xr:uid="{00000000-0005-0000-0000-000047090000}"/>
    <cellStyle name="Normal 29 11" xfId="2386" xr:uid="{00000000-0005-0000-0000-000048090000}"/>
    <cellStyle name="Normal 29 12" xfId="2387" xr:uid="{00000000-0005-0000-0000-000049090000}"/>
    <cellStyle name="Normal 29 13" xfId="2388" xr:uid="{00000000-0005-0000-0000-00004A090000}"/>
    <cellStyle name="Normal 29 14" xfId="2389" xr:uid="{00000000-0005-0000-0000-00004B090000}"/>
    <cellStyle name="Normal 29 15" xfId="2390" xr:uid="{00000000-0005-0000-0000-00004C090000}"/>
    <cellStyle name="Normal 29 16" xfId="2391" xr:uid="{00000000-0005-0000-0000-00004D090000}"/>
    <cellStyle name="Normal 29 17" xfId="2392" xr:uid="{00000000-0005-0000-0000-00004E090000}"/>
    <cellStyle name="Normal 29 18" xfId="2393" xr:uid="{00000000-0005-0000-0000-00004F090000}"/>
    <cellStyle name="Normal 29 19" xfId="2394" xr:uid="{00000000-0005-0000-0000-000050090000}"/>
    <cellStyle name="Normal 29 2" xfId="2395" xr:uid="{00000000-0005-0000-0000-000051090000}"/>
    <cellStyle name="Normal 29 20" xfId="2396" xr:uid="{00000000-0005-0000-0000-000052090000}"/>
    <cellStyle name="Normal 29 21" xfId="2397" xr:uid="{00000000-0005-0000-0000-000053090000}"/>
    <cellStyle name="Normal 29 22" xfId="2398" xr:uid="{00000000-0005-0000-0000-000054090000}"/>
    <cellStyle name="Normal 29 23" xfId="2399" xr:uid="{00000000-0005-0000-0000-000055090000}"/>
    <cellStyle name="Normal 29 24" xfId="2400" xr:uid="{00000000-0005-0000-0000-000056090000}"/>
    <cellStyle name="Normal 29 25" xfId="2401" xr:uid="{00000000-0005-0000-0000-000057090000}"/>
    <cellStyle name="Normal 29 26" xfId="2402" xr:uid="{00000000-0005-0000-0000-000058090000}"/>
    <cellStyle name="Normal 29 27" xfId="2403" xr:uid="{00000000-0005-0000-0000-000059090000}"/>
    <cellStyle name="Normal 29 28" xfId="2404" xr:uid="{00000000-0005-0000-0000-00005A090000}"/>
    <cellStyle name="Normal 29 29" xfId="2405" xr:uid="{00000000-0005-0000-0000-00005B090000}"/>
    <cellStyle name="Normal 29 3" xfId="2406" xr:uid="{00000000-0005-0000-0000-00005C090000}"/>
    <cellStyle name="Normal 29 30" xfId="2407" xr:uid="{00000000-0005-0000-0000-00005D090000}"/>
    <cellStyle name="Normal 29 31" xfId="2408" xr:uid="{00000000-0005-0000-0000-00005E090000}"/>
    <cellStyle name="Normal 29 32" xfId="2409" xr:uid="{00000000-0005-0000-0000-00005F090000}"/>
    <cellStyle name="Normal 29 33" xfId="2410" xr:uid="{00000000-0005-0000-0000-000060090000}"/>
    <cellStyle name="Normal 29 34" xfId="2411" xr:uid="{00000000-0005-0000-0000-000061090000}"/>
    <cellStyle name="Normal 29 35" xfId="2412" xr:uid="{00000000-0005-0000-0000-000062090000}"/>
    <cellStyle name="Normal 29 36" xfId="2413" xr:uid="{00000000-0005-0000-0000-000063090000}"/>
    <cellStyle name="Normal 29 37" xfId="2414" xr:uid="{00000000-0005-0000-0000-000064090000}"/>
    <cellStyle name="Normal 29 38" xfId="2415" xr:uid="{00000000-0005-0000-0000-000065090000}"/>
    <cellStyle name="Normal 29 39" xfId="2416" xr:uid="{00000000-0005-0000-0000-000066090000}"/>
    <cellStyle name="Normal 29 4" xfId="2417" xr:uid="{00000000-0005-0000-0000-000067090000}"/>
    <cellStyle name="Normal 29 40" xfId="2418" xr:uid="{00000000-0005-0000-0000-000068090000}"/>
    <cellStyle name="Normal 29 41" xfId="2419" xr:uid="{00000000-0005-0000-0000-000069090000}"/>
    <cellStyle name="Normal 29 42" xfId="2420" xr:uid="{00000000-0005-0000-0000-00006A090000}"/>
    <cellStyle name="Normal 29 43" xfId="2421" xr:uid="{00000000-0005-0000-0000-00006B090000}"/>
    <cellStyle name="Normal 29 44" xfId="2422" xr:uid="{00000000-0005-0000-0000-00006C090000}"/>
    <cellStyle name="Normal 29 45" xfId="2423" xr:uid="{00000000-0005-0000-0000-00006D090000}"/>
    <cellStyle name="Normal 29 46" xfId="2424" xr:uid="{00000000-0005-0000-0000-00006E090000}"/>
    <cellStyle name="Normal 29 47" xfId="2425" xr:uid="{00000000-0005-0000-0000-00006F090000}"/>
    <cellStyle name="Normal 29 48" xfId="2426" xr:uid="{00000000-0005-0000-0000-000070090000}"/>
    <cellStyle name="Normal 29 49" xfId="2427" xr:uid="{00000000-0005-0000-0000-000071090000}"/>
    <cellStyle name="Normal 29 5" xfId="2428" xr:uid="{00000000-0005-0000-0000-000072090000}"/>
    <cellStyle name="Normal 29 50" xfId="2429" xr:uid="{00000000-0005-0000-0000-000073090000}"/>
    <cellStyle name="Normal 29 51" xfId="2430" xr:uid="{00000000-0005-0000-0000-000074090000}"/>
    <cellStyle name="Normal 29 52" xfId="2431" xr:uid="{00000000-0005-0000-0000-000075090000}"/>
    <cellStyle name="Normal 29 53" xfId="2432" xr:uid="{00000000-0005-0000-0000-000076090000}"/>
    <cellStyle name="Normal 29 54" xfId="2433" xr:uid="{00000000-0005-0000-0000-000077090000}"/>
    <cellStyle name="Normal 29 55" xfId="2434" xr:uid="{00000000-0005-0000-0000-000078090000}"/>
    <cellStyle name="Normal 29 56" xfId="2435" xr:uid="{00000000-0005-0000-0000-000079090000}"/>
    <cellStyle name="Normal 29 57" xfId="2436" xr:uid="{00000000-0005-0000-0000-00007A090000}"/>
    <cellStyle name="Normal 29 58" xfId="2437" xr:uid="{00000000-0005-0000-0000-00007B090000}"/>
    <cellStyle name="Normal 29 59" xfId="2438" xr:uid="{00000000-0005-0000-0000-00007C090000}"/>
    <cellStyle name="Normal 29 6" xfId="2439" xr:uid="{00000000-0005-0000-0000-00007D090000}"/>
    <cellStyle name="Normal 29 60" xfId="2440" xr:uid="{00000000-0005-0000-0000-00007E090000}"/>
    <cellStyle name="Normal 29 61" xfId="2441" xr:uid="{00000000-0005-0000-0000-00007F090000}"/>
    <cellStyle name="Normal 29 62" xfId="2442" xr:uid="{00000000-0005-0000-0000-000080090000}"/>
    <cellStyle name="Normal 29 63" xfId="2443" xr:uid="{00000000-0005-0000-0000-000081090000}"/>
    <cellStyle name="Normal 29 64" xfId="2444" xr:uid="{00000000-0005-0000-0000-000082090000}"/>
    <cellStyle name="Normal 29 65" xfId="2445" xr:uid="{00000000-0005-0000-0000-000083090000}"/>
    <cellStyle name="Normal 29 66" xfId="2446" xr:uid="{00000000-0005-0000-0000-000084090000}"/>
    <cellStyle name="Normal 29 67" xfId="2447" xr:uid="{00000000-0005-0000-0000-000085090000}"/>
    <cellStyle name="Normal 29 68" xfId="2448" xr:uid="{00000000-0005-0000-0000-000086090000}"/>
    <cellStyle name="Normal 29 69" xfId="2449" xr:uid="{00000000-0005-0000-0000-000087090000}"/>
    <cellStyle name="Normal 29 7" xfId="2450" xr:uid="{00000000-0005-0000-0000-000088090000}"/>
    <cellStyle name="Normal 29 70" xfId="2451" xr:uid="{00000000-0005-0000-0000-000089090000}"/>
    <cellStyle name="Normal 29 71" xfId="2452" xr:uid="{00000000-0005-0000-0000-00008A090000}"/>
    <cellStyle name="Normal 29 72" xfId="2453" xr:uid="{00000000-0005-0000-0000-00008B090000}"/>
    <cellStyle name="Normal 29 73" xfId="2454" xr:uid="{00000000-0005-0000-0000-00008C090000}"/>
    <cellStyle name="Normal 29 74" xfId="2455" xr:uid="{00000000-0005-0000-0000-00008D090000}"/>
    <cellStyle name="Normal 29 75" xfId="2456" xr:uid="{00000000-0005-0000-0000-00008E090000}"/>
    <cellStyle name="Normal 29 76" xfId="2457" xr:uid="{00000000-0005-0000-0000-00008F090000}"/>
    <cellStyle name="Normal 29 77" xfId="2458" xr:uid="{00000000-0005-0000-0000-000090090000}"/>
    <cellStyle name="Normal 29 78" xfId="2459" xr:uid="{00000000-0005-0000-0000-000091090000}"/>
    <cellStyle name="Normal 29 79" xfId="2460" xr:uid="{00000000-0005-0000-0000-000092090000}"/>
    <cellStyle name="Normal 29 8" xfId="2461" xr:uid="{00000000-0005-0000-0000-000093090000}"/>
    <cellStyle name="Normal 29 80" xfId="2462" xr:uid="{00000000-0005-0000-0000-000094090000}"/>
    <cellStyle name="Normal 29 81" xfId="2463" xr:uid="{00000000-0005-0000-0000-000095090000}"/>
    <cellStyle name="Normal 29 82" xfId="2464" xr:uid="{00000000-0005-0000-0000-000096090000}"/>
    <cellStyle name="Normal 29 83" xfId="2465" xr:uid="{00000000-0005-0000-0000-000097090000}"/>
    <cellStyle name="Normal 29 84" xfId="2466" xr:uid="{00000000-0005-0000-0000-000098090000}"/>
    <cellStyle name="Normal 29 85" xfId="2467" xr:uid="{00000000-0005-0000-0000-000099090000}"/>
    <cellStyle name="Normal 29 86" xfId="2468" xr:uid="{00000000-0005-0000-0000-00009A090000}"/>
    <cellStyle name="Normal 29 87" xfId="2469" xr:uid="{00000000-0005-0000-0000-00009B090000}"/>
    <cellStyle name="Normal 29 88" xfId="2470" xr:uid="{00000000-0005-0000-0000-00009C090000}"/>
    <cellStyle name="Normal 29 89" xfId="2471" xr:uid="{00000000-0005-0000-0000-00009D090000}"/>
    <cellStyle name="Normal 29 9" xfId="2472" xr:uid="{00000000-0005-0000-0000-00009E090000}"/>
    <cellStyle name="Normal 29 90" xfId="2473" xr:uid="{00000000-0005-0000-0000-00009F090000}"/>
    <cellStyle name="Normal 29 91" xfId="2474" xr:uid="{00000000-0005-0000-0000-0000A0090000}"/>
    <cellStyle name="Normal 29 92" xfId="2475" xr:uid="{00000000-0005-0000-0000-0000A1090000}"/>
    <cellStyle name="Normal 29 93" xfId="2476" xr:uid="{00000000-0005-0000-0000-0000A2090000}"/>
    <cellStyle name="Normal 29 94" xfId="2477" xr:uid="{00000000-0005-0000-0000-0000A3090000}"/>
    <cellStyle name="Normal 29 95" xfId="2478" xr:uid="{00000000-0005-0000-0000-0000A4090000}"/>
    <cellStyle name="Normal 29 96" xfId="2479" xr:uid="{00000000-0005-0000-0000-0000A5090000}"/>
    <cellStyle name="Normal 29 97" xfId="2480" xr:uid="{00000000-0005-0000-0000-0000A6090000}"/>
    <cellStyle name="Normal 29 98" xfId="2481" xr:uid="{00000000-0005-0000-0000-0000A7090000}"/>
    <cellStyle name="Normal 29 99" xfId="2482" xr:uid="{00000000-0005-0000-0000-0000A8090000}"/>
    <cellStyle name="Normal 3" xfId="2483" xr:uid="{00000000-0005-0000-0000-0000A9090000}"/>
    <cellStyle name="Normal-- 3" xfId="2484" xr:uid="{00000000-0005-0000-0000-0000AA090000}"/>
    <cellStyle name="Normal 3 10" xfId="2485" xr:uid="{00000000-0005-0000-0000-0000AB090000}"/>
    <cellStyle name="Normal 3 11" xfId="2486" xr:uid="{00000000-0005-0000-0000-0000AC090000}"/>
    <cellStyle name="Normal 3 12" xfId="2487" xr:uid="{00000000-0005-0000-0000-0000AD090000}"/>
    <cellStyle name="Normal 3 13" xfId="2488" xr:uid="{00000000-0005-0000-0000-0000AE090000}"/>
    <cellStyle name="Normal 3 14" xfId="2489" xr:uid="{00000000-0005-0000-0000-0000AF090000}"/>
    <cellStyle name="Normal 3 15" xfId="2490" xr:uid="{00000000-0005-0000-0000-0000B0090000}"/>
    <cellStyle name="Normal 3 16" xfId="2491" xr:uid="{00000000-0005-0000-0000-0000B1090000}"/>
    <cellStyle name="Normal 3 17" xfId="2492" xr:uid="{00000000-0005-0000-0000-0000B2090000}"/>
    <cellStyle name="Normal 3 18" xfId="2493" xr:uid="{00000000-0005-0000-0000-0000B3090000}"/>
    <cellStyle name="Normal 3 19" xfId="2494" xr:uid="{00000000-0005-0000-0000-0000B4090000}"/>
    <cellStyle name="Normal 3 2" xfId="2495" xr:uid="{00000000-0005-0000-0000-0000B5090000}"/>
    <cellStyle name="Normal 3 2 2" xfId="2496" xr:uid="{00000000-0005-0000-0000-0000B6090000}"/>
    <cellStyle name="Normal 3 2 2 2" xfId="2497" xr:uid="{00000000-0005-0000-0000-0000B7090000}"/>
    <cellStyle name="Normal 3 2 3" xfId="2498" xr:uid="{00000000-0005-0000-0000-0000B8090000}"/>
    <cellStyle name="Normal 3 2 4" xfId="2499" xr:uid="{00000000-0005-0000-0000-0000B9090000}"/>
    <cellStyle name="Normal 3 2 5" xfId="4647" xr:uid="{00000000-0005-0000-0000-00000D1E0000}"/>
    <cellStyle name="Normal 3 20" xfId="2500" xr:uid="{00000000-0005-0000-0000-0000BA090000}"/>
    <cellStyle name="Normal 3 21" xfId="2501" xr:uid="{00000000-0005-0000-0000-0000BB090000}"/>
    <cellStyle name="Normal 3 22" xfId="2502" xr:uid="{00000000-0005-0000-0000-0000BC090000}"/>
    <cellStyle name="Normal 3 22 2" xfId="2503" xr:uid="{00000000-0005-0000-0000-0000BD090000}"/>
    <cellStyle name="Normal 3 22 2 2" xfId="2504" xr:uid="{00000000-0005-0000-0000-0000BE090000}"/>
    <cellStyle name="Normal 3 22 2 2 2" xfId="2505" xr:uid="{00000000-0005-0000-0000-0000BF090000}"/>
    <cellStyle name="Normal 3 22 2 3" xfId="2506" xr:uid="{00000000-0005-0000-0000-0000C0090000}"/>
    <cellStyle name="Normal 3 22 3" xfId="2507" xr:uid="{00000000-0005-0000-0000-0000C1090000}"/>
    <cellStyle name="Normal 3 22 3 2" xfId="2508" xr:uid="{00000000-0005-0000-0000-0000C2090000}"/>
    <cellStyle name="Normal 3 22 4" xfId="2509" xr:uid="{00000000-0005-0000-0000-0000C3090000}"/>
    <cellStyle name="Normal 3 23" xfId="2510" xr:uid="{00000000-0005-0000-0000-0000C4090000}"/>
    <cellStyle name="Normal 3 24" xfId="2511" xr:uid="{00000000-0005-0000-0000-0000C5090000}"/>
    <cellStyle name="Normal 3 24 2" xfId="2512" xr:uid="{00000000-0005-0000-0000-0000C6090000}"/>
    <cellStyle name="Normal 3 24 2 2" xfId="2513" xr:uid="{00000000-0005-0000-0000-0000C7090000}"/>
    <cellStyle name="Normal 3 24 3" xfId="2514" xr:uid="{00000000-0005-0000-0000-0000C8090000}"/>
    <cellStyle name="Normal 3 25" xfId="2515" xr:uid="{00000000-0005-0000-0000-0000C9090000}"/>
    <cellStyle name="Normal 3 26" xfId="2516" xr:uid="{00000000-0005-0000-0000-0000CA090000}"/>
    <cellStyle name="Normal 3 27" xfId="2517" xr:uid="{00000000-0005-0000-0000-0000CB090000}"/>
    <cellStyle name="Normal 3 28" xfId="2518" xr:uid="{00000000-0005-0000-0000-0000CC090000}"/>
    <cellStyle name="Normal 3 29" xfId="2519" xr:uid="{00000000-0005-0000-0000-0000CD090000}"/>
    <cellStyle name="Normal 3 3" xfId="2520" xr:uid="{00000000-0005-0000-0000-0000CE090000}"/>
    <cellStyle name="Normal 3 3 2" xfId="2521" xr:uid="{00000000-0005-0000-0000-0000CF090000}"/>
    <cellStyle name="Normal 3 3 3" xfId="2522" xr:uid="{00000000-0005-0000-0000-0000D0090000}"/>
    <cellStyle name="Normal 3 3 4" xfId="2523" xr:uid="{00000000-0005-0000-0000-0000D1090000}"/>
    <cellStyle name="Normal 3 30" xfId="2524" xr:uid="{00000000-0005-0000-0000-0000D2090000}"/>
    <cellStyle name="Normal 3 31" xfId="2525" xr:uid="{00000000-0005-0000-0000-0000D3090000}"/>
    <cellStyle name="Normal 3 32" xfId="2526" xr:uid="{00000000-0005-0000-0000-0000D4090000}"/>
    <cellStyle name="Normal 3 33" xfId="2527" xr:uid="{00000000-0005-0000-0000-0000D5090000}"/>
    <cellStyle name="Normal 3 34" xfId="2528" xr:uid="{00000000-0005-0000-0000-0000D6090000}"/>
    <cellStyle name="Normal 3 35" xfId="2529" xr:uid="{00000000-0005-0000-0000-0000D7090000}"/>
    <cellStyle name="Normal 3 36" xfId="2530" xr:uid="{00000000-0005-0000-0000-0000D8090000}"/>
    <cellStyle name="Normal 3 37" xfId="2531" xr:uid="{00000000-0005-0000-0000-0000D9090000}"/>
    <cellStyle name="Normal 3 38" xfId="2532" xr:uid="{00000000-0005-0000-0000-0000DA090000}"/>
    <cellStyle name="Normal 3 39" xfId="2533" xr:uid="{00000000-0005-0000-0000-0000DB090000}"/>
    <cellStyle name="Normal 3 39 2" xfId="2534" xr:uid="{00000000-0005-0000-0000-0000DC090000}"/>
    <cellStyle name="Normal 3 4" xfId="2535" xr:uid="{00000000-0005-0000-0000-0000DD090000}"/>
    <cellStyle name="Normal 3 4 2" xfId="2536" xr:uid="{00000000-0005-0000-0000-0000DE090000}"/>
    <cellStyle name="Normal 3 4 3" xfId="2537" xr:uid="{00000000-0005-0000-0000-0000DF090000}"/>
    <cellStyle name="Normal 3 40" xfId="2538" xr:uid="{00000000-0005-0000-0000-0000E0090000}"/>
    <cellStyle name="Normal 3 41" xfId="2539" xr:uid="{00000000-0005-0000-0000-0000E1090000}"/>
    <cellStyle name="Normal 3 42" xfId="2540" xr:uid="{00000000-0005-0000-0000-0000E2090000}"/>
    <cellStyle name="Normal 3 43" xfId="2541" xr:uid="{00000000-0005-0000-0000-0000E3090000}"/>
    <cellStyle name="Normal 3 44" xfId="2542" xr:uid="{00000000-0005-0000-0000-0000E4090000}"/>
    <cellStyle name="Normal 3 45" xfId="2543" xr:uid="{00000000-0005-0000-0000-0000E5090000}"/>
    <cellStyle name="Normal 3 46" xfId="2544" xr:uid="{00000000-0005-0000-0000-0000E6090000}"/>
    <cellStyle name="Normal 3 47" xfId="2545" xr:uid="{00000000-0005-0000-0000-0000E7090000}"/>
    <cellStyle name="Normal 3 48" xfId="2546" xr:uid="{00000000-0005-0000-0000-0000E8090000}"/>
    <cellStyle name="Normal 3 49" xfId="2547" xr:uid="{00000000-0005-0000-0000-0000E9090000}"/>
    <cellStyle name="Normal 3 5" xfId="2548" xr:uid="{00000000-0005-0000-0000-0000EA090000}"/>
    <cellStyle name="Normal 3 5 2" xfId="2549" xr:uid="{00000000-0005-0000-0000-0000EB090000}"/>
    <cellStyle name="Normal 3 50" xfId="2550" xr:uid="{00000000-0005-0000-0000-0000EC090000}"/>
    <cellStyle name="Normal 3 51" xfId="2551" xr:uid="{00000000-0005-0000-0000-0000ED090000}"/>
    <cellStyle name="Normal 3 52" xfId="2552" xr:uid="{00000000-0005-0000-0000-0000EE090000}"/>
    <cellStyle name="Normal 3 53" xfId="2553" xr:uid="{00000000-0005-0000-0000-0000EF090000}"/>
    <cellStyle name="Normal 3 54" xfId="4658" xr:uid="{00000000-0005-0000-0000-0000011E0000}"/>
    <cellStyle name="Normal 3 6" xfId="2554" xr:uid="{00000000-0005-0000-0000-0000F0090000}"/>
    <cellStyle name="Normal 3 7" xfId="2555" xr:uid="{00000000-0005-0000-0000-0000F1090000}"/>
    <cellStyle name="Normal 3 8" xfId="2556" xr:uid="{00000000-0005-0000-0000-0000F2090000}"/>
    <cellStyle name="Normal 3 9" xfId="2557" xr:uid="{00000000-0005-0000-0000-0000F3090000}"/>
    <cellStyle name="Normal 30" xfId="2558" xr:uid="{00000000-0005-0000-0000-0000F4090000}"/>
    <cellStyle name="Normal 30 10" xfId="2559" xr:uid="{00000000-0005-0000-0000-0000F5090000}"/>
    <cellStyle name="Normal 30 100" xfId="2560" xr:uid="{00000000-0005-0000-0000-0000F6090000}"/>
    <cellStyle name="Normal 30 101" xfId="2561" xr:uid="{00000000-0005-0000-0000-0000F7090000}"/>
    <cellStyle name="Normal 30 102" xfId="2562" xr:uid="{00000000-0005-0000-0000-0000F8090000}"/>
    <cellStyle name="Normal 30 103" xfId="2563" xr:uid="{00000000-0005-0000-0000-0000F9090000}"/>
    <cellStyle name="Normal 30 104" xfId="2564" xr:uid="{00000000-0005-0000-0000-0000FA090000}"/>
    <cellStyle name="Normal 30 105" xfId="2565" xr:uid="{00000000-0005-0000-0000-0000FB090000}"/>
    <cellStyle name="Normal 30 106" xfId="2566" xr:uid="{00000000-0005-0000-0000-0000FC090000}"/>
    <cellStyle name="Normal 30 107" xfId="2567" xr:uid="{00000000-0005-0000-0000-0000FD090000}"/>
    <cellStyle name="Normal 30 108" xfId="2568" xr:uid="{00000000-0005-0000-0000-0000FE090000}"/>
    <cellStyle name="Normal 30 109" xfId="2569" xr:uid="{00000000-0005-0000-0000-0000FF090000}"/>
    <cellStyle name="Normal 30 11" xfId="2570" xr:uid="{00000000-0005-0000-0000-0000000A0000}"/>
    <cellStyle name="Normal 30 12" xfId="2571" xr:uid="{00000000-0005-0000-0000-0000010A0000}"/>
    <cellStyle name="Normal 30 13" xfId="2572" xr:uid="{00000000-0005-0000-0000-0000020A0000}"/>
    <cellStyle name="Normal 30 14" xfId="2573" xr:uid="{00000000-0005-0000-0000-0000030A0000}"/>
    <cellStyle name="Normal 30 15" xfId="2574" xr:uid="{00000000-0005-0000-0000-0000040A0000}"/>
    <cellStyle name="Normal 30 16" xfId="2575" xr:uid="{00000000-0005-0000-0000-0000050A0000}"/>
    <cellStyle name="Normal 30 17" xfId="2576" xr:uid="{00000000-0005-0000-0000-0000060A0000}"/>
    <cellStyle name="Normal 30 18" xfId="2577" xr:uid="{00000000-0005-0000-0000-0000070A0000}"/>
    <cellStyle name="Normal 30 19" xfId="2578" xr:uid="{00000000-0005-0000-0000-0000080A0000}"/>
    <cellStyle name="Normal 30 2" xfId="2579" xr:uid="{00000000-0005-0000-0000-0000090A0000}"/>
    <cellStyle name="Normal 30 20" xfId="2580" xr:uid="{00000000-0005-0000-0000-00000A0A0000}"/>
    <cellStyle name="Normal 30 21" xfId="2581" xr:uid="{00000000-0005-0000-0000-00000B0A0000}"/>
    <cellStyle name="Normal 30 22" xfId="2582" xr:uid="{00000000-0005-0000-0000-00000C0A0000}"/>
    <cellStyle name="Normal 30 23" xfId="2583" xr:uid="{00000000-0005-0000-0000-00000D0A0000}"/>
    <cellStyle name="Normal 30 24" xfId="2584" xr:uid="{00000000-0005-0000-0000-00000E0A0000}"/>
    <cellStyle name="Normal 30 25" xfId="2585" xr:uid="{00000000-0005-0000-0000-00000F0A0000}"/>
    <cellStyle name="Normal 30 26" xfId="2586" xr:uid="{00000000-0005-0000-0000-0000100A0000}"/>
    <cellStyle name="Normal 30 27" xfId="2587" xr:uid="{00000000-0005-0000-0000-0000110A0000}"/>
    <cellStyle name="Normal 30 28" xfId="2588" xr:uid="{00000000-0005-0000-0000-0000120A0000}"/>
    <cellStyle name="Normal 30 29" xfId="2589" xr:uid="{00000000-0005-0000-0000-0000130A0000}"/>
    <cellStyle name="Normal 30 3" xfId="2590" xr:uid="{00000000-0005-0000-0000-0000140A0000}"/>
    <cellStyle name="Normal 30 30" xfId="2591" xr:uid="{00000000-0005-0000-0000-0000150A0000}"/>
    <cellStyle name="Normal 30 31" xfId="2592" xr:uid="{00000000-0005-0000-0000-0000160A0000}"/>
    <cellStyle name="Normal 30 32" xfId="2593" xr:uid="{00000000-0005-0000-0000-0000170A0000}"/>
    <cellStyle name="Normal 30 33" xfId="2594" xr:uid="{00000000-0005-0000-0000-0000180A0000}"/>
    <cellStyle name="Normal 30 34" xfId="2595" xr:uid="{00000000-0005-0000-0000-0000190A0000}"/>
    <cellStyle name="Normal 30 35" xfId="2596" xr:uid="{00000000-0005-0000-0000-00001A0A0000}"/>
    <cellStyle name="Normal 30 36" xfId="2597" xr:uid="{00000000-0005-0000-0000-00001B0A0000}"/>
    <cellStyle name="Normal 30 37" xfId="2598" xr:uid="{00000000-0005-0000-0000-00001C0A0000}"/>
    <cellStyle name="Normal 30 38" xfId="2599" xr:uid="{00000000-0005-0000-0000-00001D0A0000}"/>
    <cellStyle name="Normal 30 39" xfId="2600" xr:uid="{00000000-0005-0000-0000-00001E0A0000}"/>
    <cellStyle name="Normal 30 4" xfId="2601" xr:uid="{00000000-0005-0000-0000-00001F0A0000}"/>
    <cellStyle name="Normal 30 40" xfId="2602" xr:uid="{00000000-0005-0000-0000-0000200A0000}"/>
    <cellStyle name="Normal 30 41" xfId="2603" xr:uid="{00000000-0005-0000-0000-0000210A0000}"/>
    <cellStyle name="Normal 30 42" xfId="2604" xr:uid="{00000000-0005-0000-0000-0000220A0000}"/>
    <cellStyle name="Normal 30 43" xfId="2605" xr:uid="{00000000-0005-0000-0000-0000230A0000}"/>
    <cellStyle name="Normal 30 44" xfId="2606" xr:uid="{00000000-0005-0000-0000-0000240A0000}"/>
    <cellStyle name="Normal 30 45" xfId="2607" xr:uid="{00000000-0005-0000-0000-0000250A0000}"/>
    <cellStyle name="Normal 30 46" xfId="2608" xr:uid="{00000000-0005-0000-0000-0000260A0000}"/>
    <cellStyle name="Normal 30 47" xfId="2609" xr:uid="{00000000-0005-0000-0000-0000270A0000}"/>
    <cellStyle name="Normal 30 48" xfId="2610" xr:uid="{00000000-0005-0000-0000-0000280A0000}"/>
    <cellStyle name="Normal 30 49" xfId="2611" xr:uid="{00000000-0005-0000-0000-0000290A0000}"/>
    <cellStyle name="Normal 30 5" xfId="2612" xr:uid="{00000000-0005-0000-0000-00002A0A0000}"/>
    <cellStyle name="Normal 30 50" xfId="2613" xr:uid="{00000000-0005-0000-0000-00002B0A0000}"/>
    <cellStyle name="Normal 30 51" xfId="2614" xr:uid="{00000000-0005-0000-0000-00002C0A0000}"/>
    <cellStyle name="Normal 30 52" xfId="2615" xr:uid="{00000000-0005-0000-0000-00002D0A0000}"/>
    <cellStyle name="Normal 30 53" xfId="2616" xr:uid="{00000000-0005-0000-0000-00002E0A0000}"/>
    <cellStyle name="Normal 30 54" xfId="2617" xr:uid="{00000000-0005-0000-0000-00002F0A0000}"/>
    <cellStyle name="Normal 30 55" xfId="2618" xr:uid="{00000000-0005-0000-0000-0000300A0000}"/>
    <cellStyle name="Normal 30 56" xfId="2619" xr:uid="{00000000-0005-0000-0000-0000310A0000}"/>
    <cellStyle name="Normal 30 57" xfId="2620" xr:uid="{00000000-0005-0000-0000-0000320A0000}"/>
    <cellStyle name="Normal 30 58" xfId="2621" xr:uid="{00000000-0005-0000-0000-0000330A0000}"/>
    <cellStyle name="Normal 30 59" xfId="2622" xr:uid="{00000000-0005-0000-0000-0000340A0000}"/>
    <cellStyle name="Normal 30 6" xfId="2623" xr:uid="{00000000-0005-0000-0000-0000350A0000}"/>
    <cellStyle name="Normal 30 60" xfId="2624" xr:uid="{00000000-0005-0000-0000-0000360A0000}"/>
    <cellStyle name="Normal 30 61" xfId="2625" xr:uid="{00000000-0005-0000-0000-0000370A0000}"/>
    <cellStyle name="Normal 30 62" xfId="2626" xr:uid="{00000000-0005-0000-0000-0000380A0000}"/>
    <cellStyle name="Normal 30 63" xfId="2627" xr:uid="{00000000-0005-0000-0000-0000390A0000}"/>
    <cellStyle name="Normal 30 64" xfId="2628" xr:uid="{00000000-0005-0000-0000-00003A0A0000}"/>
    <cellStyle name="Normal 30 65" xfId="2629" xr:uid="{00000000-0005-0000-0000-00003B0A0000}"/>
    <cellStyle name="Normal 30 66" xfId="2630" xr:uid="{00000000-0005-0000-0000-00003C0A0000}"/>
    <cellStyle name="Normal 30 67" xfId="2631" xr:uid="{00000000-0005-0000-0000-00003D0A0000}"/>
    <cellStyle name="Normal 30 68" xfId="2632" xr:uid="{00000000-0005-0000-0000-00003E0A0000}"/>
    <cellStyle name="Normal 30 69" xfId="2633" xr:uid="{00000000-0005-0000-0000-00003F0A0000}"/>
    <cellStyle name="Normal 30 7" xfId="2634" xr:uid="{00000000-0005-0000-0000-0000400A0000}"/>
    <cellStyle name="Normal 30 70" xfId="2635" xr:uid="{00000000-0005-0000-0000-0000410A0000}"/>
    <cellStyle name="Normal 30 71" xfId="2636" xr:uid="{00000000-0005-0000-0000-0000420A0000}"/>
    <cellStyle name="Normal 30 72" xfId="2637" xr:uid="{00000000-0005-0000-0000-0000430A0000}"/>
    <cellStyle name="Normal 30 73" xfId="2638" xr:uid="{00000000-0005-0000-0000-0000440A0000}"/>
    <cellStyle name="Normal 30 74" xfId="2639" xr:uid="{00000000-0005-0000-0000-0000450A0000}"/>
    <cellStyle name="Normal 30 75" xfId="2640" xr:uid="{00000000-0005-0000-0000-0000460A0000}"/>
    <cellStyle name="Normal 30 76" xfId="2641" xr:uid="{00000000-0005-0000-0000-0000470A0000}"/>
    <cellStyle name="Normal 30 77" xfId="2642" xr:uid="{00000000-0005-0000-0000-0000480A0000}"/>
    <cellStyle name="Normal 30 78" xfId="2643" xr:uid="{00000000-0005-0000-0000-0000490A0000}"/>
    <cellStyle name="Normal 30 79" xfId="2644" xr:uid="{00000000-0005-0000-0000-00004A0A0000}"/>
    <cellStyle name="Normal 30 8" xfId="2645" xr:uid="{00000000-0005-0000-0000-00004B0A0000}"/>
    <cellStyle name="Normal 30 80" xfId="2646" xr:uid="{00000000-0005-0000-0000-00004C0A0000}"/>
    <cellStyle name="Normal 30 81" xfId="2647" xr:uid="{00000000-0005-0000-0000-00004D0A0000}"/>
    <cellStyle name="Normal 30 82" xfId="2648" xr:uid="{00000000-0005-0000-0000-00004E0A0000}"/>
    <cellStyle name="Normal 30 83" xfId="2649" xr:uid="{00000000-0005-0000-0000-00004F0A0000}"/>
    <cellStyle name="Normal 30 84" xfId="2650" xr:uid="{00000000-0005-0000-0000-0000500A0000}"/>
    <cellStyle name="Normal 30 85" xfId="2651" xr:uid="{00000000-0005-0000-0000-0000510A0000}"/>
    <cellStyle name="Normal 30 86" xfId="2652" xr:uid="{00000000-0005-0000-0000-0000520A0000}"/>
    <cellStyle name="Normal 30 87" xfId="2653" xr:uid="{00000000-0005-0000-0000-0000530A0000}"/>
    <cellStyle name="Normal 30 88" xfId="2654" xr:uid="{00000000-0005-0000-0000-0000540A0000}"/>
    <cellStyle name="Normal 30 89" xfId="2655" xr:uid="{00000000-0005-0000-0000-0000550A0000}"/>
    <cellStyle name="Normal 30 9" xfId="2656" xr:uid="{00000000-0005-0000-0000-0000560A0000}"/>
    <cellStyle name="Normal 30 90" xfId="2657" xr:uid="{00000000-0005-0000-0000-0000570A0000}"/>
    <cellStyle name="Normal 30 91" xfId="2658" xr:uid="{00000000-0005-0000-0000-0000580A0000}"/>
    <cellStyle name="Normal 30 92" xfId="2659" xr:uid="{00000000-0005-0000-0000-0000590A0000}"/>
    <cellStyle name="Normal 30 93" xfId="2660" xr:uid="{00000000-0005-0000-0000-00005A0A0000}"/>
    <cellStyle name="Normal 30 94" xfId="2661" xr:uid="{00000000-0005-0000-0000-00005B0A0000}"/>
    <cellStyle name="Normal 30 95" xfId="2662" xr:uid="{00000000-0005-0000-0000-00005C0A0000}"/>
    <cellStyle name="Normal 30 96" xfId="2663" xr:uid="{00000000-0005-0000-0000-00005D0A0000}"/>
    <cellStyle name="Normal 30 97" xfId="2664" xr:uid="{00000000-0005-0000-0000-00005E0A0000}"/>
    <cellStyle name="Normal 30 98" xfId="2665" xr:uid="{00000000-0005-0000-0000-00005F0A0000}"/>
    <cellStyle name="Normal 30 99" xfId="2666" xr:uid="{00000000-0005-0000-0000-0000600A0000}"/>
    <cellStyle name="Normal 31" xfId="2667" xr:uid="{00000000-0005-0000-0000-0000610A0000}"/>
    <cellStyle name="Normal 31 10" xfId="2668" xr:uid="{00000000-0005-0000-0000-0000620A0000}"/>
    <cellStyle name="Normal 31 100" xfId="2669" xr:uid="{00000000-0005-0000-0000-0000630A0000}"/>
    <cellStyle name="Normal 31 101" xfId="2670" xr:uid="{00000000-0005-0000-0000-0000640A0000}"/>
    <cellStyle name="Normal 31 102" xfId="2671" xr:uid="{00000000-0005-0000-0000-0000650A0000}"/>
    <cellStyle name="Normal 31 103" xfId="2672" xr:uid="{00000000-0005-0000-0000-0000660A0000}"/>
    <cellStyle name="Normal 31 104" xfId="2673" xr:uid="{00000000-0005-0000-0000-0000670A0000}"/>
    <cellStyle name="Normal 31 105" xfId="2674" xr:uid="{00000000-0005-0000-0000-0000680A0000}"/>
    <cellStyle name="Normal 31 106" xfId="2675" xr:uid="{00000000-0005-0000-0000-0000690A0000}"/>
    <cellStyle name="Normal 31 107" xfId="2676" xr:uid="{00000000-0005-0000-0000-00006A0A0000}"/>
    <cellStyle name="Normal 31 108" xfId="2677" xr:uid="{00000000-0005-0000-0000-00006B0A0000}"/>
    <cellStyle name="Normal 31 109" xfId="2678" xr:uid="{00000000-0005-0000-0000-00006C0A0000}"/>
    <cellStyle name="Normal 31 11" xfId="2679" xr:uid="{00000000-0005-0000-0000-00006D0A0000}"/>
    <cellStyle name="Normal 31 12" xfId="2680" xr:uid="{00000000-0005-0000-0000-00006E0A0000}"/>
    <cellStyle name="Normal 31 13" xfId="2681" xr:uid="{00000000-0005-0000-0000-00006F0A0000}"/>
    <cellStyle name="Normal 31 14" xfId="2682" xr:uid="{00000000-0005-0000-0000-0000700A0000}"/>
    <cellStyle name="Normal 31 15" xfId="2683" xr:uid="{00000000-0005-0000-0000-0000710A0000}"/>
    <cellStyle name="Normal 31 16" xfId="2684" xr:uid="{00000000-0005-0000-0000-0000720A0000}"/>
    <cellStyle name="Normal 31 17" xfId="2685" xr:uid="{00000000-0005-0000-0000-0000730A0000}"/>
    <cellStyle name="Normal 31 18" xfId="2686" xr:uid="{00000000-0005-0000-0000-0000740A0000}"/>
    <cellStyle name="Normal 31 19" xfId="2687" xr:uid="{00000000-0005-0000-0000-0000750A0000}"/>
    <cellStyle name="Normal 31 2" xfId="2688" xr:uid="{00000000-0005-0000-0000-0000760A0000}"/>
    <cellStyle name="Normal 31 20" xfId="2689" xr:uid="{00000000-0005-0000-0000-0000770A0000}"/>
    <cellStyle name="Normal 31 21" xfId="2690" xr:uid="{00000000-0005-0000-0000-0000780A0000}"/>
    <cellStyle name="Normal 31 22" xfId="2691" xr:uid="{00000000-0005-0000-0000-0000790A0000}"/>
    <cellStyle name="Normal 31 23" xfId="2692" xr:uid="{00000000-0005-0000-0000-00007A0A0000}"/>
    <cellStyle name="Normal 31 24" xfId="2693" xr:uid="{00000000-0005-0000-0000-00007B0A0000}"/>
    <cellStyle name="Normal 31 25" xfId="2694" xr:uid="{00000000-0005-0000-0000-00007C0A0000}"/>
    <cellStyle name="Normal 31 26" xfId="2695" xr:uid="{00000000-0005-0000-0000-00007D0A0000}"/>
    <cellStyle name="Normal 31 27" xfId="2696" xr:uid="{00000000-0005-0000-0000-00007E0A0000}"/>
    <cellStyle name="Normal 31 28" xfId="2697" xr:uid="{00000000-0005-0000-0000-00007F0A0000}"/>
    <cellStyle name="Normal 31 29" xfId="2698" xr:uid="{00000000-0005-0000-0000-0000800A0000}"/>
    <cellStyle name="Normal 31 3" xfId="2699" xr:uid="{00000000-0005-0000-0000-0000810A0000}"/>
    <cellStyle name="Normal 31 30" xfId="2700" xr:uid="{00000000-0005-0000-0000-0000820A0000}"/>
    <cellStyle name="Normal 31 31" xfId="2701" xr:uid="{00000000-0005-0000-0000-0000830A0000}"/>
    <cellStyle name="Normal 31 32" xfId="2702" xr:uid="{00000000-0005-0000-0000-0000840A0000}"/>
    <cellStyle name="Normal 31 33" xfId="2703" xr:uid="{00000000-0005-0000-0000-0000850A0000}"/>
    <cellStyle name="Normal 31 34" xfId="2704" xr:uid="{00000000-0005-0000-0000-0000860A0000}"/>
    <cellStyle name="Normal 31 35" xfId="2705" xr:uid="{00000000-0005-0000-0000-0000870A0000}"/>
    <cellStyle name="Normal 31 36" xfId="2706" xr:uid="{00000000-0005-0000-0000-0000880A0000}"/>
    <cellStyle name="Normal 31 37" xfId="2707" xr:uid="{00000000-0005-0000-0000-0000890A0000}"/>
    <cellStyle name="Normal 31 38" xfId="2708" xr:uid="{00000000-0005-0000-0000-00008A0A0000}"/>
    <cellStyle name="Normal 31 39" xfId="2709" xr:uid="{00000000-0005-0000-0000-00008B0A0000}"/>
    <cellStyle name="Normal 31 4" xfId="2710" xr:uid="{00000000-0005-0000-0000-00008C0A0000}"/>
    <cellStyle name="Normal 31 40" xfId="2711" xr:uid="{00000000-0005-0000-0000-00008D0A0000}"/>
    <cellStyle name="Normal 31 41" xfId="2712" xr:uid="{00000000-0005-0000-0000-00008E0A0000}"/>
    <cellStyle name="Normal 31 42" xfId="2713" xr:uid="{00000000-0005-0000-0000-00008F0A0000}"/>
    <cellStyle name="Normal 31 43" xfId="2714" xr:uid="{00000000-0005-0000-0000-0000900A0000}"/>
    <cellStyle name="Normal 31 44" xfId="2715" xr:uid="{00000000-0005-0000-0000-0000910A0000}"/>
    <cellStyle name="Normal 31 45" xfId="2716" xr:uid="{00000000-0005-0000-0000-0000920A0000}"/>
    <cellStyle name="Normal 31 46" xfId="2717" xr:uid="{00000000-0005-0000-0000-0000930A0000}"/>
    <cellStyle name="Normal 31 47" xfId="2718" xr:uid="{00000000-0005-0000-0000-0000940A0000}"/>
    <cellStyle name="Normal 31 48" xfId="2719" xr:uid="{00000000-0005-0000-0000-0000950A0000}"/>
    <cellStyle name="Normal 31 49" xfId="2720" xr:uid="{00000000-0005-0000-0000-0000960A0000}"/>
    <cellStyle name="Normal 31 5" xfId="2721" xr:uid="{00000000-0005-0000-0000-0000970A0000}"/>
    <cellStyle name="Normal 31 50" xfId="2722" xr:uid="{00000000-0005-0000-0000-0000980A0000}"/>
    <cellStyle name="Normal 31 51" xfId="2723" xr:uid="{00000000-0005-0000-0000-0000990A0000}"/>
    <cellStyle name="Normal 31 52" xfId="2724" xr:uid="{00000000-0005-0000-0000-00009A0A0000}"/>
    <cellStyle name="Normal 31 53" xfId="2725" xr:uid="{00000000-0005-0000-0000-00009B0A0000}"/>
    <cellStyle name="Normal 31 54" xfId="2726" xr:uid="{00000000-0005-0000-0000-00009C0A0000}"/>
    <cellStyle name="Normal 31 55" xfId="2727" xr:uid="{00000000-0005-0000-0000-00009D0A0000}"/>
    <cellStyle name="Normal 31 56" xfId="2728" xr:uid="{00000000-0005-0000-0000-00009E0A0000}"/>
    <cellStyle name="Normal 31 57" xfId="2729" xr:uid="{00000000-0005-0000-0000-00009F0A0000}"/>
    <cellStyle name="Normal 31 58" xfId="2730" xr:uid="{00000000-0005-0000-0000-0000A00A0000}"/>
    <cellStyle name="Normal 31 59" xfId="2731" xr:uid="{00000000-0005-0000-0000-0000A10A0000}"/>
    <cellStyle name="Normal 31 6" xfId="2732" xr:uid="{00000000-0005-0000-0000-0000A20A0000}"/>
    <cellStyle name="Normal 31 60" xfId="2733" xr:uid="{00000000-0005-0000-0000-0000A30A0000}"/>
    <cellStyle name="Normal 31 61" xfId="2734" xr:uid="{00000000-0005-0000-0000-0000A40A0000}"/>
    <cellStyle name="Normal 31 62" xfId="2735" xr:uid="{00000000-0005-0000-0000-0000A50A0000}"/>
    <cellStyle name="Normal 31 63" xfId="2736" xr:uid="{00000000-0005-0000-0000-0000A60A0000}"/>
    <cellStyle name="Normal 31 64" xfId="2737" xr:uid="{00000000-0005-0000-0000-0000A70A0000}"/>
    <cellStyle name="Normal 31 65" xfId="2738" xr:uid="{00000000-0005-0000-0000-0000A80A0000}"/>
    <cellStyle name="Normal 31 66" xfId="2739" xr:uid="{00000000-0005-0000-0000-0000A90A0000}"/>
    <cellStyle name="Normal 31 67" xfId="2740" xr:uid="{00000000-0005-0000-0000-0000AA0A0000}"/>
    <cellStyle name="Normal 31 68" xfId="2741" xr:uid="{00000000-0005-0000-0000-0000AB0A0000}"/>
    <cellStyle name="Normal 31 69" xfId="2742" xr:uid="{00000000-0005-0000-0000-0000AC0A0000}"/>
    <cellStyle name="Normal 31 7" xfId="2743" xr:uid="{00000000-0005-0000-0000-0000AD0A0000}"/>
    <cellStyle name="Normal 31 70" xfId="2744" xr:uid="{00000000-0005-0000-0000-0000AE0A0000}"/>
    <cellStyle name="Normal 31 71" xfId="2745" xr:uid="{00000000-0005-0000-0000-0000AF0A0000}"/>
    <cellStyle name="Normal 31 72" xfId="2746" xr:uid="{00000000-0005-0000-0000-0000B00A0000}"/>
    <cellStyle name="Normal 31 73" xfId="2747" xr:uid="{00000000-0005-0000-0000-0000B10A0000}"/>
    <cellStyle name="Normal 31 74" xfId="2748" xr:uid="{00000000-0005-0000-0000-0000B20A0000}"/>
    <cellStyle name="Normal 31 75" xfId="2749" xr:uid="{00000000-0005-0000-0000-0000B30A0000}"/>
    <cellStyle name="Normal 31 76" xfId="2750" xr:uid="{00000000-0005-0000-0000-0000B40A0000}"/>
    <cellStyle name="Normal 31 77" xfId="2751" xr:uid="{00000000-0005-0000-0000-0000B50A0000}"/>
    <cellStyle name="Normal 31 78" xfId="2752" xr:uid="{00000000-0005-0000-0000-0000B60A0000}"/>
    <cellStyle name="Normal 31 79" xfId="2753" xr:uid="{00000000-0005-0000-0000-0000B70A0000}"/>
    <cellStyle name="Normal 31 8" xfId="2754" xr:uid="{00000000-0005-0000-0000-0000B80A0000}"/>
    <cellStyle name="Normal 31 80" xfId="2755" xr:uid="{00000000-0005-0000-0000-0000B90A0000}"/>
    <cellStyle name="Normal 31 81" xfId="2756" xr:uid="{00000000-0005-0000-0000-0000BA0A0000}"/>
    <cellStyle name="Normal 31 82" xfId="2757" xr:uid="{00000000-0005-0000-0000-0000BB0A0000}"/>
    <cellStyle name="Normal 31 83" xfId="2758" xr:uid="{00000000-0005-0000-0000-0000BC0A0000}"/>
    <cellStyle name="Normal 31 84" xfId="2759" xr:uid="{00000000-0005-0000-0000-0000BD0A0000}"/>
    <cellStyle name="Normal 31 85" xfId="2760" xr:uid="{00000000-0005-0000-0000-0000BE0A0000}"/>
    <cellStyle name="Normal 31 86" xfId="2761" xr:uid="{00000000-0005-0000-0000-0000BF0A0000}"/>
    <cellStyle name="Normal 31 87" xfId="2762" xr:uid="{00000000-0005-0000-0000-0000C00A0000}"/>
    <cellStyle name="Normal 31 88" xfId="2763" xr:uid="{00000000-0005-0000-0000-0000C10A0000}"/>
    <cellStyle name="Normal 31 89" xfId="2764" xr:uid="{00000000-0005-0000-0000-0000C20A0000}"/>
    <cellStyle name="Normal 31 9" xfId="2765" xr:uid="{00000000-0005-0000-0000-0000C30A0000}"/>
    <cellStyle name="Normal 31 90" xfId="2766" xr:uid="{00000000-0005-0000-0000-0000C40A0000}"/>
    <cellStyle name="Normal 31 91" xfId="2767" xr:uid="{00000000-0005-0000-0000-0000C50A0000}"/>
    <cellStyle name="Normal 31 92" xfId="2768" xr:uid="{00000000-0005-0000-0000-0000C60A0000}"/>
    <cellStyle name="Normal 31 93" xfId="2769" xr:uid="{00000000-0005-0000-0000-0000C70A0000}"/>
    <cellStyle name="Normal 31 94" xfId="2770" xr:uid="{00000000-0005-0000-0000-0000C80A0000}"/>
    <cellStyle name="Normal 31 95" xfId="2771" xr:uid="{00000000-0005-0000-0000-0000C90A0000}"/>
    <cellStyle name="Normal 31 96" xfId="2772" xr:uid="{00000000-0005-0000-0000-0000CA0A0000}"/>
    <cellStyle name="Normal 31 97" xfId="2773" xr:uid="{00000000-0005-0000-0000-0000CB0A0000}"/>
    <cellStyle name="Normal 31 98" xfId="2774" xr:uid="{00000000-0005-0000-0000-0000CC0A0000}"/>
    <cellStyle name="Normal 31 99" xfId="2775" xr:uid="{00000000-0005-0000-0000-0000CD0A0000}"/>
    <cellStyle name="Normal 32" xfId="2776" xr:uid="{00000000-0005-0000-0000-0000CE0A0000}"/>
    <cellStyle name="Normal 32 2" xfId="2777" xr:uid="{00000000-0005-0000-0000-0000CF0A0000}"/>
    <cellStyle name="Normal 33" xfId="2778" xr:uid="{00000000-0005-0000-0000-0000D00A0000}"/>
    <cellStyle name="Normal 33 2" xfId="2779" xr:uid="{00000000-0005-0000-0000-0000D10A0000}"/>
    <cellStyle name="Normal 34" xfId="2780" xr:uid="{00000000-0005-0000-0000-0000D20A0000}"/>
    <cellStyle name="Normal 35" xfId="2781" xr:uid="{00000000-0005-0000-0000-0000D30A0000}"/>
    <cellStyle name="Normal 35 10" xfId="2782" xr:uid="{00000000-0005-0000-0000-0000D40A0000}"/>
    <cellStyle name="Normal 35 100" xfId="2783" xr:uid="{00000000-0005-0000-0000-0000D50A0000}"/>
    <cellStyle name="Normal 35 101" xfId="2784" xr:uid="{00000000-0005-0000-0000-0000D60A0000}"/>
    <cellStyle name="Normal 35 102" xfId="2785" xr:uid="{00000000-0005-0000-0000-0000D70A0000}"/>
    <cellStyle name="Normal 35 103" xfId="2786" xr:uid="{00000000-0005-0000-0000-0000D80A0000}"/>
    <cellStyle name="Normal 35 104" xfId="2787" xr:uid="{00000000-0005-0000-0000-0000D90A0000}"/>
    <cellStyle name="Normal 35 105" xfId="2788" xr:uid="{00000000-0005-0000-0000-0000DA0A0000}"/>
    <cellStyle name="Normal 35 106" xfId="2789" xr:uid="{00000000-0005-0000-0000-0000DB0A0000}"/>
    <cellStyle name="Normal 35 107" xfId="2790" xr:uid="{00000000-0005-0000-0000-0000DC0A0000}"/>
    <cellStyle name="Normal 35 108" xfId="2791" xr:uid="{00000000-0005-0000-0000-0000DD0A0000}"/>
    <cellStyle name="Normal 35 109" xfId="2792" xr:uid="{00000000-0005-0000-0000-0000DE0A0000}"/>
    <cellStyle name="Normal 35 11" xfId="2793" xr:uid="{00000000-0005-0000-0000-0000DF0A0000}"/>
    <cellStyle name="Normal 35 12" xfId="2794" xr:uid="{00000000-0005-0000-0000-0000E00A0000}"/>
    <cellStyle name="Normal 35 13" xfId="2795" xr:uid="{00000000-0005-0000-0000-0000E10A0000}"/>
    <cellStyle name="Normal 35 14" xfId="2796" xr:uid="{00000000-0005-0000-0000-0000E20A0000}"/>
    <cellStyle name="Normal 35 15" xfId="2797" xr:uid="{00000000-0005-0000-0000-0000E30A0000}"/>
    <cellStyle name="Normal 35 16" xfId="2798" xr:uid="{00000000-0005-0000-0000-0000E40A0000}"/>
    <cellStyle name="Normal 35 17" xfId="2799" xr:uid="{00000000-0005-0000-0000-0000E50A0000}"/>
    <cellStyle name="Normal 35 18" xfId="2800" xr:uid="{00000000-0005-0000-0000-0000E60A0000}"/>
    <cellStyle name="Normal 35 19" xfId="2801" xr:uid="{00000000-0005-0000-0000-0000E70A0000}"/>
    <cellStyle name="Normal 35 2" xfId="2802" xr:uid="{00000000-0005-0000-0000-0000E80A0000}"/>
    <cellStyle name="Normal 35 20" xfId="2803" xr:uid="{00000000-0005-0000-0000-0000E90A0000}"/>
    <cellStyle name="Normal 35 21" xfId="2804" xr:uid="{00000000-0005-0000-0000-0000EA0A0000}"/>
    <cellStyle name="Normal 35 22" xfId="2805" xr:uid="{00000000-0005-0000-0000-0000EB0A0000}"/>
    <cellStyle name="Normal 35 23" xfId="2806" xr:uid="{00000000-0005-0000-0000-0000EC0A0000}"/>
    <cellStyle name="Normal 35 24" xfId="2807" xr:uid="{00000000-0005-0000-0000-0000ED0A0000}"/>
    <cellStyle name="Normal 35 25" xfId="2808" xr:uid="{00000000-0005-0000-0000-0000EE0A0000}"/>
    <cellStyle name="Normal 35 26" xfId="2809" xr:uid="{00000000-0005-0000-0000-0000EF0A0000}"/>
    <cellStyle name="Normal 35 27" xfId="2810" xr:uid="{00000000-0005-0000-0000-0000F00A0000}"/>
    <cellStyle name="Normal 35 28" xfId="2811" xr:uid="{00000000-0005-0000-0000-0000F10A0000}"/>
    <cellStyle name="Normal 35 29" xfId="2812" xr:uid="{00000000-0005-0000-0000-0000F20A0000}"/>
    <cellStyle name="Normal 35 3" xfId="2813" xr:uid="{00000000-0005-0000-0000-0000F30A0000}"/>
    <cellStyle name="Normal 35 30" xfId="2814" xr:uid="{00000000-0005-0000-0000-0000F40A0000}"/>
    <cellStyle name="Normal 35 31" xfId="2815" xr:uid="{00000000-0005-0000-0000-0000F50A0000}"/>
    <cellStyle name="Normal 35 32" xfId="2816" xr:uid="{00000000-0005-0000-0000-0000F60A0000}"/>
    <cellStyle name="Normal 35 33" xfId="2817" xr:uid="{00000000-0005-0000-0000-0000F70A0000}"/>
    <cellStyle name="Normal 35 34" xfId="2818" xr:uid="{00000000-0005-0000-0000-0000F80A0000}"/>
    <cellStyle name="Normal 35 35" xfId="2819" xr:uid="{00000000-0005-0000-0000-0000F90A0000}"/>
    <cellStyle name="Normal 35 36" xfId="2820" xr:uid="{00000000-0005-0000-0000-0000FA0A0000}"/>
    <cellStyle name="Normal 35 37" xfId="2821" xr:uid="{00000000-0005-0000-0000-0000FB0A0000}"/>
    <cellStyle name="Normal 35 38" xfId="2822" xr:uid="{00000000-0005-0000-0000-0000FC0A0000}"/>
    <cellStyle name="Normal 35 39" xfId="2823" xr:uid="{00000000-0005-0000-0000-0000FD0A0000}"/>
    <cellStyle name="Normal 35 4" xfId="2824" xr:uid="{00000000-0005-0000-0000-0000FE0A0000}"/>
    <cellStyle name="Normal 35 40" xfId="2825" xr:uid="{00000000-0005-0000-0000-0000FF0A0000}"/>
    <cellStyle name="Normal 35 41" xfId="2826" xr:uid="{00000000-0005-0000-0000-0000000B0000}"/>
    <cellStyle name="Normal 35 42" xfId="2827" xr:uid="{00000000-0005-0000-0000-0000010B0000}"/>
    <cellStyle name="Normal 35 43" xfId="2828" xr:uid="{00000000-0005-0000-0000-0000020B0000}"/>
    <cellStyle name="Normal 35 44" xfId="2829" xr:uid="{00000000-0005-0000-0000-0000030B0000}"/>
    <cellStyle name="Normal 35 45" xfId="2830" xr:uid="{00000000-0005-0000-0000-0000040B0000}"/>
    <cellStyle name="Normal 35 46" xfId="2831" xr:uid="{00000000-0005-0000-0000-0000050B0000}"/>
    <cellStyle name="Normal 35 47" xfId="2832" xr:uid="{00000000-0005-0000-0000-0000060B0000}"/>
    <cellStyle name="Normal 35 48" xfId="2833" xr:uid="{00000000-0005-0000-0000-0000070B0000}"/>
    <cellStyle name="Normal 35 49" xfId="2834" xr:uid="{00000000-0005-0000-0000-0000080B0000}"/>
    <cellStyle name="Normal 35 5" xfId="2835" xr:uid="{00000000-0005-0000-0000-0000090B0000}"/>
    <cellStyle name="Normal 35 50" xfId="2836" xr:uid="{00000000-0005-0000-0000-00000A0B0000}"/>
    <cellStyle name="Normal 35 51" xfId="2837" xr:uid="{00000000-0005-0000-0000-00000B0B0000}"/>
    <cellStyle name="Normal 35 52" xfId="2838" xr:uid="{00000000-0005-0000-0000-00000C0B0000}"/>
    <cellStyle name="Normal 35 53" xfId="2839" xr:uid="{00000000-0005-0000-0000-00000D0B0000}"/>
    <cellStyle name="Normal 35 54" xfId="2840" xr:uid="{00000000-0005-0000-0000-00000E0B0000}"/>
    <cellStyle name="Normal 35 55" xfId="2841" xr:uid="{00000000-0005-0000-0000-00000F0B0000}"/>
    <cellStyle name="Normal 35 56" xfId="2842" xr:uid="{00000000-0005-0000-0000-0000100B0000}"/>
    <cellStyle name="Normal 35 57" xfId="2843" xr:uid="{00000000-0005-0000-0000-0000110B0000}"/>
    <cellStyle name="Normal 35 58" xfId="2844" xr:uid="{00000000-0005-0000-0000-0000120B0000}"/>
    <cellStyle name="Normal 35 59" xfId="2845" xr:uid="{00000000-0005-0000-0000-0000130B0000}"/>
    <cellStyle name="Normal 35 6" xfId="2846" xr:uid="{00000000-0005-0000-0000-0000140B0000}"/>
    <cellStyle name="Normal 35 60" xfId="2847" xr:uid="{00000000-0005-0000-0000-0000150B0000}"/>
    <cellStyle name="Normal 35 61" xfId="2848" xr:uid="{00000000-0005-0000-0000-0000160B0000}"/>
    <cellStyle name="Normal 35 62" xfId="2849" xr:uid="{00000000-0005-0000-0000-0000170B0000}"/>
    <cellStyle name="Normal 35 63" xfId="2850" xr:uid="{00000000-0005-0000-0000-0000180B0000}"/>
    <cellStyle name="Normal 35 64" xfId="2851" xr:uid="{00000000-0005-0000-0000-0000190B0000}"/>
    <cellStyle name="Normal 35 65" xfId="2852" xr:uid="{00000000-0005-0000-0000-00001A0B0000}"/>
    <cellStyle name="Normal 35 66" xfId="2853" xr:uid="{00000000-0005-0000-0000-00001B0B0000}"/>
    <cellStyle name="Normal 35 67" xfId="2854" xr:uid="{00000000-0005-0000-0000-00001C0B0000}"/>
    <cellStyle name="Normal 35 68" xfId="2855" xr:uid="{00000000-0005-0000-0000-00001D0B0000}"/>
    <cellStyle name="Normal 35 69" xfId="2856" xr:uid="{00000000-0005-0000-0000-00001E0B0000}"/>
    <cellStyle name="Normal 35 7" xfId="2857" xr:uid="{00000000-0005-0000-0000-00001F0B0000}"/>
    <cellStyle name="Normal 35 70" xfId="2858" xr:uid="{00000000-0005-0000-0000-0000200B0000}"/>
    <cellStyle name="Normal 35 71" xfId="2859" xr:uid="{00000000-0005-0000-0000-0000210B0000}"/>
    <cellStyle name="Normal 35 72" xfId="2860" xr:uid="{00000000-0005-0000-0000-0000220B0000}"/>
    <cellStyle name="Normal 35 73" xfId="2861" xr:uid="{00000000-0005-0000-0000-0000230B0000}"/>
    <cellStyle name="Normal 35 74" xfId="2862" xr:uid="{00000000-0005-0000-0000-0000240B0000}"/>
    <cellStyle name="Normal 35 75" xfId="2863" xr:uid="{00000000-0005-0000-0000-0000250B0000}"/>
    <cellStyle name="Normal 35 76" xfId="2864" xr:uid="{00000000-0005-0000-0000-0000260B0000}"/>
    <cellStyle name="Normal 35 77" xfId="2865" xr:uid="{00000000-0005-0000-0000-0000270B0000}"/>
    <cellStyle name="Normal 35 78" xfId="2866" xr:uid="{00000000-0005-0000-0000-0000280B0000}"/>
    <cellStyle name="Normal 35 79" xfId="2867" xr:uid="{00000000-0005-0000-0000-0000290B0000}"/>
    <cellStyle name="Normal 35 8" xfId="2868" xr:uid="{00000000-0005-0000-0000-00002A0B0000}"/>
    <cellStyle name="Normal 35 80" xfId="2869" xr:uid="{00000000-0005-0000-0000-00002B0B0000}"/>
    <cellStyle name="Normal 35 81" xfId="2870" xr:uid="{00000000-0005-0000-0000-00002C0B0000}"/>
    <cellStyle name="Normal 35 82" xfId="2871" xr:uid="{00000000-0005-0000-0000-00002D0B0000}"/>
    <cellStyle name="Normal 35 83" xfId="2872" xr:uid="{00000000-0005-0000-0000-00002E0B0000}"/>
    <cellStyle name="Normal 35 84" xfId="2873" xr:uid="{00000000-0005-0000-0000-00002F0B0000}"/>
    <cellStyle name="Normal 35 85" xfId="2874" xr:uid="{00000000-0005-0000-0000-0000300B0000}"/>
    <cellStyle name="Normal 35 86" xfId="2875" xr:uid="{00000000-0005-0000-0000-0000310B0000}"/>
    <cellStyle name="Normal 35 87" xfId="2876" xr:uid="{00000000-0005-0000-0000-0000320B0000}"/>
    <cellStyle name="Normal 35 88" xfId="2877" xr:uid="{00000000-0005-0000-0000-0000330B0000}"/>
    <cellStyle name="Normal 35 89" xfId="2878" xr:uid="{00000000-0005-0000-0000-0000340B0000}"/>
    <cellStyle name="Normal 35 9" xfId="2879" xr:uid="{00000000-0005-0000-0000-0000350B0000}"/>
    <cellStyle name="Normal 35 90" xfId="2880" xr:uid="{00000000-0005-0000-0000-0000360B0000}"/>
    <cellStyle name="Normal 35 91" xfId="2881" xr:uid="{00000000-0005-0000-0000-0000370B0000}"/>
    <cellStyle name="Normal 35 92" xfId="2882" xr:uid="{00000000-0005-0000-0000-0000380B0000}"/>
    <cellStyle name="Normal 35 93" xfId="2883" xr:uid="{00000000-0005-0000-0000-0000390B0000}"/>
    <cellStyle name="Normal 35 94" xfId="2884" xr:uid="{00000000-0005-0000-0000-00003A0B0000}"/>
    <cellStyle name="Normal 35 95" xfId="2885" xr:uid="{00000000-0005-0000-0000-00003B0B0000}"/>
    <cellStyle name="Normal 35 96" xfId="2886" xr:uid="{00000000-0005-0000-0000-00003C0B0000}"/>
    <cellStyle name="Normal 35 97" xfId="2887" xr:uid="{00000000-0005-0000-0000-00003D0B0000}"/>
    <cellStyle name="Normal 35 98" xfId="2888" xr:uid="{00000000-0005-0000-0000-00003E0B0000}"/>
    <cellStyle name="Normal 35 99" xfId="2889" xr:uid="{00000000-0005-0000-0000-00003F0B0000}"/>
    <cellStyle name="Normal 36" xfId="2890" xr:uid="{00000000-0005-0000-0000-0000400B0000}"/>
    <cellStyle name="Normal 36 10" xfId="2891" xr:uid="{00000000-0005-0000-0000-0000410B0000}"/>
    <cellStyle name="Normal 36 100" xfId="2892" xr:uid="{00000000-0005-0000-0000-0000420B0000}"/>
    <cellStyle name="Normal 36 101" xfId="2893" xr:uid="{00000000-0005-0000-0000-0000430B0000}"/>
    <cellStyle name="Normal 36 102" xfId="2894" xr:uid="{00000000-0005-0000-0000-0000440B0000}"/>
    <cellStyle name="Normal 36 103" xfId="2895" xr:uid="{00000000-0005-0000-0000-0000450B0000}"/>
    <cellStyle name="Normal 36 104" xfId="2896" xr:uid="{00000000-0005-0000-0000-0000460B0000}"/>
    <cellStyle name="Normal 36 105" xfId="2897" xr:uid="{00000000-0005-0000-0000-0000470B0000}"/>
    <cellStyle name="Normal 36 106" xfId="2898" xr:uid="{00000000-0005-0000-0000-0000480B0000}"/>
    <cellStyle name="Normal 36 107" xfId="2899" xr:uid="{00000000-0005-0000-0000-0000490B0000}"/>
    <cellStyle name="Normal 36 108" xfId="2900" xr:uid="{00000000-0005-0000-0000-00004A0B0000}"/>
    <cellStyle name="Normal 36 109" xfId="2901" xr:uid="{00000000-0005-0000-0000-00004B0B0000}"/>
    <cellStyle name="Normal 36 11" xfId="2902" xr:uid="{00000000-0005-0000-0000-00004C0B0000}"/>
    <cellStyle name="Normal 36 12" xfId="2903" xr:uid="{00000000-0005-0000-0000-00004D0B0000}"/>
    <cellStyle name="Normal 36 13" xfId="2904" xr:uid="{00000000-0005-0000-0000-00004E0B0000}"/>
    <cellStyle name="Normal 36 14" xfId="2905" xr:uid="{00000000-0005-0000-0000-00004F0B0000}"/>
    <cellStyle name="Normal 36 15" xfId="2906" xr:uid="{00000000-0005-0000-0000-0000500B0000}"/>
    <cellStyle name="Normal 36 16" xfId="2907" xr:uid="{00000000-0005-0000-0000-0000510B0000}"/>
    <cellStyle name="Normal 36 17" xfId="2908" xr:uid="{00000000-0005-0000-0000-0000520B0000}"/>
    <cellStyle name="Normal 36 18" xfId="2909" xr:uid="{00000000-0005-0000-0000-0000530B0000}"/>
    <cellStyle name="Normal 36 19" xfId="2910" xr:uid="{00000000-0005-0000-0000-0000540B0000}"/>
    <cellStyle name="Normal 36 2" xfId="2911" xr:uid="{00000000-0005-0000-0000-0000550B0000}"/>
    <cellStyle name="Normal 36 20" xfId="2912" xr:uid="{00000000-0005-0000-0000-0000560B0000}"/>
    <cellStyle name="Normal 36 21" xfId="2913" xr:uid="{00000000-0005-0000-0000-0000570B0000}"/>
    <cellStyle name="Normal 36 22" xfId="2914" xr:uid="{00000000-0005-0000-0000-0000580B0000}"/>
    <cellStyle name="Normal 36 23" xfId="2915" xr:uid="{00000000-0005-0000-0000-0000590B0000}"/>
    <cellStyle name="Normal 36 24" xfId="2916" xr:uid="{00000000-0005-0000-0000-00005A0B0000}"/>
    <cellStyle name="Normal 36 25" xfId="2917" xr:uid="{00000000-0005-0000-0000-00005B0B0000}"/>
    <cellStyle name="Normal 36 26" xfId="2918" xr:uid="{00000000-0005-0000-0000-00005C0B0000}"/>
    <cellStyle name="Normal 36 27" xfId="2919" xr:uid="{00000000-0005-0000-0000-00005D0B0000}"/>
    <cellStyle name="Normal 36 28" xfId="2920" xr:uid="{00000000-0005-0000-0000-00005E0B0000}"/>
    <cellStyle name="Normal 36 29" xfId="2921" xr:uid="{00000000-0005-0000-0000-00005F0B0000}"/>
    <cellStyle name="Normal 36 3" xfId="2922" xr:uid="{00000000-0005-0000-0000-0000600B0000}"/>
    <cellStyle name="Normal 36 30" xfId="2923" xr:uid="{00000000-0005-0000-0000-0000610B0000}"/>
    <cellStyle name="Normal 36 31" xfId="2924" xr:uid="{00000000-0005-0000-0000-0000620B0000}"/>
    <cellStyle name="Normal 36 32" xfId="2925" xr:uid="{00000000-0005-0000-0000-0000630B0000}"/>
    <cellStyle name="Normal 36 33" xfId="2926" xr:uid="{00000000-0005-0000-0000-0000640B0000}"/>
    <cellStyle name="Normal 36 34" xfId="2927" xr:uid="{00000000-0005-0000-0000-0000650B0000}"/>
    <cellStyle name="Normal 36 35" xfId="2928" xr:uid="{00000000-0005-0000-0000-0000660B0000}"/>
    <cellStyle name="Normal 36 36" xfId="2929" xr:uid="{00000000-0005-0000-0000-0000670B0000}"/>
    <cellStyle name="Normal 36 37" xfId="2930" xr:uid="{00000000-0005-0000-0000-0000680B0000}"/>
    <cellStyle name="Normal 36 38" xfId="2931" xr:uid="{00000000-0005-0000-0000-0000690B0000}"/>
    <cellStyle name="Normal 36 39" xfId="2932" xr:uid="{00000000-0005-0000-0000-00006A0B0000}"/>
    <cellStyle name="Normal 36 4" xfId="2933" xr:uid="{00000000-0005-0000-0000-00006B0B0000}"/>
    <cellStyle name="Normal 36 40" xfId="2934" xr:uid="{00000000-0005-0000-0000-00006C0B0000}"/>
    <cellStyle name="Normal 36 41" xfId="2935" xr:uid="{00000000-0005-0000-0000-00006D0B0000}"/>
    <cellStyle name="Normal 36 42" xfId="2936" xr:uid="{00000000-0005-0000-0000-00006E0B0000}"/>
    <cellStyle name="Normal 36 43" xfId="2937" xr:uid="{00000000-0005-0000-0000-00006F0B0000}"/>
    <cellStyle name="Normal 36 44" xfId="2938" xr:uid="{00000000-0005-0000-0000-0000700B0000}"/>
    <cellStyle name="Normal 36 45" xfId="2939" xr:uid="{00000000-0005-0000-0000-0000710B0000}"/>
    <cellStyle name="Normal 36 46" xfId="2940" xr:uid="{00000000-0005-0000-0000-0000720B0000}"/>
    <cellStyle name="Normal 36 47" xfId="2941" xr:uid="{00000000-0005-0000-0000-0000730B0000}"/>
    <cellStyle name="Normal 36 48" xfId="2942" xr:uid="{00000000-0005-0000-0000-0000740B0000}"/>
    <cellStyle name="Normal 36 49" xfId="2943" xr:uid="{00000000-0005-0000-0000-0000750B0000}"/>
    <cellStyle name="Normal 36 5" xfId="2944" xr:uid="{00000000-0005-0000-0000-0000760B0000}"/>
    <cellStyle name="Normal 36 50" xfId="2945" xr:uid="{00000000-0005-0000-0000-0000770B0000}"/>
    <cellStyle name="Normal 36 51" xfId="2946" xr:uid="{00000000-0005-0000-0000-0000780B0000}"/>
    <cellStyle name="Normal 36 52" xfId="2947" xr:uid="{00000000-0005-0000-0000-0000790B0000}"/>
    <cellStyle name="Normal 36 53" xfId="2948" xr:uid="{00000000-0005-0000-0000-00007A0B0000}"/>
    <cellStyle name="Normal 36 54" xfId="2949" xr:uid="{00000000-0005-0000-0000-00007B0B0000}"/>
    <cellStyle name="Normal 36 55" xfId="2950" xr:uid="{00000000-0005-0000-0000-00007C0B0000}"/>
    <cellStyle name="Normal 36 56" xfId="2951" xr:uid="{00000000-0005-0000-0000-00007D0B0000}"/>
    <cellStyle name="Normal 36 57" xfId="2952" xr:uid="{00000000-0005-0000-0000-00007E0B0000}"/>
    <cellStyle name="Normal 36 58" xfId="2953" xr:uid="{00000000-0005-0000-0000-00007F0B0000}"/>
    <cellStyle name="Normal 36 59" xfId="2954" xr:uid="{00000000-0005-0000-0000-0000800B0000}"/>
    <cellStyle name="Normal 36 6" xfId="2955" xr:uid="{00000000-0005-0000-0000-0000810B0000}"/>
    <cellStyle name="Normal 36 60" xfId="2956" xr:uid="{00000000-0005-0000-0000-0000820B0000}"/>
    <cellStyle name="Normal 36 61" xfId="2957" xr:uid="{00000000-0005-0000-0000-0000830B0000}"/>
    <cellStyle name="Normal 36 62" xfId="2958" xr:uid="{00000000-0005-0000-0000-0000840B0000}"/>
    <cellStyle name="Normal 36 63" xfId="2959" xr:uid="{00000000-0005-0000-0000-0000850B0000}"/>
    <cellStyle name="Normal 36 64" xfId="2960" xr:uid="{00000000-0005-0000-0000-0000860B0000}"/>
    <cellStyle name="Normal 36 65" xfId="2961" xr:uid="{00000000-0005-0000-0000-0000870B0000}"/>
    <cellStyle name="Normal 36 66" xfId="2962" xr:uid="{00000000-0005-0000-0000-0000880B0000}"/>
    <cellStyle name="Normal 36 67" xfId="2963" xr:uid="{00000000-0005-0000-0000-0000890B0000}"/>
    <cellStyle name="Normal 36 68" xfId="2964" xr:uid="{00000000-0005-0000-0000-00008A0B0000}"/>
    <cellStyle name="Normal 36 69" xfId="2965" xr:uid="{00000000-0005-0000-0000-00008B0B0000}"/>
    <cellStyle name="Normal 36 7" xfId="2966" xr:uid="{00000000-0005-0000-0000-00008C0B0000}"/>
    <cellStyle name="Normal 36 70" xfId="2967" xr:uid="{00000000-0005-0000-0000-00008D0B0000}"/>
    <cellStyle name="Normal 36 71" xfId="2968" xr:uid="{00000000-0005-0000-0000-00008E0B0000}"/>
    <cellStyle name="Normal 36 72" xfId="2969" xr:uid="{00000000-0005-0000-0000-00008F0B0000}"/>
    <cellStyle name="Normal 36 73" xfId="2970" xr:uid="{00000000-0005-0000-0000-0000900B0000}"/>
    <cellStyle name="Normal 36 74" xfId="2971" xr:uid="{00000000-0005-0000-0000-0000910B0000}"/>
    <cellStyle name="Normal 36 75" xfId="2972" xr:uid="{00000000-0005-0000-0000-0000920B0000}"/>
    <cellStyle name="Normal 36 76" xfId="2973" xr:uid="{00000000-0005-0000-0000-0000930B0000}"/>
    <cellStyle name="Normal 36 77" xfId="2974" xr:uid="{00000000-0005-0000-0000-0000940B0000}"/>
    <cellStyle name="Normal 36 78" xfId="2975" xr:uid="{00000000-0005-0000-0000-0000950B0000}"/>
    <cellStyle name="Normal 36 79" xfId="2976" xr:uid="{00000000-0005-0000-0000-0000960B0000}"/>
    <cellStyle name="Normal 36 8" xfId="2977" xr:uid="{00000000-0005-0000-0000-0000970B0000}"/>
    <cellStyle name="Normal 36 80" xfId="2978" xr:uid="{00000000-0005-0000-0000-0000980B0000}"/>
    <cellStyle name="Normal 36 81" xfId="2979" xr:uid="{00000000-0005-0000-0000-0000990B0000}"/>
    <cellStyle name="Normal 36 82" xfId="2980" xr:uid="{00000000-0005-0000-0000-00009A0B0000}"/>
    <cellStyle name="Normal 36 83" xfId="2981" xr:uid="{00000000-0005-0000-0000-00009B0B0000}"/>
    <cellStyle name="Normal 36 84" xfId="2982" xr:uid="{00000000-0005-0000-0000-00009C0B0000}"/>
    <cellStyle name="Normal 36 85" xfId="2983" xr:uid="{00000000-0005-0000-0000-00009D0B0000}"/>
    <cellStyle name="Normal 36 86" xfId="2984" xr:uid="{00000000-0005-0000-0000-00009E0B0000}"/>
    <cellStyle name="Normal 36 87" xfId="2985" xr:uid="{00000000-0005-0000-0000-00009F0B0000}"/>
    <cellStyle name="Normal 36 88" xfId="2986" xr:uid="{00000000-0005-0000-0000-0000A00B0000}"/>
    <cellStyle name="Normal 36 89" xfId="2987" xr:uid="{00000000-0005-0000-0000-0000A10B0000}"/>
    <cellStyle name="Normal 36 9" xfId="2988" xr:uid="{00000000-0005-0000-0000-0000A20B0000}"/>
    <cellStyle name="Normal 36 90" xfId="2989" xr:uid="{00000000-0005-0000-0000-0000A30B0000}"/>
    <cellStyle name="Normal 36 91" xfId="2990" xr:uid="{00000000-0005-0000-0000-0000A40B0000}"/>
    <cellStyle name="Normal 36 92" xfId="2991" xr:uid="{00000000-0005-0000-0000-0000A50B0000}"/>
    <cellStyle name="Normal 36 93" xfId="2992" xr:uid="{00000000-0005-0000-0000-0000A60B0000}"/>
    <cellStyle name="Normal 36 94" xfId="2993" xr:uid="{00000000-0005-0000-0000-0000A70B0000}"/>
    <cellStyle name="Normal 36 95" xfId="2994" xr:uid="{00000000-0005-0000-0000-0000A80B0000}"/>
    <cellStyle name="Normal 36 96" xfId="2995" xr:uid="{00000000-0005-0000-0000-0000A90B0000}"/>
    <cellStyle name="Normal 36 97" xfId="2996" xr:uid="{00000000-0005-0000-0000-0000AA0B0000}"/>
    <cellStyle name="Normal 36 98" xfId="2997" xr:uid="{00000000-0005-0000-0000-0000AB0B0000}"/>
    <cellStyle name="Normal 36 99" xfId="2998" xr:uid="{00000000-0005-0000-0000-0000AC0B0000}"/>
    <cellStyle name="Normal 37" xfId="2999" xr:uid="{00000000-0005-0000-0000-0000AD0B0000}"/>
    <cellStyle name="Normal 38" xfId="3000" xr:uid="{00000000-0005-0000-0000-0000AE0B0000}"/>
    <cellStyle name="Normal 39" xfId="3001" xr:uid="{00000000-0005-0000-0000-0000AF0B0000}"/>
    <cellStyle name="Normal 4" xfId="3002" xr:uid="{00000000-0005-0000-0000-0000B00B0000}"/>
    <cellStyle name="Normal-- 4" xfId="3003" xr:uid="{00000000-0005-0000-0000-0000B10B0000}"/>
    <cellStyle name="Normal 4 10" xfId="3004" xr:uid="{00000000-0005-0000-0000-0000B20B0000}"/>
    <cellStyle name="Normal 4 10 2" xfId="3005" xr:uid="{00000000-0005-0000-0000-0000B30B0000}"/>
    <cellStyle name="Normal 4 100" xfId="3006" xr:uid="{00000000-0005-0000-0000-0000B40B0000}"/>
    <cellStyle name="Normal 4 101" xfId="3007" xr:uid="{00000000-0005-0000-0000-0000B50B0000}"/>
    <cellStyle name="Normal 4 102" xfId="3008" xr:uid="{00000000-0005-0000-0000-0000B60B0000}"/>
    <cellStyle name="Normal 4 103" xfId="3009" xr:uid="{00000000-0005-0000-0000-0000B70B0000}"/>
    <cellStyle name="Normal 4 104" xfId="3010" xr:uid="{00000000-0005-0000-0000-0000B80B0000}"/>
    <cellStyle name="Normal 4 105" xfId="3011" xr:uid="{00000000-0005-0000-0000-0000B90B0000}"/>
    <cellStyle name="Normal 4 106" xfId="3012" xr:uid="{00000000-0005-0000-0000-0000BA0B0000}"/>
    <cellStyle name="Normal 4 107" xfId="3013" xr:uid="{00000000-0005-0000-0000-0000BB0B0000}"/>
    <cellStyle name="Normal 4 108" xfId="3014" xr:uid="{00000000-0005-0000-0000-0000BC0B0000}"/>
    <cellStyle name="Normal 4 109" xfId="3015" xr:uid="{00000000-0005-0000-0000-0000BD0B0000}"/>
    <cellStyle name="Normal 4 11" xfId="3016" xr:uid="{00000000-0005-0000-0000-0000BE0B0000}"/>
    <cellStyle name="Normal 4 11 2" xfId="3017" xr:uid="{00000000-0005-0000-0000-0000BF0B0000}"/>
    <cellStyle name="Normal 4 110" xfId="3018" xr:uid="{00000000-0005-0000-0000-0000C00B0000}"/>
    <cellStyle name="Normal 4 111" xfId="3019" xr:uid="{00000000-0005-0000-0000-0000C10B0000}"/>
    <cellStyle name="Normal 4 112" xfId="3020" xr:uid="{00000000-0005-0000-0000-0000C20B0000}"/>
    <cellStyle name="Normal 4 113" xfId="3021" xr:uid="{00000000-0005-0000-0000-0000C30B0000}"/>
    <cellStyle name="Normal 4 114" xfId="3022" xr:uid="{00000000-0005-0000-0000-0000C40B0000}"/>
    <cellStyle name="Normal 4 115" xfId="3023" xr:uid="{00000000-0005-0000-0000-0000C50B0000}"/>
    <cellStyle name="Normal 4 116" xfId="3024" xr:uid="{00000000-0005-0000-0000-0000C60B0000}"/>
    <cellStyle name="Normal 4 117" xfId="3025" xr:uid="{00000000-0005-0000-0000-0000C70B0000}"/>
    <cellStyle name="Normal 4 118" xfId="3026" xr:uid="{00000000-0005-0000-0000-0000C80B0000}"/>
    <cellStyle name="Normal 4 119" xfId="3027" xr:uid="{00000000-0005-0000-0000-0000C90B0000}"/>
    <cellStyle name="Normal 4 12" xfId="3028" xr:uid="{00000000-0005-0000-0000-0000CA0B0000}"/>
    <cellStyle name="Normal 4 12 2" xfId="3029" xr:uid="{00000000-0005-0000-0000-0000CB0B0000}"/>
    <cellStyle name="Normal 4 120" xfId="3030" xr:uid="{00000000-0005-0000-0000-0000CC0B0000}"/>
    <cellStyle name="Normal 4 121" xfId="4646" xr:uid="{00000000-0005-0000-0000-000008200000}"/>
    <cellStyle name="Normal 4 13" xfId="3031" xr:uid="{00000000-0005-0000-0000-0000CD0B0000}"/>
    <cellStyle name="Normal 4 13 2" xfId="3032" xr:uid="{00000000-0005-0000-0000-0000CE0B0000}"/>
    <cellStyle name="Normal 4 14" xfId="3033" xr:uid="{00000000-0005-0000-0000-0000CF0B0000}"/>
    <cellStyle name="Normal 4 14 2" xfId="3034" xr:uid="{00000000-0005-0000-0000-0000D00B0000}"/>
    <cellStyle name="Normal 4 15" xfId="3035" xr:uid="{00000000-0005-0000-0000-0000D10B0000}"/>
    <cellStyle name="Normal 4 15 2" xfId="3036" xr:uid="{00000000-0005-0000-0000-0000D20B0000}"/>
    <cellStyle name="Normal 4 16" xfId="3037" xr:uid="{00000000-0005-0000-0000-0000D30B0000}"/>
    <cellStyle name="Normal 4 16 2" xfId="3038" xr:uid="{00000000-0005-0000-0000-0000D40B0000}"/>
    <cellStyle name="Normal 4 17" xfId="3039" xr:uid="{00000000-0005-0000-0000-0000D50B0000}"/>
    <cellStyle name="Normal 4 17 2" xfId="3040" xr:uid="{00000000-0005-0000-0000-0000D60B0000}"/>
    <cellStyle name="Normal 4 18" xfId="3041" xr:uid="{00000000-0005-0000-0000-0000D70B0000}"/>
    <cellStyle name="Normal 4 18 2" xfId="3042" xr:uid="{00000000-0005-0000-0000-0000D80B0000}"/>
    <cellStyle name="Normal 4 19" xfId="3043" xr:uid="{00000000-0005-0000-0000-0000D90B0000}"/>
    <cellStyle name="Normal 4 19 2" xfId="3044" xr:uid="{00000000-0005-0000-0000-0000DA0B0000}"/>
    <cellStyle name="Normal 4 2" xfId="3045" xr:uid="{00000000-0005-0000-0000-0000DB0B0000}"/>
    <cellStyle name="Normal 4 2 2" xfId="3046" xr:uid="{00000000-0005-0000-0000-0000DC0B0000}"/>
    <cellStyle name="Normal 4 2 3" xfId="3047" xr:uid="{00000000-0005-0000-0000-0000DD0B0000}"/>
    <cellStyle name="Normal 4 2 4" xfId="3048" xr:uid="{00000000-0005-0000-0000-0000DE0B0000}"/>
    <cellStyle name="Normal 4 2 5" xfId="3049" xr:uid="{00000000-0005-0000-0000-0000DF0B0000}"/>
    <cellStyle name="Normal 4 2 6" xfId="3050" xr:uid="{00000000-0005-0000-0000-0000E00B0000}"/>
    <cellStyle name="Normal 4 2 7" xfId="3051" xr:uid="{00000000-0005-0000-0000-0000E10B0000}"/>
    <cellStyle name="Normal 4 2 8" xfId="3052" xr:uid="{00000000-0005-0000-0000-0000E20B0000}"/>
    <cellStyle name="Normal 4 2 9" xfId="3053" xr:uid="{00000000-0005-0000-0000-0000E30B0000}"/>
    <cellStyle name="Normal 4 20" xfId="3054" xr:uid="{00000000-0005-0000-0000-0000E40B0000}"/>
    <cellStyle name="Normal 4 20 2" xfId="3055" xr:uid="{00000000-0005-0000-0000-0000E50B0000}"/>
    <cellStyle name="Normal 4 21" xfId="3056" xr:uid="{00000000-0005-0000-0000-0000E60B0000}"/>
    <cellStyle name="Normal 4 21 2" xfId="3057" xr:uid="{00000000-0005-0000-0000-0000E70B0000}"/>
    <cellStyle name="Normal 4 21 2 2" xfId="3058" xr:uid="{00000000-0005-0000-0000-0000E80B0000}"/>
    <cellStyle name="Normal 4 21 2 2 2" xfId="3059" xr:uid="{00000000-0005-0000-0000-0000E90B0000}"/>
    <cellStyle name="Normal 4 21 2 2 2 2" xfId="3060" xr:uid="{00000000-0005-0000-0000-0000EA0B0000}"/>
    <cellStyle name="Normal 4 21 2 2 3" xfId="3061" xr:uid="{00000000-0005-0000-0000-0000EB0B0000}"/>
    <cellStyle name="Normal 4 21 2 3" xfId="3062" xr:uid="{00000000-0005-0000-0000-0000EC0B0000}"/>
    <cellStyle name="Normal 4 21 2 3 2" xfId="3063" xr:uid="{00000000-0005-0000-0000-0000ED0B0000}"/>
    <cellStyle name="Normal 4 21 2 4" xfId="3064" xr:uid="{00000000-0005-0000-0000-0000EE0B0000}"/>
    <cellStyle name="Normal 4 21 3" xfId="3065" xr:uid="{00000000-0005-0000-0000-0000EF0B0000}"/>
    <cellStyle name="Normal 4 21 3 2" xfId="3066" xr:uid="{00000000-0005-0000-0000-0000F00B0000}"/>
    <cellStyle name="Normal 4 21 3 2 2" xfId="3067" xr:uid="{00000000-0005-0000-0000-0000F10B0000}"/>
    <cellStyle name="Normal 4 21 3 2 2 2" xfId="3068" xr:uid="{00000000-0005-0000-0000-0000F20B0000}"/>
    <cellStyle name="Normal 4 21 3 2 3" xfId="3069" xr:uid="{00000000-0005-0000-0000-0000F30B0000}"/>
    <cellStyle name="Normal 4 21 3 3" xfId="3070" xr:uid="{00000000-0005-0000-0000-0000F40B0000}"/>
    <cellStyle name="Normal 4 21 3 3 2" xfId="3071" xr:uid="{00000000-0005-0000-0000-0000F50B0000}"/>
    <cellStyle name="Normal 4 21 3 4" xfId="3072" xr:uid="{00000000-0005-0000-0000-0000F60B0000}"/>
    <cellStyle name="Normal 4 21 4" xfId="3073" xr:uid="{00000000-0005-0000-0000-0000F70B0000}"/>
    <cellStyle name="Normal 4 21 4 2" xfId="3074" xr:uid="{00000000-0005-0000-0000-0000F80B0000}"/>
    <cellStyle name="Normal 4 21 4 2 2" xfId="3075" xr:uid="{00000000-0005-0000-0000-0000F90B0000}"/>
    <cellStyle name="Normal 4 21 4 2 2 2" xfId="3076" xr:uid="{00000000-0005-0000-0000-0000FA0B0000}"/>
    <cellStyle name="Normal 4 21 4 2 3" xfId="3077" xr:uid="{00000000-0005-0000-0000-0000FB0B0000}"/>
    <cellStyle name="Normal 4 21 4 3" xfId="3078" xr:uid="{00000000-0005-0000-0000-0000FC0B0000}"/>
    <cellStyle name="Normal 4 21 4 3 2" xfId="3079" xr:uid="{00000000-0005-0000-0000-0000FD0B0000}"/>
    <cellStyle name="Normal 4 21 4 4" xfId="3080" xr:uid="{00000000-0005-0000-0000-0000FE0B0000}"/>
    <cellStyle name="Normal 4 21 5" xfId="3081" xr:uid="{00000000-0005-0000-0000-0000FF0B0000}"/>
    <cellStyle name="Normal 4 21 5 2" xfId="3082" xr:uid="{00000000-0005-0000-0000-0000000C0000}"/>
    <cellStyle name="Normal 4 21 5 2 2" xfId="3083" xr:uid="{00000000-0005-0000-0000-0000010C0000}"/>
    <cellStyle name="Normal 4 21 5 3" xfId="3084" xr:uid="{00000000-0005-0000-0000-0000020C0000}"/>
    <cellStyle name="Normal 4 21 6" xfId="3085" xr:uid="{00000000-0005-0000-0000-0000030C0000}"/>
    <cellStyle name="Normal 4 21 6 2" xfId="3086" xr:uid="{00000000-0005-0000-0000-0000040C0000}"/>
    <cellStyle name="Normal 4 21 7" xfId="3087" xr:uid="{00000000-0005-0000-0000-0000050C0000}"/>
    <cellStyle name="Normal 4 21 8" xfId="3088" xr:uid="{00000000-0005-0000-0000-0000060C0000}"/>
    <cellStyle name="Normal 4 22" xfId="3089" xr:uid="{00000000-0005-0000-0000-0000070C0000}"/>
    <cellStyle name="Normal 4 22 2" xfId="3090" xr:uid="{00000000-0005-0000-0000-0000080C0000}"/>
    <cellStyle name="Normal 4 22 2 2" xfId="3091" xr:uid="{00000000-0005-0000-0000-0000090C0000}"/>
    <cellStyle name="Normal 4 22 2 2 2" xfId="3092" xr:uid="{00000000-0005-0000-0000-00000A0C0000}"/>
    <cellStyle name="Normal 4 22 2 3" xfId="3093" xr:uid="{00000000-0005-0000-0000-00000B0C0000}"/>
    <cellStyle name="Normal 4 22 3" xfId="3094" xr:uid="{00000000-0005-0000-0000-00000C0C0000}"/>
    <cellStyle name="Normal 4 22 3 2" xfId="3095" xr:uid="{00000000-0005-0000-0000-00000D0C0000}"/>
    <cellStyle name="Normal 4 22 4" xfId="3096" xr:uid="{00000000-0005-0000-0000-00000E0C0000}"/>
    <cellStyle name="Normal 4 22 5" xfId="3097" xr:uid="{00000000-0005-0000-0000-00000F0C0000}"/>
    <cellStyle name="Normal 4 23" xfId="3098" xr:uid="{00000000-0005-0000-0000-0000100C0000}"/>
    <cellStyle name="Normal 4 23 2" xfId="3099" xr:uid="{00000000-0005-0000-0000-0000110C0000}"/>
    <cellStyle name="Normal 4 23 2 2" xfId="3100" xr:uid="{00000000-0005-0000-0000-0000120C0000}"/>
    <cellStyle name="Normal 4 23 2 2 2" xfId="3101" xr:uid="{00000000-0005-0000-0000-0000130C0000}"/>
    <cellStyle name="Normal 4 23 2 3" xfId="3102" xr:uid="{00000000-0005-0000-0000-0000140C0000}"/>
    <cellStyle name="Normal 4 23 3" xfId="3103" xr:uid="{00000000-0005-0000-0000-0000150C0000}"/>
    <cellStyle name="Normal 4 23 3 2" xfId="3104" xr:uid="{00000000-0005-0000-0000-0000160C0000}"/>
    <cellStyle name="Normal 4 23 4" xfId="3105" xr:uid="{00000000-0005-0000-0000-0000170C0000}"/>
    <cellStyle name="Normal 4 23 5" xfId="3106" xr:uid="{00000000-0005-0000-0000-0000180C0000}"/>
    <cellStyle name="Normal 4 24" xfId="3107" xr:uid="{00000000-0005-0000-0000-0000190C0000}"/>
    <cellStyle name="Normal 4 24 2" xfId="3108" xr:uid="{00000000-0005-0000-0000-00001A0C0000}"/>
    <cellStyle name="Normal 4 24 2 2" xfId="3109" xr:uid="{00000000-0005-0000-0000-00001B0C0000}"/>
    <cellStyle name="Normal 4 24 2 2 2" xfId="3110" xr:uid="{00000000-0005-0000-0000-00001C0C0000}"/>
    <cellStyle name="Normal 4 24 2 3" xfId="3111" xr:uid="{00000000-0005-0000-0000-00001D0C0000}"/>
    <cellStyle name="Normal 4 24 3" xfId="3112" xr:uid="{00000000-0005-0000-0000-00001E0C0000}"/>
    <cellStyle name="Normal 4 24 3 2" xfId="3113" xr:uid="{00000000-0005-0000-0000-00001F0C0000}"/>
    <cellStyle name="Normal 4 24 4" xfId="3114" xr:uid="{00000000-0005-0000-0000-0000200C0000}"/>
    <cellStyle name="Normal 4 24 5" xfId="3115" xr:uid="{00000000-0005-0000-0000-0000210C0000}"/>
    <cellStyle name="Normal 4 25" xfId="3116" xr:uid="{00000000-0005-0000-0000-0000220C0000}"/>
    <cellStyle name="Normal 4 25 2" xfId="3117" xr:uid="{00000000-0005-0000-0000-0000230C0000}"/>
    <cellStyle name="Normal 4 25 2 2" xfId="3118" xr:uid="{00000000-0005-0000-0000-0000240C0000}"/>
    <cellStyle name="Normal 4 25 3" xfId="3119" xr:uid="{00000000-0005-0000-0000-0000250C0000}"/>
    <cellStyle name="Normal 4 25 4" xfId="3120" xr:uid="{00000000-0005-0000-0000-0000260C0000}"/>
    <cellStyle name="Normal 4 26" xfId="3121" xr:uid="{00000000-0005-0000-0000-0000270C0000}"/>
    <cellStyle name="Normal 4 26 2" xfId="3122" xr:uid="{00000000-0005-0000-0000-0000280C0000}"/>
    <cellStyle name="Normal 4 27" xfId="3123" xr:uid="{00000000-0005-0000-0000-0000290C0000}"/>
    <cellStyle name="Normal 4 27 2" xfId="3124" xr:uid="{00000000-0005-0000-0000-00002A0C0000}"/>
    <cellStyle name="Normal 4 27 2 2" xfId="3125" xr:uid="{00000000-0005-0000-0000-00002B0C0000}"/>
    <cellStyle name="Normal 4 27 3" xfId="3126" xr:uid="{00000000-0005-0000-0000-00002C0C0000}"/>
    <cellStyle name="Normal 4 27 4" xfId="3127" xr:uid="{00000000-0005-0000-0000-00002D0C0000}"/>
    <cellStyle name="Normal 4 28" xfId="3128" xr:uid="{00000000-0005-0000-0000-00002E0C0000}"/>
    <cellStyle name="Normal 4 28 2" xfId="3129" xr:uid="{00000000-0005-0000-0000-00002F0C0000}"/>
    <cellStyle name="Normal 4 28 3" xfId="3130" xr:uid="{00000000-0005-0000-0000-0000300C0000}"/>
    <cellStyle name="Normal 4 29" xfId="3131" xr:uid="{00000000-0005-0000-0000-0000310C0000}"/>
    <cellStyle name="Normal 4 29 2" xfId="3132" xr:uid="{00000000-0005-0000-0000-0000320C0000}"/>
    <cellStyle name="Normal 4 3" xfId="3133" xr:uid="{00000000-0005-0000-0000-0000330C0000}"/>
    <cellStyle name="Normal 4 3 2" xfId="3134" xr:uid="{00000000-0005-0000-0000-0000340C0000}"/>
    <cellStyle name="Normal 4 3 2 2" xfId="3135" xr:uid="{00000000-0005-0000-0000-0000350C0000}"/>
    <cellStyle name="Normal 4 3 2 2 2" xfId="3136" xr:uid="{00000000-0005-0000-0000-0000360C0000}"/>
    <cellStyle name="Normal 4 3 2 3" xfId="3137" xr:uid="{00000000-0005-0000-0000-0000370C0000}"/>
    <cellStyle name="Normal 4 3 2 4" xfId="3138" xr:uid="{00000000-0005-0000-0000-0000380C0000}"/>
    <cellStyle name="Normal 4 3 3" xfId="3139" xr:uid="{00000000-0005-0000-0000-0000390C0000}"/>
    <cellStyle name="Normal 4 3 4" xfId="3140" xr:uid="{00000000-0005-0000-0000-00003A0C0000}"/>
    <cellStyle name="Normal 4 30" xfId="3141" xr:uid="{00000000-0005-0000-0000-00003B0C0000}"/>
    <cellStyle name="Normal 4 30 2" xfId="3142" xr:uid="{00000000-0005-0000-0000-00003C0C0000}"/>
    <cellStyle name="Normal 4 31" xfId="3143" xr:uid="{00000000-0005-0000-0000-00003D0C0000}"/>
    <cellStyle name="Normal 4 31 2" xfId="3144" xr:uid="{00000000-0005-0000-0000-00003E0C0000}"/>
    <cellStyle name="Normal 4 32" xfId="3145" xr:uid="{00000000-0005-0000-0000-00003F0C0000}"/>
    <cellStyle name="Normal 4 32 2" xfId="3146" xr:uid="{00000000-0005-0000-0000-0000400C0000}"/>
    <cellStyle name="Normal 4 33" xfId="3147" xr:uid="{00000000-0005-0000-0000-0000410C0000}"/>
    <cellStyle name="Normal 4 33 2" xfId="3148" xr:uid="{00000000-0005-0000-0000-0000420C0000}"/>
    <cellStyle name="Normal 4 34" xfId="3149" xr:uid="{00000000-0005-0000-0000-0000430C0000}"/>
    <cellStyle name="Normal 4 35" xfId="3150" xr:uid="{00000000-0005-0000-0000-0000440C0000}"/>
    <cellStyle name="Normal 4 36" xfId="3151" xr:uid="{00000000-0005-0000-0000-0000450C0000}"/>
    <cellStyle name="Normal 4 37" xfId="3152" xr:uid="{00000000-0005-0000-0000-0000460C0000}"/>
    <cellStyle name="Normal 4 38" xfId="3153" xr:uid="{00000000-0005-0000-0000-0000470C0000}"/>
    <cellStyle name="Normal 4 39" xfId="3154" xr:uid="{00000000-0005-0000-0000-0000480C0000}"/>
    <cellStyle name="Normal 4 4" xfId="3155" xr:uid="{00000000-0005-0000-0000-0000490C0000}"/>
    <cellStyle name="Normal 4 4 2" xfId="3156" xr:uid="{00000000-0005-0000-0000-00004A0C0000}"/>
    <cellStyle name="Normal 4 4 3" xfId="3157" xr:uid="{00000000-0005-0000-0000-00004B0C0000}"/>
    <cellStyle name="Normal 4 4 4" xfId="3158" xr:uid="{00000000-0005-0000-0000-00004C0C0000}"/>
    <cellStyle name="Normal 4 40" xfId="3159" xr:uid="{00000000-0005-0000-0000-00004D0C0000}"/>
    <cellStyle name="Normal 4 41" xfId="3160" xr:uid="{00000000-0005-0000-0000-00004E0C0000}"/>
    <cellStyle name="Normal 4 42" xfId="3161" xr:uid="{00000000-0005-0000-0000-00004F0C0000}"/>
    <cellStyle name="Normal 4 43" xfId="3162" xr:uid="{00000000-0005-0000-0000-0000500C0000}"/>
    <cellStyle name="Normal 4 44" xfId="3163" xr:uid="{00000000-0005-0000-0000-0000510C0000}"/>
    <cellStyle name="Normal 4 45" xfId="3164" xr:uid="{00000000-0005-0000-0000-0000520C0000}"/>
    <cellStyle name="Normal 4 46" xfId="3165" xr:uid="{00000000-0005-0000-0000-0000530C0000}"/>
    <cellStyle name="Normal 4 47" xfId="3166" xr:uid="{00000000-0005-0000-0000-0000540C0000}"/>
    <cellStyle name="Normal 4 48" xfId="3167" xr:uid="{00000000-0005-0000-0000-0000550C0000}"/>
    <cellStyle name="Normal 4 49" xfId="3168" xr:uid="{00000000-0005-0000-0000-0000560C0000}"/>
    <cellStyle name="Normal 4 5" xfId="3169" xr:uid="{00000000-0005-0000-0000-0000570C0000}"/>
    <cellStyle name="Normal 4 5 2" xfId="3170" xr:uid="{00000000-0005-0000-0000-0000580C0000}"/>
    <cellStyle name="Normal 4 50" xfId="3171" xr:uid="{00000000-0005-0000-0000-0000590C0000}"/>
    <cellStyle name="Normal 4 51" xfId="3172" xr:uid="{00000000-0005-0000-0000-00005A0C0000}"/>
    <cellStyle name="Normal 4 52" xfId="3173" xr:uid="{00000000-0005-0000-0000-00005B0C0000}"/>
    <cellStyle name="Normal 4 53" xfId="3174" xr:uid="{00000000-0005-0000-0000-00005C0C0000}"/>
    <cellStyle name="Normal 4 54" xfId="3175" xr:uid="{00000000-0005-0000-0000-00005D0C0000}"/>
    <cellStyle name="Normal 4 55" xfId="3176" xr:uid="{00000000-0005-0000-0000-00005E0C0000}"/>
    <cellStyle name="Normal 4 56" xfId="3177" xr:uid="{00000000-0005-0000-0000-00005F0C0000}"/>
    <cellStyle name="Normal 4 57" xfId="3178" xr:uid="{00000000-0005-0000-0000-0000600C0000}"/>
    <cellStyle name="Normal 4 58" xfId="3179" xr:uid="{00000000-0005-0000-0000-0000610C0000}"/>
    <cellStyle name="Normal 4 59" xfId="3180" xr:uid="{00000000-0005-0000-0000-0000620C0000}"/>
    <cellStyle name="Normal 4 6" xfId="3181" xr:uid="{00000000-0005-0000-0000-0000630C0000}"/>
    <cellStyle name="Normal 4 6 2" xfId="3182" xr:uid="{00000000-0005-0000-0000-0000640C0000}"/>
    <cellStyle name="Normal 4 60" xfId="3183" xr:uid="{00000000-0005-0000-0000-0000650C0000}"/>
    <cellStyle name="Normal 4 61" xfId="3184" xr:uid="{00000000-0005-0000-0000-0000660C0000}"/>
    <cellStyle name="Normal 4 62" xfId="3185" xr:uid="{00000000-0005-0000-0000-0000670C0000}"/>
    <cellStyle name="Normal 4 63" xfId="3186" xr:uid="{00000000-0005-0000-0000-0000680C0000}"/>
    <cellStyle name="Normal 4 64" xfId="3187" xr:uid="{00000000-0005-0000-0000-0000690C0000}"/>
    <cellStyle name="Normal 4 65" xfId="3188" xr:uid="{00000000-0005-0000-0000-00006A0C0000}"/>
    <cellStyle name="Normal 4 66" xfId="3189" xr:uid="{00000000-0005-0000-0000-00006B0C0000}"/>
    <cellStyle name="Normal 4 67" xfId="3190" xr:uid="{00000000-0005-0000-0000-00006C0C0000}"/>
    <cellStyle name="Normal 4 68" xfId="3191" xr:uid="{00000000-0005-0000-0000-00006D0C0000}"/>
    <cellStyle name="Normal 4 69" xfId="3192" xr:uid="{00000000-0005-0000-0000-00006E0C0000}"/>
    <cellStyle name="Normal 4 7" xfId="3193" xr:uid="{00000000-0005-0000-0000-00006F0C0000}"/>
    <cellStyle name="Normal 4 7 2" xfId="3194" xr:uid="{00000000-0005-0000-0000-0000700C0000}"/>
    <cellStyle name="Normal 4 70" xfId="3195" xr:uid="{00000000-0005-0000-0000-0000710C0000}"/>
    <cellStyle name="Normal 4 71" xfId="3196" xr:uid="{00000000-0005-0000-0000-0000720C0000}"/>
    <cellStyle name="Normal 4 72" xfId="3197" xr:uid="{00000000-0005-0000-0000-0000730C0000}"/>
    <cellStyle name="Normal 4 73" xfId="3198" xr:uid="{00000000-0005-0000-0000-0000740C0000}"/>
    <cellStyle name="Normal 4 74" xfId="3199" xr:uid="{00000000-0005-0000-0000-0000750C0000}"/>
    <cellStyle name="Normal 4 75" xfId="3200" xr:uid="{00000000-0005-0000-0000-0000760C0000}"/>
    <cellStyle name="Normal 4 76" xfId="3201" xr:uid="{00000000-0005-0000-0000-0000770C0000}"/>
    <cellStyle name="Normal 4 77" xfId="3202" xr:uid="{00000000-0005-0000-0000-0000780C0000}"/>
    <cellStyle name="Normal 4 78" xfId="3203" xr:uid="{00000000-0005-0000-0000-0000790C0000}"/>
    <cellStyle name="Normal 4 79" xfId="3204" xr:uid="{00000000-0005-0000-0000-00007A0C0000}"/>
    <cellStyle name="Normal 4 8" xfId="3205" xr:uid="{00000000-0005-0000-0000-00007B0C0000}"/>
    <cellStyle name="Normal 4 8 2" xfId="3206" xr:uid="{00000000-0005-0000-0000-00007C0C0000}"/>
    <cellStyle name="Normal 4 80" xfId="3207" xr:uid="{00000000-0005-0000-0000-00007D0C0000}"/>
    <cellStyle name="Normal 4 81" xfId="3208" xr:uid="{00000000-0005-0000-0000-00007E0C0000}"/>
    <cellStyle name="Normal 4 82" xfId="3209" xr:uid="{00000000-0005-0000-0000-00007F0C0000}"/>
    <cellStyle name="Normal 4 83" xfId="3210" xr:uid="{00000000-0005-0000-0000-0000800C0000}"/>
    <cellStyle name="Normal 4 84" xfId="3211" xr:uid="{00000000-0005-0000-0000-0000810C0000}"/>
    <cellStyle name="Normal 4 85" xfId="3212" xr:uid="{00000000-0005-0000-0000-0000820C0000}"/>
    <cellStyle name="Normal 4 86" xfId="3213" xr:uid="{00000000-0005-0000-0000-0000830C0000}"/>
    <cellStyle name="Normal 4 87" xfId="3214" xr:uid="{00000000-0005-0000-0000-0000840C0000}"/>
    <cellStyle name="Normal 4 88" xfId="3215" xr:uid="{00000000-0005-0000-0000-0000850C0000}"/>
    <cellStyle name="Normal 4 89" xfId="3216" xr:uid="{00000000-0005-0000-0000-0000860C0000}"/>
    <cellStyle name="Normal 4 9" xfId="3217" xr:uid="{00000000-0005-0000-0000-0000870C0000}"/>
    <cellStyle name="Normal 4 9 2" xfId="3218" xr:uid="{00000000-0005-0000-0000-0000880C0000}"/>
    <cellStyle name="Normal 4 90" xfId="3219" xr:uid="{00000000-0005-0000-0000-0000890C0000}"/>
    <cellStyle name="Normal 4 91" xfId="3220" xr:uid="{00000000-0005-0000-0000-00008A0C0000}"/>
    <cellStyle name="Normal 4 92" xfId="3221" xr:uid="{00000000-0005-0000-0000-00008B0C0000}"/>
    <cellStyle name="Normal 4 93" xfId="3222" xr:uid="{00000000-0005-0000-0000-00008C0C0000}"/>
    <cellStyle name="Normal 4 94" xfId="3223" xr:uid="{00000000-0005-0000-0000-00008D0C0000}"/>
    <cellStyle name="Normal 4 95" xfId="3224" xr:uid="{00000000-0005-0000-0000-00008E0C0000}"/>
    <cellStyle name="Normal 4 96" xfId="3225" xr:uid="{00000000-0005-0000-0000-00008F0C0000}"/>
    <cellStyle name="Normal 4 97" xfId="3226" xr:uid="{00000000-0005-0000-0000-0000900C0000}"/>
    <cellStyle name="Normal 4 98" xfId="3227" xr:uid="{00000000-0005-0000-0000-0000910C0000}"/>
    <cellStyle name="Normal 4 99" xfId="3228" xr:uid="{00000000-0005-0000-0000-0000920C0000}"/>
    <cellStyle name="Normal 40" xfId="3229" xr:uid="{00000000-0005-0000-0000-0000930C0000}"/>
    <cellStyle name="Normal 41" xfId="3230" xr:uid="{00000000-0005-0000-0000-0000940C0000}"/>
    <cellStyle name="Normal 42" xfId="3231" xr:uid="{00000000-0005-0000-0000-0000950C0000}"/>
    <cellStyle name="Normal 43" xfId="3232" xr:uid="{00000000-0005-0000-0000-0000960C0000}"/>
    <cellStyle name="Normal 44" xfId="3233" xr:uid="{00000000-0005-0000-0000-0000970C0000}"/>
    <cellStyle name="Normal 45" xfId="3234" xr:uid="{00000000-0005-0000-0000-0000980C0000}"/>
    <cellStyle name="Normal 46" xfId="3235" xr:uid="{00000000-0005-0000-0000-0000990C0000}"/>
    <cellStyle name="Normal 47" xfId="3236" xr:uid="{00000000-0005-0000-0000-00009A0C0000}"/>
    <cellStyle name="Normal 47 10" xfId="3237" xr:uid="{00000000-0005-0000-0000-00009B0C0000}"/>
    <cellStyle name="Normal 47 11" xfId="3238" xr:uid="{00000000-0005-0000-0000-00009C0C0000}"/>
    <cellStyle name="Normal 47 11 2" xfId="3239" xr:uid="{00000000-0005-0000-0000-00009D0C0000}"/>
    <cellStyle name="Normal 47 11 3" xfId="3240" xr:uid="{00000000-0005-0000-0000-00009E0C0000}"/>
    <cellStyle name="Normal 47 11 4" xfId="3241" xr:uid="{00000000-0005-0000-0000-00009F0C0000}"/>
    <cellStyle name="Normal 47 11 5" xfId="3242" xr:uid="{00000000-0005-0000-0000-0000A00C0000}"/>
    <cellStyle name="Normal 47 11 6" xfId="3243" xr:uid="{00000000-0005-0000-0000-0000A10C0000}"/>
    <cellStyle name="Normal 47 11 7" xfId="3244" xr:uid="{00000000-0005-0000-0000-0000A20C0000}"/>
    <cellStyle name="Normal 47 11 8" xfId="3245" xr:uid="{00000000-0005-0000-0000-0000A30C0000}"/>
    <cellStyle name="Normal 47 12" xfId="3246" xr:uid="{00000000-0005-0000-0000-0000A40C0000}"/>
    <cellStyle name="Normal 47 13" xfId="3247" xr:uid="{00000000-0005-0000-0000-0000A50C0000}"/>
    <cellStyle name="Normal 47 14" xfId="3248" xr:uid="{00000000-0005-0000-0000-0000A60C0000}"/>
    <cellStyle name="Normal 47 15" xfId="3249" xr:uid="{00000000-0005-0000-0000-0000A70C0000}"/>
    <cellStyle name="Normal 47 16" xfId="3250" xr:uid="{00000000-0005-0000-0000-0000A80C0000}"/>
    <cellStyle name="Normal 47 17" xfId="3251" xr:uid="{00000000-0005-0000-0000-0000A90C0000}"/>
    <cellStyle name="Normal 47 2" xfId="3252" xr:uid="{00000000-0005-0000-0000-0000AA0C0000}"/>
    <cellStyle name="Normal 47 3" xfId="3253" xr:uid="{00000000-0005-0000-0000-0000AB0C0000}"/>
    <cellStyle name="Normal 47 3 2" xfId="3254" xr:uid="{00000000-0005-0000-0000-0000AC0C0000}"/>
    <cellStyle name="Normal 47 3 3" xfId="3255" xr:uid="{00000000-0005-0000-0000-0000AD0C0000}"/>
    <cellStyle name="Normal 47 3 4" xfId="3256" xr:uid="{00000000-0005-0000-0000-0000AE0C0000}"/>
    <cellStyle name="Normal 47 3 5" xfId="3257" xr:uid="{00000000-0005-0000-0000-0000AF0C0000}"/>
    <cellStyle name="Normal 47 3 6" xfId="3258" xr:uid="{00000000-0005-0000-0000-0000B00C0000}"/>
    <cellStyle name="Normal 47 3 7" xfId="3259" xr:uid="{00000000-0005-0000-0000-0000B10C0000}"/>
    <cellStyle name="Normal 47 3 8" xfId="3260" xr:uid="{00000000-0005-0000-0000-0000B20C0000}"/>
    <cellStyle name="Normal 47 4" xfId="3261" xr:uid="{00000000-0005-0000-0000-0000B30C0000}"/>
    <cellStyle name="Normal 47 4 2" xfId="3262" xr:uid="{00000000-0005-0000-0000-0000B40C0000}"/>
    <cellStyle name="Normal 47 4 3" xfId="3263" xr:uid="{00000000-0005-0000-0000-0000B50C0000}"/>
    <cellStyle name="Normal 47 4 4" xfId="3264" xr:uid="{00000000-0005-0000-0000-0000B60C0000}"/>
    <cellStyle name="Normal 47 4 5" xfId="3265" xr:uid="{00000000-0005-0000-0000-0000B70C0000}"/>
    <cellStyle name="Normal 47 4 6" xfId="3266" xr:uid="{00000000-0005-0000-0000-0000B80C0000}"/>
    <cellStyle name="Normal 47 4 7" xfId="3267" xr:uid="{00000000-0005-0000-0000-0000B90C0000}"/>
    <cellStyle name="Normal 47 4 8" xfId="3268" xr:uid="{00000000-0005-0000-0000-0000BA0C0000}"/>
    <cellStyle name="Normal 47 5" xfId="3269" xr:uid="{00000000-0005-0000-0000-0000BB0C0000}"/>
    <cellStyle name="Normal 47 5 2" xfId="3270" xr:uid="{00000000-0005-0000-0000-0000BC0C0000}"/>
    <cellStyle name="Normal 47 5 3" xfId="3271" xr:uid="{00000000-0005-0000-0000-0000BD0C0000}"/>
    <cellStyle name="Normal 47 5 4" xfId="3272" xr:uid="{00000000-0005-0000-0000-0000BE0C0000}"/>
    <cellStyle name="Normal 47 5 5" xfId="3273" xr:uid="{00000000-0005-0000-0000-0000BF0C0000}"/>
    <cellStyle name="Normal 47 5 6" xfId="3274" xr:uid="{00000000-0005-0000-0000-0000C00C0000}"/>
    <cellStyle name="Normal 47 5 7" xfId="3275" xr:uid="{00000000-0005-0000-0000-0000C10C0000}"/>
    <cellStyle name="Normal 47 5 8" xfId="3276" xr:uid="{00000000-0005-0000-0000-0000C20C0000}"/>
    <cellStyle name="Normal 47 6" xfId="3277" xr:uid="{00000000-0005-0000-0000-0000C30C0000}"/>
    <cellStyle name="Normal 47 6 2" xfId="3278" xr:uid="{00000000-0005-0000-0000-0000C40C0000}"/>
    <cellStyle name="Normal 47 6 3" xfId="3279" xr:uid="{00000000-0005-0000-0000-0000C50C0000}"/>
    <cellStyle name="Normal 47 6 4" xfId="3280" xr:uid="{00000000-0005-0000-0000-0000C60C0000}"/>
    <cellStyle name="Normal 47 6 5" xfId="3281" xr:uid="{00000000-0005-0000-0000-0000C70C0000}"/>
    <cellStyle name="Normal 47 6 6" xfId="3282" xr:uid="{00000000-0005-0000-0000-0000C80C0000}"/>
    <cellStyle name="Normal 47 6 7" xfId="3283" xr:uid="{00000000-0005-0000-0000-0000C90C0000}"/>
    <cellStyle name="Normal 47 6 8" xfId="3284" xr:uid="{00000000-0005-0000-0000-0000CA0C0000}"/>
    <cellStyle name="Normal 47 7" xfId="3285" xr:uid="{00000000-0005-0000-0000-0000CB0C0000}"/>
    <cellStyle name="Normal 47 7 2" xfId="3286" xr:uid="{00000000-0005-0000-0000-0000CC0C0000}"/>
    <cellStyle name="Normal 47 7 3" xfId="3287" xr:uid="{00000000-0005-0000-0000-0000CD0C0000}"/>
    <cellStyle name="Normal 47 7 4" xfId="3288" xr:uid="{00000000-0005-0000-0000-0000CE0C0000}"/>
    <cellStyle name="Normal 47 7 5" xfId="3289" xr:uid="{00000000-0005-0000-0000-0000CF0C0000}"/>
    <cellStyle name="Normal 47 7 6" xfId="3290" xr:uid="{00000000-0005-0000-0000-0000D00C0000}"/>
    <cellStyle name="Normal 47 7 7" xfId="3291" xr:uid="{00000000-0005-0000-0000-0000D10C0000}"/>
    <cellStyle name="Normal 47 7 8" xfId="3292" xr:uid="{00000000-0005-0000-0000-0000D20C0000}"/>
    <cellStyle name="Normal 47 8" xfId="3293" xr:uid="{00000000-0005-0000-0000-0000D30C0000}"/>
    <cellStyle name="Normal 47 8 2" xfId="3294" xr:uid="{00000000-0005-0000-0000-0000D40C0000}"/>
    <cellStyle name="Normal 47 8 3" xfId="3295" xr:uid="{00000000-0005-0000-0000-0000D50C0000}"/>
    <cellStyle name="Normal 47 8 4" xfId="3296" xr:uid="{00000000-0005-0000-0000-0000D60C0000}"/>
    <cellStyle name="Normal 47 8 5" xfId="3297" xr:uid="{00000000-0005-0000-0000-0000D70C0000}"/>
    <cellStyle name="Normal 47 8 6" xfId="3298" xr:uid="{00000000-0005-0000-0000-0000D80C0000}"/>
    <cellStyle name="Normal 47 8 7" xfId="3299" xr:uid="{00000000-0005-0000-0000-0000D90C0000}"/>
    <cellStyle name="Normal 47 8 8" xfId="3300" xr:uid="{00000000-0005-0000-0000-0000DA0C0000}"/>
    <cellStyle name="Normal 47 9" xfId="3301" xr:uid="{00000000-0005-0000-0000-0000DB0C0000}"/>
    <cellStyle name="Normal 48" xfId="3302" xr:uid="{00000000-0005-0000-0000-0000DC0C0000}"/>
    <cellStyle name="Normal 49" xfId="3303" xr:uid="{00000000-0005-0000-0000-0000DD0C0000}"/>
    <cellStyle name="Normal 49 2" xfId="3304" xr:uid="{00000000-0005-0000-0000-0000DE0C0000}"/>
    <cellStyle name="Normal 49 2 2" xfId="3305" xr:uid="{00000000-0005-0000-0000-0000DF0C0000}"/>
    <cellStyle name="Normal 49 2 2 2" xfId="3306" xr:uid="{00000000-0005-0000-0000-0000E00C0000}"/>
    <cellStyle name="Normal 49 2 2 2 2" xfId="3307" xr:uid="{00000000-0005-0000-0000-0000E10C0000}"/>
    <cellStyle name="Normal 49 2 2 3" xfId="3308" xr:uid="{00000000-0005-0000-0000-0000E20C0000}"/>
    <cellStyle name="Normal 49 2 3" xfId="3309" xr:uid="{00000000-0005-0000-0000-0000E30C0000}"/>
    <cellStyle name="Normal 49 2 3 2" xfId="3310" xr:uid="{00000000-0005-0000-0000-0000E40C0000}"/>
    <cellStyle name="Normal 49 2 4" xfId="3311" xr:uid="{00000000-0005-0000-0000-0000E50C0000}"/>
    <cellStyle name="Normal 49 3" xfId="3312" xr:uid="{00000000-0005-0000-0000-0000E60C0000}"/>
    <cellStyle name="Normal 49 3 2" xfId="3313" xr:uid="{00000000-0005-0000-0000-0000E70C0000}"/>
    <cellStyle name="Normal 49 3 2 2" xfId="3314" xr:uid="{00000000-0005-0000-0000-0000E80C0000}"/>
    <cellStyle name="Normal 49 3 2 2 2" xfId="3315" xr:uid="{00000000-0005-0000-0000-0000E90C0000}"/>
    <cellStyle name="Normal 49 3 2 3" xfId="3316" xr:uid="{00000000-0005-0000-0000-0000EA0C0000}"/>
    <cellStyle name="Normal 49 3 3" xfId="3317" xr:uid="{00000000-0005-0000-0000-0000EB0C0000}"/>
    <cellStyle name="Normal 49 3 3 2" xfId="3318" xr:uid="{00000000-0005-0000-0000-0000EC0C0000}"/>
    <cellStyle name="Normal 49 3 4" xfId="3319" xr:uid="{00000000-0005-0000-0000-0000ED0C0000}"/>
    <cellStyle name="Normal 49 4" xfId="3320" xr:uid="{00000000-0005-0000-0000-0000EE0C0000}"/>
    <cellStyle name="Normal 49 4 2" xfId="3321" xr:uid="{00000000-0005-0000-0000-0000EF0C0000}"/>
    <cellStyle name="Normal 49 4 2 2" xfId="3322" xr:uid="{00000000-0005-0000-0000-0000F00C0000}"/>
    <cellStyle name="Normal 49 4 2 2 2" xfId="3323" xr:uid="{00000000-0005-0000-0000-0000F10C0000}"/>
    <cellStyle name="Normal 49 4 2 3" xfId="3324" xr:uid="{00000000-0005-0000-0000-0000F20C0000}"/>
    <cellStyle name="Normal 49 4 3" xfId="3325" xr:uid="{00000000-0005-0000-0000-0000F30C0000}"/>
    <cellStyle name="Normal 49 4 3 2" xfId="3326" xr:uid="{00000000-0005-0000-0000-0000F40C0000}"/>
    <cellStyle name="Normal 49 4 4" xfId="3327" xr:uid="{00000000-0005-0000-0000-0000F50C0000}"/>
    <cellStyle name="Normal 49 5" xfId="3328" xr:uid="{00000000-0005-0000-0000-0000F60C0000}"/>
    <cellStyle name="Normal 49 5 2" xfId="3329" xr:uid="{00000000-0005-0000-0000-0000F70C0000}"/>
    <cellStyle name="Normal 49 5 2 2" xfId="3330" xr:uid="{00000000-0005-0000-0000-0000F80C0000}"/>
    <cellStyle name="Normal 49 5 3" xfId="3331" xr:uid="{00000000-0005-0000-0000-0000F90C0000}"/>
    <cellStyle name="Normal 49 6" xfId="3332" xr:uid="{00000000-0005-0000-0000-0000FA0C0000}"/>
    <cellStyle name="Normal 49 6 2" xfId="3333" xr:uid="{00000000-0005-0000-0000-0000FB0C0000}"/>
    <cellStyle name="Normal 49 7" xfId="3334" xr:uid="{00000000-0005-0000-0000-0000FC0C0000}"/>
    <cellStyle name="Normal 49 8" xfId="3335" xr:uid="{00000000-0005-0000-0000-0000FD0C0000}"/>
    <cellStyle name="Normal 5" xfId="3336" xr:uid="{00000000-0005-0000-0000-0000FE0C0000}"/>
    <cellStyle name="Normal-- 5" xfId="3337" xr:uid="{00000000-0005-0000-0000-0000FF0C0000}"/>
    <cellStyle name="Normal 5 10" xfId="3338" xr:uid="{00000000-0005-0000-0000-0000000D0000}"/>
    <cellStyle name="Normal 5 10 2" xfId="3339" xr:uid="{00000000-0005-0000-0000-0000010D0000}"/>
    <cellStyle name="Normal 5 100" xfId="3340" xr:uid="{00000000-0005-0000-0000-0000020D0000}"/>
    <cellStyle name="Normal 5 101" xfId="3341" xr:uid="{00000000-0005-0000-0000-0000030D0000}"/>
    <cellStyle name="Normal 5 102" xfId="3342" xr:uid="{00000000-0005-0000-0000-0000040D0000}"/>
    <cellStyle name="Normal 5 103" xfId="3343" xr:uid="{00000000-0005-0000-0000-0000050D0000}"/>
    <cellStyle name="Normal 5 104" xfId="3344" xr:uid="{00000000-0005-0000-0000-0000060D0000}"/>
    <cellStyle name="Normal 5 105" xfId="3345" xr:uid="{00000000-0005-0000-0000-0000070D0000}"/>
    <cellStyle name="Normal 5 106" xfId="3346" xr:uid="{00000000-0005-0000-0000-0000080D0000}"/>
    <cellStyle name="Normal 5 107" xfId="3347" xr:uid="{00000000-0005-0000-0000-0000090D0000}"/>
    <cellStyle name="Normal 5 108" xfId="3348" xr:uid="{00000000-0005-0000-0000-00000A0D0000}"/>
    <cellStyle name="Normal 5 109" xfId="3349" xr:uid="{00000000-0005-0000-0000-00000B0D0000}"/>
    <cellStyle name="Normal 5 11" xfId="3350" xr:uid="{00000000-0005-0000-0000-00000C0D0000}"/>
    <cellStyle name="Normal 5 11 2" xfId="3351" xr:uid="{00000000-0005-0000-0000-00000D0D0000}"/>
    <cellStyle name="Normal 5 110" xfId="3352" xr:uid="{00000000-0005-0000-0000-00000E0D0000}"/>
    <cellStyle name="Normal 5 111" xfId="3353" xr:uid="{00000000-0005-0000-0000-00000F0D0000}"/>
    <cellStyle name="Normal 5 112" xfId="3354" xr:uid="{00000000-0005-0000-0000-0000100D0000}"/>
    <cellStyle name="Normal 5 113" xfId="3355" xr:uid="{00000000-0005-0000-0000-0000110D0000}"/>
    <cellStyle name="Normal 5 114" xfId="4645" xr:uid="{00000000-0005-0000-0000-000056210000}"/>
    <cellStyle name="Normal 5 12" xfId="3356" xr:uid="{00000000-0005-0000-0000-0000120D0000}"/>
    <cellStyle name="Normal 5 12 2" xfId="3357" xr:uid="{00000000-0005-0000-0000-0000130D0000}"/>
    <cellStyle name="Normal 5 13" xfId="3358" xr:uid="{00000000-0005-0000-0000-0000140D0000}"/>
    <cellStyle name="Normal 5 13 2" xfId="3359" xr:uid="{00000000-0005-0000-0000-0000150D0000}"/>
    <cellStyle name="Normal 5 14" xfId="3360" xr:uid="{00000000-0005-0000-0000-0000160D0000}"/>
    <cellStyle name="Normal 5 14 2" xfId="3361" xr:uid="{00000000-0005-0000-0000-0000170D0000}"/>
    <cellStyle name="Normal 5 15" xfId="3362" xr:uid="{00000000-0005-0000-0000-0000180D0000}"/>
    <cellStyle name="Normal 5 15 2" xfId="3363" xr:uid="{00000000-0005-0000-0000-0000190D0000}"/>
    <cellStyle name="Normal 5 16" xfId="3364" xr:uid="{00000000-0005-0000-0000-00001A0D0000}"/>
    <cellStyle name="Normal 5 16 2" xfId="3365" xr:uid="{00000000-0005-0000-0000-00001B0D0000}"/>
    <cellStyle name="Normal 5 17" xfId="3366" xr:uid="{00000000-0005-0000-0000-00001C0D0000}"/>
    <cellStyle name="Normal 5 17 2" xfId="3367" xr:uid="{00000000-0005-0000-0000-00001D0D0000}"/>
    <cellStyle name="Normal 5 18" xfId="3368" xr:uid="{00000000-0005-0000-0000-00001E0D0000}"/>
    <cellStyle name="Normal 5 18 2" xfId="3369" xr:uid="{00000000-0005-0000-0000-00001F0D0000}"/>
    <cellStyle name="Normal 5 19" xfId="3370" xr:uid="{00000000-0005-0000-0000-0000200D0000}"/>
    <cellStyle name="Normal 5 19 2" xfId="3371" xr:uid="{00000000-0005-0000-0000-0000210D0000}"/>
    <cellStyle name="Normal 5 2" xfId="3372" xr:uid="{00000000-0005-0000-0000-0000220D0000}"/>
    <cellStyle name="Normal 5 2 2" xfId="3373" xr:uid="{00000000-0005-0000-0000-0000230D0000}"/>
    <cellStyle name="Normal 5 2 3" xfId="3374" xr:uid="{00000000-0005-0000-0000-0000240D0000}"/>
    <cellStyle name="Normal 5 2 4" xfId="3375" xr:uid="{00000000-0005-0000-0000-0000250D0000}"/>
    <cellStyle name="Normal 5 2 5" xfId="3376" xr:uid="{00000000-0005-0000-0000-0000260D0000}"/>
    <cellStyle name="Normal 5 20" xfId="3377" xr:uid="{00000000-0005-0000-0000-0000270D0000}"/>
    <cellStyle name="Normal 5 20 2" xfId="3378" xr:uid="{00000000-0005-0000-0000-0000280D0000}"/>
    <cellStyle name="Normal 5 21" xfId="3379" xr:uid="{00000000-0005-0000-0000-0000290D0000}"/>
    <cellStyle name="Normal 5 21 2" xfId="3380" xr:uid="{00000000-0005-0000-0000-00002A0D0000}"/>
    <cellStyle name="Normal 5 22" xfId="3381" xr:uid="{00000000-0005-0000-0000-00002B0D0000}"/>
    <cellStyle name="Normal 5 22 2" xfId="3382" xr:uid="{00000000-0005-0000-0000-00002C0D0000}"/>
    <cellStyle name="Normal 5 22 2 2" xfId="3383" xr:uid="{00000000-0005-0000-0000-00002D0D0000}"/>
    <cellStyle name="Normal 5 22 3" xfId="3384" xr:uid="{00000000-0005-0000-0000-00002E0D0000}"/>
    <cellStyle name="Normal 5 22 4" xfId="3385" xr:uid="{00000000-0005-0000-0000-00002F0D0000}"/>
    <cellStyle name="Normal 5 23" xfId="3386" xr:uid="{00000000-0005-0000-0000-0000300D0000}"/>
    <cellStyle name="Normal 5 23 2" xfId="3387" xr:uid="{00000000-0005-0000-0000-0000310D0000}"/>
    <cellStyle name="Normal 5 24" xfId="3388" xr:uid="{00000000-0005-0000-0000-0000320D0000}"/>
    <cellStyle name="Normal 5 24 2" xfId="3389" xr:uid="{00000000-0005-0000-0000-0000330D0000}"/>
    <cellStyle name="Normal 5 25" xfId="3390" xr:uid="{00000000-0005-0000-0000-0000340D0000}"/>
    <cellStyle name="Normal 5 25 2" xfId="3391" xr:uid="{00000000-0005-0000-0000-0000350D0000}"/>
    <cellStyle name="Normal 5 26" xfId="3392" xr:uid="{00000000-0005-0000-0000-0000360D0000}"/>
    <cellStyle name="Normal 5 26 2" xfId="3393" xr:uid="{00000000-0005-0000-0000-0000370D0000}"/>
    <cellStyle name="Normal 5 27" xfId="3394" xr:uid="{00000000-0005-0000-0000-0000380D0000}"/>
    <cellStyle name="Normal 5 27 2" xfId="3395" xr:uid="{00000000-0005-0000-0000-0000390D0000}"/>
    <cellStyle name="Normal 5 28" xfId="3396" xr:uid="{00000000-0005-0000-0000-00003A0D0000}"/>
    <cellStyle name="Normal 5 28 2" xfId="3397" xr:uid="{00000000-0005-0000-0000-00003B0D0000}"/>
    <cellStyle name="Normal 5 29" xfId="3398" xr:uid="{00000000-0005-0000-0000-00003C0D0000}"/>
    <cellStyle name="Normal 5 29 2" xfId="3399" xr:uid="{00000000-0005-0000-0000-00003D0D0000}"/>
    <cellStyle name="Normal 5 3" xfId="3400" xr:uid="{00000000-0005-0000-0000-00003E0D0000}"/>
    <cellStyle name="Normal 5 3 2" xfId="3401" xr:uid="{00000000-0005-0000-0000-00003F0D0000}"/>
    <cellStyle name="Normal 5 30" xfId="3402" xr:uid="{00000000-0005-0000-0000-0000400D0000}"/>
    <cellStyle name="Normal 5 30 2" xfId="3403" xr:uid="{00000000-0005-0000-0000-0000410D0000}"/>
    <cellStyle name="Normal 5 31" xfId="3404" xr:uid="{00000000-0005-0000-0000-0000420D0000}"/>
    <cellStyle name="Normal 5 31 2" xfId="3405" xr:uid="{00000000-0005-0000-0000-0000430D0000}"/>
    <cellStyle name="Normal 5 32" xfId="3406" xr:uid="{00000000-0005-0000-0000-0000440D0000}"/>
    <cellStyle name="Normal 5 32 2" xfId="3407" xr:uid="{00000000-0005-0000-0000-0000450D0000}"/>
    <cellStyle name="Normal 5 33" xfId="3408" xr:uid="{00000000-0005-0000-0000-0000460D0000}"/>
    <cellStyle name="Normal 5 33 2" xfId="3409" xr:uid="{00000000-0005-0000-0000-0000470D0000}"/>
    <cellStyle name="Normal 5 34" xfId="3410" xr:uid="{00000000-0005-0000-0000-0000480D0000}"/>
    <cellStyle name="Normal 5 34 2" xfId="3411" xr:uid="{00000000-0005-0000-0000-0000490D0000}"/>
    <cellStyle name="Normal 5 35" xfId="3412" xr:uid="{00000000-0005-0000-0000-00004A0D0000}"/>
    <cellStyle name="Normal 5 35 2" xfId="3413" xr:uid="{00000000-0005-0000-0000-00004B0D0000}"/>
    <cellStyle name="Normal 5 36" xfId="3414" xr:uid="{00000000-0005-0000-0000-00004C0D0000}"/>
    <cellStyle name="Normal 5 36 2" xfId="3415" xr:uid="{00000000-0005-0000-0000-00004D0D0000}"/>
    <cellStyle name="Normal 5 37" xfId="3416" xr:uid="{00000000-0005-0000-0000-00004E0D0000}"/>
    <cellStyle name="Normal 5 37 2" xfId="3417" xr:uid="{00000000-0005-0000-0000-00004F0D0000}"/>
    <cellStyle name="Normal 5 38" xfId="3418" xr:uid="{00000000-0005-0000-0000-0000500D0000}"/>
    <cellStyle name="Normal 5 39" xfId="3419" xr:uid="{00000000-0005-0000-0000-0000510D0000}"/>
    <cellStyle name="Normal 5 4" xfId="3420" xr:uid="{00000000-0005-0000-0000-0000520D0000}"/>
    <cellStyle name="Normal 5 4 2" xfId="3421" xr:uid="{00000000-0005-0000-0000-0000530D0000}"/>
    <cellStyle name="Normal 5 40" xfId="3422" xr:uid="{00000000-0005-0000-0000-0000540D0000}"/>
    <cellStyle name="Normal 5 41" xfId="3423" xr:uid="{00000000-0005-0000-0000-0000550D0000}"/>
    <cellStyle name="Normal 5 42" xfId="3424" xr:uid="{00000000-0005-0000-0000-0000560D0000}"/>
    <cellStyle name="Normal 5 43" xfId="3425" xr:uid="{00000000-0005-0000-0000-0000570D0000}"/>
    <cellStyle name="Normal 5 44" xfId="3426" xr:uid="{00000000-0005-0000-0000-0000580D0000}"/>
    <cellStyle name="Normal 5 45" xfId="3427" xr:uid="{00000000-0005-0000-0000-0000590D0000}"/>
    <cellStyle name="Normal 5 46" xfId="3428" xr:uid="{00000000-0005-0000-0000-00005A0D0000}"/>
    <cellStyle name="Normal 5 47" xfId="3429" xr:uid="{00000000-0005-0000-0000-00005B0D0000}"/>
    <cellStyle name="Normal 5 48" xfId="3430" xr:uid="{00000000-0005-0000-0000-00005C0D0000}"/>
    <cellStyle name="Normal 5 49" xfId="3431" xr:uid="{00000000-0005-0000-0000-00005D0D0000}"/>
    <cellStyle name="Normal 5 5" xfId="3432" xr:uid="{00000000-0005-0000-0000-00005E0D0000}"/>
    <cellStyle name="Normal 5 5 2" xfId="3433" xr:uid="{00000000-0005-0000-0000-00005F0D0000}"/>
    <cellStyle name="Normal 5 50" xfId="3434" xr:uid="{00000000-0005-0000-0000-0000600D0000}"/>
    <cellStyle name="Normal 5 51" xfId="3435" xr:uid="{00000000-0005-0000-0000-0000610D0000}"/>
    <cellStyle name="Normal 5 52" xfId="3436" xr:uid="{00000000-0005-0000-0000-0000620D0000}"/>
    <cellStyle name="Normal 5 53" xfId="3437" xr:uid="{00000000-0005-0000-0000-0000630D0000}"/>
    <cellStyle name="Normal 5 54" xfId="3438" xr:uid="{00000000-0005-0000-0000-0000640D0000}"/>
    <cellStyle name="Normal 5 55" xfId="3439" xr:uid="{00000000-0005-0000-0000-0000650D0000}"/>
    <cellStyle name="Normal 5 56" xfId="3440" xr:uid="{00000000-0005-0000-0000-0000660D0000}"/>
    <cellStyle name="Normal 5 57" xfId="3441" xr:uid="{00000000-0005-0000-0000-0000670D0000}"/>
    <cellStyle name="Normal 5 58" xfId="3442" xr:uid="{00000000-0005-0000-0000-0000680D0000}"/>
    <cellStyle name="Normal 5 59" xfId="3443" xr:uid="{00000000-0005-0000-0000-0000690D0000}"/>
    <cellStyle name="Normal 5 6" xfId="3444" xr:uid="{00000000-0005-0000-0000-00006A0D0000}"/>
    <cellStyle name="Normal 5 6 2" xfId="3445" xr:uid="{00000000-0005-0000-0000-00006B0D0000}"/>
    <cellStyle name="Normal 5 60" xfId="3446" xr:uid="{00000000-0005-0000-0000-00006C0D0000}"/>
    <cellStyle name="Normal 5 61" xfId="3447" xr:uid="{00000000-0005-0000-0000-00006D0D0000}"/>
    <cellStyle name="Normal 5 62" xfId="3448" xr:uid="{00000000-0005-0000-0000-00006E0D0000}"/>
    <cellStyle name="Normal 5 63" xfId="3449" xr:uid="{00000000-0005-0000-0000-00006F0D0000}"/>
    <cellStyle name="Normal 5 64" xfId="3450" xr:uid="{00000000-0005-0000-0000-0000700D0000}"/>
    <cellStyle name="Normal 5 65" xfId="3451" xr:uid="{00000000-0005-0000-0000-0000710D0000}"/>
    <cellStyle name="Normal 5 66" xfId="3452" xr:uid="{00000000-0005-0000-0000-0000720D0000}"/>
    <cellStyle name="Normal 5 67" xfId="3453" xr:uid="{00000000-0005-0000-0000-0000730D0000}"/>
    <cellStyle name="Normal 5 68" xfId="3454" xr:uid="{00000000-0005-0000-0000-0000740D0000}"/>
    <cellStyle name="Normal 5 69" xfId="3455" xr:uid="{00000000-0005-0000-0000-0000750D0000}"/>
    <cellStyle name="Normal 5 7" xfId="3456" xr:uid="{00000000-0005-0000-0000-0000760D0000}"/>
    <cellStyle name="Normal 5 7 2" xfId="3457" xr:uid="{00000000-0005-0000-0000-0000770D0000}"/>
    <cellStyle name="Normal 5 70" xfId="3458" xr:uid="{00000000-0005-0000-0000-0000780D0000}"/>
    <cellStyle name="Normal 5 71" xfId="3459" xr:uid="{00000000-0005-0000-0000-0000790D0000}"/>
    <cellStyle name="Normal 5 72" xfId="3460" xr:uid="{00000000-0005-0000-0000-00007A0D0000}"/>
    <cellStyle name="Normal 5 73" xfId="3461" xr:uid="{00000000-0005-0000-0000-00007B0D0000}"/>
    <cellStyle name="Normal 5 74" xfId="3462" xr:uid="{00000000-0005-0000-0000-00007C0D0000}"/>
    <cellStyle name="Normal 5 75" xfId="3463" xr:uid="{00000000-0005-0000-0000-00007D0D0000}"/>
    <cellStyle name="Normal 5 76" xfId="3464" xr:uid="{00000000-0005-0000-0000-00007E0D0000}"/>
    <cellStyle name="Normal 5 77" xfId="3465" xr:uid="{00000000-0005-0000-0000-00007F0D0000}"/>
    <cellStyle name="Normal 5 78" xfId="3466" xr:uid="{00000000-0005-0000-0000-0000800D0000}"/>
    <cellStyle name="Normal 5 79" xfId="3467" xr:uid="{00000000-0005-0000-0000-0000810D0000}"/>
    <cellStyle name="Normal 5 8" xfId="3468" xr:uid="{00000000-0005-0000-0000-0000820D0000}"/>
    <cellStyle name="Normal 5 8 2" xfId="3469" xr:uid="{00000000-0005-0000-0000-0000830D0000}"/>
    <cellStyle name="Normal 5 80" xfId="3470" xr:uid="{00000000-0005-0000-0000-0000840D0000}"/>
    <cellStyle name="Normal 5 81" xfId="3471" xr:uid="{00000000-0005-0000-0000-0000850D0000}"/>
    <cellStyle name="Normal 5 82" xfId="3472" xr:uid="{00000000-0005-0000-0000-0000860D0000}"/>
    <cellStyle name="Normal 5 83" xfId="3473" xr:uid="{00000000-0005-0000-0000-0000870D0000}"/>
    <cellStyle name="Normal 5 84" xfId="3474" xr:uid="{00000000-0005-0000-0000-0000880D0000}"/>
    <cellStyle name="Normal 5 85" xfId="3475" xr:uid="{00000000-0005-0000-0000-0000890D0000}"/>
    <cellStyle name="Normal 5 86" xfId="3476" xr:uid="{00000000-0005-0000-0000-00008A0D0000}"/>
    <cellStyle name="Normal 5 87" xfId="3477" xr:uid="{00000000-0005-0000-0000-00008B0D0000}"/>
    <cellStyle name="Normal 5 88" xfId="3478" xr:uid="{00000000-0005-0000-0000-00008C0D0000}"/>
    <cellStyle name="Normal 5 89" xfId="3479" xr:uid="{00000000-0005-0000-0000-00008D0D0000}"/>
    <cellStyle name="Normal 5 9" xfId="3480" xr:uid="{00000000-0005-0000-0000-00008E0D0000}"/>
    <cellStyle name="Normal 5 9 2" xfId="3481" xr:uid="{00000000-0005-0000-0000-00008F0D0000}"/>
    <cellStyle name="Normal 5 90" xfId="3482" xr:uid="{00000000-0005-0000-0000-0000900D0000}"/>
    <cellStyle name="Normal 5 91" xfId="3483" xr:uid="{00000000-0005-0000-0000-0000910D0000}"/>
    <cellStyle name="Normal 5 92" xfId="3484" xr:uid="{00000000-0005-0000-0000-0000920D0000}"/>
    <cellStyle name="Normal 5 93" xfId="3485" xr:uid="{00000000-0005-0000-0000-0000930D0000}"/>
    <cellStyle name="Normal 5 94" xfId="3486" xr:uid="{00000000-0005-0000-0000-0000940D0000}"/>
    <cellStyle name="Normal 5 95" xfId="3487" xr:uid="{00000000-0005-0000-0000-0000950D0000}"/>
    <cellStyle name="Normal 5 96" xfId="3488" xr:uid="{00000000-0005-0000-0000-0000960D0000}"/>
    <cellStyle name="Normal 5 97" xfId="3489" xr:uid="{00000000-0005-0000-0000-0000970D0000}"/>
    <cellStyle name="Normal 5 98" xfId="3490" xr:uid="{00000000-0005-0000-0000-0000980D0000}"/>
    <cellStyle name="Normal 5 99" xfId="3491" xr:uid="{00000000-0005-0000-0000-0000990D0000}"/>
    <cellStyle name="Normal 50" xfId="3492" xr:uid="{00000000-0005-0000-0000-00009A0D0000}"/>
    <cellStyle name="Normal 50 2" xfId="3493" xr:uid="{00000000-0005-0000-0000-00009B0D0000}"/>
    <cellStyle name="Normal 50 3" xfId="3494" xr:uid="{00000000-0005-0000-0000-00009C0D0000}"/>
    <cellStyle name="Normal 50 4" xfId="3495" xr:uid="{00000000-0005-0000-0000-00009D0D0000}"/>
    <cellStyle name="Normal 50 5" xfId="3496" xr:uid="{00000000-0005-0000-0000-00009E0D0000}"/>
    <cellStyle name="Normal 50 6" xfId="3497" xr:uid="{00000000-0005-0000-0000-00009F0D0000}"/>
    <cellStyle name="Normal 50 7" xfId="3498" xr:uid="{00000000-0005-0000-0000-0000A00D0000}"/>
    <cellStyle name="Normal 50 8" xfId="3499" xr:uid="{00000000-0005-0000-0000-0000A10D0000}"/>
    <cellStyle name="Normal 51" xfId="3500" xr:uid="{00000000-0005-0000-0000-0000A20D0000}"/>
    <cellStyle name="Normal 51 2" xfId="3501" xr:uid="{00000000-0005-0000-0000-0000A30D0000}"/>
    <cellStyle name="Normal 51 2 2" xfId="3502" xr:uid="{00000000-0005-0000-0000-0000A40D0000}"/>
    <cellStyle name="Normal 51 2 2 2" xfId="3503" xr:uid="{00000000-0005-0000-0000-0000A50D0000}"/>
    <cellStyle name="Normal 51 2 2 2 2" xfId="3504" xr:uid="{00000000-0005-0000-0000-0000A60D0000}"/>
    <cellStyle name="Normal 51 2 2 3" xfId="3505" xr:uid="{00000000-0005-0000-0000-0000A70D0000}"/>
    <cellStyle name="Normal 51 2 3" xfId="3506" xr:uid="{00000000-0005-0000-0000-0000A80D0000}"/>
    <cellStyle name="Normal 51 2 3 2" xfId="3507" xr:uid="{00000000-0005-0000-0000-0000A90D0000}"/>
    <cellStyle name="Normal 51 2 4" xfId="3508" xr:uid="{00000000-0005-0000-0000-0000AA0D0000}"/>
    <cellStyle name="Normal 51 3" xfId="3509" xr:uid="{00000000-0005-0000-0000-0000AB0D0000}"/>
    <cellStyle name="Normal 51 3 2" xfId="3510" xr:uid="{00000000-0005-0000-0000-0000AC0D0000}"/>
    <cellStyle name="Normal 51 3 2 2" xfId="3511" xr:uid="{00000000-0005-0000-0000-0000AD0D0000}"/>
    <cellStyle name="Normal 51 3 3" xfId="3512" xr:uid="{00000000-0005-0000-0000-0000AE0D0000}"/>
    <cellStyle name="Normal 51 4" xfId="3513" xr:uid="{00000000-0005-0000-0000-0000AF0D0000}"/>
    <cellStyle name="Normal 51 4 2" xfId="3514" xr:uid="{00000000-0005-0000-0000-0000B00D0000}"/>
    <cellStyle name="Normal 51 5" xfId="3515" xr:uid="{00000000-0005-0000-0000-0000B10D0000}"/>
    <cellStyle name="Normal 51 6" xfId="3516" xr:uid="{00000000-0005-0000-0000-0000B20D0000}"/>
    <cellStyle name="Normal 51 7" xfId="3517" xr:uid="{00000000-0005-0000-0000-0000B30D0000}"/>
    <cellStyle name="Normal 51 8" xfId="3518" xr:uid="{00000000-0005-0000-0000-0000B40D0000}"/>
    <cellStyle name="Normal 52" xfId="3519" xr:uid="{00000000-0005-0000-0000-0000B50D0000}"/>
    <cellStyle name="Normal 52 2" xfId="3520" xr:uid="{00000000-0005-0000-0000-0000B60D0000}"/>
    <cellStyle name="Normal 52 2 2" xfId="3521" xr:uid="{00000000-0005-0000-0000-0000B70D0000}"/>
    <cellStyle name="Normal 52 3" xfId="3522" xr:uid="{00000000-0005-0000-0000-0000B80D0000}"/>
    <cellStyle name="Normal 52 4" xfId="3523" xr:uid="{00000000-0005-0000-0000-0000B90D0000}"/>
    <cellStyle name="Normal 52 5" xfId="3524" xr:uid="{00000000-0005-0000-0000-0000BA0D0000}"/>
    <cellStyle name="Normal 52 6" xfId="3525" xr:uid="{00000000-0005-0000-0000-0000BB0D0000}"/>
    <cellStyle name="Normal 52 7" xfId="3526" xr:uid="{00000000-0005-0000-0000-0000BC0D0000}"/>
    <cellStyle name="Normal 52 8" xfId="3527" xr:uid="{00000000-0005-0000-0000-0000BD0D0000}"/>
    <cellStyle name="Normal 53" xfId="3528" xr:uid="{00000000-0005-0000-0000-0000BE0D0000}"/>
    <cellStyle name="Normal 53 2" xfId="3529" xr:uid="{00000000-0005-0000-0000-0000BF0D0000}"/>
    <cellStyle name="Normal 53 2 2" xfId="3530" xr:uid="{00000000-0005-0000-0000-0000C00D0000}"/>
    <cellStyle name="Normal 53 2 2 2" xfId="3531" xr:uid="{00000000-0005-0000-0000-0000C10D0000}"/>
    <cellStyle name="Normal 53 2 3" xfId="3532" xr:uid="{00000000-0005-0000-0000-0000C20D0000}"/>
    <cellStyle name="Normal 53 3" xfId="3533" xr:uid="{00000000-0005-0000-0000-0000C30D0000}"/>
    <cellStyle name="Normal 53 3 2" xfId="3534" xr:uid="{00000000-0005-0000-0000-0000C40D0000}"/>
    <cellStyle name="Normal 53 4" xfId="3535" xr:uid="{00000000-0005-0000-0000-0000C50D0000}"/>
    <cellStyle name="Normal 53 5" xfId="3536" xr:uid="{00000000-0005-0000-0000-0000C60D0000}"/>
    <cellStyle name="Normal 53 6" xfId="3537" xr:uid="{00000000-0005-0000-0000-0000C70D0000}"/>
    <cellStyle name="Normal 53 7" xfId="3538" xr:uid="{00000000-0005-0000-0000-0000C80D0000}"/>
    <cellStyle name="Normal 53 8" xfId="3539" xr:uid="{00000000-0005-0000-0000-0000C90D0000}"/>
    <cellStyle name="Normal 54" xfId="3540" xr:uid="{00000000-0005-0000-0000-0000CA0D0000}"/>
    <cellStyle name="Normal 54 2" xfId="3541" xr:uid="{00000000-0005-0000-0000-0000CB0D0000}"/>
    <cellStyle name="Normal 54 3" xfId="3542" xr:uid="{00000000-0005-0000-0000-0000CC0D0000}"/>
    <cellStyle name="Normal 54 4" xfId="3543" xr:uid="{00000000-0005-0000-0000-0000CD0D0000}"/>
    <cellStyle name="Normal 54 5" xfId="3544" xr:uid="{00000000-0005-0000-0000-0000CE0D0000}"/>
    <cellStyle name="Normal 54 6" xfId="3545" xr:uid="{00000000-0005-0000-0000-0000CF0D0000}"/>
    <cellStyle name="Normal 54 7" xfId="3546" xr:uid="{00000000-0005-0000-0000-0000D00D0000}"/>
    <cellStyle name="Normal 54 8" xfId="3547" xr:uid="{00000000-0005-0000-0000-0000D10D0000}"/>
    <cellStyle name="Normal 55" xfId="3548" xr:uid="{00000000-0005-0000-0000-0000D20D0000}"/>
    <cellStyle name="Normal 55 2" xfId="3549" xr:uid="{00000000-0005-0000-0000-0000D30D0000}"/>
    <cellStyle name="Normal 55 3" xfId="3550" xr:uid="{00000000-0005-0000-0000-0000D40D0000}"/>
    <cellStyle name="Normal 55 4" xfId="3551" xr:uid="{00000000-0005-0000-0000-0000D50D0000}"/>
    <cellStyle name="Normal 55 5" xfId="3552" xr:uid="{00000000-0005-0000-0000-0000D60D0000}"/>
    <cellStyle name="Normal 55 6" xfId="3553" xr:uid="{00000000-0005-0000-0000-0000D70D0000}"/>
    <cellStyle name="Normal 55 7" xfId="3554" xr:uid="{00000000-0005-0000-0000-0000D80D0000}"/>
    <cellStyle name="Normal 55 8" xfId="3555" xr:uid="{00000000-0005-0000-0000-0000D90D0000}"/>
    <cellStyle name="Normal 56" xfId="3556" xr:uid="{00000000-0005-0000-0000-0000DA0D0000}"/>
    <cellStyle name="Normal 56 2" xfId="3557" xr:uid="{00000000-0005-0000-0000-0000DB0D0000}"/>
    <cellStyle name="Normal 56 3" xfId="3558" xr:uid="{00000000-0005-0000-0000-0000DC0D0000}"/>
    <cellStyle name="Normal 56 4" xfId="3559" xr:uid="{00000000-0005-0000-0000-0000DD0D0000}"/>
    <cellStyle name="Normal 56 5" xfId="3560" xr:uid="{00000000-0005-0000-0000-0000DE0D0000}"/>
    <cellStyle name="Normal 56 6" xfId="3561" xr:uid="{00000000-0005-0000-0000-0000DF0D0000}"/>
    <cellStyle name="Normal 56 7" xfId="3562" xr:uid="{00000000-0005-0000-0000-0000E00D0000}"/>
    <cellStyle name="Normal 56 8" xfId="3563" xr:uid="{00000000-0005-0000-0000-0000E10D0000}"/>
    <cellStyle name="Normal 57" xfId="3564" xr:uid="{00000000-0005-0000-0000-0000E20D0000}"/>
    <cellStyle name="Normal 57 2" xfId="3565" xr:uid="{00000000-0005-0000-0000-0000E30D0000}"/>
    <cellStyle name="Normal 57 3" xfId="3566" xr:uid="{00000000-0005-0000-0000-0000E40D0000}"/>
    <cellStyle name="Normal 57 4" xfId="3567" xr:uid="{00000000-0005-0000-0000-0000E50D0000}"/>
    <cellStyle name="Normal 57 5" xfId="3568" xr:uid="{00000000-0005-0000-0000-0000E60D0000}"/>
    <cellStyle name="Normal 57 6" xfId="3569" xr:uid="{00000000-0005-0000-0000-0000E70D0000}"/>
    <cellStyle name="Normal 57 7" xfId="3570" xr:uid="{00000000-0005-0000-0000-0000E80D0000}"/>
    <cellStyle name="Normal 57 8" xfId="3571" xr:uid="{00000000-0005-0000-0000-0000E90D0000}"/>
    <cellStyle name="Normal 58" xfId="3572" xr:uid="{00000000-0005-0000-0000-0000EA0D0000}"/>
    <cellStyle name="Normal 58 2" xfId="3573" xr:uid="{00000000-0005-0000-0000-0000EB0D0000}"/>
    <cellStyle name="Normal 58 3" xfId="3574" xr:uid="{00000000-0005-0000-0000-0000EC0D0000}"/>
    <cellStyle name="Normal 58 4" xfId="3575" xr:uid="{00000000-0005-0000-0000-0000ED0D0000}"/>
    <cellStyle name="Normal 58 5" xfId="3576" xr:uid="{00000000-0005-0000-0000-0000EE0D0000}"/>
    <cellStyle name="Normal 58 6" xfId="3577" xr:uid="{00000000-0005-0000-0000-0000EF0D0000}"/>
    <cellStyle name="Normal 58 7" xfId="3578" xr:uid="{00000000-0005-0000-0000-0000F00D0000}"/>
    <cellStyle name="Normal 58 8" xfId="3579" xr:uid="{00000000-0005-0000-0000-0000F10D0000}"/>
    <cellStyle name="Normal 59" xfId="3580" xr:uid="{00000000-0005-0000-0000-0000F20D0000}"/>
    <cellStyle name="Normal 59 2" xfId="3581" xr:uid="{00000000-0005-0000-0000-0000F30D0000}"/>
    <cellStyle name="Normal 59 3" xfId="3582" xr:uid="{00000000-0005-0000-0000-0000F40D0000}"/>
    <cellStyle name="Normal 59 4" xfId="3583" xr:uid="{00000000-0005-0000-0000-0000F50D0000}"/>
    <cellStyle name="Normal 59 5" xfId="3584" xr:uid="{00000000-0005-0000-0000-0000F60D0000}"/>
    <cellStyle name="Normal 59 6" xfId="3585" xr:uid="{00000000-0005-0000-0000-0000F70D0000}"/>
    <cellStyle name="Normal 59 7" xfId="3586" xr:uid="{00000000-0005-0000-0000-0000F80D0000}"/>
    <cellStyle name="Normal 59 8" xfId="3587" xr:uid="{00000000-0005-0000-0000-0000F90D0000}"/>
    <cellStyle name="Normal 6" xfId="3588" xr:uid="{00000000-0005-0000-0000-0000FA0D0000}"/>
    <cellStyle name="Normal-- 6" xfId="3589" xr:uid="{00000000-0005-0000-0000-0000FB0D0000}"/>
    <cellStyle name="Normal 6 10" xfId="3590" xr:uid="{00000000-0005-0000-0000-0000FC0D0000}"/>
    <cellStyle name="Normal 6 10 2" xfId="3591" xr:uid="{00000000-0005-0000-0000-0000FD0D0000}"/>
    <cellStyle name="Normal 6 100" xfId="3592" xr:uid="{00000000-0005-0000-0000-0000FE0D0000}"/>
    <cellStyle name="Normal 6 101" xfId="3593" xr:uid="{00000000-0005-0000-0000-0000FF0D0000}"/>
    <cellStyle name="Normal 6 102" xfId="3594" xr:uid="{00000000-0005-0000-0000-0000000E0000}"/>
    <cellStyle name="Normal 6 103" xfId="3595" xr:uid="{00000000-0005-0000-0000-0000010E0000}"/>
    <cellStyle name="Normal 6 104" xfId="3596" xr:uid="{00000000-0005-0000-0000-0000020E0000}"/>
    <cellStyle name="Normal 6 105" xfId="3597" xr:uid="{00000000-0005-0000-0000-0000030E0000}"/>
    <cellStyle name="Normal 6 106" xfId="3598" xr:uid="{00000000-0005-0000-0000-0000040E0000}"/>
    <cellStyle name="Normal 6 107" xfId="3599" xr:uid="{00000000-0005-0000-0000-0000050E0000}"/>
    <cellStyle name="Normal 6 108" xfId="3600" xr:uid="{00000000-0005-0000-0000-0000060E0000}"/>
    <cellStyle name="Normal 6 109" xfId="3601" xr:uid="{00000000-0005-0000-0000-0000070E0000}"/>
    <cellStyle name="Normal 6 11" xfId="3602" xr:uid="{00000000-0005-0000-0000-0000080E0000}"/>
    <cellStyle name="Normal 6 11 2" xfId="3603" xr:uid="{00000000-0005-0000-0000-0000090E0000}"/>
    <cellStyle name="Normal 6 110" xfId="3604" xr:uid="{00000000-0005-0000-0000-00000A0E0000}"/>
    <cellStyle name="Normal 6 111" xfId="3605" xr:uid="{00000000-0005-0000-0000-00000B0E0000}"/>
    <cellStyle name="Normal 6 112" xfId="3606" xr:uid="{00000000-0005-0000-0000-00000C0E0000}"/>
    <cellStyle name="Normal 6 113" xfId="3607" xr:uid="{00000000-0005-0000-0000-00000D0E0000}"/>
    <cellStyle name="Normal 6 114" xfId="3608" xr:uid="{00000000-0005-0000-0000-00000E0E0000}"/>
    <cellStyle name="Normal 6 115" xfId="3609" xr:uid="{00000000-0005-0000-0000-00000F0E0000}"/>
    <cellStyle name="Normal 6 116" xfId="3610" xr:uid="{00000000-0005-0000-0000-0000100E0000}"/>
    <cellStyle name="Normal 6 117" xfId="3611" xr:uid="{00000000-0005-0000-0000-0000110E0000}"/>
    <cellStyle name="Normal 6 118" xfId="4596" xr:uid="{00000000-0005-0000-0000-000052220000}"/>
    <cellStyle name="Normal 6 12" xfId="3612" xr:uid="{00000000-0005-0000-0000-0000120E0000}"/>
    <cellStyle name="Normal 6 12 2" xfId="3613" xr:uid="{00000000-0005-0000-0000-0000130E0000}"/>
    <cellStyle name="Normal 6 13" xfId="3614" xr:uid="{00000000-0005-0000-0000-0000140E0000}"/>
    <cellStyle name="Normal 6 13 2" xfId="3615" xr:uid="{00000000-0005-0000-0000-0000150E0000}"/>
    <cellStyle name="Normal 6 14" xfId="3616" xr:uid="{00000000-0005-0000-0000-0000160E0000}"/>
    <cellStyle name="Normal 6 14 2" xfId="3617" xr:uid="{00000000-0005-0000-0000-0000170E0000}"/>
    <cellStyle name="Normal 6 15" xfId="3618" xr:uid="{00000000-0005-0000-0000-0000180E0000}"/>
    <cellStyle name="Normal 6 15 2" xfId="3619" xr:uid="{00000000-0005-0000-0000-0000190E0000}"/>
    <cellStyle name="Normal 6 16" xfId="3620" xr:uid="{00000000-0005-0000-0000-00001A0E0000}"/>
    <cellStyle name="Normal 6 16 2" xfId="3621" xr:uid="{00000000-0005-0000-0000-00001B0E0000}"/>
    <cellStyle name="Normal 6 17" xfId="3622" xr:uid="{00000000-0005-0000-0000-00001C0E0000}"/>
    <cellStyle name="Normal 6 17 2" xfId="3623" xr:uid="{00000000-0005-0000-0000-00001D0E0000}"/>
    <cellStyle name="Normal 6 18" xfId="3624" xr:uid="{00000000-0005-0000-0000-00001E0E0000}"/>
    <cellStyle name="Normal 6 18 2" xfId="3625" xr:uid="{00000000-0005-0000-0000-00001F0E0000}"/>
    <cellStyle name="Normal 6 19" xfId="3626" xr:uid="{00000000-0005-0000-0000-0000200E0000}"/>
    <cellStyle name="Normal 6 19 2" xfId="3627" xr:uid="{00000000-0005-0000-0000-0000210E0000}"/>
    <cellStyle name="Normal 6 2" xfId="3628" xr:uid="{00000000-0005-0000-0000-0000220E0000}"/>
    <cellStyle name="Normal 6 2 2" xfId="3629" xr:uid="{00000000-0005-0000-0000-0000230E0000}"/>
    <cellStyle name="Normal 6 2 3" xfId="3630" xr:uid="{00000000-0005-0000-0000-0000240E0000}"/>
    <cellStyle name="Normal 6 2 4" xfId="3631" xr:uid="{00000000-0005-0000-0000-0000250E0000}"/>
    <cellStyle name="Normal 6 2 5" xfId="3632" xr:uid="{00000000-0005-0000-0000-0000260E0000}"/>
    <cellStyle name="Normal 6 20" xfId="3633" xr:uid="{00000000-0005-0000-0000-0000270E0000}"/>
    <cellStyle name="Normal 6 20 2" xfId="3634" xr:uid="{00000000-0005-0000-0000-0000280E0000}"/>
    <cellStyle name="Normal 6 21" xfId="3635" xr:uid="{00000000-0005-0000-0000-0000290E0000}"/>
    <cellStyle name="Normal 6 21 2" xfId="3636" xr:uid="{00000000-0005-0000-0000-00002A0E0000}"/>
    <cellStyle name="Normal 6 21 2 2" xfId="3637" xr:uid="{00000000-0005-0000-0000-00002B0E0000}"/>
    <cellStyle name="Normal 6 21 3" xfId="3638" xr:uid="{00000000-0005-0000-0000-00002C0E0000}"/>
    <cellStyle name="Normal 6 21 4" xfId="3639" xr:uid="{00000000-0005-0000-0000-00002D0E0000}"/>
    <cellStyle name="Normal 6 22" xfId="3640" xr:uid="{00000000-0005-0000-0000-00002E0E0000}"/>
    <cellStyle name="Normal 6 22 2" xfId="3641" xr:uid="{00000000-0005-0000-0000-00002F0E0000}"/>
    <cellStyle name="Normal 6 22 2 2" xfId="3642" xr:uid="{00000000-0005-0000-0000-0000300E0000}"/>
    <cellStyle name="Normal 6 22 3" xfId="3643" xr:uid="{00000000-0005-0000-0000-0000310E0000}"/>
    <cellStyle name="Normal 6 22 4" xfId="3644" xr:uid="{00000000-0005-0000-0000-0000320E0000}"/>
    <cellStyle name="Normal 6 23" xfId="3645" xr:uid="{00000000-0005-0000-0000-0000330E0000}"/>
    <cellStyle name="Normal 6 23 2" xfId="3646" xr:uid="{00000000-0005-0000-0000-0000340E0000}"/>
    <cellStyle name="Normal 6 24" xfId="3647" xr:uid="{00000000-0005-0000-0000-0000350E0000}"/>
    <cellStyle name="Normal 6 24 2" xfId="3648" xr:uid="{00000000-0005-0000-0000-0000360E0000}"/>
    <cellStyle name="Normal 6 25" xfId="3649" xr:uid="{00000000-0005-0000-0000-0000370E0000}"/>
    <cellStyle name="Normal 6 25 2" xfId="3650" xr:uid="{00000000-0005-0000-0000-0000380E0000}"/>
    <cellStyle name="Normal 6 26" xfId="3651" xr:uid="{00000000-0005-0000-0000-0000390E0000}"/>
    <cellStyle name="Normal 6 26 2" xfId="3652" xr:uid="{00000000-0005-0000-0000-00003A0E0000}"/>
    <cellStyle name="Normal 6 27" xfId="3653" xr:uid="{00000000-0005-0000-0000-00003B0E0000}"/>
    <cellStyle name="Normal 6 27 2" xfId="3654" xr:uid="{00000000-0005-0000-0000-00003C0E0000}"/>
    <cellStyle name="Normal 6 28" xfId="3655" xr:uid="{00000000-0005-0000-0000-00003D0E0000}"/>
    <cellStyle name="Normal 6 28 2" xfId="3656" xr:uid="{00000000-0005-0000-0000-00003E0E0000}"/>
    <cellStyle name="Normal 6 29" xfId="3657" xr:uid="{00000000-0005-0000-0000-00003F0E0000}"/>
    <cellStyle name="Normal 6 29 2" xfId="3658" xr:uid="{00000000-0005-0000-0000-0000400E0000}"/>
    <cellStyle name="Normal 6 3" xfId="3659" xr:uid="{00000000-0005-0000-0000-0000410E0000}"/>
    <cellStyle name="Normal 6 3 2" xfId="3660" xr:uid="{00000000-0005-0000-0000-0000420E0000}"/>
    <cellStyle name="Normal 6 3 3" xfId="3661" xr:uid="{00000000-0005-0000-0000-0000430E0000}"/>
    <cellStyle name="Normal 6 3 4" xfId="3662" xr:uid="{00000000-0005-0000-0000-0000440E0000}"/>
    <cellStyle name="Normal 6 30" xfId="3663" xr:uid="{00000000-0005-0000-0000-0000450E0000}"/>
    <cellStyle name="Normal 6 31" xfId="3664" xr:uid="{00000000-0005-0000-0000-0000460E0000}"/>
    <cellStyle name="Normal 6 32" xfId="3665" xr:uid="{00000000-0005-0000-0000-0000470E0000}"/>
    <cellStyle name="Normal 6 33" xfId="3666" xr:uid="{00000000-0005-0000-0000-0000480E0000}"/>
    <cellStyle name="Normal 6 34" xfId="3667" xr:uid="{00000000-0005-0000-0000-0000490E0000}"/>
    <cellStyle name="Normal 6 35" xfId="3668" xr:uid="{00000000-0005-0000-0000-00004A0E0000}"/>
    <cellStyle name="Normal 6 36" xfId="3669" xr:uid="{00000000-0005-0000-0000-00004B0E0000}"/>
    <cellStyle name="Normal 6 37" xfId="3670" xr:uid="{00000000-0005-0000-0000-00004C0E0000}"/>
    <cellStyle name="Normal 6 38" xfId="3671" xr:uid="{00000000-0005-0000-0000-00004D0E0000}"/>
    <cellStyle name="Normal 6 39" xfId="3672" xr:uid="{00000000-0005-0000-0000-00004E0E0000}"/>
    <cellStyle name="Normal 6 4" xfId="3673" xr:uid="{00000000-0005-0000-0000-00004F0E0000}"/>
    <cellStyle name="Normal 6 4 2" xfId="3674" xr:uid="{00000000-0005-0000-0000-0000500E0000}"/>
    <cellStyle name="Normal 6 40" xfId="3675" xr:uid="{00000000-0005-0000-0000-0000510E0000}"/>
    <cellStyle name="Normal 6 41" xfId="3676" xr:uid="{00000000-0005-0000-0000-0000520E0000}"/>
    <cellStyle name="Normal 6 42" xfId="3677" xr:uid="{00000000-0005-0000-0000-0000530E0000}"/>
    <cellStyle name="Normal 6 43" xfId="3678" xr:uid="{00000000-0005-0000-0000-0000540E0000}"/>
    <cellStyle name="Normal 6 44" xfId="3679" xr:uid="{00000000-0005-0000-0000-0000550E0000}"/>
    <cellStyle name="Normal 6 45" xfId="3680" xr:uid="{00000000-0005-0000-0000-0000560E0000}"/>
    <cellStyle name="Normal 6 46" xfId="3681" xr:uid="{00000000-0005-0000-0000-0000570E0000}"/>
    <cellStyle name="Normal 6 47" xfId="3682" xr:uid="{00000000-0005-0000-0000-0000580E0000}"/>
    <cellStyle name="Normal 6 48" xfId="3683" xr:uid="{00000000-0005-0000-0000-0000590E0000}"/>
    <cellStyle name="Normal 6 49" xfId="3684" xr:uid="{00000000-0005-0000-0000-00005A0E0000}"/>
    <cellStyle name="Normal 6 5" xfId="3685" xr:uid="{00000000-0005-0000-0000-00005B0E0000}"/>
    <cellStyle name="Normal 6 5 2" xfId="3686" xr:uid="{00000000-0005-0000-0000-00005C0E0000}"/>
    <cellStyle name="Normal 6 50" xfId="3687" xr:uid="{00000000-0005-0000-0000-00005D0E0000}"/>
    <cellStyle name="Normal 6 51" xfId="3688" xr:uid="{00000000-0005-0000-0000-00005E0E0000}"/>
    <cellStyle name="Normal 6 52" xfId="3689" xr:uid="{00000000-0005-0000-0000-00005F0E0000}"/>
    <cellStyle name="Normal 6 53" xfId="3690" xr:uid="{00000000-0005-0000-0000-0000600E0000}"/>
    <cellStyle name="Normal 6 54" xfId="3691" xr:uid="{00000000-0005-0000-0000-0000610E0000}"/>
    <cellStyle name="Normal 6 55" xfId="3692" xr:uid="{00000000-0005-0000-0000-0000620E0000}"/>
    <cellStyle name="Normal 6 56" xfId="3693" xr:uid="{00000000-0005-0000-0000-0000630E0000}"/>
    <cellStyle name="Normal 6 57" xfId="3694" xr:uid="{00000000-0005-0000-0000-0000640E0000}"/>
    <cellStyle name="Normal 6 58" xfId="3695" xr:uid="{00000000-0005-0000-0000-0000650E0000}"/>
    <cellStyle name="Normal 6 59" xfId="3696" xr:uid="{00000000-0005-0000-0000-0000660E0000}"/>
    <cellStyle name="Normal 6 6" xfId="3697" xr:uid="{00000000-0005-0000-0000-0000670E0000}"/>
    <cellStyle name="Normal 6 6 2" xfId="3698" xr:uid="{00000000-0005-0000-0000-0000680E0000}"/>
    <cellStyle name="Normal 6 60" xfId="3699" xr:uid="{00000000-0005-0000-0000-0000690E0000}"/>
    <cellStyle name="Normal 6 61" xfId="3700" xr:uid="{00000000-0005-0000-0000-00006A0E0000}"/>
    <cellStyle name="Normal 6 62" xfId="3701" xr:uid="{00000000-0005-0000-0000-00006B0E0000}"/>
    <cellStyle name="Normal 6 63" xfId="3702" xr:uid="{00000000-0005-0000-0000-00006C0E0000}"/>
    <cellStyle name="Normal 6 64" xfId="3703" xr:uid="{00000000-0005-0000-0000-00006D0E0000}"/>
    <cellStyle name="Normal 6 65" xfId="3704" xr:uid="{00000000-0005-0000-0000-00006E0E0000}"/>
    <cellStyle name="Normal 6 66" xfId="3705" xr:uid="{00000000-0005-0000-0000-00006F0E0000}"/>
    <cellStyle name="Normal 6 67" xfId="3706" xr:uid="{00000000-0005-0000-0000-0000700E0000}"/>
    <cellStyle name="Normal 6 68" xfId="3707" xr:uid="{00000000-0005-0000-0000-0000710E0000}"/>
    <cellStyle name="Normal 6 69" xfId="3708" xr:uid="{00000000-0005-0000-0000-0000720E0000}"/>
    <cellStyle name="Normal 6 7" xfId="3709" xr:uid="{00000000-0005-0000-0000-0000730E0000}"/>
    <cellStyle name="Normal 6 7 2" xfId="3710" xr:uid="{00000000-0005-0000-0000-0000740E0000}"/>
    <cellStyle name="Normal 6 70" xfId="3711" xr:uid="{00000000-0005-0000-0000-0000750E0000}"/>
    <cellStyle name="Normal 6 71" xfId="3712" xr:uid="{00000000-0005-0000-0000-0000760E0000}"/>
    <cellStyle name="Normal 6 72" xfId="3713" xr:uid="{00000000-0005-0000-0000-0000770E0000}"/>
    <cellStyle name="Normal 6 73" xfId="3714" xr:uid="{00000000-0005-0000-0000-0000780E0000}"/>
    <cellStyle name="Normal 6 74" xfId="3715" xr:uid="{00000000-0005-0000-0000-0000790E0000}"/>
    <cellStyle name="Normal 6 75" xfId="3716" xr:uid="{00000000-0005-0000-0000-00007A0E0000}"/>
    <cellStyle name="Normal 6 76" xfId="3717" xr:uid="{00000000-0005-0000-0000-00007B0E0000}"/>
    <cellStyle name="Normal 6 77" xfId="3718" xr:uid="{00000000-0005-0000-0000-00007C0E0000}"/>
    <cellStyle name="Normal 6 78" xfId="3719" xr:uid="{00000000-0005-0000-0000-00007D0E0000}"/>
    <cellStyle name="Normal 6 79" xfId="3720" xr:uid="{00000000-0005-0000-0000-00007E0E0000}"/>
    <cellStyle name="Normal 6 8" xfId="3721" xr:uid="{00000000-0005-0000-0000-00007F0E0000}"/>
    <cellStyle name="Normal 6 8 2" xfId="3722" xr:uid="{00000000-0005-0000-0000-0000800E0000}"/>
    <cellStyle name="Normal 6 80" xfId="3723" xr:uid="{00000000-0005-0000-0000-0000810E0000}"/>
    <cellStyle name="Normal 6 81" xfId="3724" xr:uid="{00000000-0005-0000-0000-0000820E0000}"/>
    <cellStyle name="Normal 6 82" xfId="3725" xr:uid="{00000000-0005-0000-0000-0000830E0000}"/>
    <cellStyle name="Normal 6 83" xfId="3726" xr:uid="{00000000-0005-0000-0000-0000840E0000}"/>
    <cellStyle name="Normal 6 84" xfId="3727" xr:uid="{00000000-0005-0000-0000-0000850E0000}"/>
    <cellStyle name="Normal 6 85" xfId="3728" xr:uid="{00000000-0005-0000-0000-0000860E0000}"/>
    <cellStyle name="Normal 6 86" xfId="3729" xr:uid="{00000000-0005-0000-0000-0000870E0000}"/>
    <cellStyle name="Normal 6 87" xfId="3730" xr:uid="{00000000-0005-0000-0000-0000880E0000}"/>
    <cellStyle name="Normal 6 88" xfId="3731" xr:uid="{00000000-0005-0000-0000-0000890E0000}"/>
    <cellStyle name="Normal 6 89" xfId="3732" xr:uid="{00000000-0005-0000-0000-00008A0E0000}"/>
    <cellStyle name="Normal 6 9" xfId="3733" xr:uid="{00000000-0005-0000-0000-00008B0E0000}"/>
    <cellStyle name="Normal 6 9 2" xfId="3734" xr:uid="{00000000-0005-0000-0000-00008C0E0000}"/>
    <cellStyle name="Normal 6 90" xfId="3735" xr:uid="{00000000-0005-0000-0000-00008D0E0000}"/>
    <cellStyle name="Normal 6 91" xfId="3736" xr:uid="{00000000-0005-0000-0000-00008E0E0000}"/>
    <cellStyle name="Normal 6 92" xfId="3737" xr:uid="{00000000-0005-0000-0000-00008F0E0000}"/>
    <cellStyle name="Normal 6 93" xfId="3738" xr:uid="{00000000-0005-0000-0000-0000900E0000}"/>
    <cellStyle name="Normal 6 94" xfId="3739" xr:uid="{00000000-0005-0000-0000-0000910E0000}"/>
    <cellStyle name="Normal 6 95" xfId="3740" xr:uid="{00000000-0005-0000-0000-0000920E0000}"/>
    <cellStyle name="Normal 6 96" xfId="3741" xr:uid="{00000000-0005-0000-0000-0000930E0000}"/>
    <cellStyle name="Normal 6 97" xfId="3742" xr:uid="{00000000-0005-0000-0000-0000940E0000}"/>
    <cellStyle name="Normal 6 98" xfId="3743" xr:uid="{00000000-0005-0000-0000-0000950E0000}"/>
    <cellStyle name="Normal 6 99" xfId="3744" xr:uid="{00000000-0005-0000-0000-0000960E0000}"/>
    <cellStyle name="Normal 60 2" xfId="3745" xr:uid="{00000000-0005-0000-0000-0000970E0000}"/>
    <cellStyle name="Normal 60 3" xfId="3746" xr:uid="{00000000-0005-0000-0000-0000980E0000}"/>
    <cellStyle name="Normal 60 4" xfId="3747" xr:uid="{00000000-0005-0000-0000-0000990E0000}"/>
    <cellStyle name="Normal 60 5" xfId="3748" xr:uid="{00000000-0005-0000-0000-00009A0E0000}"/>
    <cellStyle name="Normal 60 6" xfId="3749" xr:uid="{00000000-0005-0000-0000-00009B0E0000}"/>
    <cellStyle name="Normal 60 7" xfId="3750" xr:uid="{00000000-0005-0000-0000-00009C0E0000}"/>
    <cellStyle name="Normal 60 8" xfId="3751" xr:uid="{00000000-0005-0000-0000-00009D0E0000}"/>
    <cellStyle name="Normal 61 2" xfId="3752" xr:uid="{00000000-0005-0000-0000-00009E0E0000}"/>
    <cellStyle name="Normal 61 3" xfId="3753" xr:uid="{00000000-0005-0000-0000-00009F0E0000}"/>
    <cellStyle name="Normal 61 4" xfId="3754" xr:uid="{00000000-0005-0000-0000-0000A00E0000}"/>
    <cellStyle name="Normal 61 5" xfId="3755" xr:uid="{00000000-0005-0000-0000-0000A10E0000}"/>
    <cellStyle name="Normal 61 6" xfId="3756" xr:uid="{00000000-0005-0000-0000-0000A20E0000}"/>
    <cellStyle name="Normal 61 7" xfId="3757" xr:uid="{00000000-0005-0000-0000-0000A30E0000}"/>
    <cellStyle name="Normal 61 8" xfId="3758" xr:uid="{00000000-0005-0000-0000-0000A40E0000}"/>
    <cellStyle name="Normal 62 2" xfId="3759" xr:uid="{00000000-0005-0000-0000-0000A50E0000}"/>
    <cellStyle name="Normal 62 3" xfId="3760" xr:uid="{00000000-0005-0000-0000-0000A60E0000}"/>
    <cellStyle name="Normal 62 4" xfId="3761" xr:uid="{00000000-0005-0000-0000-0000A70E0000}"/>
    <cellStyle name="Normal 62 5" xfId="3762" xr:uid="{00000000-0005-0000-0000-0000A80E0000}"/>
    <cellStyle name="Normal 62 6" xfId="3763" xr:uid="{00000000-0005-0000-0000-0000A90E0000}"/>
    <cellStyle name="Normal 62 7" xfId="3764" xr:uid="{00000000-0005-0000-0000-0000AA0E0000}"/>
    <cellStyle name="Normal 62 8" xfId="3765" xr:uid="{00000000-0005-0000-0000-0000AB0E0000}"/>
    <cellStyle name="Normal 63 2" xfId="3766" xr:uid="{00000000-0005-0000-0000-0000AC0E0000}"/>
    <cellStyle name="Normal 63 3" xfId="3767" xr:uid="{00000000-0005-0000-0000-0000AD0E0000}"/>
    <cellStyle name="Normal 63 4" xfId="3768" xr:uid="{00000000-0005-0000-0000-0000AE0E0000}"/>
    <cellStyle name="Normal 63 5" xfId="3769" xr:uid="{00000000-0005-0000-0000-0000AF0E0000}"/>
    <cellStyle name="Normal 63 6" xfId="3770" xr:uid="{00000000-0005-0000-0000-0000B00E0000}"/>
    <cellStyle name="Normal 63 7" xfId="3771" xr:uid="{00000000-0005-0000-0000-0000B10E0000}"/>
    <cellStyle name="Normal 63 8" xfId="3772" xr:uid="{00000000-0005-0000-0000-0000B20E0000}"/>
    <cellStyle name="Normal 64 2" xfId="3773" xr:uid="{00000000-0005-0000-0000-0000B30E0000}"/>
    <cellStyle name="Normal 64 3" xfId="3774" xr:uid="{00000000-0005-0000-0000-0000B40E0000}"/>
    <cellStyle name="Normal 64 4" xfId="3775" xr:uid="{00000000-0005-0000-0000-0000B50E0000}"/>
    <cellStyle name="Normal 64 5" xfId="3776" xr:uid="{00000000-0005-0000-0000-0000B60E0000}"/>
    <cellStyle name="Normal 64 6" xfId="3777" xr:uid="{00000000-0005-0000-0000-0000B70E0000}"/>
    <cellStyle name="Normal 64 7" xfId="3778" xr:uid="{00000000-0005-0000-0000-0000B80E0000}"/>
    <cellStyle name="Normal 64 8" xfId="3779" xr:uid="{00000000-0005-0000-0000-0000B90E0000}"/>
    <cellStyle name="Normal 65" xfId="3780" xr:uid="{00000000-0005-0000-0000-0000BA0E0000}"/>
    <cellStyle name="Normal 65 2" xfId="3781" xr:uid="{00000000-0005-0000-0000-0000BB0E0000}"/>
    <cellStyle name="Normal 65 3" xfId="3782" xr:uid="{00000000-0005-0000-0000-0000BC0E0000}"/>
    <cellStyle name="Normal 65 4" xfId="3783" xr:uid="{00000000-0005-0000-0000-0000BD0E0000}"/>
    <cellStyle name="Normal 65 5" xfId="3784" xr:uid="{00000000-0005-0000-0000-0000BE0E0000}"/>
    <cellStyle name="Normal 65 6" xfId="3785" xr:uid="{00000000-0005-0000-0000-0000BF0E0000}"/>
    <cellStyle name="Normal 65 7" xfId="3786" xr:uid="{00000000-0005-0000-0000-0000C00E0000}"/>
    <cellStyle name="Normal 65 8" xfId="3787" xr:uid="{00000000-0005-0000-0000-0000C10E0000}"/>
    <cellStyle name="Normal 67 2" xfId="3788" xr:uid="{00000000-0005-0000-0000-0000C20E0000}"/>
    <cellStyle name="Normal 67 3" xfId="3789" xr:uid="{00000000-0005-0000-0000-0000C30E0000}"/>
    <cellStyle name="Normal 67 4" xfId="3790" xr:uid="{00000000-0005-0000-0000-0000C40E0000}"/>
    <cellStyle name="Normal 67 5" xfId="3791" xr:uid="{00000000-0005-0000-0000-0000C50E0000}"/>
    <cellStyle name="Normal 67 6" xfId="3792" xr:uid="{00000000-0005-0000-0000-0000C60E0000}"/>
    <cellStyle name="Normal 67 7" xfId="3793" xr:uid="{00000000-0005-0000-0000-0000C70E0000}"/>
    <cellStyle name="Normal 67 8" xfId="3794" xr:uid="{00000000-0005-0000-0000-0000C80E0000}"/>
    <cellStyle name="Normal 69 2" xfId="3795" xr:uid="{00000000-0005-0000-0000-0000C90E0000}"/>
    <cellStyle name="Normal 69 3" xfId="3796" xr:uid="{00000000-0005-0000-0000-0000CA0E0000}"/>
    <cellStyle name="Normal 69 4" xfId="3797" xr:uid="{00000000-0005-0000-0000-0000CB0E0000}"/>
    <cellStyle name="Normal 69 5" xfId="3798" xr:uid="{00000000-0005-0000-0000-0000CC0E0000}"/>
    <cellStyle name="Normal 69 6" xfId="3799" xr:uid="{00000000-0005-0000-0000-0000CD0E0000}"/>
    <cellStyle name="Normal 69 7" xfId="3800" xr:uid="{00000000-0005-0000-0000-0000CE0E0000}"/>
    <cellStyle name="Normal 69 8" xfId="3801" xr:uid="{00000000-0005-0000-0000-0000CF0E0000}"/>
    <cellStyle name="Normal 7" xfId="7" xr:uid="{00000000-0005-0000-0000-000007000000}"/>
    <cellStyle name="Normal-- 7" xfId="3803" xr:uid="{00000000-0005-0000-0000-0000D10E0000}"/>
    <cellStyle name="Normal 7 10" xfId="3804" xr:uid="{00000000-0005-0000-0000-0000D20E0000}"/>
    <cellStyle name="Normal 7 11" xfId="3805" xr:uid="{00000000-0005-0000-0000-0000D30E0000}"/>
    <cellStyle name="Normal 7 12" xfId="3806" xr:uid="{00000000-0005-0000-0000-0000D40E0000}"/>
    <cellStyle name="Normal 7 13" xfId="3807" xr:uid="{00000000-0005-0000-0000-0000D50E0000}"/>
    <cellStyle name="Normal 7 14" xfId="3808" xr:uid="{00000000-0005-0000-0000-0000D60E0000}"/>
    <cellStyle name="Normal 7 15" xfId="3809" xr:uid="{00000000-0005-0000-0000-0000D70E0000}"/>
    <cellStyle name="Normal 7 16" xfId="3810" xr:uid="{00000000-0005-0000-0000-0000D80E0000}"/>
    <cellStyle name="Normal 7 17" xfId="3811" xr:uid="{00000000-0005-0000-0000-0000D90E0000}"/>
    <cellStyle name="Normal 7 18" xfId="3812" xr:uid="{00000000-0005-0000-0000-0000DA0E0000}"/>
    <cellStyle name="Normal 7 19" xfId="3813" xr:uid="{00000000-0005-0000-0000-0000DB0E0000}"/>
    <cellStyle name="Normal 7 2" xfId="3814" xr:uid="{00000000-0005-0000-0000-0000DC0E0000}"/>
    <cellStyle name="Normal 7 2 2" xfId="3815" xr:uid="{00000000-0005-0000-0000-0000DD0E0000}"/>
    <cellStyle name="Normal 7 2 3" xfId="3816" xr:uid="{00000000-0005-0000-0000-0000DE0E0000}"/>
    <cellStyle name="Normal 7 2 4" xfId="3817" xr:uid="{00000000-0005-0000-0000-0000DF0E0000}"/>
    <cellStyle name="Normal 7 20" xfId="3818" xr:uid="{00000000-0005-0000-0000-0000E00E0000}"/>
    <cellStyle name="Normal 7 21" xfId="3819" xr:uid="{00000000-0005-0000-0000-0000E10E0000}"/>
    <cellStyle name="Normal 7 22" xfId="3820" xr:uid="{00000000-0005-0000-0000-0000E20E0000}"/>
    <cellStyle name="Normal 7 23" xfId="3821" xr:uid="{00000000-0005-0000-0000-0000E30E0000}"/>
    <cellStyle name="Normal 7 24" xfId="3822" xr:uid="{00000000-0005-0000-0000-0000E40E0000}"/>
    <cellStyle name="Normal 7 25" xfId="3823" xr:uid="{00000000-0005-0000-0000-0000E50E0000}"/>
    <cellStyle name="Normal 7 26" xfId="3824" xr:uid="{00000000-0005-0000-0000-0000E60E0000}"/>
    <cellStyle name="Normal 7 27" xfId="3825" xr:uid="{00000000-0005-0000-0000-0000E70E0000}"/>
    <cellStyle name="Normal 7 28" xfId="3826" xr:uid="{00000000-0005-0000-0000-0000E80E0000}"/>
    <cellStyle name="Normal 7 29" xfId="3827" xr:uid="{00000000-0005-0000-0000-0000E90E0000}"/>
    <cellStyle name="Normal 7 3" xfId="3828" xr:uid="{00000000-0005-0000-0000-0000EA0E0000}"/>
    <cellStyle name="Normal 7 30" xfId="3829" xr:uid="{00000000-0005-0000-0000-0000EB0E0000}"/>
    <cellStyle name="Normal 7 31" xfId="3830" xr:uid="{00000000-0005-0000-0000-0000EC0E0000}"/>
    <cellStyle name="Normal 7 32" xfId="3831" xr:uid="{00000000-0005-0000-0000-0000ED0E0000}"/>
    <cellStyle name="Normal 7 33" xfId="3832" xr:uid="{00000000-0005-0000-0000-0000EE0E0000}"/>
    <cellStyle name="Normal 7 34" xfId="3833" xr:uid="{00000000-0005-0000-0000-0000EF0E0000}"/>
    <cellStyle name="Normal 7 35" xfId="3834" xr:uid="{00000000-0005-0000-0000-0000F00E0000}"/>
    <cellStyle name="Normal 7 36" xfId="3835" xr:uid="{00000000-0005-0000-0000-0000F10E0000}"/>
    <cellStyle name="Normal 7 37" xfId="3836" xr:uid="{00000000-0005-0000-0000-0000F20E0000}"/>
    <cellStyle name="Normal 7 38" xfId="3837" xr:uid="{00000000-0005-0000-0000-0000F30E0000}"/>
    <cellStyle name="Normal 7 39" xfId="3802" xr:uid="{00000000-0005-0000-0000-0000D00E0000}"/>
    <cellStyle name="Normal 7 4" xfId="3838" xr:uid="{00000000-0005-0000-0000-0000F40E0000}"/>
    <cellStyle name="Normal 7 40" xfId="4591" xr:uid="{00000000-0005-0000-0000-0000D00E0000}"/>
    <cellStyle name="Normal 7 41" xfId="4545" xr:uid="{00000000-0005-0000-0000-000028230000}"/>
    <cellStyle name="Normal 7 5" xfId="3839" xr:uid="{00000000-0005-0000-0000-0000F50E0000}"/>
    <cellStyle name="Normal 7 6" xfId="3840" xr:uid="{00000000-0005-0000-0000-0000F60E0000}"/>
    <cellStyle name="Normal 7 7" xfId="3841" xr:uid="{00000000-0005-0000-0000-0000F70E0000}"/>
    <cellStyle name="Normal 7 8" xfId="3842" xr:uid="{00000000-0005-0000-0000-0000F80E0000}"/>
    <cellStyle name="Normal 7 9" xfId="3843" xr:uid="{00000000-0005-0000-0000-0000F90E0000}"/>
    <cellStyle name="Normal 70 2" xfId="3844" xr:uid="{00000000-0005-0000-0000-0000FA0E0000}"/>
    <cellStyle name="Normal 70 3" xfId="3845" xr:uid="{00000000-0005-0000-0000-0000FB0E0000}"/>
    <cellStyle name="Normal 70 4" xfId="3846" xr:uid="{00000000-0005-0000-0000-0000FC0E0000}"/>
    <cellStyle name="Normal 70 5" xfId="3847" xr:uid="{00000000-0005-0000-0000-0000FD0E0000}"/>
    <cellStyle name="Normal 70 6" xfId="3848" xr:uid="{00000000-0005-0000-0000-0000FE0E0000}"/>
    <cellStyle name="Normal 70 7" xfId="3849" xr:uid="{00000000-0005-0000-0000-0000FF0E0000}"/>
    <cellStyle name="Normal 70 8" xfId="3850" xr:uid="{00000000-0005-0000-0000-0000000F0000}"/>
    <cellStyle name="Normal 71 2" xfId="3851" xr:uid="{00000000-0005-0000-0000-0000010F0000}"/>
    <cellStyle name="Normal 71 3" xfId="3852" xr:uid="{00000000-0005-0000-0000-0000020F0000}"/>
    <cellStyle name="Normal 71 4" xfId="3853" xr:uid="{00000000-0005-0000-0000-0000030F0000}"/>
    <cellStyle name="Normal 71 5" xfId="3854" xr:uid="{00000000-0005-0000-0000-0000040F0000}"/>
    <cellStyle name="Normal 71 6" xfId="3855" xr:uid="{00000000-0005-0000-0000-0000050F0000}"/>
    <cellStyle name="Normal 71 7" xfId="3856" xr:uid="{00000000-0005-0000-0000-0000060F0000}"/>
    <cellStyle name="Normal 71 8" xfId="3857" xr:uid="{00000000-0005-0000-0000-0000070F0000}"/>
    <cellStyle name="Normal 72 2" xfId="3858" xr:uid="{00000000-0005-0000-0000-0000080F0000}"/>
    <cellStyle name="Normal 72 3" xfId="3859" xr:uid="{00000000-0005-0000-0000-0000090F0000}"/>
    <cellStyle name="Normal 72 4" xfId="3860" xr:uid="{00000000-0005-0000-0000-00000A0F0000}"/>
    <cellStyle name="Normal 72 5" xfId="3861" xr:uid="{00000000-0005-0000-0000-00000B0F0000}"/>
    <cellStyle name="Normal 72 6" xfId="3862" xr:uid="{00000000-0005-0000-0000-00000C0F0000}"/>
    <cellStyle name="Normal 72 7" xfId="3863" xr:uid="{00000000-0005-0000-0000-00000D0F0000}"/>
    <cellStyle name="Normal 72 8" xfId="3864" xr:uid="{00000000-0005-0000-0000-00000E0F0000}"/>
    <cellStyle name="Normal 73 2" xfId="3865" xr:uid="{00000000-0005-0000-0000-00000F0F0000}"/>
    <cellStyle name="Normal 73 3" xfId="3866" xr:uid="{00000000-0005-0000-0000-0000100F0000}"/>
    <cellStyle name="Normal 73 4" xfId="3867" xr:uid="{00000000-0005-0000-0000-0000110F0000}"/>
    <cellStyle name="Normal 73 5" xfId="3868" xr:uid="{00000000-0005-0000-0000-0000120F0000}"/>
    <cellStyle name="Normal 73 6" xfId="3869" xr:uid="{00000000-0005-0000-0000-0000130F0000}"/>
    <cellStyle name="Normal 73 7" xfId="3870" xr:uid="{00000000-0005-0000-0000-0000140F0000}"/>
    <cellStyle name="Normal 73 8" xfId="3871" xr:uid="{00000000-0005-0000-0000-0000150F0000}"/>
    <cellStyle name="Normal 74 2" xfId="3872" xr:uid="{00000000-0005-0000-0000-0000160F0000}"/>
    <cellStyle name="Normal 74 3" xfId="3873" xr:uid="{00000000-0005-0000-0000-0000170F0000}"/>
    <cellStyle name="Normal 74 4" xfId="3874" xr:uid="{00000000-0005-0000-0000-0000180F0000}"/>
    <cellStyle name="Normal 74 5" xfId="3875" xr:uid="{00000000-0005-0000-0000-0000190F0000}"/>
    <cellStyle name="Normal 74 6" xfId="3876" xr:uid="{00000000-0005-0000-0000-00001A0F0000}"/>
    <cellStyle name="Normal 74 7" xfId="3877" xr:uid="{00000000-0005-0000-0000-00001B0F0000}"/>
    <cellStyle name="Normal 74 8" xfId="3878" xr:uid="{00000000-0005-0000-0000-00001C0F0000}"/>
    <cellStyle name="Normal 75 2" xfId="3879" xr:uid="{00000000-0005-0000-0000-00001D0F0000}"/>
    <cellStyle name="Normal 75 3" xfId="3880" xr:uid="{00000000-0005-0000-0000-00001E0F0000}"/>
    <cellStyle name="Normal 75 4" xfId="3881" xr:uid="{00000000-0005-0000-0000-00001F0F0000}"/>
    <cellStyle name="Normal 75 5" xfId="3882" xr:uid="{00000000-0005-0000-0000-0000200F0000}"/>
    <cellStyle name="Normal 75 6" xfId="3883" xr:uid="{00000000-0005-0000-0000-0000210F0000}"/>
    <cellStyle name="Normal 75 7" xfId="3884" xr:uid="{00000000-0005-0000-0000-0000220F0000}"/>
    <cellStyle name="Normal 75 8" xfId="3885" xr:uid="{00000000-0005-0000-0000-0000230F0000}"/>
    <cellStyle name="Normal 76" xfId="3886" xr:uid="{00000000-0005-0000-0000-0000240F0000}"/>
    <cellStyle name="Normal 77" xfId="3887" xr:uid="{00000000-0005-0000-0000-0000250F0000}"/>
    <cellStyle name="Normal 8" xfId="3888" xr:uid="{00000000-0005-0000-0000-0000260F0000}"/>
    <cellStyle name="Normal-- 8" xfId="3889" xr:uid="{00000000-0005-0000-0000-0000270F0000}"/>
    <cellStyle name="Normal 8 10" xfId="3890" xr:uid="{00000000-0005-0000-0000-0000280F0000}"/>
    <cellStyle name="Normal 8 11" xfId="3891" xr:uid="{00000000-0005-0000-0000-0000290F0000}"/>
    <cellStyle name="Normal 8 12" xfId="3892" xr:uid="{00000000-0005-0000-0000-00002A0F0000}"/>
    <cellStyle name="Normal 8 13" xfId="3893" xr:uid="{00000000-0005-0000-0000-00002B0F0000}"/>
    <cellStyle name="Normal 8 14" xfId="3894" xr:uid="{00000000-0005-0000-0000-00002C0F0000}"/>
    <cellStyle name="Normal 8 15" xfId="3895" xr:uid="{00000000-0005-0000-0000-00002D0F0000}"/>
    <cellStyle name="Normal 8 16" xfId="3896" xr:uid="{00000000-0005-0000-0000-00002E0F0000}"/>
    <cellStyle name="Normal 8 17" xfId="3897" xr:uid="{00000000-0005-0000-0000-00002F0F0000}"/>
    <cellStyle name="Normal 8 18" xfId="3898" xr:uid="{00000000-0005-0000-0000-0000300F0000}"/>
    <cellStyle name="Normal 8 19" xfId="3899" xr:uid="{00000000-0005-0000-0000-0000310F0000}"/>
    <cellStyle name="Normal 8 2" xfId="3900" xr:uid="{00000000-0005-0000-0000-0000320F0000}"/>
    <cellStyle name="Normal 8 2 2" xfId="3901" xr:uid="{00000000-0005-0000-0000-0000330F0000}"/>
    <cellStyle name="Normal 8 2 3" xfId="3902" xr:uid="{00000000-0005-0000-0000-0000340F0000}"/>
    <cellStyle name="Normal 8 20" xfId="3903" xr:uid="{00000000-0005-0000-0000-0000350F0000}"/>
    <cellStyle name="Normal 8 21" xfId="3904" xr:uid="{00000000-0005-0000-0000-0000360F0000}"/>
    <cellStyle name="Normal 8 21 2" xfId="3905" xr:uid="{00000000-0005-0000-0000-0000370F0000}"/>
    <cellStyle name="Normal 8 21 2 2" xfId="3906" xr:uid="{00000000-0005-0000-0000-0000380F0000}"/>
    <cellStyle name="Normal 8 21 2 2 2" xfId="3907" xr:uid="{00000000-0005-0000-0000-0000390F0000}"/>
    <cellStyle name="Normal 8 21 2 3" xfId="3908" xr:uid="{00000000-0005-0000-0000-00003A0F0000}"/>
    <cellStyle name="Normal 8 21 3" xfId="3909" xr:uid="{00000000-0005-0000-0000-00003B0F0000}"/>
    <cellStyle name="Normal 8 21 3 2" xfId="3910" xr:uid="{00000000-0005-0000-0000-00003C0F0000}"/>
    <cellStyle name="Normal 8 21 4" xfId="3911" xr:uid="{00000000-0005-0000-0000-00003D0F0000}"/>
    <cellStyle name="Normal 8 22" xfId="3912" xr:uid="{00000000-0005-0000-0000-00003E0F0000}"/>
    <cellStyle name="Normal 8 22 2" xfId="3913" xr:uid="{00000000-0005-0000-0000-00003F0F0000}"/>
    <cellStyle name="Normal 8 22 2 2" xfId="3914" xr:uid="{00000000-0005-0000-0000-0000400F0000}"/>
    <cellStyle name="Normal 8 22 2 2 2" xfId="3915" xr:uid="{00000000-0005-0000-0000-0000410F0000}"/>
    <cellStyle name="Normal 8 22 2 3" xfId="3916" xr:uid="{00000000-0005-0000-0000-0000420F0000}"/>
    <cellStyle name="Normal 8 22 3" xfId="3917" xr:uid="{00000000-0005-0000-0000-0000430F0000}"/>
    <cellStyle name="Normal 8 22 3 2" xfId="3918" xr:uid="{00000000-0005-0000-0000-0000440F0000}"/>
    <cellStyle name="Normal 8 22 4" xfId="3919" xr:uid="{00000000-0005-0000-0000-0000450F0000}"/>
    <cellStyle name="Normal 8 23" xfId="3920" xr:uid="{00000000-0005-0000-0000-0000460F0000}"/>
    <cellStyle name="Normal 8 23 2" xfId="3921" xr:uid="{00000000-0005-0000-0000-0000470F0000}"/>
    <cellStyle name="Normal 8 23 2 2" xfId="3922" xr:uid="{00000000-0005-0000-0000-0000480F0000}"/>
    <cellStyle name="Normal 8 23 3" xfId="3923" xr:uid="{00000000-0005-0000-0000-0000490F0000}"/>
    <cellStyle name="Normal 8 24" xfId="3924" xr:uid="{00000000-0005-0000-0000-00004A0F0000}"/>
    <cellStyle name="Normal 8 24 2" xfId="3925" xr:uid="{00000000-0005-0000-0000-00004B0F0000}"/>
    <cellStyle name="Normal 8 25" xfId="3926" xr:uid="{00000000-0005-0000-0000-00004C0F0000}"/>
    <cellStyle name="Normal 8 26" xfId="3927" xr:uid="{00000000-0005-0000-0000-00004D0F0000}"/>
    <cellStyle name="Normal 8 27" xfId="3928" xr:uid="{00000000-0005-0000-0000-00004E0F0000}"/>
    <cellStyle name="Normal 8 28" xfId="3929" xr:uid="{00000000-0005-0000-0000-00004F0F0000}"/>
    <cellStyle name="Normal 8 29" xfId="3930" xr:uid="{00000000-0005-0000-0000-0000500F0000}"/>
    <cellStyle name="Normal 8 3" xfId="3931" xr:uid="{00000000-0005-0000-0000-0000510F0000}"/>
    <cellStyle name="Normal 8 3 2" xfId="3932" xr:uid="{00000000-0005-0000-0000-0000520F0000}"/>
    <cellStyle name="Normal 8 30" xfId="3933" xr:uid="{00000000-0005-0000-0000-0000530F0000}"/>
    <cellStyle name="Normal 8 31" xfId="3934" xr:uid="{00000000-0005-0000-0000-0000540F0000}"/>
    <cellStyle name="Normal 8 32" xfId="3935" xr:uid="{00000000-0005-0000-0000-0000550F0000}"/>
    <cellStyle name="Normal 8 33" xfId="3936" xr:uid="{00000000-0005-0000-0000-0000560F0000}"/>
    <cellStyle name="Normal 8 34" xfId="3937" xr:uid="{00000000-0005-0000-0000-0000570F0000}"/>
    <cellStyle name="Normal 8 35" xfId="3938" xr:uid="{00000000-0005-0000-0000-0000580F0000}"/>
    <cellStyle name="Normal 8 36" xfId="3939" xr:uid="{00000000-0005-0000-0000-0000590F0000}"/>
    <cellStyle name="Normal 8 37" xfId="3940" xr:uid="{00000000-0005-0000-0000-00005A0F0000}"/>
    <cellStyle name="Normal 8 38" xfId="3941" xr:uid="{00000000-0005-0000-0000-00005B0F0000}"/>
    <cellStyle name="Normal 8 39" xfId="3942" xr:uid="{00000000-0005-0000-0000-00005C0F0000}"/>
    <cellStyle name="Normal 8 4" xfId="3943" xr:uid="{00000000-0005-0000-0000-00005D0F0000}"/>
    <cellStyle name="Normal 8 40" xfId="3944" xr:uid="{00000000-0005-0000-0000-00005E0F0000}"/>
    <cellStyle name="Normal 8 41" xfId="3945" xr:uid="{00000000-0005-0000-0000-00005F0F0000}"/>
    <cellStyle name="Normal 8 42" xfId="3946" xr:uid="{00000000-0005-0000-0000-0000600F0000}"/>
    <cellStyle name="Normal 8 5" xfId="3947" xr:uid="{00000000-0005-0000-0000-0000610F0000}"/>
    <cellStyle name="Normal 8 6" xfId="3948" xr:uid="{00000000-0005-0000-0000-0000620F0000}"/>
    <cellStyle name="Normal 8 7" xfId="3949" xr:uid="{00000000-0005-0000-0000-0000630F0000}"/>
    <cellStyle name="Normal 8 8" xfId="3950" xr:uid="{00000000-0005-0000-0000-0000640F0000}"/>
    <cellStyle name="Normal 8 9" xfId="3951" xr:uid="{00000000-0005-0000-0000-0000650F0000}"/>
    <cellStyle name="Normal 9" xfId="3952" xr:uid="{00000000-0005-0000-0000-0000660F0000}"/>
    <cellStyle name="Normal 9 2" xfId="3953" xr:uid="{00000000-0005-0000-0000-0000670F0000}"/>
    <cellStyle name="Normal 9 2 2" xfId="3954" xr:uid="{00000000-0005-0000-0000-0000680F0000}"/>
    <cellStyle name="Normal 9 3" xfId="3955" xr:uid="{00000000-0005-0000-0000-0000690F0000}"/>
    <cellStyle name="Normal 9 4" xfId="3956" xr:uid="{00000000-0005-0000-0000-00006A0F0000}"/>
    <cellStyle name="Normal 9 5" xfId="3957" xr:uid="{00000000-0005-0000-0000-00006B0F0000}"/>
    <cellStyle name="Normal 9 6" xfId="3958" xr:uid="{00000000-0005-0000-0000-00006C0F0000}"/>
    <cellStyle name="Normal2" xfId="3959" xr:uid="{00000000-0005-0000-0000-00006D0F0000}"/>
    <cellStyle name="Normale_97.98.us" xfId="3960" xr:uid="{00000000-0005-0000-0000-00006E0F0000}"/>
    <cellStyle name="NormalGB" xfId="3961" xr:uid="{00000000-0005-0000-0000-00006F0F0000}"/>
    <cellStyle name="Normalx" xfId="3962" xr:uid="{00000000-0005-0000-0000-0000700F0000}"/>
    <cellStyle name="Note 2" xfId="3963" xr:uid="{00000000-0005-0000-0000-0000710F0000}"/>
    <cellStyle name="Note 2 10" xfId="3964" xr:uid="{00000000-0005-0000-0000-0000720F0000}"/>
    <cellStyle name="Note 2 11" xfId="3965" xr:uid="{00000000-0005-0000-0000-0000730F0000}"/>
    <cellStyle name="Note 2 12" xfId="4712" xr:uid="{00000000-0005-0000-0000-0000CC230000}"/>
    <cellStyle name="Note 2 13" xfId="4642" xr:uid="{00000000-0005-0000-0000-0000C9230000}"/>
    <cellStyle name="Note 2 2" xfId="3966" xr:uid="{00000000-0005-0000-0000-0000740F0000}"/>
    <cellStyle name="Note 2 2 2" xfId="3967" xr:uid="{00000000-0005-0000-0000-0000750F0000}"/>
    <cellStyle name="Note 2 2 2 2" xfId="3968" xr:uid="{00000000-0005-0000-0000-0000760F0000}"/>
    <cellStyle name="Note 2 2 2 3" xfId="3969" xr:uid="{00000000-0005-0000-0000-0000770F0000}"/>
    <cellStyle name="Note 2 2 2 4" xfId="4732" xr:uid="{00000000-0005-0000-0000-0000D1230000}"/>
    <cellStyle name="Note 2 2 2 5" xfId="4624" xr:uid="{00000000-0005-0000-0000-0000CE230000}"/>
    <cellStyle name="Note 2 2 3" xfId="3970" xr:uid="{00000000-0005-0000-0000-0000780F0000}"/>
    <cellStyle name="Note 2 2 4" xfId="3971" xr:uid="{00000000-0005-0000-0000-0000790F0000}"/>
    <cellStyle name="Note 2 2 5" xfId="4597" xr:uid="{00000000-0005-0000-0000-0000740F0000}"/>
    <cellStyle name="Note 2 2 5 2" xfId="4718" xr:uid="{00000000-0005-0000-0000-0000D4230000}"/>
    <cellStyle name="Note 2 2 6" xfId="4633" xr:uid="{00000000-0005-0000-0000-0000CD230000}"/>
    <cellStyle name="Note 2 3" xfId="3972" xr:uid="{00000000-0005-0000-0000-00007A0F0000}"/>
    <cellStyle name="Note 2 3 2" xfId="3973" xr:uid="{00000000-0005-0000-0000-00007B0F0000}"/>
    <cellStyle name="Note 2 3 3" xfId="4598" xr:uid="{00000000-0005-0000-0000-00007A0F0000}"/>
    <cellStyle name="Note 2 3 3 2" xfId="4726" xr:uid="{00000000-0005-0000-0000-0000D7230000}"/>
    <cellStyle name="Note 2 3 4" xfId="4628" xr:uid="{00000000-0005-0000-0000-0000D5230000}"/>
    <cellStyle name="Note 2 4" xfId="3974" xr:uid="{00000000-0005-0000-0000-00007C0F0000}"/>
    <cellStyle name="Note 2 5" xfId="3975" xr:uid="{00000000-0005-0000-0000-00007D0F0000}"/>
    <cellStyle name="Note 2 6" xfId="3976" xr:uid="{00000000-0005-0000-0000-00007E0F0000}"/>
    <cellStyle name="Note 2 7" xfId="3977" xr:uid="{00000000-0005-0000-0000-00007F0F0000}"/>
    <cellStyle name="Note 2 8" xfId="3978" xr:uid="{00000000-0005-0000-0000-0000800F0000}"/>
    <cellStyle name="Note 2 9" xfId="3979" xr:uid="{00000000-0005-0000-0000-0000810F0000}"/>
    <cellStyle name="Note 3" xfId="3980" xr:uid="{00000000-0005-0000-0000-0000820F0000}"/>
    <cellStyle name="Note 3 2" xfId="3981" xr:uid="{00000000-0005-0000-0000-0000830F0000}"/>
    <cellStyle name="Note 3 2 2" xfId="4625" xr:uid="{00000000-0005-0000-0000-0000E0230000}"/>
    <cellStyle name="Note 3 2 2 2" xfId="4731" xr:uid="{00000000-0005-0000-0000-0000E1230000}"/>
    <cellStyle name="Note 3 2 3" xfId="4717" xr:uid="{00000000-0005-0000-0000-0000E2230000}"/>
    <cellStyle name="Note 3 2 4" xfId="4634" xr:uid="{00000000-0005-0000-0000-0000DF230000}"/>
    <cellStyle name="Note 3 3" xfId="3982" xr:uid="{00000000-0005-0000-0000-0000840F0000}"/>
    <cellStyle name="Note 3 3 2" xfId="4725" xr:uid="{00000000-0005-0000-0000-0000E4230000}"/>
    <cellStyle name="Note 3 3 3" xfId="4629" xr:uid="{00000000-0005-0000-0000-0000E3230000}"/>
    <cellStyle name="Note 3 4" xfId="4711" xr:uid="{00000000-0005-0000-0000-0000E5230000}"/>
    <cellStyle name="Note 3 5" xfId="4644" xr:uid="{00000000-0005-0000-0000-0000DE230000}"/>
    <cellStyle name="Note 4" xfId="3983" xr:uid="{00000000-0005-0000-0000-0000850F0000}"/>
    <cellStyle name="Note 4 2" xfId="3984" xr:uid="{00000000-0005-0000-0000-0000860F0000}"/>
    <cellStyle name="Note 5" xfId="3985" xr:uid="{00000000-0005-0000-0000-0000870F0000}"/>
    <cellStyle name="Note 5 2" xfId="3986" xr:uid="{00000000-0005-0000-0000-0000880F0000}"/>
    <cellStyle name="Note 6" xfId="3987" xr:uid="{00000000-0005-0000-0000-0000890F0000}"/>
    <cellStyle name="Note 6 2" xfId="3988" xr:uid="{00000000-0005-0000-0000-00008A0F0000}"/>
    <cellStyle name="Note 7" xfId="3989" xr:uid="{00000000-0005-0000-0000-00008B0F0000}"/>
    <cellStyle name="Note 7 2" xfId="3990" xr:uid="{00000000-0005-0000-0000-00008C0F0000}"/>
    <cellStyle name="Note 8" xfId="3991" xr:uid="{00000000-0005-0000-0000-00008D0F0000}"/>
    <cellStyle name="Note 8 2" xfId="3992" xr:uid="{00000000-0005-0000-0000-00008E0F0000}"/>
    <cellStyle name="Note 8 2 2" xfId="3993" xr:uid="{00000000-0005-0000-0000-00008F0F0000}"/>
    <cellStyle name="Note 8 2 2 2" xfId="3994" xr:uid="{00000000-0005-0000-0000-0000900F0000}"/>
    <cellStyle name="Note 8 2 2 2 2" xfId="3995" xr:uid="{00000000-0005-0000-0000-0000910F0000}"/>
    <cellStyle name="Note 8 2 2 3" xfId="3996" xr:uid="{00000000-0005-0000-0000-0000920F0000}"/>
    <cellStyle name="Note 8 2 3" xfId="3997" xr:uid="{00000000-0005-0000-0000-0000930F0000}"/>
    <cellStyle name="Note 8 2 3 2" xfId="3998" xr:uid="{00000000-0005-0000-0000-0000940F0000}"/>
    <cellStyle name="Note 8 2 4" xfId="3999" xr:uid="{00000000-0005-0000-0000-0000950F0000}"/>
    <cellStyle name="Note 8 3" xfId="4000" xr:uid="{00000000-0005-0000-0000-0000960F0000}"/>
    <cellStyle name="Note 8 3 2" xfId="4001" xr:uid="{00000000-0005-0000-0000-0000970F0000}"/>
    <cellStyle name="Note 8 3 2 2" xfId="4002" xr:uid="{00000000-0005-0000-0000-0000980F0000}"/>
    <cellStyle name="Note 8 3 2 2 2" xfId="4003" xr:uid="{00000000-0005-0000-0000-0000990F0000}"/>
    <cellStyle name="Note 8 3 2 3" xfId="4004" xr:uid="{00000000-0005-0000-0000-00009A0F0000}"/>
    <cellStyle name="Note 8 3 3" xfId="4005" xr:uid="{00000000-0005-0000-0000-00009B0F0000}"/>
    <cellStyle name="Note 8 3 3 2" xfId="4006" xr:uid="{00000000-0005-0000-0000-00009C0F0000}"/>
    <cellStyle name="Note 8 3 4" xfId="4007" xr:uid="{00000000-0005-0000-0000-00009D0F0000}"/>
    <cellStyle name="Note 8 4" xfId="4008" xr:uid="{00000000-0005-0000-0000-00009E0F0000}"/>
    <cellStyle name="Note 8 4 2" xfId="4009" xr:uid="{00000000-0005-0000-0000-00009F0F0000}"/>
    <cellStyle name="Note 8 4 2 2" xfId="4010" xr:uid="{00000000-0005-0000-0000-0000A00F0000}"/>
    <cellStyle name="Note 8 4 3" xfId="4011" xr:uid="{00000000-0005-0000-0000-0000A10F0000}"/>
    <cellStyle name="Note 8 5" xfId="4012" xr:uid="{00000000-0005-0000-0000-0000A20F0000}"/>
    <cellStyle name="Note 8 5 2" xfId="4013" xr:uid="{00000000-0005-0000-0000-0000A30F0000}"/>
    <cellStyle name="Note 8 6" xfId="4014" xr:uid="{00000000-0005-0000-0000-0000A40F0000}"/>
    <cellStyle name="Nr 0 dec" xfId="4015" xr:uid="{00000000-0005-0000-0000-0000A50F0000}"/>
    <cellStyle name="Nr 0 dec - Input" xfId="4016" xr:uid="{00000000-0005-0000-0000-0000A60F0000}"/>
    <cellStyle name="Nr 0 dec - Subtotal" xfId="4017" xr:uid="{00000000-0005-0000-0000-0000A70F0000}"/>
    <cellStyle name="Nr 0 dec - Subtotal 2" xfId="4599" xr:uid="{00000000-0005-0000-0000-0000A70F0000}"/>
    <cellStyle name="Nr 0 dec - Subtotal 3" xfId="4664" xr:uid="{00000000-0005-0000-0000-000008240000}"/>
    <cellStyle name="Nr 0 dec_Data" xfId="4018" xr:uid="{00000000-0005-0000-0000-0000A80F0000}"/>
    <cellStyle name="Nr 1 dec" xfId="4019" xr:uid="{00000000-0005-0000-0000-0000A90F0000}"/>
    <cellStyle name="Nr 1 dec - Input" xfId="4020" xr:uid="{00000000-0005-0000-0000-0000AA0F0000}"/>
    <cellStyle name="Nr 1 dec 2" xfId="4665" xr:uid="{00000000-0005-0000-0000-00000A240000}"/>
    <cellStyle name="Nr, 0 dec" xfId="4021" xr:uid="{00000000-0005-0000-0000-0000AB0F0000}"/>
    <cellStyle name="Nr, 0 dec 2" xfId="4666" xr:uid="{00000000-0005-0000-0000-00000C240000}"/>
    <cellStyle name="number" xfId="4022" xr:uid="{00000000-0005-0000-0000-0000AC0F0000}"/>
    <cellStyle name="Number, 1 dec" xfId="4023" xr:uid="{00000000-0005-0000-0000-0000AD0F0000}"/>
    <cellStyle name="Output (1dp#)" xfId="4024" xr:uid="{00000000-0005-0000-0000-0000AE0F0000}"/>
    <cellStyle name="Output (1dpx)_ Pies " xfId="4025" xr:uid="{00000000-0005-0000-0000-0000AF0F0000}"/>
    <cellStyle name="Output 2" xfId="4026" xr:uid="{00000000-0005-0000-0000-0000B00F0000}"/>
    <cellStyle name="Output 2 10" xfId="4600" xr:uid="{00000000-0005-0000-0000-0000B00F0000}"/>
    <cellStyle name="Output 2 10 2" xfId="4713" xr:uid="{00000000-0005-0000-0000-000012240000}"/>
    <cellStyle name="Output 2 2" xfId="4027" xr:uid="{00000000-0005-0000-0000-0000B10F0000}"/>
    <cellStyle name="Output 2 2 2" xfId="4028" xr:uid="{00000000-0005-0000-0000-0000B20F0000}"/>
    <cellStyle name="Output 2 2 2 2" xfId="4733" xr:uid="{00000000-0005-0000-0000-000015240000}"/>
    <cellStyle name="Output 2 2 2 3" xfId="4623" xr:uid="{00000000-0005-0000-0000-000014240000}"/>
    <cellStyle name="Output 2 2 3" xfId="4601" xr:uid="{00000000-0005-0000-0000-0000B10F0000}"/>
    <cellStyle name="Output 2 2 3 2" xfId="4719" xr:uid="{00000000-0005-0000-0000-000016240000}"/>
    <cellStyle name="Output 2 3" xfId="4029" xr:uid="{00000000-0005-0000-0000-0000B30F0000}"/>
    <cellStyle name="Output 2 3 2" xfId="4602" xr:uid="{00000000-0005-0000-0000-0000B30F0000}"/>
    <cellStyle name="Output 2 3 2 2" xfId="4727" xr:uid="{00000000-0005-0000-0000-000018240000}"/>
    <cellStyle name="Output 2 4" xfId="4030" xr:uid="{00000000-0005-0000-0000-0000B40F0000}"/>
    <cellStyle name="Output 2 5" xfId="4031" xr:uid="{00000000-0005-0000-0000-0000B50F0000}"/>
    <cellStyle name="Output 2 6" xfId="4032" xr:uid="{00000000-0005-0000-0000-0000B60F0000}"/>
    <cellStyle name="Output 2 7" xfId="4033" xr:uid="{00000000-0005-0000-0000-0000B70F0000}"/>
    <cellStyle name="Output 2 8" xfId="4034" xr:uid="{00000000-0005-0000-0000-0000B80F0000}"/>
    <cellStyle name="Output 2 9" xfId="4035" xr:uid="{00000000-0005-0000-0000-0000B90F0000}"/>
    <cellStyle name="Output 3" xfId="4036" xr:uid="{00000000-0005-0000-0000-0000BA0F0000}"/>
    <cellStyle name="Page Heading" xfId="4037" xr:uid="{00000000-0005-0000-0000-0000BB0F0000}"/>
    <cellStyle name="Page Heading Large" xfId="4038" xr:uid="{00000000-0005-0000-0000-0000BC0F0000}"/>
    <cellStyle name="Page Heading Small" xfId="4039" xr:uid="{00000000-0005-0000-0000-0000BD0F0000}"/>
    <cellStyle name="Page Number" xfId="4040" xr:uid="{00000000-0005-0000-0000-0000BE0F0000}"/>
    <cellStyle name="pb_page_heading_LS" xfId="4041" xr:uid="{00000000-0005-0000-0000-0000BF0F0000}"/>
    <cellStyle name="Per aandeel" xfId="4042" xr:uid="{00000000-0005-0000-0000-0000C00F0000}"/>
    <cellStyle name="Percent" xfId="8" builtinId="5"/>
    <cellStyle name="Percent (1)" xfId="4043" xr:uid="{00000000-0005-0000-0000-0000C10F0000}"/>
    <cellStyle name="Percent [0]" xfId="4044" xr:uid="{00000000-0005-0000-0000-0000C20F0000}"/>
    <cellStyle name="Percent [00]" xfId="4045" xr:uid="{00000000-0005-0000-0000-0000C30F0000}"/>
    <cellStyle name="Percent [1]" xfId="4046" xr:uid="{00000000-0005-0000-0000-0000C40F0000}"/>
    <cellStyle name="Percent [1] 2" xfId="4603" xr:uid="{00000000-0005-0000-0000-0000C40F0000}"/>
    <cellStyle name="Percent [1] 3" xfId="4667" xr:uid="{00000000-0005-0000-0000-00002A240000}"/>
    <cellStyle name="Percent [2]" xfId="4047" xr:uid="{00000000-0005-0000-0000-0000C50F0000}"/>
    <cellStyle name="Percent [2] 2" xfId="4048" xr:uid="{00000000-0005-0000-0000-0000C60F0000}"/>
    <cellStyle name="Percent [2] 3" xfId="4049" xr:uid="{00000000-0005-0000-0000-0000C70F0000}"/>
    <cellStyle name="Percent 1 dec" xfId="4050" xr:uid="{00000000-0005-0000-0000-0000C80F0000}"/>
    <cellStyle name="Percent 1 dec - Input" xfId="4051" xr:uid="{00000000-0005-0000-0000-0000C90F0000}"/>
    <cellStyle name="Percent 1 dec_Data" xfId="4052" xr:uid="{00000000-0005-0000-0000-0000CA0F0000}"/>
    <cellStyle name="Percent 10" xfId="4053" xr:uid="{00000000-0005-0000-0000-0000CB0F0000}"/>
    <cellStyle name="Percent 2" xfId="9" xr:uid="{00000000-0005-0000-0000-000009000000}"/>
    <cellStyle name="Percent 2 10" xfId="4055" xr:uid="{00000000-0005-0000-0000-0000CD0F0000}"/>
    <cellStyle name="Percent 2 10 2" xfId="4056" xr:uid="{00000000-0005-0000-0000-0000CE0F0000}"/>
    <cellStyle name="Percent 2 10 2 2" xfId="4057" xr:uid="{00000000-0005-0000-0000-0000CF0F0000}"/>
    <cellStyle name="Percent 2 10 3" xfId="4058" xr:uid="{00000000-0005-0000-0000-0000D00F0000}"/>
    <cellStyle name="Percent 2 11" xfId="4059" xr:uid="{00000000-0005-0000-0000-0000D10F0000}"/>
    <cellStyle name="Percent 2 12" xfId="4060" xr:uid="{00000000-0005-0000-0000-0000D20F0000}"/>
    <cellStyle name="Percent 2 12 2" xfId="4061" xr:uid="{00000000-0005-0000-0000-0000D30F0000}"/>
    <cellStyle name="Percent 2 12 2 2" xfId="4062" xr:uid="{00000000-0005-0000-0000-0000D40F0000}"/>
    <cellStyle name="Percent 2 12 3" xfId="4063" xr:uid="{00000000-0005-0000-0000-0000D50F0000}"/>
    <cellStyle name="Percent 2 13" xfId="4064" xr:uid="{00000000-0005-0000-0000-0000D60F0000}"/>
    <cellStyle name="Percent 2 13 2" xfId="4065" xr:uid="{00000000-0005-0000-0000-0000D70F0000}"/>
    <cellStyle name="Percent 2 14" xfId="4066" xr:uid="{00000000-0005-0000-0000-0000D80F0000}"/>
    <cellStyle name="Percent 2 15" xfId="4067" xr:uid="{00000000-0005-0000-0000-0000D90F0000}"/>
    <cellStyle name="Percent 2 16" xfId="4068" xr:uid="{00000000-0005-0000-0000-0000DA0F0000}"/>
    <cellStyle name="Percent 2 17" xfId="4069" xr:uid="{00000000-0005-0000-0000-0000DB0F0000}"/>
    <cellStyle name="Percent 2 18" xfId="4070" xr:uid="{00000000-0005-0000-0000-0000DC0F0000}"/>
    <cellStyle name="Percent 2 19" xfId="4071" xr:uid="{00000000-0005-0000-0000-0000DD0F0000}"/>
    <cellStyle name="Percent 2 2" xfId="4072" xr:uid="{00000000-0005-0000-0000-0000DE0F0000}"/>
    <cellStyle name="Percent 2 2 2" xfId="4073" xr:uid="{00000000-0005-0000-0000-0000DF0F0000}"/>
    <cellStyle name="Percent 2 2 3" xfId="4074" xr:uid="{00000000-0005-0000-0000-0000E00F0000}"/>
    <cellStyle name="Percent 2 2 4" xfId="4075" xr:uid="{00000000-0005-0000-0000-0000E10F0000}"/>
    <cellStyle name="Percent 2 2 4 2" xfId="4076" xr:uid="{00000000-0005-0000-0000-0000E20F0000}"/>
    <cellStyle name="Percent 2 2 4 2 2" xfId="4077" xr:uid="{00000000-0005-0000-0000-0000E30F0000}"/>
    <cellStyle name="Percent 2 2 4 2 2 2" xfId="4078" xr:uid="{00000000-0005-0000-0000-0000E40F0000}"/>
    <cellStyle name="Percent 2 2 4 2 3" xfId="4079" xr:uid="{00000000-0005-0000-0000-0000E50F0000}"/>
    <cellStyle name="Percent 2 2 4 3" xfId="4080" xr:uid="{00000000-0005-0000-0000-0000E60F0000}"/>
    <cellStyle name="Percent 2 2 4 3 2" xfId="4081" xr:uid="{00000000-0005-0000-0000-0000E70F0000}"/>
    <cellStyle name="Percent 2 2 4 4" xfId="4082" xr:uid="{00000000-0005-0000-0000-0000E80F0000}"/>
    <cellStyle name="Percent 2 2 5" xfId="4083" xr:uid="{00000000-0005-0000-0000-0000E90F0000}"/>
    <cellStyle name="Percent 2 2 6" xfId="4084" xr:uid="{00000000-0005-0000-0000-0000EA0F0000}"/>
    <cellStyle name="Percent 2 20" xfId="4054" xr:uid="{00000000-0005-0000-0000-0000CC0F0000}"/>
    <cellStyle name="Percent 2 3" xfId="4085" xr:uid="{00000000-0005-0000-0000-0000EB0F0000}"/>
    <cellStyle name="Percent 2 3 2" xfId="4657" xr:uid="{00000000-0005-0000-0000-000051240000}"/>
    <cellStyle name="Percent 2 4" xfId="4086" xr:uid="{00000000-0005-0000-0000-0000EC0F0000}"/>
    <cellStyle name="Percent 2 5" xfId="4087" xr:uid="{00000000-0005-0000-0000-0000ED0F0000}"/>
    <cellStyle name="Percent 2 5 2" xfId="4088" xr:uid="{00000000-0005-0000-0000-0000EE0F0000}"/>
    <cellStyle name="Percent 2 5 2 2" xfId="4089" xr:uid="{00000000-0005-0000-0000-0000EF0F0000}"/>
    <cellStyle name="Percent 2 5 2 2 2" xfId="4090" xr:uid="{00000000-0005-0000-0000-0000F00F0000}"/>
    <cellStyle name="Percent 2 5 2 2 2 2" xfId="4091" xr:uid="{00000000-0005-0000-0000-0000F10F0000}"/>
    <cellStyle name="Percent 2 5 2 2 3" xfId="4092" xr:uid="{00000000-0005-0000-0000-0000F20F0000}"/>
    <cellStyle name="Percent 2 5 2 3" xfId="4093" xr:uid="{00000000-0005-0000-0000-0000F30F0000}"/>
    <cellStyle name="Percent 2 5 2 3 2" xfId="4094" xr:uid="{00000000-0005-0000-0000-0000F40F0000}"/>
    <cellStyle name="Percent 2 5 2 4" xfId="4095" xr:uid="{00000000-0005-0000-0000-0000F50F0000}"/>
    <cellStyle name="Percent 2 5 3" xfId="4096" xr:uid="{00000000-0005-0000-0000-0000F60F0000}"/>
    <cellStyle name="Percent 2 5 3 2" xfId="4097" xr:uid="{00000000-0005-0000-0000-0000F70F0000}"/>
    <cellStyle name="Percent 2 5 3 2 2" xfId="4098" xr:uid="{00000000-0005-0000-0000-0000F80F0000}"/>
    <cellStyle name="Percent 2 5 3 2 2 2" xfId="4099" xr:uid="{00000000-0005-0000-0000-0000F90F0000}"/>
    <cellStyle name="Percent 2 5 3 2 3" xfId="4100" xr:uid="{00000000-0005-0000-0000-0000FA0F0000}"/>
    <cellStyle name="Percent 2 5 3 3" xfId="4101" xr:uid="{00000000-0005-0000-0000-0000FB0F0000}"/>
    <cellStyle name="Percent 2 5 3 3 2" xfId="4102" xr:uid="{00000000-0005-0000-0000-0000FC0F0000}"/>
    <cellStyle name="Percent 2 5 3 4" xfId="4103" xr:uid="{00000000-0005-0000-0000-0000FD0F0000}"/>
    <cellStyle name="Percent 2 5 4" xfId="4104" xr:uid="{00000000-0005-0000-0000-0000FE0F0000}"/>
    <cellStyle name="Percent 2 5 4 2" xfId="4105" xr:uid="{00000000-0005-0000-0000-0000FF0F0000}"/>
    <cellStyle name="Percent 2 5 4 2 2" xfId="4106" xr:uid="{00000000-0005-0000-0000-000000100000}"/>
    <cellStyle name="Percent 2 5 4 3" xfId="4107" xr:uid="{00000000-0005-0000-0000-000001100000}"/>
    <cellStyle name="Percent 2 5 5" xfId="4108" xr:uid="{00000000-0005-0000-0000-000002100000}"/>
    <cellStyle name="Percent 2 5 5 2" xfId="4109" xr:uid="{00000000-0005-0000-0000-000003100000}"/>
    <cellStyle name="Percent 2 5 6" xfId="4110" xr:uid="{00000000-0005-0000-0000-000004100000}"/>
    <cellStyle name="Percent 2 6" xfId="4111" xr:uid="{00000000-0005-0000-0000-000005100000}"/>
    <cellStyle name="Percent 2 6 2" xfId="4112" xr:uid="{00000000-0005-0000-0000-000006100000}"/>
    <cellStyle name="Percent 2 6 2 2" xfId="4113" xr:uid="{00000000-0005-0000-0000-000007100000}"/>
    <cellStyle name="Percent 2 6 2 2 2" xfId="4114" xr:uid="{00000000-0005-0000-0000-000008100000}"/>
    <cellStyle name="Percent 2 6 2 2 2 2" xfId="4115" xr:uid="{00000000-0005-0000-0000-000009100000}"/>
    <cellStyle name="Percent 2 6 2 2 3" xfId="4116" xr:uid="{00000000-0005-0000-0000-00000A100000}"/>
    <cellStyle name="Percent 2 6 2 3" xfId="4117" xr:uid="{00000000-0005-0000-0000-00000B100000}"/>
    <cellStyle name="Percent 2 6 2 3 2" xfId="4118" xr:uid="{00000000-0005-0000-0000-00000C100000}"/>
    <cellStyle name="Percent 2 6 2 4" xfId="4119" xr:uid="{00000000-0005-0000-0000-00000D100000}"/>
    <cellStyle name="Percent 2 6 3" xfId="4120" xr:uid="{00000000-0005-0000-0000-00000E100000}"/>
    <cellStyle name="Percent 2 6 3 2" xfId="4121" xr:uid="{00000000-0005-0000-0000-00000F100000}"/>
    <cellStyle name="Percent 2 6 3 2 2" xfId="4122" xr:uid="{00000000-0005-0000-0000-000010100000}"/>
    <cellStyle name="Percent 2 6 3 2 2 2" xfId="4123" xr:uid="{00000000-0005-0000-0000-000011100000}"/>
    <cellStyle name="Percent 2 6 3 2 3" xfId="4124" xr:uid="{00000000-0005-0000-0000-000012100000}"/>
    <cellStyle name="Percent 2 6 3 3" xfId="4125" xr:uid="{00000000-0005-0000-0000-000013100000}"/>
    <cellStyle name="Percent 2 6 3 3 2" xfId="4126" xr:uid="{00000000-0005-0000-0000-000014100000}"/>
    <cellStyle name="Percent 2 6 3 4" xfId="4127" xr:uid="{00000000-0005-0000-0000-000015100000}"/>
    <cellStyle name="Percent 2 6 4" xfId="4128" xr:uid="{00000000-0005-0000-0000-000016100000}"/>
    <cellStyle name="Percent 2 6 4 2" xfId="4129" xr:uid="{00000000-0005-0000-0000-000017100000}"/>
    <cellStyle name="Percent 2 6 4 2 2" xfId="4130" xr:uid="{00000000-0005-0000-0000-000018100000}"/>
    <cellStyle name="Percent 2 6 4 3" xfId="4131" xr:uid="{00000000-0005-0000-0000-000019100000}"/>
    <cellStyle name="Percent 2 6 5" xfId="4132" xr:uid="{00000000-0005-0000-0000-00001A100000}"/>
    <cellStyle name="Percent 2 6 5 2" xfId="4133" xr:uid="{00000000-0005-0000-0000-00001B100000}"/>
    <cellStyle name="Percent 2 6 6" xfId="4134" xr:uid="{00000000-0005-0000-0000-00001C100000}"/>
    <cellStyle name="Percent 2 7" xfId="4135" xr:uid="{00000000-0005-0000-0000-00001D100000}"/>
    <cellStyle name="Percent 2 7 2" xfId="4136" xr:uid="{00000000-0005-0000-0000-00001E100000}"/>
    <cellStyle name="Percent 2 7 3" xfId="4137" xr:uid="{00000000-0005-0000-0000-00001F100000}"/>
    <cellStyle name="Percent 2 7 4" xfId="4138" xr:uid="{00000000-0005-0000-0000-000020100000}"/>
    <cellStyle name="Percent 2 7 4 2" xfId="4139" xr:uid="{00000000-0005-0000-0000-000021100000}"/>
    <cellStyle name="Percent 2 7 4 2 2" xfId="4140" xr:uid="{00000000-0005-0000-0000-000022100000}"/>
    <cellStyle name="Percent 2 7 4 3" xfId="4141" xr:uid="{00000000-0005-0000-0000-000023100000}"/>
    <cellStyle name="Percent 2 7 5" xfId="4142" xr:uid="{00000000-0005-0000-0000-000024100000}"/>
    <cellStyle name="Percent 2 7 5 2" xfId="4143" xr:uid="{00000000-0005-0000-0000-000025100000}"/>
    <cellStyle name="Percent 2 7 6" xfId="4144" xr:uid="{00000000-0005-0000-0000-000026100000}"/>
    <cellStyle name="Percent 2 8" xfId="4145" xr:uid="{00000000-0005-0000-0000-000027100000}"/>
    <cellStyle name="Percent 2 8 2" xfId="4146" xr:uid="{00000000-0005-0000-0000-000028100000}"/>
    <cellStyle name="Percent 2 8 2 2" xfId="4147" xr:uid="{00000000-0005-0000-0000-000029100000}"/>
    <cellStyle name="Percent 2 8 2 2 2" xfId="4148" xr:uid="{00000000-0005-0000-0000-00002A100000}"/>
    <cellStyle name="Percent 2 8 2 3" xfId="4149" xr:uid="{00000000-0005-0000-0000-00002B100000}"/>
    <cellStyle name="Percent 2 8 3" xfId="4150" xr:uid="{00000000-0005-0000-0000-00002C100000}"/>
    <cellStyle name="Percent 2 8 3 2" xfId="4151" xr:uid="{00000000-0005-0000-0000-00002D100000}"/>
    <cellStyle name="Percent 2 8 4" xfId="4152" xr:uid="{00000000-0005-0000-0000-00002E100000}"/>
    <cellStyle name="Percent 2 9" xfId="4153" xr:uid="{00000000-0005-0000-0000-00002F100000}"/>
    <cellStyle name="Percent 3" xfId="4154" xr:uid="{00000000-0005-0000-0000-000030100000}"/>
    <cellStyle name="Percent 3 2" xfId="4155" xr:uid="{00000000-0005-0000-0000-000031100000}"/>
    <cellStyle name="Percent 3 2 2" xfId="4156" xr:uid="{00000000-0005-0000-0000-000032100000}"/>
    <cellStyle name="Percent 3 2 2 2" xfId="4157" xr:uid="{00000000-0005-0000-0000-000033100000}"/>
    <cellStyle name="Percent 3 2 3" xfId="4158" xr:uid="{00000000-0005-0000-0000-000034100000}"/>
    <cellStyle name="Percent 3 2 4" xfId="4159" xr:uid="{00000000-0005-0000-0000-000035100000}"/>
    <cellStyle name="Percent 3 3" xfId="4160" xr:uid="{00000000-0005-0000-0000-000036100000}"/>
    <cellStyle name="Percent 3 4" xfId="4161" xr:uid="{00000000-0005-0000-0000-000037100000}"/>
    <cellStyle name="Percent 4" xfId="4162" xr:uid="{00000000-0005-0000-0000-000038100000}"/>
    <cellStyle name="Percent 4 2" xfId="4163" xr:uid="{00000000-0005-0000-0000-000039100000}"/>
    <cellStyle name="Percent 4 2 2" xfId="4164" xr:uid="{00000000-0005-0000-0000-00003A100000}"/>
    <cellStyle name="Percent 4 2 3" xfId="4165" xr:uid="{00000000-0005-0000-0000-00003B100000}"/>
    <cellStyle name="Percent 4 3" xfId="4166" xr:uid="{00000000-0005-0000-0000-00003C100000}"/>
    <cellStyle name="Percent 4 3 2" xfId="4167" xr:uid="{00000000-0005-0000-0000-00003D100000}"/>
    <cellStyle name="Percent 4 3 2 2" xfId="4168" xr:uid="{00000000-0005-0000-0000-00003E100000}"/>
    <cellStyle name="Percent 4 3 3" xfId="4169" xr:uid="{00000000-0005-0000-0000-00003F100000}"/>
    <cellStyle name="Percent 4 4" xfId="4170" xr:uid="{00000000-0005-0000-0000-000040100000}"/>
    <cellStyle name="Percent 5" xfId="10" xr:uid="{00000000-0005-0000-0000-00000A000000}"/>
    <cellStyle name="Percent 5 2" xfId="4171" xr:uid="{00000000-0005-0000-0000-000042100000}"/>
    <cellStyle name="Percent 5 2 2" xfId="4172" xr:uid="{00000000-0005-0000-0000-000043100000}"/>
    <cellStyle name="Percent 5 2 2 2" xfId="4173" xr:uid="{00000000-0005-0000-0000-000044100000}"/>
    <cellStyle name="Percent 5 2 3" xfId="4174" xr:uid="{00000000-0005-0000-0000-000045100000}"/>
    <cellStyle name="Percent 6" xfId="11" xr:uid="{00000000-0005-0000-0000-00000B000000}"/>
    <cellStyle name="Percent 6 2" xfId="4176" xr:uid="{00000000-0005-0000-0000-000047100000}"/>
    <cellStyle name="Percent 6 2 2" xfId="4177" xr:uid="{00000000-0005-0000-0000-000048100000}"/>
    <cellStyle name="Percent 6 2 2 2" xfId="4178" xr:uid="{00000000-0005-0000-0000-000049100000}"/>
    <cellStyle name="Percent 6 2 3" xfId="4179" xr:uid="{00000000-0005-0000-0000-00004A100000}"/>
    <cellStyle name="Percent 6 3" xfId="4180" xr:uid="{00000000-0005-0000-0000-00004B100000}"/>
    <cellStyle name="Percent 6 3 2" xfId="4181" xr:uid="{00000000-0005-0000-0000-00004C100000}"/>
    <cellStyle name="Percent 6 3 2 2" xfId="4182" xr:uid="{00000000-0005-0000-0000-00004D100000}"/>
    <cellStyle name="Percent 6 3 3" xfId="4183" xr:uid="{00000000-0005-0000-0000-00004E100000}"/>
    <cellStyle name="Percent 6 4" xfId="4175" xr:uid="{00000000-0005-0000-0000-000046100000}"/>
    <cellStyle name="Percent 7" xfId="4184" xr:uid="{00000000-0005-0000-0000-00004F100000}"/>
    <cellStyle name="Percent 7 2" xfId="4185" xr:uid="{00000000-0005-0000-0000-000050100000}"/>
    <cellStyle name="Percent 7 2 2" xfId="4186" xr:uid="{00000000-0005-0000-0000-000051100000}"/>
    <cellStyle name="Percent 7 2 2 2" xfId="4187" xr:uid="{00000000-0005-0000-0000-000052100000}"/>
    <cellStyle name="Percent 7 2 3" xfId="4188" xr:uid="{00000000-0005-0000-0000-000053100000}"/>
    <cellStyle name="Percent 7 3" xfId="4189" xr:uid="{00000000-0005-0000-0000-000054100000}"/>
    <cellStyle name="Percent 7 3 2" xfId="4190" xr:uid="{00000000-0005-0000-0000-000055100000}"/>
    <cellStyle name="Percent 7 4" xfId="4191" xr:uid="{00000000-0005-0000-0000-000056100000}"/>
    <cellStyle name="Percent 8" xfId="4192" xr:uid="{00000000-0005-0000-0000-000057100000}"/>
    <cellStyle name="Percent 9" xfId="4193" xr:uid="{00000000-0005-0000-0000-000058100000}"/>
    <cellStyle name="Percent Hard" xfId="4194" xr:uid="{00000000-0005-0000-0000-000059100000}"/>
    <cellStyle name="percentage" xfId="4195" xr:uid="{00000000-0005-0000-0000-00005A100000}"/>
    <cellStyle name="PercentChange" xfId="4196" xr:uid="{00000000-0005-0000-0000-00005B100000}"/>
    <cellStyle name="PLAN1" xfId="4197" xr:uid="{00000000-0005-0000-0000-00005C100000}"/>
    <cellStyle name="Porcentaje" xfId="4198" xr:uid="{00000000-0005-0000-0000-00005D100000}"/>
    <cellStyle name="Pourcentage_Profit &amp; Loss" xfId="4199" xr:uid="{00000000-0005-0000-0000-00005E100000}"/>
    <cellStyle name="PrePop Currency (0)" xfId="4200" xr:uid="{00000000-0005-0000-0000-00005F100000}"/>
    <cellStyle name="PrePop Currency (2)" xfId="4201" xr:uid="{00000000-0005-0000-0000-000060100000}"/>
    <cellStyle name="PrePop Units (0)" xfId="4202" xr:uid="{00000000-0005-0000-0000-000061100000}"/>
    <cellStyle name="PrePop Units (1)" xfId="4203" xr:uid="{00000000-0005-0000-0000-000062100000}"/>
    <cellStyle name="PrePop Units (2)" xfId="4204" xr:uid="{00000000-0005-0000-0000-000063100000}"/>
    <cellStyle name="Procenten" xfId="4205" xr:uid="{00000000-0005-0000-0000-000064100000}"/>
    <cellStyle name="Procenten estimate" xfId="4206" xr:uid="{00000000-0005-0000-0000-000065100000}"/>
    <cellStyle name="Procenten_EMI" xfId="4207" xr:uid="{00000000-0005-0000-0000-000066100000}"/>
    <cellStyle name="Profit figure" xfId="4208" xr:uid="{00000000-0005-0000-0000-000067100000}"/>
    <cellStyle name="Protected" xfId="4209" xr:uid="{00000000-0005-0000-0000-000068100000}"/>
    <cellStyle name="ProtectedDates" xfId="4210" xr:uid="{00000000-0005-0000-0000-000069100000}"/>
    <cellStyle name="PSChar" xfId="4211" xr:uid="{00000000-0005-0000-0000-00006A100000}"/>
    <cellStyle name="PSDate" xfId="4212" xr:uid="{00000000-0005-0000-0000-00006B100000}"/>
    <cellStyle name="PSDec" xfId="4213" xr:uid="{00000000-0005-0000-0000-00006C100000}"/>
    <cellStyle name="PSHeading" xfId="4214" xr:uid="{00000000-0005-0000-0000-00006D100000}"/>
    <cellStyle name="PSHeading 2" xfId="4604" xr:uid="{00000000-0005-0000-0000-00006D100000}"/>
    <cellStyle name="PSInt" xfId="4215" xr:uid="{00000000-0005-0000-0000-00006E100000}"/>
    <cellStyle name="PSSpacer" xfId="4216" xr:uid="{00000000-0005-0000-0000-00006F100000}"/>
    <cellStyle name="RatioX" xfId="4217" xr:uid="{00000000-0005-0000-0000-000070100000}"/>
    <cellStyle name="Red font" xfId="4218" xr:uid="{00000000-0005-0000-0000-000071100000}"/>
    <cellStyle name="ref" xfId="4219" xr:uid="{00000000-0005-0000-0000-000072100000}"/>
    <cellStyle name="Right" xfId="4220" xr:uid="{00000000-0005-0000-0000-000073100000}"/>
    <cellStyle name="Salomon Logo" xfId="4221" xr:uid="{00000000-0005-0000-0000-000074100000}"/>
    <cellStyle name="ScripFactor" xfId="4222" xr:uid="{00000000-0005-0000-0000-000075100000}"/>
    <cellStyle name="SectionHeading" xfId="4223" xr:uid="{00000000-0005-0000-0000-000076100000}"/>
    <cellStyle name="SectionHeading 2" xfId="4605" xr:uid="{00000000-0005-0000-0000-000076100000}"/>
    <cellStyle name="SectionHeading 3" xfId="4668" xr:uid="{00000000-0005-0000-0000-0000DC240000}"/>
    <cellStyle name="Shade" xfId="4224" xr:uid="{00000000-0005-0000-0000-000077100000}"/>
    <cellStyle name="Shaded" xfId="4225" xr:uid="{00000000-0005-0000-0000-000078100000}"/>
    <cellStyle name="Single Accounting" xfId="4226" xr:uid="{00000000-0005-0000-0000-000079100000}"/>
    <cellStyle name="SingleLineAcctgn" xfId="4227" xr:uid="{00000000-0005-0000-0000-00007A100000}"/>
    <cellStyle name="SingleLinePercent" xfId="4228" xr:uid="{00000000-0005-0000-0000-00007B100000}"/>
    <cellStyle name="Source Superscript" xfId="4229" xr:uid="{00000000-0005-0000-0000-00007C100000}"/>
    <cellStyle name="Source Text" xfId="4230" xr:uid="{00000000-0005-0000-0000-00007D100000}"/>
    <cellStyle name="ssp " xfId="4231" xr:uid="{00000000-0005-0000-0000-00007E100000}"/>
    <cellStyle name="ssp  2" xfId="4606" xr:uid="{00000000-0005-0000-0000-00007E100000}"/>
    <cellStyle name="ssp  3" xfId="4669" xr:uid="{00000000-0005-0000-0000-0000E4240000}"/>
    <cellStyle name="Standard" xfId="4232" xr:uid="{00000000-0005-0000-0000-00007F100000}"/>
    <cellStyle name="Style 1" xfId="4233" xr:uid="{00000000-0005-0000-0000-000080100000}"/>
    <cellStyle name="Style 10" xfId="4234" xr:uid="{00000000-0005-0000-0000-000081100000}"/>
    <cellStyle name="Style 100" xfId="4235" xr:uid="{00000000-0005-0000-0000-000082100000}"/>
    <cellStyle name="Style 101" xfId="4236" xr:uid="{00000000-0005-0000-0000-000083100000}"/>
    <cellStyle name="Style 102" xfId="4237" xr:uid="{00000000-0005-0000-0000-000084100000}"/>
    <cellStyle name="Style 103" xfId="4238" xr:uid="{00000000-0005-0000-0000-000085100000}"/>
    <cellStyle name="Style 104" xfId="4239" xr:uid="{00000000-0005-0000-0000-000086100000}"/>
    <cellStyle name="Style 105" xfId="4240" xr:uid="{00000000-0005-0000-0000-000087100000}"/>
    <cellStyle name="Style 106" xfId="4241" xr:uid="{00000000-0005-0000-0000-000088100000}"/>
    <cellStyle name="Style 107" xfId="4242" xr:uid="{00000000-0005-0000-0000-000089100000}"/>
    <cellStyle name="Style 108" xfId="4243" xr:uid="{00000000-0005-0000-0000-00008A100000}"/>
    <cellStyle name="Style 109" xfId="4244" xr:uid="{00000000-0005-0000-0000-00008B100000}"/>
    <cellStyle name="Style 11" xfId="4245" xr:uid="{00000000-0005-0000-0000-00008C100000}"/>
    <cellStyle name="Style 110" xfId="4246" xr:uid="{00000000-0005-0000-0000-00008D100000}"/>
    <cellStyle name="Style 111" xfId="4247" xr:uid="{00000000-0005-0000-0000-00008E100000}"/>
    <cellStyle name="Style 112" xfId="4248" xr:uid="{00000000-0005-0000-0000-00008F100000}"/>
    <cellStyle name="Style 113" xfId="4249" xr:uid="{00000000-0005-0000-0000-000090100000}"/>
    <cellStyle name="Style 114" xfId="4250" xr:uid="{00000000-0005-0000-0000-000091100000}"/>
    <cellStyle name="Style 115" xfId="4251" xr:uid="{00000000-0005-0000-0000-000092100000}"/>
    <cellStyle name="Style 116" xfId="4252" xr:uid="{00000000-0005-0000-0000-000093100000}"/>
    <cellStyle name="Style 117" xfId="4253" xr:uid="{00000000-0005-0000-0000-000094100000}"/>
    <cellStyle name="Style 118" xfId="4254" xr:uid="{00000000-0005-0000-0000-000095100000}"/>
    <cellStyle name="Style 119" xfId="4255" xr:uid="{00000000-0005-0000-0000-000096100000}"/>
    <cellStyle name="Style 12" xfId="4256" xr:uid="{00000000-0005-0000-0000-000097100000}"/>
    <cellStyle name="Style 120" xfId="4257" xr:uid="{00000000-0005-0000-0000-000098100000}"/>
    <cellStyle name="Style 121" xfId="4258" xr:uid="{00000000-0005-0000-0000-000099100000}"/>
    <cellStyle name="Style 122" xfId="4259" xr:uid="{00000000-0005-0000-0000-00009A100000}"/>
    <cellStyle name="Style 123" xfId="4260" xr:uid="{00000000-0005-0000-0000-00009B100000}"/>
    <cellStyle name="Style 124" xfId="4261" xr:uid="{00000000-0005-0000-0000-00009C100000}"/>
    <cellStyle name="Style 125" xfId="4262" xr:uid="{00000000-0005-0000-0000-00009D100000}"/>
    <cellStyle name="Style 126" xfId="4263" xr:uid="{00000000-0005-0000-0000-00009E100000}"/>
    <cellStyle name="Style 127" xfId="4264" xr:uid="{00000000-0005-0000-0000-00009F100000}"/>
    <cellStyle name="Style 128" xfId="4265" xr:uid="{00000000-0005-0000-0000-0000A0100000}"/>
    <cellStyle name="Style 129" xfId="4266" xr:uid="{00000000-0005-0000-0000-0000A1100000}"/>
    <cellStyle name="Style 13" xfId="4267" xr:uid="{00000000-0005-0000-0000-0000A2100000}"/>
    <cellStyle name="Style 130" xfId="4268" xr:uid="{00000000-0005-0000-0000-0000A3100000}"/>
    <cellStyle name="Style 131" xfId="4269" xr:uid="{00000000-0005-0000-0000-0000A4100000}"/>
    <cellStyle name="Style 132" xfId="4270" xr:uid="{00000000-0005-0000-0000-0000A5100000}"/>
    <cellStyle name="Style 133" xfId="4271" xr:uid="{00000000-0005-0000-0000-0000A6100000}"/>
    <cellStyle name="Style 134" xfId="4272" xr:uid="{00000000-0005-0000-0000-0000A7100000}"/>
    <cellStyle name="Style 135" xfId="4273" xr:uid="{00000000-0005-0000-0000-0000A8100000}"/>
    <cellStyle name="Style 136" xfId="4274" xr:uid="{00000000-0005-0000-0000-0000A9100000}"/>
    <cellStyle name="Style 137" xfId="4275" xr:uid="{00000000-0005-0000-0000-0000AA100000}"/>
    <cellStyle name="Style 138" xfId="4276" xr:uid="{00000000-0005-0000-0000-0000AB100000}"/>
    <cellStyle name="Style 139" xfId="4277" xr:uid="{00000000-0005-0000-0000-0000AC100000}"/>
    <cellStyle name="Style 14" xfId="4278" xr:uid="{00000000-0005-0000-0000-0000AD100000}"/>
    <cellStyle name="Style 140" xfId="4279" xr:uid="{00000000-0005-0000-0000-0000AE100000}"/>
    <cellStyle name="Style 141" xfId="4280" xr:uid="{00000000-0005-0000-0000-0000AF100000}"/>
    <cellStyle name="Style 142" xfId="4281" xr:uid="{00000000-0005-0000-0000-0000B0100000}"/>
    <cellStyle name="Style 143" xfId="4282" xr:uid="{00000000-0005-0000-0000-0000B1100000}"/>
    <cellStyle name="Style 144" xfId="4283" xr:uid="{00000000-0005-0000-0000-0000B2100000}"/>
    <cellStyle name="Style 145" xfId="4284" xr:uid="{00000000-0005-0000-0000-0000B3100000}"/>
    <cellStyle name="Style 146" xfId="4285" xr:uid="{00000000-0005-0000-0000-0000B4100000}"/>
    <cellStyle name="Style 147" xfId="4286" xr:uid="{00000000-0005-0000-0000-0000B5100000}"/>
    <cellStyle name="Style 148" xfId="4287" xr:uid="{00000000-0005-0000-0000-0000B6100000}"/>
    <cellStyle name="Style 149" xfId="4288" xr:uid="{00000000-0005-0000-0000-0000B7100000}"/>
    <cellStyle name="Style 15" xfId="4289" xr:uid="{00000000-0005-0000-0000-0000B8100000}"/>
    <cellStyle name="Style 150" xfId="4290" xr:uid="{00000000-0005-0000-0000-0000B9100000}"/>
    <cellStyle name="Style 151" xfId="4291" xr:uid="{00000000-0005-0000-0000-0000BA100000}"/>
    <cellStyle name="Style 152" xfId="4292" xr:uid="{00000000-0005-0000-0000-0000BB100000}"/>
    <cellStyle name="Style 153" xfId="4293" xr:uid="{00000000-0005-0000-0000-0000BC100000}"/>
    <cellStyle name="Style 154" xfId="4294" xr:uid="{00000000-0005-0000-0000-0000BD100000}"/>
    <cellStyle name="Style 155" xfId="4295" xr:uid="{00000000-0005-0000-0000-0000BE100000}"/>
    <cellStyle name="Style 156" xfId="4296" xr:uid="{00000000-0005-0000-0000-0000BF100000}"/>
    <cellStyle name="Style 157" xfId="4297" xr:uid="{00000000-0005-0000-0000-0000C0100000}"/>
    <cellStyle name="Style 158" xfId="4298" xr:uid="{00000000-0005-0000-0000-0000C1100000}"/>
    <cellStyle name="Style 159" xfId="4299" xr:uid="{00000000-0005-0000-0000-0000C2100000}"/>
    <cellStyle name="Style 16" xfId="4300" xr:uid="{00000000-0005-0000-0000-0000C3100000}"/>
    <cellStyle name="Style 160" xfId="4301" xr:uid="{00000000-0005-0000-0000-0000C4100000}"/>
    <cellStyle name="Style 161" xfId="4302" xr:uid="{00000000-0005-0000-0000-0000C5100000}"/>
    <cellStyle name="Style 162" xfId="4303" xr:uid="{00000000-0005-0000-0000-0000C6100000}"/>
    <cellStyle name="Style 163" xfId="4304" xr:uid="{00000000-0005-0000-0000-0000C7100000}"/>
    <cellStyle name="Style 164" xfId="4305" xr:uid="{00000000-0005-0000-0000-0000C8100000}"/>
    <cellStyle name="Style 165" xfId="4306" xr:uid="{00000000-0005-0000-0000-0000C9100000}"/>
    <cellStyle name="Style 166" xfId="4307" xr:uid="{00000000-0005-0000-0000-0000CA100000}"/>
    <cellStyle name="Style 167" xfId="4308" xr:uid="{00000000-0005-0000-0000-0000CB100000}"/>
    <cellStyle name="Style 168" xfId="4309" xr:uid="{00000000-0005-0000-0000-0000CC100000}"/>
    <cellStyle name="Style 169" xfId="4310" xr:uid="{00000000-0005-0000-0000-0000CD100000}"/>
    <cellStyle name="Style 17" xfId="4311" xr:uid="{00000000-0005-0000-0000-0000CE100000}"/>
    <cellStyle name="Style 170" xfId="4312" xr:uid="{00000000-0005-0000-0000-0000CF100000}"/>
    <cellStyle name="Style 171" xfId="4313" xr:uid="{00000000-0005-0000-0000-0000D0100000}"/>
    <cellStyle name="Style 172" xfId="4314" xr:uid="{00000000-0005-0000-0000-0000D1100000}"/>
    <cellStyle name="Style 173" xfId="4315" xr:uid="{00000000-0005-0000-0000-0000D2100000}"/>
    <cellStyle name="Style 174" xfId="4316" xr:uid="{00000000-0005-0000-0000-0000D3100000}"/>
    <cellStyle name="Style 175" xfId="4317" xr:uid="{00000000-0005-0000-0000-0000D4100000}"/>
    <cellStyle name="Style 176" xfId="4318" xr:uid="{00000000-0005-0000-0000-0000D5100000}"/>
    <cellStyle name="Style 177" xfId="4319" xr:uid="{00000000-0005-0000-0000-0000D6100000}"/>
    <cellStyle name="Style 178" xfId="4320" xr:uid="{00000000-0005-0000-0000-0000D7100000}"/>
    <cellStyle name="Style 179" xfId="4321" xr:uid="{00000000-0005-0000-0000-0000D8100000}"/>
    <cellStyle name="Style 18" xfId="4322" xr:uid="{00000000-0005-0000-0000-0000D9100000}"/>
    <cellStyle name="Style 180" xfId="4323" xr:uid="{00000000-0005-0000-0000-0000DA100000}"/>
    <cellStyle name="Style 181" xfId="4324" xr:uid="{00000000-0005-0000-0000-0000DB100000}"/>
    <cellStyle name="Style 182" xfId="4325" xr:uid="{00000000-0005-0000-0000-0000DC100000}"/>
    <cellStyle name="Style 183" xfId="4326" xr:uid="{00000000-0005-0000-0000-0000DD100000}"/>
    <cellStyle name="Style 184" xfId="4327" xr:uid="{00000000-0005-0000-0000-0000DE100000}"/>
    <cellStyle name="Style 185" xfId="4328" xr:uid="{00000000-0005-0000-0000-0000DF100000}"/>
    <cellStyle name="Style 186" xfId="4329" xr:uid="{00000000-0005-0000-0000-0000E0100000}"/>
    <cellStyle name="Style 187" xfId="4330" xr:uid="{00000000-0005-0000-0000-0000E1100000}"/>
    <cellStyle name="Style 188" xfId="4331" xr:uid="{00000000-0005-0000-0000-0000E2100000}"/>
    <cellStyle name="Style 189" xfId="4332" xr:uid="{00000000-0005-0000-0000-0000E3100000}"/>
    <cellStyle name="Style 19" xfId="4333" xr:uid="{00000000-0005-0000-0000-0000E4100000}"/>
    <cellStyle name="Style 190" xfId="4334" xr:uid="{00000000-0005-0000-0000-0000E5100000}"/>
    <cellStyle name="Style 191" xfId="4335" xr:uid="{00000000-0005-0000-0000-0000E6100000}"/>
    <cellStyle name="Style 192" xfId="4336" xr:uid="{00000000-0005-0000-0000-0000E7100000}"/>
    <cellStyle name="Style 193" xfId="4337" xr:uid="{00000000-0005-0000-0000-0000E8100000}"/>
    <cellStyle name="Style 194" xfId="4338" xr:uid="{00000000-0005-0000-0000-0000E9100000}"/>
    <cellStyle name="Style 195" xfId="4339" xr:uid="{00000000-0005-0000-0000-0000EA100000}"/>
    <cellStyle name="Style 196" xfId="4340" xr:uid="{00000000-0005-0000-0000-0000EB100000}"/>
    <cellStyle name="Style 197" xfId="4341" xr:uid="{00000000-0005-0000-0000-0000EC100000}"/>
    <cellStyle name="Style 198" xfId="4342" xr:uid="{00000000-0005-0000-0000-0000ED100000}"/>
    <cellStyle name="Style 199" xfId="4343" xr:uid="{00000000-0005-0000-0000-0000EE100000}"/>
    <cellStyle name="Style 2" xfId="4344" xr:uid="{00000000-0005-0000-0000-0000EF100000}"/>
    <cellStyle name="Style 20" xfId="4345" xr:uid="{00000000-0005-0000-0000-0000F0100000}"/>
    <cellStyle name="Style 200" xfId="4346" xr:uid="{00000000-0005-0000-0000-0000F1100000}"/>
    <cellStyle name="Style 201" xfId="4347" xr:uid="{00000000-0005-0000-0000-0000F2100000}"/>
    <cellStyle name="Style 202" xfId="4348" xr:uid="{00000000-0005-0000-0000-0000F3100000}"/>
    <cellStyle name="Style 203" xfId="4349" xr:uid="{00000000-0005-0000-0000-0000F4100000}"/>
    <cellStyle name="Style 204" xfId="4350" xr:uid="{00000000-0005-0000-0000-0000F5100000}"/>
    <cellStyle name="Style 205" xfId="4351" xr:uid="{00000000-0005-0000-0000-0000F6100000}"/>
    <cellStyle name="Style 206" xfId="4352" xr:uid="{00000000-0005-0000-0000-0000F7100000}"/>
    <cellStyle name="Style 207" xfId="4353" xr:uid="{00000000-0005-0000-0000-0000F8100000}"/>
    <cellStyle name="Style 208" xfId="4354" xr:uid="{00000000-0005-0000-0000-0000F9100000}"/>
    <cellStyle name="Style 209" xfId="4355" xr:uid="{00000000-0005-0000-0000-0000FA100000}"/>
    <cellStyle name="Style 21" xfId="4356" xr:uid="{00000000-0005-0000-0000-0000FB100000}"/>
    <cellStyle name="Style 21 2" xfId="4357" xr:uid="{00000000-0005-0000-0000-0000FC100000}"/>
    <cellStyle name="Style 21 3" xfId="4607" xr:uid="{00000000-0005-0000-0000-0000FB100000}"/>
    <cellStyle name="Style 21 4" xfId="4670" xr:uid="{00000000-0005-0000-0000-000061250000}"/>
    <cellStyle name="Style 22" xfId="4358" xr:uid="{00000000-0005-0000-0000-0000FD100000}"/>
    <cellStyle name="Style 22 2" xfId="4359" xr:uid="{00000000-0005-0000-0000-0000FE100000}"/>
    <cellStyle name="Style 22 2 2" xfId="4609" xr:uid="{00000000-0005-0000-0000-0000FE100000}"/>
    <cellStyle name="Style 22 2 3" xfId="4672" xr:uid="{00000000-0005-0000-0000-000064250000}"/>
    <cellStyle name="Style 22 3" xfId="4360" xr:uid="{00000000-0005-0000-0000-0000FF100000}"/>
    <cellStyle name="Style 22 3 2" xfId="4610" xr:uid="{00000000-0005-0000-0000-0000FF100000}"/>
    <cellStyle name="Style 22 3 3" xfId="4673" xr:uid="{00000000-0005-0000-0000-000065250000}"/>
    <cellStyle name="Style 22 4" xfId="4361" xr:uid="{00000000-0005-0000-0000-000000110000}"/>
    <cellStyle name="Style 22 5" xfId="4608" xr:uid="{00000000-0005-0000-0000-0000FD100000}"/>
    <cellStyle name="Style 22 6" xfId="4671" xr:uid="{00000000-0005-0000-0000-000063250000}"/>
    <cellStyle name="Style 23" xfId="4362" xr:uid="{00000000-0005-0000-0000-000001110000}"/>
    <cellStyle name="Style 23 2" xfId="4363" xr:uid="{00000000-0005-0000-0000-000002110000}"/>
    <cellStyle name="Style 23 2 2" xfId="4612" xr:uid="{00000000-0005-0000-0000-000002110000}"/>
    <cellStyle name="Style 23 2 2 2" xfId="4618" xr:uid="{00000000-0005-0000-0000-00006A250000}"/>
    <cellStyle name="Style 23 2 2 3" xfId="4721" xr:uid="{00000000-0005-0000-0000-00006B250000}"/>
    <cellStyle name="Style 23 2 2 4" xfId="4631" xr:uid="{00000000-0005-0000-0000-000069250000}"/>
    <cellStyle name="Style 23 2 3" xfId="4637" xr:uid="{00000000-0005-0000-0000-000068250000}"/>
    <cellStyle name="Style 23 3" xfId="4364" xr:uid="{00000000-0005-0000-0000-000003110000}"/>
    <cellStyle name="Style 23 3 2" xfId="4619" xr:uid="{00000000-0005-0000-0000-00006D250000}"/>
    <cellStyle name="Style 23 3 3" xfId="4722" xr:uid="{00000000-0005-0000-0000-00006E250000}"/>
    <cellStyle name="Style 23 3 4" xfId="4630" xr:uid="{00000000-0005-0000-0000-00006C250000}"/>
    <cellStyle name="Style 23 4" xfId="4611" xr:uid="{00000000-0005-0000-0000-000001110000}"/>
    <cellStyle name="Style 23 5" xfId="4638" xr:uid="{00000000-0005-0000-0000-000067250000}"/>
    <cellStyle name="Style 24" xfId="4365" xr:uid="{00000000-0005-0000-0000-000004110000}"/>
    <cellStyle name="Style 24 2" xfId="4366" xr:uid="{00000000-0005-0000-0000-000005110000}"/>
    <cellStyle name="Style 24 3" xfId="4367" xr:uid="{00000000-0005-0000-0000-000006110000}"/>
    <cellStyle name="Style 24 4" xfId="4368" xr:uid="{00000000-0005-0000-0000-000007110000}"/>
    <cellStyle name="Style 24 5" xfId="4613" xr:uid="{00000000-0005-0000-0000-000004110000}"/>
    <cellStyle name="Style 24 6" xfId="4674" xr:uid="{00000000-0005-0000-0000-00006F250000}"/>
    <cellStyle name="Style 25" xfId="4369" xr:uid="{00000000-0005-0000-0000-000008110000}"/>
    <cellStyle name="Style 25 2" xfId="4370" xr:uid="{00000000-0005-0000-0000-000009110000}"/>
    <cellStyle name="Style 25 2 2" xfId="4615" xr:uid="{00000000-0005-0000-0000-000009110000}"/>
    <cellStyle name="Style 25 2 3" xfId="4676" xr:uid="{00000000-0005-0000-0000-000074250000}"/>
    <cellStyle name="Style 25 3" xfId="4371" xr:uid="{00000000-0005-0000-0000-00000A110000}"/>
    <cellStyle name="Style 25 4" xfId="4614" xr:uid="{00000000-0005-0000-0000-000008110000}"/>
    <cellStyle name="Style 25 5" xfId="4675" xr:uid="{00000000-0005-0000-0000-000073250000}"/>
    <cellStyle name="Style 26" xfId="4372" xr:uid="{00000000-0005-0000-0000-00000B110000}"/>
    <cellStyle name="Style 26 2" xfId="4373" xr:uid="{00000000-0005-0000-0000-00000C110000}"/>
    <cellStyle name="Style 26 3" xfId="4374" xr:uid="{00000000-0005-0000-0000-00000D110000}"/>
    <cellStyle name="Style 26 4" xfId="4375" xr:uid="{00000000-0005-0000-0000-00000E110000}"/>
    <cellStyle name="Style 26 5" xfId="4616" xr:uid="{00000000-0005-0000-0000-00000B110000}"/>
    <cellStyle name="Style 26 6" xfId="4677" xr:uid="{00000000-0005-0000-0000-000076250000}"/>
    <cellStyle name="Style 27" xfId="4376" xr:uid="{00000000-0005-0000-0000-00000F110000}"/>
    <cellStyle name="Style 28" xfId="4377" xr:uid="{00000000-0005-0000-0000-000010110000}"/>
    <cellStyle name="Style 29" xfId="4378" xr:uid="{00000000-0005-0000-0000-000011110000}"/>
    <cellStyle name="Style 3" xfId="4379" xr:uid="{00000000-0005-0000-0000-000012110000}"/>
    <cellStyle name="Style 30" xfId="4380" xr:uid="{00000000-0005-0000-0000-000013110000}"/>
    <cellStyle name="Style 31" xfId="4381" xr:uid="{00000000-0005-0000-0000-000014110000}"/>
    <cellStyle name="Style 32" xfId="4382" xr:uid="{00000000-0005-0000-0000-000015110000}"/>
    <cellStyle name="Style 33" xfId="4383" xr:uid="{00000000-0005-0000-0000-000016110000}"/>
    <cellStyle name="Style 34" xfId="4384" xr:uid="{00000000-0005-0000-0000-000017110000}"/>
    <cellStyle name="Style 35" xfId="4385" xr:uid="{00000000-0005-0000-0000-000018110000}"/>
    <cellStyle name="Style 36" xfId="4386" xr:uid="{00000000-0005-0000-0000-000019110000}"/>
    <cellStyle name="Style 37" xfId="4387" xr:uid="{00000000-0005-0000-0000-00001A110000}"/>
    <cellStyle name="Style 38" xfId="4388" xr:uid="{00000000-0005-0000-0000-00001B110000}"/>
    <cellStyle name="Style 39" xfId="4389" xr:uid="{00000000-0005-0000-0000-00001C110000}"/>
    <cellStyle name="Style 4" xfId="4390" xr:uid="{00000000-0005-0000-0000-00001D110000}"/>
    <cellStyle name="Style 40" xfId="4391" xr:uid="{00000000-0005-0000-0000-00001E110000}"/>
    <cellStyle name="Style 41" xfId="4392" xr:uid="{00000000-0005-0000-0000-00001F110000}"/>
    <cellStyle name="Style 42" xfId="4393" xr:uid="{00000000-0005-0000-0000-000020110000}"/>
    <cellStyle name="Style 43" xfId="4394" xr:uid="{00000000-0005-0000-0000-000021110000}"/>
    <cellStyle name="Style 44" xfId="4395" xr:uid="{00000000-0005-0000-0000-000022110000}"/>
    <cellStyle name="Style 45" xfId="4396" xr:uid="{00000000-0005-0000-0000-000023110000}"/>
    <cellStyle name="Style 46" xfId="4397" xr:uid="{00000000-0005-0000-0000-000024110000}"/>
    <cellStyle name="Style 47" xfId="4398" xr:uid="{00000000-0005-0000-0000-000025110000}"/>
    <cellStyle name="Style 48" xfId="4399" xr:uid="{00000000-0005-0000-0000-000026110000}"/>
    <cellStyle name="Style 49" xfId="4400" xr:uid="{00000000-0005-0000-0000-000027110000}"/>
    <cellStyle name="Style 5" xfId="4401" xr:uid="{00000000-0005-0000-0000-000028110000}"/>
    <cellStyle name="Style 50" xfId="4402" xr:uid="{00000000-0005-0000-0000-000029110000}"/>
    <cellStyle name="Style 51" xfId="4403" xr:uid="{00000000-0005-0000-0000-00002A110000}"/>
    <cellStyle name="Style 52" xfId="4404" xr:uid="{00000000-0005-0000-0000-00002B110000}"/>
    <cellStyle name="Style 53" xfId="4405" xr:uid="{00000000-0005-0000-0000-00002C110000}"/>
    <cellStyle name="Style 54" xfId="4406" xr:uid="{00000000-0005-0000-0000-00002D110000}"/>
    <cellStyle name="Style 55" xfId="4407" xr:uid="{00000000-0005-0000-0000-00002E110000}"/>
    <cellStyle name="Style 56" xfId="4408" xr:uid="{00000000-0005-0000-0000-00002F110000}"/>
    <cellStyle name="Style 57" xfId="4409" xr:uid="{00000000-0005-0000-0000-000030110000}"/>
    <cellStyle name="Style 58" xfId="4410" xr:uid="{00000000-0005-0000-0000-000031110000}"/>
    <cellStyle name="Style 59" xfId="4411" xr:uid="{00000000-0005-0000-0000-000032110000}"/>
    <cellStyle name="Style 6" xfId="4412" xr:uid="{00000000-0005-0000-0000-000033110000}"/>
    <cellStyle name="Style 60" xfId="4413" xr:uid="{00000000-0005-0000-0000-000034110000}"/>
    <cellStyle name="Style 61" xfId="4414" xr:uid="{00000000-0005-0000-0000-000035110000}"/>
    <cellStyle name="Style 62" xfId="4415" xr:uid="{00000000-0005-0000-0000-000036110000}"/>
    <cellStyle name="Style 63" xfId="4416" xr:uid="{00000000-0005-0000-0000-000037110000}"/>
    <cellStyle name="Style 64" xfId="4417" xr:uid="{00000000-0005-0000-0000-000038110000}"/>
    <cellStyle name="Style 65" xfId="4418" xr:uid="{00000000-0005-0000-0000-000039110000}"/>
    <cellStyle name="Style 66" xfId="4419" xr:uid="{00000000-0005-0000-0000-00003A110000}"/>
    <cellStyle name="Style 67" xfId="4420" xr:uid="{00000000-0005-0000-0000-00003B110000}"/>
    <cellStyle name="Style 68" xfId="4421" xr:uid="{00000000-0005-0000-0000-00003C110000}"/>
    <cellStyle name="Style 69" xfId="4422" xr:uid="{00000000-0005-0000-0000-00003D110000}"/>
    <cellStyle name="Style 7" xfId="4423" xr:uid="{00000000-0005-0000-0000-00003E110000}"/>
    <cellStyle name="Style 70" xfId="4424" xr:uid="{00000000-0005-0000-0000-00003F110000}"/>
    <cellStyle name="Style 71" xfId="4425" xr:uid="{00000000-0005-0000-0000-000040110000}"/>
    <cellStyle name="Style 72" xfId="4426" xr:uid="{00000000-0005-0000-0000-000041110000}"/>
    <cellStyle name="Style 73" xfId="4427" xr:uid="{00000000-0005-0000-0000-000042110000}"/>
    <cellStyle name="Style 74" xfId="4428" xr:uid="{00000000-0005-0000-0000-000043110000}"/>
    <cellStyle name="Style 75" xfId="4429" xr:uid="{00000000-0005-0000-0000-000044110000}"/>
    <cellStyle name="Style 76" xfId="4430" xr:uid="{00000000-0005-0000-0000-000045110000}"/>
    <cellStyle name="Style 77" xfId="4431" xr:uid="{00000000-0005-0000-0000-000046110000}"/>
    <cellStyle name="Style 78" xfId="4432" xr:uid="{00000000-0005-0000-0000-000047110000}"/>
    <cellStyle name="Style 79" xfId="4433" xr:uid="{00000000-0005-0000-0000-000048110000}"/>
    <cellStyle name="Style 8" xfId="4434" xr:uid="{00000000-0005-0000-0000-000049110000}"/>
    <cellStyle name="Style 80" xfId="4435" xr:uid="{00000000-0005-0000-0000-00004A110000}"/>
    <cellStyle name="Style 81" xfId="4436" xr:uid="{00000000-0005-0000-0000-00004B110000}"/>
    <cellStyle name="Style 82" xfId="4437" xr:uid="{00000000-0005-0000-0000-00004C110000}"/>
    <cellStyle name="Style 83" xfId="4438" xr:uid="{00000000-0005-0000-0000-00004D110000}"/>
    <cellStyle name="Style 84" xfId="4439" xr:uid="{00000000-0005-0000-0000-00004E110000}"/>
    <cellStyle name="Style 85" xfId="4440" xr:uid="{00000000-0005-0000-0000-00004F110000}"/>
    <cellStyle name="Style 86" xfId="4441" xr:uid="{00000000-0005-0000-0000-000050110000}"/>
    <cellStyle name="Style 87" xfId="4442" xr:uid="{00000000-0005-0000-0000-000051110000}"/>
    <cellStyle name="Style 88" xfId="4443" xr:uid="{00000000-0005-0000-0000-000052110000}"/>
    <cellStyle name="Style 89" xfId="4444" xr:uid="{00000000-0005-0000-0000-000053110000}"/>
    <cellStyle name="Style 9" xfId="4445" xr:uid="{00000000-0005-0000-0000-000054110000}"/>
    <cellStyle name="Style 90" xfId="4446" xr:uid="{00000000-0005-0000-0000-000055110000}"/>
    <cellStyle name="Style 91" xfId="4447" xr:uid="{00000000-0005-0000-0000-000056110000}"/>
    <cellStyle name="Style 92" xfId="4448" xr:uid="{00000000-0005-0000-0000-000057110000}"/>
    <cellStyle name="Style 93" xfId="4449" xr:uid="{00000000-0005-0000-0000-000058110000}"/>
    <cellStyle name="Style 94" xfId="4450" xr:uid="{00000000-0005-0000-0000-000059110000}"/>
    <cellStyle name="Style 95" xfId="4451" xr:uid="{00000000-0005-0000-0000-00005A110000}"/>
    <cellStyle name="Style 96" xfId="4452" xr:uid="{00000000-0005-0000-0000-00005B110000}"/>
    <cellStyle name="Style 97" xfId="4453" xr:uid="{00000000-0005-0000-0000-00005C110000}"/>
    <cellStyle name="Style 98" xfId="4454" xr:uid="{00000000-0005-0000-0000-00005D110000}"/>
    <cellStyle name="Style 99" xfId="4455" xr:uid="{00000000-0005-0000-0000-00005E110000}"/>
    <cellStyle name="STYLE1" xfId="4456" xr:uid="{00000000-0005-0000-0000-00005F110000}"/>
    <cellStyle name="STYLE2" xfId="4457" xr:uid="{00000000-0005-0000-0000-000060110000}"/>
    <cellStyle name="STYLE3" xfId="4458" xr:uid="{00000000-0005-0000-0000-000061110000}"/>
    <cellStyle name="Subhead" xfId="4459" xr:uid="{00000000-0005-0000-0000-000062110000}"/>
    <cellStyle name="Subtotal_left" xfId="4460" xr:uid="{00000000-0005-0000-0000-000063110000}"/>
    <cellStyle name="SwitchCell" xfId="4461" xr:uid="{00000000-0005-0000-0000-000064110000}"/>
    <cellStyle name="t" xfId="4462" xr:uid="{00000000-0005-0000-0000-000065110000}"/>
    <cellStyle name="Table Col Head" xfId="4463" xr:uid="{00000000-0005-0000-0000-000066110000}"/>
    <cellStyle name="Table Head" xfId="4464" xr:uid="{00000000-0005-0000-0000-000067110000}"/>
    <cellStyle name="Table Head Aligned" xfId="4465" xr:uid="{00000000-0005-0000-0000-000068110000}"/>
    <cellStyle name="Table Head Aligned 2" xfId="4635" xr:uid="{00000000-0005-0000-0000-000068110000}"/>
    <cellStyle name="Table Head Blue" xfId="4466" xr:uid="{00000000-0005-0000-0000-000069110000}"/>
    <cellStyle name="Table Head Green" xfId="4467" xr:uid="{00000000-0005-0000-0000-00006A110000}"/>
    <cellStyle name="Table Head Green 2" xfId="4636" xr:uid="{00000000-0005-0000-0000-00006A110000}"/>
    <cellStyle name="Table Head_Val_Sum_Graph" xfId="4468" xr:uid="{00000000-0005-0000-0000-00006B110000}"/>
    <cellStyle name="Table Sub Head" xfId="4469" xr:uid="{00000000-0005-0000-0000-00006C110000}"/>
    <cellStyle name="Table Text" xfId="4470" xr:uid="{00000000-0005-0000-0000-00006D110000}"/>
    <cellStyle name="Table Title" xfId="4471" xr:uid="{00000000-0005-0000-0000-00006E110000}"/>
    <cellStyle name="Table Units" xfId="4472" xr:uid="{00000000-0005-0000-0000-00006F110000}"/>
    <cellStyle name="Table_Header" xfId="4473" xr:uid="{00000000-0005-0000-0000-000070110000}"/>
    <cellStyle name="TableBorder" xfId="4474" xr:uid="{00000000-0005-0000-0000-000071110000}"/>
    <cellStyle name="TableBorder 2" xfId="4639" xr:uid="{00000000-0005-0000-0000-000071110000}"/>
    <cellStyle name="TableBorder 3" xfId="4678" xr:uid="{00000000-0005-0000-0000-0000DE250000}"/>
    <cellStyle name="TableColumnHeader" xfId="4475" xr:uid="{00000000-0005-0000-0000-000072110000}"/>
    <cellStyle name="TableColumnHeader 2" xfId="4640" xr:uid="{00000000-0005-0000-0000-000072110000}"/>
    <cellStyle name="TableColumnHeader 2 2" xfId="4706" xr:uid="{00000000-0005-0000-0000-0000E0250000}"/>
    <cellStyle name="TableHeading" xfId="4476" xr:uid="{00000000-0005-0000-0000-000073110000}"/>
    <cellStyle name="TableHeading 2" xfId="4641" xr:uid="{00000000-0005-0000-0000-000073110000}"/>
    <cellStyle name="TableHeading 3" xfId="4679" xr:uid="{00000000-0005-0000-0000-0000E1250000}"/>
    <cellStyle name="TableHighlight" xfId="4477" xr:uid="{00000000-0005-0000-0000-000074110000}"/>
    <cellStyle name="TableNote" xfId="4478" xr:uid="{00000000-0005-0000-0000-000075110000}"/>
    <cellStyle name="test a style" xfId="4479" xr:uid="{00000000-0005-0000-0000-000076110000}"/>
    <cellStyle name="test a style 2" xfId="4643" xr:uid="{00000000-0005-0000-0000-000076110000}"/>
    <cellStyle name="test a style 2 2" xfId="4697" xr:uid="{00000000-0005-0000-0000-0000E5250000}"/>
    <cellStyle name="test a style 3" xfId="4680" xr:uid="{00000000-0005-0000-0000-0000E4250000}"/>
    <cellStyle name="Text 1" xfId="4480" xr:uid="{00000000-0005-0000-0000-000077110000}"/>
    <cellStyle name="Text Head 1" xfId="4481" xr:uid="{00000000-0005-0000-0000-000078110000}"/>
    <cellStyle name="Text Indent A" xfId="4482" xr:uid="{00000000-0005-0000-0000-000079110000}"/>
    <cellStyle name="Text Indent B" xfId="4483" xr:uid="{00000000-0005-0000-0000-00007A110000}"/>
    <cellStyle name="Text Indent C" xfId="4484" xr:uid="{00000000-0005-0000-0000-00007B110000}"/>
    <cellStyle name="Text Wrap" xfId="4485" xr:uid="{00000000-0005-0000-0000-00007C110000}"/>
    <cellStyle name="Time" xfId="4486" xr:uid="{00000000-0005-0000-0000-00007D110000}"/>
    <cellStyle name="Times 10" xfId="4487" xr:uid="{00000000-0005-0000-0000-00007E110000}"/>
    <cellStyle name="Times 12" xfId="4488" xr:uid="{00000000-0005-0000-0000-00007F110000}"/>
    <cellStyle name="Times New Roman" xfId="4489" xr:uid="{00000000-0005-0000-0000-000080110000}"/>
    <cellStyle name="Title 2" xfId="4490" xr:uid="{00000000-0005-0000-0000-000081110000}"/>
    <cellStyle name="Title 2 2" xfId="4491" xr:uid="{00000000-0005-0000-0000-000082110000}"/>
    <cellStyle name="Title 3" xfId="4492" xr:uid="{00000000-0005-0000-0000-000083110000}"/>
    <cellStyle name="title1" xfId="4493" xr:uid="{00000000-0005-0000-0000-000084110000}"/>
    <cellStyle name="title2" xfId="4494" xr:uid="{00000000-0005-0000-0000-000085110000}"/>
    <cellStyle name="Title-2" xfId="4495" xr:uid="{00000000-0005-0000-0000-000086110000}"/>
    <cellStyle name="Titles" xfId="4496" xr:uid="{00000000-0005-0000-0000-000087110000}"/>
    <cellStyle name="titre_col" xfId="4497" xr:uid="{00000000-0005-0000-0000-000088110000}"/>
    <cellStyle name="TOC" xfId="4498" xr:uid="{00000000-0005-0000-0000-000089110000}"/>
    <cellStyle name="Total 2" xfId="4499" xr:uid="{00000000-0005-0000-0000-00008A110000}"/>
    <cellStyle name="Total 2 10" xfId="4500" xr:uid="{00000000-0005-0000-0000-00008B110000}"/>
    <cellStyle name="Total 2 11" xfId="4651" xr:uid="{00000000-0005-0000-0000-00008A110000}"/>
    <cellStyle name="Total 2 11 2" xfId="4714" xr:uid="{00000000-0005-0000-0000-0000FB250000}"/>
    <cellStyle name="Total 2 2" xfId="4501" xr:uid="{00000000-0005-0000-0000-00008C110000}"/>
    <cellStyle name="Total 2 2 2" xfId="4502" xr:uid="{00000000-0005-0000-0000-00008D110000}"/>
    <cellStyle name="Total 2 2 2 2" xfId="4734" xr:uid="{00000000-0005-0000-0000-0000FE250000}"/>
    <cellStyle name="Total 2 2 2 3" xfId="4622" xr:uid="{00000000-0005-0000-0000-0000FD250000}"/>
    <cellStyle name="Total 2 2 3" xfId="4652" xr:uid="{00000000-0005-0000-0000-00008C110000}"/>
    <cellStyle name="Total 2 2 3 2" xfId="4720" xr:uid="{00000000-0005-0000-0000-0000FF250000}"/>
    <cellStyle name="Total 2 3" xfId="4503" xr:uid="{00000000-0005-0000-0000-00008E110000}"/>
    <cellStyle name="Total 2 3 2" xfId="4653" xr:uid="{00000000-0005-0000-0000-00008E110000}"/>
    <cellStyle name="Total 2 3 2 2" xfId="4728" xr:uid="{00000000-0005-0000-0000-000001260000}"/>
    <cellStyle name="Total 2 4" xfId="4504" xr:uid="{00000000-0005-0000-0000-00008F110000}"/>
    <cellStyle name="Total 2 5" xfId="4505" xr:uid="{00000000-0005-0000-0000-000090110000}"/>
    <cellStyle name="Total 2 6" xfId="4506" xr:uid="{00000000-0005-0000-0000-000091110000}"/>
    <cellStyle name="Total 2 7" xfId="4507" xr:uid="{00000000-0005-0000-0000-000092110000}"/>
    <cellStyle name="Total 2 8" xfId="4508" xr:uid="{00000000-0005-0000-0000-000093110000}"/>
    <cellStyle name="Total 2 9" xfId="4509" xr:uid="{00000000-0005-0000-0000-000094110000}"/>
    <cellStyle name="Total 3" xfId="4510" xr:uid="{00000000-0005-0000-0000-000095110000}"/>
    <cellStyle name="Total 3 2" xfId="4654" xr:uid="{00000000-0005-0000-0000-000095110000}"/>
    <cellStyle name="Total Bold" xfId="4511" xr:uid="{00000000-0005-0000-0000-000096110000}"/>
    <cellStyle name="Total Bold 2" xfId="4655" xr:uid="{00000000-0005-0000-0000-000096110000}"/>
    <cellStyle name="Totals" xfId="4512" xr:uid="{00000000-0005-0000-0000-000097110000}"/>
    <cellStyle name="Totals 2" xfId="4656" xr:uid="{00000000-0005-0000-0000-000097110000}"/>
    <cellStyle name="Totals 2 2" xfId="4707" xr:uid="{00000000-0005-0000-0000-00000B260000}"/>
    <cellStyle name="Underline_Single" xfId="4513" xr:uid="{00000000-0005-0000-0000-000098110000}"/>
    <cellStyle name="UnProtectedCalc" xfId="4514" xr:uid="{00000000-0005-0000-0000-000099110000}"/>
    <cellStyle name="UnProtectedCalc 2" xfId="4698" xr:uid="{00000000-0005-0000-0000-00000E260000}"/>
    <cellStyle name="Valuta (0)_Sheet1" xfId="4515" xr:uid="{00000000-0005-0000-0000-00009A110000}"/>
    <cellStyle name="Valuta_piv_polio" xfId="4516" xr:uid="{00000000-0005-0000-0000-00009B110000}"/>
    <cellStyle name="Währung [0]_A17 - 31.03.1998" xfId="4517" xr:uid="{00000000-0005-0000-0000-00009C110000}"/>
    <cellStyle name="Währung_A17 - 31.03.1998" xfId="4518" xr:uid="{00000000-0005-0000-0000-00009D110000}"/>
    <cellStyle name="Warburg" xfId="4519" xr:uid="{00000000-0005-0000-0000-00009E110000}"/>
    <cellStyle name="Warning Text 2" xfId="4520" xr:uid="{00000000-0005-0000-0000-00009F110000}"/>
    <cellStyle name="Warning Text 2 2" xfId="4521" xr:uid="{00000000-0005-0000-0000-0000A0110000}"/>
    <cellStyle name="Warning Text 2 3" xfId="4522" xr:uid="{00000000-0005-0000-0000-0000A1110000}"/>
    <cellStyle name="Warning Text 2 4" xfId="4523" xr:uid="{00000000-0005-0000-0000-0000A2110000}"/>
    <cellStyle name="Warning Text 2 5" xfId="4524" xr:uid="{00000000-0005-0000-0000-0000A3110000}"/>
    <cellStyle name="Warning Text 2 6" xfId="4525" xr:uid="{00000000-0005-0000-0000-0000A4110000}"/>
    <cellStyle name="Warning Text 2 7" xfId="4526" xr:uid="{00000000-0005-0000-0000-0000A5110000}"/>
    <cellStyle name="Warning Text 2 8" xfId="4527" xr:uid="{00000000-0005-0000-0000-0000A6110000}"/>
    <cellStyle name="Warning Text 2 9" xfId="4528" xr:uid="{00000000-0005-0000-0000-0000A7110000}"/>
    <cellStyle name="Warning Text 3" xfId="4529" xr:uid="{00000000-0005-0000-0000-0000A8110000}"/>
    <cellStyle name="wild guess" xfId="4530" xr:uid="{00000000-0005-0000-0000-0000A9110000}"/>
    <cellStyle name="Wildguess" xfId="4531" xr:uid="{00000000-0005-0000-0000-0000AA110000}"/>
    <cellStyle name="Year" xfId="4532" xr:uid="{00000000-0005-0000-0000-0000AB110000}"/>
    <cellStyle name="Year Estimate" xfId="4533" xr:uid="{00000000-0005-0000-0000-0000AC110000}"/>
    <cellStyle name="Year, Actual" xfId="4534" xr:uid="{00000000-0005-0000-0000-0000AD110000}"/>
    <cellStyle name="YearE_ Pies " xfId="4535" xr:uid="{00000000-0005-0000-0000-0000AE110000}"/>
    <cellStyle name="YearFormat" xfId="4536" xr:uid="{00000000-0005-0000-0000-0000AF110000}"/>
    <cellStyle name="YearFormat 2" xfId="4660" xr:uid="{00000000-0005-0000-0000-0000AF110000}"/>
    <cellStyle name="YearFormat 2 2" xfId="4699" xr:uid="{00000000-0005-0000-0000-000025260000}"/>
    <cellStyle name="YearFormat 3" xfId="4681" xr:uid="{00000000-0005-0000-0000-000024260000}"/>
    <cellStyle name="Yen" xfId="4537" xr:uid="{00000000-0005-0000-0000-0000B0110000}"/>
    <cellStyle name="YesNo" xfId="4538" xr:uid="{00000000-0005-0000-0000-0000B1110000}"/>
    <cellStyle name="쬞\?1@" xfId="4539" xr:uid="{00000000-0005-0000-0000-0000B2110000}"/>
    <cellStyle name="千位分隔 2" xfId="4540" xr:uid="{00000000-0005-0000-0000-0000B3110000}"/>
    <cellStyle name="常规 2" xfId="4541" xr:uid="{00000000-0005-0000-0000-0000B4110000}"/>
    <cellStyle name="標準_car_JP" xfId="4542" xr:uid="{00000000-0005-0000-0000-0000B511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'Res Predicted Monthly'!$C$1</c:f>
              <c:strCache>
                <c:ptCount val="1"/>
                <c:pt idx="0">
                  <c:v> Gross_Res </c:v>
                </c:pt>
              </c:strCache>
            </c:strRef>
          </c:tx>
          <c:marker>
            <c:symbol val="none"/>
          </c:marker>
          <c:cat>
            <c:numRef>
              <c:f>'Res Predicted Monthly'!$A$2:$A$97</c:f>
              <c:numCache>
                <c:formatCode>m/d/yyyy</c:formatCode>
                <c:ptCount val="96"/>
                <c:pt idx="0">
                  <c:v>39814</c:v>
                </c:pt>
                <c:pt idx="1">
                  <c:v>39845</c:v>
                </c:pt>
                <c:pt idx="2">
                  <c:v>39873</c:v>
                </c:pt>
                <c:pt idx="3">
                  <c:v>39904</c:v>
                </c:pt>
                <c:pt idx="4">
                  <c:v>39934</c:v>
                </c:pt>
                <c:pt idx="5">
                  <c:v>39965</c:v>
                </c:pt>
                <c:pt idx="6">
                  <c:v>39995</c:v>
                </c:pt>
                <c:pt idx="7">
                  <c:v>40026</c:v>
                </c:pt>
                <c:pt idx="8">
                  <c:v>40057</c:v>
                </c:pt>
                <c:pt idx="9">
                  <c:v>40087</c:v>
                </c:pt>
                <c:pt idx="10">
                  <c:v>40118</c:v>
                </c:pt>
                <c:pt idx="11">
                  <c:v>40148</c:v>
                </c:pt>
                <c:pt idx="12">
                  <c:v>40179</c:v>
                </c:pt>
                <c:pt idx="13">
                  <c:v>40210</c:v>
                </c:pt>
                <c:pt idx="14">
                  <c:v>40238</c:v>
                </c:pt>
                <c:pt idx="15">
                  <c:v>40269</c:v>
                </c:pt>
                <c:pt idx="16">
                  <c:v>40299</c:v>
                </c:pt>
                <c:pt idx="17">
                  <c:v>40330</c:v>
                </c:pt>
                <c:pt idx="18">
                  <c:v>40360</c:v>
                </c:pt>
                <c:pt idx="19">
                  <c:v>40391</c:v>
                </c:pt>
                <c:pt idx="20">
                  <c:v>40422</c:v>
                </c:pt>
                <c:pt idx="21">
                  <c:v>40452</c:v>
                </c:pt>
                <c:pt idx="22">
                  <c:v>40483</c:v>
                </c:pt>
                <c:pt idx="23">
                  <c:v>40513</c:v>
                </c:pt>
                <c:pt idx="24">
                  <c:v>40544</c:v>
                </c:pt>
                <c:pt idx="25">
                  <c:v>40575</c:v>
                </c:pt>
                <c:pt idx="26">
                  <c:v>40603</c:v>
                </c:pt>
                <c:pt idx="27">
                  <c:v>40634</c:v>
                </c:pt>
                <c:pt idx="28">
                  <c:v>40664</c:v>
                </c:pt>
                <c:pt idx="29">
                  <c:v>40695</c:v>
                </c:pt>
                <c:pt idx="30">
                  <c:v>40725</c:v>
                </c:pt>
                <c:pt idx="31">
                  <c:v>40756</c:v>
                </c:pt>
                <c:pt idx="32">
                  <c:v>40787</c:v>
                </c:pt>
                <c:pt idx="33">
                  <c:v>40817</c:v>
                </c:pt>
                <c:pt idx="34">
                  <c:v>40848</c:v>
                </c:pt>
                <c:pt idx="35">
                  <c:v>40878</c:v>
                </c:pt>
                <c:pt idx="36">
                  <c:v>40909</c:v>
                </c:pt>
                <c:pt idx="37">
                  <c:v>40940</c:v>
                </c:pt>
                <c:pt idx="38">
                  <c:v>40969</c:v>
                </c:pt>
                <c:pt idx="39">
                  <c:v>41000</c:v>
                </c:pt>
                <c:pt idx="40">
                  <c:v>41030</c:v>
                </c:pt>
                <c:pt idx="41">
                  <c:v>41061</c:v>
                </c:pt>
                <c:pt idx="42">
                  <c:v>41091</c:v>
                </c:pt>
                <c:pt idx="43">
                  <c:v>41122</c:v>
                </c:pt>
                <c:pt idx="44">
                  <c:v>41153</c:v>
                </c:pt>
                <c:pt idx="45">
                  <c:v>41183</c:v>
                </c:pt>
                <c:pt idx="46">
                  <c:v>41214</c:v>
                </c:pt>
                <c:pt idx="47">
                  <c:v>41244</c:v>
                </c:pt>
                <c:pt idx="48">
                  <c:v>41275</c:v>
                </c:pt>
                <c:pt idx="49">
                  <c:v>41306</c:v>
                </c:pt>
                <c:pt idx="50">
                  <c:v>41334</c:v>
                </c:pt>
                <c:pt idx="51">
                  <c:v>41365</c:v>
                </c:pt>
                <c:pt idx="52">
                  <c:v>41395</c:v>
                </c:pt>
                <c:pt idx="53">
                  <c:v>41426</c:v>
                </c:pt>
                <c:pt idx="54">
                  <c:v>41456</c:v>
                </c:pt>
                <c:pt idx="55">
                  <c:v>41487</c:v>
                </c:pt>
                <c:pt idx="56">
                  <c:v>41518</c:v>
                </c:pt>
                <c:pt idx="57">
                  <c:v>41548</c:v>
                </c:pt>
                <c:pt idx="58">
                  <c:v>41579</c:v>
                </c:pt>
                <c:pt idx="59">
                  <c:v>41609</c:v>
                </c:pt>
                <c:pt idx="60">
                  <c:v>41640</c:v>
                </c:pt>
                <c:pt idx="61">
                  <c:v>41671</c:v>
                </c:pt>
                <c:pt idx="62">
                  <c:v>41699</c:v>
                </c:pt>
                <c:pt idx="63">
                  <c:v>41730</c:v>
                </c:pt>
                <c:pt idx="64">
                  <c:v>41760</c:v>
                </c:pt>
                <c:pt idx="65">
                  <c:v>41791</c:v>
                </c:pt>
                <c:pt idx="66">
                  <c:v>41821</c:v>
                </c:pt>
                <c:pt idx="67">
                  <c:v>41852</c:v>
                </c:pt>
                <c:pt idx="68">
                  <c:v>41883</c:v>
                </c:pt>
                <c:pt idx="69">
                  <c:v>41913</c:v>
                </c:pt>
                <c:pt idx="70">
                  <c:v>41944</c:v>
                </c:pt>
                <c:pt idx="71">
                  <c:v>41974</c:v>
                </c:pt>
                <c:pt idx="72">
                  <c:v>42005</c:v>
                </c:pt>
                <c:pt idx="73">
                  <c:v>42036</c:v>
                </c:pt>
                <c:pt idx="74">
                  <c:v>42064</c:v>
                </c:pt>
                <c:pt idx="75">
                  <c:v>42095</c:v>
                </c:pt>
                <c:pt idx="76">
                  <c:v>42125</c:v>
                </c:pt>
                <c:pt idx="77">
                  <c:v>42156</c:v>
                </c:pt>
                <c:pt idx="78">
                  <c:v>42186</c:v>
                </c:pt>
                <c:pt idx="79">
                  <c:v>42217</c:v>
                </c:pt>
                <c:pt idx="80">
                  <c:v>42248</c:v>
                </c:pt>
                <c:pt idx="81">
                  <c:v>42278</c:v>
                </c:pt>
                <c:pt idx="82">
                  <c:v>42309</c:v>
                </c:pt>
                <c:pt idx="83">
                  <c:v>42339</c:v>
                </c:pt>
                <c:pt idx="84">
                  <c:v>42370</c:v>
                </c:pt>
                <c:pt idx="85">
                  <c:v>42401</c:v>
                </c:pt>
                <c:pt idx="86">
                  <c:v>42430</c:v>
                </c:pt>
                <c:pt idx="87">
                  <c:v>42461</c:v>
                </c:pt>
                <c:pt idx="88">
                  <c:v>42491</c:v>
                </c:pt>
                <c:pt idx="89">
                  <c:v>42522</c:v>
                </c:pt>
                <c:pt idx="90">
                  <c:v>42552</c:v>
                </c:pt>
                <c:pt idx="91">
                  <c:v>42583</c:v>
                </c:pt>
                <c:pt idx="92">
                  <c:v>42614</c:v>
                </c:pt>
                <c:pt idx="93">
                  <c:v>42644</c:v>
                </c:pt>
                <c:pt idx="94">
                  <c:v>42675</c:v>
                </c:pt>
                <c:pt idx="95">
                  <c:v>42705</c:v>
                </c:pt>
              </c:numCache>
            </c:numRef>
          </c:cat>
          <c:val>
            <c:numRef>
              <c:f>'Res Predicted Monthly'!$C$2:$C$97</c:f>
              <c:numCache>
                <c:formatCode>_(* #,##0_);_(* \(#,##0\);_(* "-"??_);_(@_)</c:formatCode>
                <c:ptCount val="96"/>
                <c:pt idx="0">
                  <c:v>22953528.183818262</c:v>
                </c:pt>
                <c:pt idx="1">
                  <c:v>19172932.773045871</c:v>
                </c:pt>
                <c:pt idx="2">
                  <c:v>19039064.366005011</c:v>
                </c:pt>
                <c:pt idx="3">
                  <c:v>17003193.089812111</c:v>
                </c:pt>
                <c:pt idx="4">
                  <c:v>17391297.954777639</c:v>
                </c:pt>
                <c:pt idx="5">
                  <c:v>21273593.977212608</c:v>
                </c:pt>
                <c:pt idx="6">
                  <c:v>25787416.81760994</c:v>
                </c:pt>
                <c:pt idx="7">
                  <c:v>27496374.034570016</c:v>
                </c:pt>
                <c:pt idx="8">
                  <c:v>20755352.022298176</c:v>
                </c:pt>
                <c:pt idx="9">
                  <c:v>18082092.987588529</c:v>
                </c:pt>
                <c:pt idx="10">
                  <c:v>18074593.893965401</c:v>
                </c:pt>
                <c:pt idx="11">
                  <c:v>22219304.425605915</c:v>
                </c:pt>
                <c:pt idx="12">
                  <c:v>22358460.250977054</c:v>
                </c:pt>
                <c:pt idx="13">
                  <c:v>18735998.915144272</c:v>
                </c:pt>
                <c:pt idx="14">
                  <c:v>18338914.486644384</c:v>
                </c:pt>
                <c:pt idx="15">
                  <c:v>16457791.552007467</c:v>
                </c:pt>
                <c:pt idx="16">
                  <c:v>19877888.578557905</c:v>
                </c:pt>
                <c:pt idx="17">
                  <c:v>27745184.765543249</c:v>
                </c:pt>
                <c:pt idx="18">
                  <c:v>34151513.368632481</c:v>
                </c:pt>
                <c:pt idx="19">
                  <c:v>31520743.190588608</c:v>
                </c:pt>
                <c:pt idx="20">
                  <c:v>21071409.668348346</c:v>
                </c:pt>
                <c:pt idx="21">
                  <c:v>17208459.015448716</c:v>
                </c:pt>
                <c:pt idx="22">
                  <c:v>17984730.026108824</c:v>
                </c:pt>
                <c:pt idx="23">
                  <c:v>21766502.464284435</c:v>
                </c:pt>
                <c:pt idx="24">
                  <c:v>22178314.15854536</c:v>
                </c:pt>
                <c:pt idx="25">
                  <c:v>18955531.053135466</c:v>
                </c:pt>
                <c:pt idx="26">
                  <c:v>19020096.60404275</c:v>
                </c:pt>
                <c:pt idx="27">
                  <c:v>17125422.053072423</c:v>
                </c:pt>
                <c:pt idx="28">
                  <c:v>18591300.513173018</c:v>
                </c:pt>
                <c:pt idx="29">
                  <c:v>24888672.212482154</c:v>
                </c:pt>
                <c:pt idx="30">
                  <c:v>33358689.098552275</c:v>
                </c:pt>
                <c:pt idx="31">
                  <c:v>30414812.49304403</c:v>
                </c:pt>
                <c:pt idx="32">
                  <c:v>20929875.731459919</c:v>
                </c:pt>
                <c:pt idx="33">
                  <c:v>17117587.736433852</c:v>
                </c:pt>
                <c:pt idx="34">
                  <c:v>17522596.420983914</c:v>
                </c:pt>
                <c:pt idx="35">
                  <c:v>20836913.507082358</c:v>
                </c:pt>
                <c:pt idx="36">
                  <c:v>20826549.184631586</c:v>
                </c:pt>
                <c:pt idx="37">
                  <c:v>18396143.263278905</c:v>
                </c:pt>
                <c:pt idx="38">
                  <c:v>17464653.067603219</c:v>
                </c:pt>
                <c:pt idx="39">
                  <c:v>16103149.412524818</c:v>
                </c:pt>
                <c:pt idx="40">
                  <c:v>19432613.145942483</c:v>
                </c:pt>
                <c:pt idx="41">
                  <c:v>27178390.62937149</c:v>
                </c:pt>
                <c:pt idx="42">
                  <c:v>34122931.733509071</c:v>
                </c:pt>
                <c:pt idx="43">
                  <c:v>28774043.990622215</c:v>
                </c:pt>
                <c:pt idx="44">
                  <c:v>21128025.774475966</c:v>
                </c:pt>
                <c:pt idx="45">
                  <c:v>17095388.657426659</c:v>
                </c:pt>
                <c:pt idx="46">
                  <c:v>18002983.69606806</c:v>
                </c:pt>
                <c:pt idx="47">
                  <c:v>20724891.456826214</c:v>
                </c:pt>
                <c:pt idx="48">
                  <c:v>21175039.85558828</c:v>
                </c:pt>
                <c:pt idx="49">
                  <c:v>18639689.622604229</c:v>
                </c:pt>
                <c:pt idx="50">
                  <c:v>19203289.13178562</c:v>
                </c:pt>
                <c:pt idx="51">
                  <c:v>17076984.319236379</c:v>
                </c:pt>
                <c:pt idx="52">
                  <c:v>18457139.291948661</c:v>
                </c:pt>
                <c:pt idx="53">
                  <c:v>23738163.011233285</c:v>
                </c:pt>
                <c:pt idx="54">
                  <c:v>28992560.436643723</c:v>
                </c:pt>
                <c:pt idx="55">
                  <c:v>26394506.736268964</c:v>
                </c:pt>
                <c:pt idx="56">
                  <c:v>22082821.70344121</c:v>
                </c:pt>
                <c:pt idx="57">
                  <c:v>17752714.709292348</c:v>
                </c:pt>
                <c:pt idx="58">
                  <c:v>18589259.601015333</c:v>
                </c:pt>
                <c:pt idx="59">
                  <c:v>22190029.702539392</c:v>
                </c:pt>
                <c:pt idx="60">
                  <c:v>22841547.431234065</c:v>
                </c:pt>
                <c:pt idx="61">
                  <c:v>19788010.013485562</c:v>
                </c:pt>
                <c:pt idx="62">
                  <c:v>19723646.263600551</c:v>
                </c:pt>
                <c:pt idx="63">
                  <c:v>16641111.8668398</c:v>
                </c:pt>
                <c:pt idx="64">
                  <c:v>17829710.566903893</c:v>
                </c:pt>
                <c:pt idx="65">
                  <c:v>23632986.106066652</c:v>
                </c:pt>
                <c:pt idx="66">
                  <c:v>26634565.643123828</c:v>
                </c:pt>
                <c:pt idx="67">
                  <c:v>26081906.981533043</c:v>
                </c:pt>
                <c:pt idx="68">
                  <c:v>20850948.143452179</c:v>
                </c:pt>
                <c:pt idx="69">
                  <c:v>16908660.489088871</c:v>
                </c:pt>
                <c:pt idx="70">
                  <c:v>18563212.718194302</c:v>
                </c:pt>
                <c:pt idx="71">
                  <c:v>20971941.927321982</c:v>
                </c:pt>
                <c:pt idx="72">
                  <c:v>21649989.759603012</c:v>
                </c:pt>
                <c:pt idx="73">
                  <c:v>19486683.702997562</c:v>
                </c:pt>
                <c:pt idx="74">
                  <c:v>18973860.261144333</c:v>
                </c:pt>
                <c:pt idx="75">
                  <c:v>16365087.530337434</c:v>
                </c:pt>
                <c:pt idx="76">
                  <c:v>18651758.220492445</c:v>
                </c:pt>
                <c:pt idx="77">
                  <c:v>22183132.397238649</c:v>
                </c:pt>
                <c:pt idx="78">
                  <c:v>27993055.489478592</c:v>
                </c:pt>
                <c:pt idx="79">
                  <c:v>28703608.706477717</c:v>
                </c:pt>
                <c:pt idx="80">
                  <c:v>22815455.466654569</c:v>
                </c:pt>
                <c:pt idx="81">
                  <c:v>17314651.390864406</c:v>
                </c:pt>
                <c:pt idx="82">
                  <c:v>17016965.168729268</c:v>
                </c:pt>
                <c:pt idx="83">
                  <c:v>19664038.057087231</c:v>
                </c:pt>
                <c:pt idx="84">
                  <c:v>20601636.758254569</c:v>
                </c:pt>
                <c:pt idx="85">
                  <c:v>18346878.747394856</c:v>
                </c:pt>
                <c:pt idx="86">
                  <c:v>17956001.716218144</c:v>
                </c:pt>
                <c:pt idx="87">
                  <c:v>16392981.032851683</c:v>
                </c:pt>
                <c:pt idx="88">
                  <c:v>18911404.750367332</c:v>
                </c:pt>
                <c:pt idx="89">
                  <c:v>25541820.802852735</c:v>
                </c:pt>
                <c:pt idx="90">
                  <c:v>32875458.838660937</c:v>
                </c:pt>
                <c:pt idx="91">
                  <c:v>32826624.542499222</c:v>
                </c:pt>
                <c:pt idx="92">
                  <c:v>24014017.40842779</c:v>
                </c:pt>
                <c:pt idx="93">
                  <c:v>18276477.462164998</c:v>
                </c:pt>
                <c:pt idx="94">
                  <c:v>17199045.550591063</c:v>
                </c:pt>
                <c:pt idx="95">
                  <c:v>20674864.277921565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6A-4E63-B742-67BDE3240045}"/>
            </c:ext>
          </c:extLst>
        </c:ser>
        <c:ser>
          <c:idx val="1"/>
          <c:order val="1"/>
          <c:tx>
            <c:strRef>
              <c:f>'Res Predicted Monthly'!$R$1</c:f>
              <c:strCache>
                <c:ptCount val="1"/>
                <c:pt idx="0">
                  <c:v> Predicted kWh </c:v>
                </c:pt>
              </c:strCache>
            </c:strRef>
          </c:tx>
          <c:marker>
            <c:symbol val="none"/>
          </c:marker>
          <c:cat>
            <c:numRef>
              <c:f>'Res Predicted Monthly'!$A$2:$A$97</c:f>
              <c:numCache>
                <c:formatCode>m/d/yyyy</c:formatCode>
                <c:ptCount val="96"/>
                <c:pt idx="0">
                  <c:v>39814</c:v>
                </c:pt>
                <c:pt idx="1">
                  <c:v>39845</c:v>
                </c:pt>
                <c:pt idx="2">
                  <c:v>39873</c:v>
                </c:pt>
                <c:pt idx="3">
                  <c:v>39904</c:v>
                </c:pt>
                <c:pt idx="4">
                  <c:v>39934</c:v>
                </c:pt>
                <c:pt idx="5">
                  <c:v>39965</c:v>
                </c:pt>
                <c:pt idx="6">
                  <c:v>39995</c:v>
                </c:pt>
                <c:pt idx="7">
                  <c:v>40026</c:v>
                </c:pt>
                <c:pt idx="8">
                  <c:v>40057</c:v>
                </c:pt>
                <c:pt idx="9">
                  <c:v>40087</c:v>
                </c:pt>
                <c:pt idx="10">
                  <c:v>40118</c:v>
                </c:pt>
                <c:pt idx="11">
                  <c:v>40148</c:v>
                </c:pt>
                <c:pt idx="12">
                  <c:v>40179</c:v>
                </c:pt>
                <c:pt idx="13">
                  <c:v>40210</c:v>
                </c:pt>
                <c:pt idx="14">
                  <c:v>40238</c:v>
                </c:pt>
                <c:pt idx="15">
                  <c:v>40269</c:v>
                </c:pt>
                <c:pt idx="16">
                  <c:v>40299</c:v>
                </c:pt>
                <c:pt idx="17">
                  <c:v>40330</c:v>
                </c:pt>
                <c:pt idx="18">
                  <c:v>40360</c:v>
                </c:pt>
                <c:pt idx="19">
                  <c:v>40391</c:v>
                </c:pt>
                <c:pt idx="20">
                  <c:v>40422</c:v>
                </c:pt>
                <c:pt idx="21">
                  <c:v>40452</c:v>
                </c:pt>
                <c:pt idx="22">
                  <c:v>40483</c:v>
                </c:pt>
                <c:pt idx="23">
                  <c:v>40513</c:v>
                </c:pt>
                <c:pt idx="24">
                  <c:v>40544</c:v>
                </c:pt>
                <c:pt idx="25">
                  <c:v>40575</c:v>
                </c:pt>
                <c:pt idx="26">
                  <c:v>40603</c:v>
                </c:pt>
                <c:pt idx="27">
                  <c:v>40634</c:v>
                </c:pt>
                <c:pt idx="28">
                  <c:v>40664</c:v>
                </c:pt>
                <c:pt idx="29">
                  <c:v>40695</c:v>
                </c:pt>
                <c:pt idx="30">
                  <c:v>40725</c:v>
                </c:pt>
                <c:pt idx="31">
                  <c:v>40756</c:v>
                </c:pt>
                <c:pt idx="32">
                  <c:v>40787</c:v>
                </c:pt>
                <c:pt idx="33">
                  <c:v>40817</c:v>
                </c:pt>
                <c:pt idx="34">
                  <c:v>40848</c:v>
                </c:pt>
                <c:pt idx="35">
                  <c:v>40878</c:v>
                </c:pt>
                <c:pt idx="36">
                  <c:v>40909</c:v>
                </c:pt>
                <c:pt idx="37">
                  <c:v>40940</c:v>
                </c:pt>
                <c:pt idx="38">
                  <c:v>40969</c:v>
                </c:pt>
                <c:pt idx="39">
                  <c:v>41000</c:v>
                </c:pt>
                <c:pt idx="40">
                  <c:v>41030</c:v>
                </c:pt>
                <c:pt idx="41">
                  <c:v>41061</c:v>
                </c:pt>
                <c:pt idx="42">
                  <c:v>41091</c:v>
                </c:pt>
                <c:pt idx="43">
                  <c:v>41122</c:v>
                </c:pt>
                <c:pt idx="44">
                  <c:v>41153</c:v>
                </c:pt>
                <c:pt idx="45">
                  <c:v>41183</c:v>
                </c:pt>
                <c:pt idx="46">
                  <c:v>41214</c:v>
                </c:pt>
                <c:pt idx="47">
                  <c:v>41244</c:v>
                </c:pt>
                <c:pt idx="48">
                  <c:v>41275</c:v>
                </c:pt>
                <c:pt idx="49">
                  <c:v>41306</c:v>
                </c:pt>
                <c:pt idx="50">
                  <c:v>41334</c:v>
                </c:pt>
                <c:pt idx="51">
                  <c:v>41365</c:v>
                </c:pt>
                <c:pt idx="52">
                  <c:v>41395</c:v>
                </c:pt>
                <c:pt idx="53">
                  <c:v>41426</c:v>
                </c:pt>
                <c:pt idx="54">
                  <c:v>41456</c:v>
                </c:pt>
                <c:pt idx="55">
                  <c:v>41487</c:v>
                </c:pt>
                <c:pt idx="56">
                  <c:v>41518</c:v>
                </c:pt>
                <c:pt idx="57">
                  <c:v>41548</c:v>
                </c:pt>
                <c:pt idx="58">
                  <c:v>41579</c:v>
                </c:pt>
                <c:pt idx="59">
                  <c:v>41609</c:v>
                </c:pt>
                <c:pt idx="60">
                  <c:v>41640</c:v>
                </c:pt>
                <c:pt idx="61">
                  <c:v>41671</c:v>
                </c:pt>
                <c:pt idx="62">
                  <c:v>41699</c:v>
                </c:pt>
                <c:pt idx="63">
                  <c:v>41730</c:v>
                </c:pt>
                <c:pt idx="64">
                  <c:v>41760</c:v>
                </c:pt>
                <c:pt idx="65">
                  <c:v>41791</c:v>
                </c:pt>
                <c:pt idx="66">
                  <c:v>41821</c:v>
                </c:pt>
                <c:pt idx="67">
                  <c:v>41852</c:v>
                </c:pt>
                <c:pt idx="68">
                  <c:v>41883</c:v>
                </c:pt>
                <c:pt idx="69">
                  <c:v>41913</c:v>
                </c:pt>
                <c:pt idx="70">
                  <c:v>41944</c:v>
                </c:pt>
                <c:pt idx="71">
                  <c:v>41974</c:v>
                </c:pt>
                <c:pt idx="72">
                  <c:v>42005</c:v>
                </c:pt>
                <c:pt idx="73">
                  <c:v>42036</c:v>
                </c:pt>
                <c:pt idx="74">
                  <c:v>42064</c:v>
                </c:pt>
                <c:pt idx="75">
                  <c:v>42095</c:v>
                </c:pt>
                <c:pt idx="76">
                  <c:v>42125</c:v>
                </c:pt>
                <c:pt idx="77">
                  <c:v>42156</c:v>
                </c:pt>
                <c:pt idx="78">
                  <c:v>42186</c:v>
                </c:pt>
                <c:pt idx="79">
                  <c:v>42217</c:v>
                </c:pt>
                <c:pt idx="80">
                  <c:v>42248</c:v>
                </c:pt>
                <c:pt idx="81">
                  <c:v>42278</c:v>
                </c:pt>
                <c:pt idx="82">
                  <c:v>42309</c:v>
                </c:pt>
                <c:pt idx="83">
                  <c:v>42339</c:v>
                </c:pt>
                <c:pt idx="84">
                  <c:v>42370</c:v>
                </c:pt>
                <c:pt idx="85">
                  <c:v>42401</c:v>
                </c:pt>
                <c:pt idx="86">
                  <c:v>42430</c:v>
                </c:pt>
                <c:pt idx="87">
                  <c:v>42461</c:v>
                </c:pt>
                <c:pt idx="88">
                  <c:v>42491</c:v>
                </c:pt>
                <c:pt idx="89">
                  <c:v>42522</c:v>
                </c:pt>
                <c:pt idx="90">
                  <c:v>42552</c:v>
                </c:pt>
                <c:pt idx="91">
                  <c:v>42583</c:v>
                </c:pt>
                <c:pt idx="92">
                  <c:v>42614</c:v>
                </c:pt>
                <c:pt idx="93">
                  <c:v>42644</c:v>
                </c:pt>
                <c:pt idx="94">
                  <c:v>42675</c:v>
                </c:pt>
                <c:pt idx="95">
                  <c:v>42705</c:v>
                </c:pt>
              </c:numCache>
            </c:numRef>
          </c:cat>
          <c:val>
            <c:numRef>
              <c:f>'Res Predicted Monthly'!$R$2:$R$97</c:f>
              <c:numCache>
                <c:formatCode>_(* #,##0_);_(* \(#,##0\);_(* "-"??_);_(@_)</c:formatCode>
                <c:ptCount val="96"/>
                <c:pt idx="0">
                  <c:v>23444987.606794335</c:v>
                </c:pt>
                <c:pt idx="1">
                  <c:v>19188027.108172312</c:v>
                </c:pt>
                <c:pt idx="2">
                  <c:v>18907902.569271889</c:v>
                </c:pt>
                <c:pt idx="3">
                  <c:v>17647263.587933782</c:v>
                </c:pt>
                <c:pt idx="4">
                  <c:v>17471506.648867793</c:v>
                </c:pt>
                <c:pt idx="5">
                  <c:v>22714176.041983925</c:v>
                </c:pt>
                <c:pt idx="6">
                  <c:v>24681464.519161962</c:v>
                </c:pt>
                <c:pt idx="7">
                  <c:v>27015214.719143115</c:v>
                </c:pt>
                <c:pt idx="8">
                  <c:v>21050614.295201451</c:v>
                </c:pt>
                <c:pt idx="9">
                  <c:v>17734878.985695392</c:v>
                </c:pt>
                <c:pt idx="10">
                  <c:v>17434484.912241481</c:v>
                </c:pt>
                <c:pt idx="11">
                  <c:v>21922136.314397093</c:v>
                </c:pt>
                <c:pt idx="12">
                  <c:v>22194877.38591614</c:v>
                </c:pt>
                <c:pt idx="13">
                  <c:v>18919564.396337859</c:v>
                </c:pt>
                <c:pt idx="14">
                  <c:v>18281537.101853952</c:v>
                </c:pt>
                <c:pt idx="15">
                  <c:v>16586958.103471557</c:v>
                </c:pt>
                <c:pt idx="16">
                  <c:v>20618366.294947617</c:v>
                </c:pt>
                <c:pt idx="17">
                  <c:v>26474287.009471625</c:v>
                </c:pt>
                <c:pt idx="18">
                  <c:v>33357136.149933156</c:v>
                </c:pt>
                <c:pt idx="19">
                  <c:v>32307256.33427427</c:v>
                </c:pt>
                <c:pt idx="20">
                  <c:v>21355790.144023024</c:v>
                </c:pt>
                <c:pt idx="21">
                  <c:v>17140466.614898004</c:v>
                </c:pt>
                <c:pt idx="22">
                  <c:v>17569748.380386204</c:v>
                </c:pt>
                <c:pt idx="23">
                  <c:v>21946869.687541496</c:v>
                </c:pt>
                <c:pt idx="24">
                  <c:v>22343807.694971338</c:v>
                </c:pt>
                <c:pt idx="25">
                  <c:v>18927005.183211349</c:v>
                </c:pt>
                <c:pt idx="26">
                  <c:v>18966606.758441061</c:v>
                </c:pt>
                <c:pt idx="27">
                  <c:v>16530321.897988852</c:v>
                </c:pt>
                <c:pt idx="28">
                  <c:v>18756363.771068275</c:v>
                </c:pt>
                <c:pt idx="29">
                  <c:v>24623126.658670541</c:v>
                </c:pt>
                <c:pt idx="30">
                  <c:v>35009451.220322639</c:v>
                </c:pt>
                <c:pt idx="31">
                  <c:v>28518496.586653948</c:v>
                </c:pt>
                <c:pt idx="32">
                  <c:v>21192469.334240697</c:v>
                </c:pt>
                <c:pt idx="33">
                  <c:v>17131259.362617366</c:v>
                </c:pt>
                <c:pt idx="34">
                  <c:v>16943535.678518999</c:v>
                </c:pt>
                <c:pt idx="35">
                  <c:v>20940817.4614546</c:v>
                </c:pt>
                <c:pt idx="36">
                  <c:v>21222583.965752371</c:v>
                </c:pt>
                <c:pt idx="37">
                  <c:v>19038706.61322315</c:v>
                </c:pt>
                <c:pt idx="38">
                  <c:v>17556451.696770962</c:v>
                </c:pt>
                <c:pt idx="39">
                  <c:v>16831401.617236424</c:v>
                </c:pt>
                <c:pt idx="40">
                  <c:v>20098201.65406796</c:v>
                </c:pt>
                <c:pt idx="41">
                  <c:v>26951790.427405439</c:v>
                </c:pt>
                <c:pt idx="42">
                  <c:v>33801688.245411508</c:v>
                </c:pt>
                <c:pt idx="43">
                  <c:v>27636075.784881562</c:v>
                </c:pt>
                <c:pt idx="44">
                  <c:v>20891512.398366086</c:v>
                </c:pt>
                <c:pt idx="45">
                  <c:v>17805904.135864884</c:v>
                </c:pt>
                <c:pt idx="46">
                  <c:v>17869663.503553912</c:v>
                </c:pt>
                <c:pt idx="47">
                  <c:v>20923983.637401551</c:v>
                </c:pt>
                <c:pt idx="48">
                  <c:v>21339855.812890552</c:v>
                </c:pt>
                <c:pt idx="49">
                  <c:v>18627404.790462211</c:v>
                </c:pt>
                <c:pt idx="50">
                  <c:v>18696870.480269946</c:v>
                </c:pt>
                <c:pt idx="51">
                  <c:v>16741948.828358034</c:v>
                </c:pt>
                <c:pt idx="52">
                  <c:v>20258335.539548043</c:v>
                </c:pt>
                <c:pt idx="53">
                  <c:v>24018740.218273848</c:v>
                </c:pt>
                <c:pt idx="54">
                  <c:v>29649366.482440621</c:v>
                </c:pt>
                <c:pt idx="55">
                  <c:v>26858535.942981362</c:v>
                </c:pt>
                <c:pt idx="56">
                  <c:v>21435385.204552598</c:v>
                </c:pt>
                <c:pt idx="57">
                  <c:v>18183240.065397561</c:v>
                </c:pt>
                <c:pt idx="58">
                  <c:v>17690493.152819194</c:v>
                </c:pt>
                <c:pt idx="59">
                  <c:v>21778762.574726582</c:v>
                </c:pt>
                <c:pt idx="60">
                  <c:v>22720358.918198176</c:v>
                </c:pt>
                <c:pt idx="61">
                  <c:v>19338254.519614719</c:v>
                </c:pt>
                <c:pt idx="62">
                  <c:v>19222207.158651154</c:v>
                </c:pt>
                <c:pt idx="63">
                  <c:v>16094391.000422645</c:v>
                </c:pt>
                <c:pt idx="64">
                  <c:v>18332330.133195065</c:v>
                </c:pt>
                <c:pt idx="65">
                  <c:v>24702223.203632738</c:v>
                </c:pt>
                <c:pt idx="66">
                  <c:v>25021471.132676568</c:v>
                </c:pt>
                <c:pt idx="67">
                  <c:v>26195123.813624799</c:v>
                </c:pt>
                <c:pt idx="68">
                  <c:v>20424469.435593367</c:v>
                </c:pt>
                <c:pt idx="69">
                  <c:v>17080823.674103394</c:v>
                </c:pt>
                <c:pt idx="70">
                  <c:v>17737222.539150722</c:v>
                </c:pt>
                <c:pt idx="71">
                  <c:v>21015798.054042798</c:v>
                </c:pt>
                <c:pt idx="72">
                  <c:v>22237928.207419872</c:v>
                </c:pt>
                <c:pt idx="73">
                  <c:v>19937229.780379448</c:v>
                </c:pt>
                <c:pt idx="74">
                  <c:v>18694561.311446514</c:v>
                </c:pt>
                <c:pt idx="75">
                  <c:v>16240038.145901334</c:v>
                </c:pt>
                <c:pt idx="76">
                  <c:v>20379850.809891261</c:v>
                </c:pt>
                <c:pt idx="77">
                  <c:v>23124957.205070265</c:v>
                </c:pt>
                <c:pt idx="78">
                  <c:v>28236773.749492548</c:v>
                </c:pt>
                <c:pt idx="79">
                  <c:v>26981423.524602976</c:v>
                </c:pt>
                <c:pt idx="80">
                  <c:v>23890486.155898072</c:v>
                </c:pt>
                <c:pt idx="81">
                  <c:v>16387089.534589212</c:v>
                </c:pt>
                <c:pt idx="82">
                  <c:v>16239080.845405634</c:v>
                </c:pt>
                <c:pt idx="83">
                  <c:v>19578131.374270201</c:v>
                </c:pt>
                <c:pt idx="84">
                  <c:v>21010801.920164555</c:v>
                </c:pt>
                <c:pt idx="85">
                  <c:v>18706978.310455672</c:v>
                </c:pt>
                <c:pt idx="86">
                  <c:v>17477017.823089048</c:v>
                </c:pt>
                <c:pt idx="87">
                  <c:v>16571190.019450661</c:v>
                </c:pt>
                <c:pt idx="88">
                  <c:v>19450701.878888067</c:v>
                </c:pt>
                <c:pt idx="89">
                  <c:v>25590013.178510733</c:v>
                </c:pt>
                <c:pt idx="90">
                  <c:v>32437497.06518212</c:v>
                </c:pt>
                <c:pt idx="91">
                  <c:v>32943421.870829325</c:v>
                </c:pt>
                <c:pt idx="92">
                  <c:v>23276362.884786144</c:v>
                </c:pt>
                <c:pt idx="93">
                  <c:v>18408385.109534189</c:v>
                </c:pt>
                <c:pt idx="94">
                  <c:v>16697233.718973059</c:v>
                </c:pt>
                <c:pt idx="95">
                  <c:v>21061687.202587858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6A-4E63-B742-67BDE32400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01930464"/>
        <c:axId val="1"/>
      </c:lineChart>
      <c:dateAx>
        <c:axId val="401930464"/>
        <c:scaling>
          <c:orientation val="minMax"/>
        </c:scaling>
        <c:delete val="0"/>
        <c:axPos val="b"/>
        <c:numFmt formatCode="m/d/yyyy" sourceLinked="0"/>
        <c:majorTickMark val="out"/>
        <c:minorTickMark val="none"/>
        <c:tickLblPos val="nextTo"/>
        <c:crossAx val="1"/>
        <c:crosses val="autoZero"/>
        <c:auto val="1"/>
        <c:lblOffset val="100"/>
        <c:baseTimeUnit val="months"/>
      </c:dateAx>
      <c:valAx>
        <c:axId val="1"/>
        <c:scaling>
          <c:orientation val="minMax"/>
          <c:min val="15000000"/>
        </c:scaling>
        <c:delete val="0"/>
        <c:axPos val="l"/>
        <c:majorGridlines/>
        <c:numFmt formatCode="_(* #,##0_);_(* \(#,##0\);_(* &quot;-&quot;??_);_(@_)" sourceLinked="1"/>
        <c:majorTickMark val="out"/>
        <c:minorTickMark val="none"/>
        <c:tickLblPos val="nextTo"/>
        <c:crossAx val="40193046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'Normalized Annual Summary'!$E$3</c:f>
              <c:strCache>
                <c:ptCount val="1"/>
                <c:pt idx="0">
                  <c:v>Actual no CDM</c:v>
                </c:pt>
              </c:strCache>
            </c:strRef>
          </c:tx>
          <c:marker>
            <c:symbol val="none"/>
          </c:marker>
          <c:cat>
            <c:numRef>
              <c:f>'Normalized Annual Summary'!$B$5:$B$14</c:f>
              <c:numCache>
                <c:formatCode>General</c:formatCod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numCache>
            </c:numRef>
          </c:cat>
          <c:val>
            <c:numRef>
              <c:f>'Normalized Annual Summary'!$E$5:$E$12</c:f>
              <c:numCache>
                <c:formatCode>#,##0</c:formatCode>
                <c:ptCount val="8"/>
                <c:pt idx="0">
                  <c:v>249248744.52630949</c:v>
                </c:pt>
                <c:pt idx="1">
                  <c:v>267217596.28228575</c:v>
                </c:pt>
                <c:pt idx="2">
                  <c:v>260939811.58200753</c:v>
                </c:pt>
                <c:pt idx="3">
                  <c:v>259249764.01228067</c:v>
                </c:pt>
                <c:pt idx="4">
                  <c:v>254292198.12159741</c:v>
                </c:pt>
                <c:pt idx="5">
                  <c:v>250468248.15084472</c:v>
                </c:pt>
                <c:pt idx="6">
                  <c:v>250818286.1511052</c:v>
                </c:pt>
                <c:pt idx="7">
                  <c:v>263617211.88820487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93-4F64-BAC9-CBA871231A40}"/>
            </c:ext>
          </c:extLst>
        </c:ser>
        <c:ser>
          <c:idx val="3"/>
          <c:order val="1"/>
          <c:tx>
            <c:strRef>
              <c:f>'Normalized Annual Summary'!$F$3</c:f>
              <c:strCache>
                <c:ptCount val="1"/>
                <c:pt idx="0">
                  <c:v>Normalized no CDM</c:v>
                </c:pt>
              </c:strCache>
            </c:strRef>
          </c:tx>
          <c:marker>
            <c:symbol val="none"/>
          </c:marker>
          <c:cat>
            <c:numRef>
              <c:f>'Normalized Annual Summary'!$B$5:$B$14</c:f>
              <c:numCache>
                <c:formatCode>General</c:formatCod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numCache>
            </c:numRef>
          </c:cat>
          <c:val>
            <c:numRef>
              <c:f>'Normalized Annual Summary'!$F$5:$F$14</c:f>
              <c:numCache>
                <c:formatCode>#,##0</c:formatCode>
                <c:ptCount val="10"/>
                <c:pt idx="0">
                  <c:v>261672821.96498096</c:v>
                </c:pt>
                <c:pt idx="1">
                  <c:v>259297142.82967284</c:v>
                </c:pt>
                <c:pt idx="2">
                  <c:v>256334134.22412032</c:v>
                </c:pt>
                <c:pt idx="3">
                  <c:v>258455457.59941426</c:v>
                </c:pt>
                <c:pt idx="4">
                  <c:v>255753475.11299255</c:v>
                </c:pt>
                <c:pt idx="5">
                  <c:v>253338200.73249945</c:v>
                </c:pt>
                <c:pt idx="6">
                  <c:v>253080867.21458974</c:v>
                </c:pt>
                <c:pt idx="7">
                  <c:v>255142797.7221061</c:v>
                </c:pt>
                <c:pt idx="8">
                  <c:v>250071699.73211434</c:v>
                </c:pt>
                <c:pt idx="9">
                  <c:v>249041302.04800478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93-4F64-BAC9-CBA871231A40}"/>
            </c:ext>
          </c:extLst>
        </c:ser>
        <c:ser>
          <c:idx val="1"/>
          <c:order val="2"/>
          <c:tx>
            <c:strRef>
              <c:f>'Normalized Annual Summary'!$C$3</c:f>
              <c:strCache>
                <c:ptCount val="1"/>
                <c:pt idx="0">
                  <c:v>Actual</c:v>
                </c:pt>
              </c:strCache>
            </c:strRef>
          </c:tx>
          <c:marker>
            <c:symbol val="none"/>
          </c:marker>
          <c:cat>
            <c:numRef>
              <c:f>'Normalized Annual Summary'!$B$5:$B$14</c:f>
              <c:numCache>
                <c:formatCode>General</c:formatCod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numCache>
            </c:numRef>
          </c:cat>
          <c:val>
            <c:numRef>
              <c:f>'Normalized Annual Summary'!$C$5:$C$12</c:f>
              <c:numCache>
                <c:formatCode>#,##0</c:formatCode>
                <c:ptCount val="8"/>
                <c:pt idx="0">
                  <c:v>248399886.49214149</c:v>
                </c:pt>
                <c:pt idx="1">
                  <c:v>265216568.13992596</c:v>
                </c:pt>
                <c:pt idx="2">
                  <c:v>258409725.96275184</c:v>
                </c:pt>
                <c:pt idx="3">
                  <c:v>256003979.435274</c:v>
                </c:pt>
                <c:pt idx="4">
                  <c:v>250406104.76660007</c:v>
                </c:pt>
                <c:pt idx="5">
                  <c:v>245551952.96402693</c:v>
                </c:pt>
                <c:pt idx="6">
                  <c:v>244757239.4788945</c:v>
                </c:pt>
                <c:pt idx="7">
                  <c:v>255390421.5791553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393-4F64-BAC9-CBA871231A40}"/>
            </c:ext>
          </c:extLst>
        </c:ser>
        <c:ser>
          <c:idx val="2"/>
          <c:order val="3"/>
          <c:tx>
            <c:strRef>
              <c:f>'Normalized Annual Summary'!$H$3</c:f>
              <c:strCache>
                <c:ptCount val="1"/>
                <c:pt idx="0">
                  <c:v>Normalized</c:v>
                </c:pt>
              </c:strCache>
            </c:strRef>
          </c:tx>
          <c:marker>
            <c:symbol val="none"/>
          </c:marker>
          <c:cat>
            <c:numRef>
              <c:f>'Normalized Annual Summary'!$B$5:$B$14</c:f>
              <c:numCache>
                <c:formatCode>General</c:formatCod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numCache>
            </c:numRef>
          </c:cat>
          <c:val>
            <c:numRef>
              <c:f>'Normalized Annual Summary'!$H$5:$H$14</c:f>
              <c:numCache>
                <c:formatCode>#,##0</c:formatCode>
                <c:ptCount val="10"/>
                <c:pt idx="0">
                  <c:v>260823963.93081298</c:v>
                </c:pt>
                <c:pt idx="1">
                  <c:v>257296114.68731308</c:v>
                </c:pt>
                <c:pt idx="2">
                  <c:v>253804048.60486463</c:v>
                </c:pt>
                <c:pt idx="3">
                  <c:v>255209673.02240759</c:v>
                </c:pt>
                <c:pt idx="4">
                  <c:v>251867381.75799519</c:v>
                </c:pt>
                <c:pt idx="5">
                  <c:v>248421905.54568169</c:v>
                </c:pt>
                <c:pt idx="6">
                  <c:v>247019820.54237908</c:v>
                </c:pt>
                <c:pt idx="7">
                  <c:v>246916007.41305652</c:v>
                </c:pt>
                <c:pt idx="8">
                  <c:v>242433515.15375051</c:v>
                </c:pt>
                <c:pt idx="9">
                  <c:v>242070627.26186734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393-4F64-BAC9-CBA871231A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04216192"/>
        <c:axId val="1"/>
      </c:lineChart>
      <c:catAx>
        <c:axId val="404216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40421619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'Normalized Annual Summary'!$M$3</c:f>
              <c:strCache>
                <c:ptCount val="1"/>
                <c:pt idx="0">
                  <c:v>Actual no CDM</c:v>
                </c:pt>
              </c:strCache>
            </c:strRef>
          </c:tx>
          <c:marker>
            <c:symbol val="none"/>
          </c:marker>
          <c:cat>
            <c:numRef>
              <c:f>'Normalized Annual Summary'!$B$5:$B$14</c:f>
              <c:numCache>
                <c:formatCode>General</c:formatCod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numCache>
            </c:numRef>
          </c:cat>
          <c:val>
            <c:numRef>
              <c:f>'Normalized Annual Summary'!$M$5:$M$12</c:f>
              <c:numCache>
                <c:formatCode>#,##0</c:formatCode>
                <c:ptCount val="8"/>
                <c:pt idx="0">
                  <c:v>67635266.323931411</c:v>
                </c:pt>
                <c:pt idx="1">
                  <c:v>69463566.007213742</c:v>
                </c:pt>
                <c:pt idx="2">
                  <c:v>68580386.344080314</c:v>
                </c:pt>
                <c:pt idx="3">
                  <c:v>68501517.278197765</c:v>
                </c:pt>
                <c:pt idx="4">
                  <c:v>67565571.213131547</c:v>
                </c:pt>
                <c:pt idx="5">
                  <c:v>67585755.68702814</c:v>
                </c:pt>
                <c:pt idx="6">
                  <c:v>68885821.491460353</c:v>
                </c:pt>
                <c:pt idx="7">
                  <c:v>71660660.771064878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44-4324-B1BA-3C913FC725A3}"/>
            </c:ext>
          </c:extLst>
        </c:ser>
        <c:ser>
          <c:idx val="3"/>
          <c:order val="1"/>
          <c:tx>
            <c:strRef>
              <c:f>'Normalized Annual Summary'!$N$3</c:f>
              <c:strCache>
                <c:ptCount val="1"/>
                <c:pt idx="0">
                  <c:v>Normalized no CDM</c:v>
                </c:pt>
              </c:strCache>
            </c:strRef>
          </c:tx>
          <c:marker>
            <c:symbol val="none"/>
          </c:marker>
          <c:cat>
            <c:numRef>
              <c:f>'Normalized Annual Summary'!$B$5:$B$14</c:f>
              <c:numCache>
                <c:formatCode>General</c:formatCod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numCache>
            </c:numRef>
          </c:cat>
          <c:val>
            <c:numRef>
              <c:f>'Normalized Annual Summary'!$N$5:$N$14</c:f>
              <c:numCache>
                <c:formatCode>#,##0</c:formatCode>
                <c:ptCount val="10"/>
                <c:pt idx="0">
                  <c:v>67952712.958381981</c:v>
                </c:pt>
                <c:pt idx="1">
                  <c:v>68069835.047798201</c:v>
                </c:pt>
                <c:pt idx="2">
                  <c:v>68068504.114963919</c:v>
                </c:pt>
                <c:pt idx="3">
                  <c:v>69074306.457354233</c:v>
                </c:pt>
                <c:pt idx="4">
                  <c:v>69143897.845058337</c:v>
                </c:pt>
                <c:pt idx="5">
                  <c:v>69253034.337468922</c:v>
                </c:pt>
                <c:pt idx="6">
                  <c:v>69797385.866687506</c:v>
                </c:pt>
                <c:pt idx="7">
                  <c:v>70791209.813569307</c:v>
                </c:pt>
                <c:pt idx="8">
                  <c:v>70382996.313768625</c:v>
                </c:pt>
                <c:pt idx="9">
                  <c:v>70771435.716116011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44-4324-B1BA-3C913FC725A3}"/>
            </c:ext>
          </c:extLst>
        </c:ser>
        <c:ser>
          <c:idx val="1"/>
          <c:order val="2"/>
          <c:tx>
            <c:strRef>
              <c:f>'Normalized Annual Summary'!$K$3</c:f>
              <c:strCache>
                <c:ptCount val="1"/>
                <c:pt idx="0">
                  <c:v>Actual</c:v>
                </c:pt>
              </c:strCache>
            </c:strRef>
          </c:tx>
          <c:marker>
            <c:symbol val="none"/>
          </c:marker>
          <c:cat>
            <c:numRef>
              <c:f>'Normalized Annual Summary'!$B$5:$B$14</c:f>
              <c:numCache>
                <c:formatCode>General</c:formatCod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numCache>
            </c:numRef>
          </c:cat>
          <c:val>
            <c:numRef>
              <c:f>'Normalized Annual Summary'!$K$5:$K$12</c:f>
              <c:numCache>
                <c:formatCode>#,##0</c:formatCode>
                <c:ptCount val="8"/>
                <c:pt idx="0">
                  <c:v>67411402.249553397</c:v>
                </c:pt>
                <c:pt idx="1">
                  <c:v>68742429.66422531</c:v>
                </c:pt>
                <c:pt idx="2">
                  <c:v>67558142.667946845</c:v>
                </c:pt>
                <c:pt idx="3">
                  <c:v>67056277.620808907</c:v>
                </c:pt>
                <c:pt idx="4">
                  <c:v>65663989.680238001</c:v>
                </c:pt>
                <c:pt idx="5">
                  <c:v>65242010.853368044</c:v>
                </c:pt>
                <c:pt idx="6">
                  <c:v>65329579.275105581</c:v>
                </c:pt>
                <c:pt idx="7">
                  <c:v>66808992.616394639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044-4324-B1BA-3C913FC725A3}"/>
            </c:ext>
          </c:extLst>
        </c:ser>
        <c:ser>
          <c:idx val="2"/>
          <c:order val="3"/>
          <c:tx>
            <c:strRef>
              <c:f>'Normalized Annual Summary'!$P$3</c:f>
              <c:strCache>
                <c:ptCount val="1"/>
                <c:pt idx="0">
                  <c:v>Normalized</c:v>
                </c:pt>
              </c:strCache>
            </c:strRef>
          </c:tx>
          <c:marker>
            <c:symbol val="none"/>
          </c:marker>
          <c:cat>
            <c:numRef>
              <c:f>'Normalized Annual Summary'!$B$5:$B$14</c:f>
              <c:numCache>
                <c:formatCode>General</c:formatCod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numCache>
            </c:numRef>
          </c:cat>
          <c:val>
            <c:numRef>
              <c:f>'Normalized Annual Summary'!$P$5:$P$14</c:f>
              <c:numCache>
                <c:formatCode>#,##0</c:formatCode>
                <c:ptCount val="10"/>
                <c:pt idx="0">
                  <c:v>67728848.884003982</c:v>
                </c:pt>
                <c:pt idx="1">
                  <c:v>67348698.70480977</c:v>
                </c:pt>
                <c:pt idx="2">
                  <c:v>67046260.438830458</c:v>
                </c:pt>
                <c:pt idx="3">
                  <c:v>67629066.799965367</c:v>
                </c:pt>
                <c:pt idx="4">
                  <c:v>67242316.312164798</c:v>
                </c:pt>
                <c:pt idx="5">
                  <c:v>66909289.503808834</c:v>
                </c:pt>
                <c:pt idx="6">
                  <c:v>66241143.650332727</c:v>
                </c:pt>
                <c:pt idx="7">
                  <c:v>65939541.658899076</c:v>
                </c:pt>
                <c:pt idx="8">
                  <c:v>65792789.932857886</c:v>
                </c:pt>
                <c:pt idx="9">
                  <c:v>66382185.450243384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044-4324-B1BA-3C913FC725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04213896"/>
        <c:axId val="1"/>
      </c:lineChart>
      <c:catAx>
        <c:axId val="404213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40421389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'Normalized Annual Summary'!$U$3</c:f>
              <c:strCache>
                <c:ptCount val="1"/>
                <c:pt idx="0">
                  <c:v>Actual no CDM</c:v>
                </c:pt>
              </c:strCache>
            </c:strRef>
          </c:tx>
          <c:marker>
            <c:symbol val="none"/>
          </c:marker>
          <c:cat>
            <c:numRef>
              <c:f>'Normalized Annual Summary'!$B$5:$B$14</c:f>
              <c:numCache>
                <c:formatCode>General</c:formatCod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numCache>
            </c:numRef>
          </c:cat>
          <c:val>
            <c:numRef>
              <c:f>'Normalized Annual Summary'!$U$5:$U$12</c:f>
              <c:numCache>
                <c:formatCode>#,##0</c:formatCode>
                <c:ptCount val="8"/>
                <c:pt idx="0">
                  <c:v>165450249.20683464</c:v>
                </c:pt>
                <c:pt idx="1">
                  <c:v>168399143.6217176</c:v>
                </c:pt>
                <c:pt idx="2">
                  <c:v>167789870.59880084</c:v>
                </c:pt>
                <c:pt idx="3">
                  <c:v>163904122.53575242</c:v>
                </c:pt>
                <c:pt idx="4">
                  <c:v>169072483.18651012</c:v>
                </c:pt>
                <c:pt idx="5">
                  <c:v>171423509.44268268</c:v>
                </c:pt>
                <c:pt idx="6">
                  <c:v>183400998.18188119</c:v>
                </c:pt>
                <c:pt idx="7">
                  <c:v>204358804.53845862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53-4BEA-99BA-BA96420F5FC7}"/>
            </c:ext>
          </c:extLst>
        </c:ser>
        <c:ser>
          <c:idx val="3"/>
          <c:order val="1"/>
          <c:tx>
            <c:strRef>
              <c:f>'Normalized Annual Summary'!$V$3</c:f>
              <c:strCache>
                <c:ptCount val="1"/>
                <c:pt idx="0">
                  <c:v>Normalized no CDM</c:v>
                </c:pt>
              </c:strCache>
            </c:strRef>
          </c:tx>
          <c:marker>
            <c:symbol val="none"/>
          </c:marker>
          <c:cat>
            <c:numRef>
              <c:f>'Normalized Annual Summary'!$B$5:$B$14</c:f>
              <c:numCache>
                <c:formatCode>General</c:formatCod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numCache>
            </c:numRef>
          </c:cat>
          <c:val>
            <c:numRef>
              <c:f>'Normalized Annual Summary'!$V$5:$V$14</c:f>
              <c:numCache>
                <c:formatCode>#,##0</c:formatCode>
                <c:ptCount val="10"/>
                <c:pt idx="0">
                  <c:v>164827280.98932108</c:v>
                </c:pt>
                <c:pt idx="1">
                  <c:v>163109043.14663059</c:v>
                </c:pt>
                <c:pt idx="2">
                  <c:v>169716443.82270956</c:v>
                </c:pt>
                <c:pt idx="3">
                  <c:v>168502825.49510211</c:v>
                </c:pt>
                <c:pt idx="4">
                  <c:v>171628009.39741033</c:v>
                </c:pt>
                <c:pt idx="5">
                  <c:v>176194415.72934902</c:v>
                </c:pt>
                <c:pt idx="6">
                  <c:v>181778601.38715214</c:v>
                </c:pt>
                <c:pt idx="7">
                  <c:v>193615532.47547299</c:v>
                </c:pt>
                <c:pt idx="8">
                  <c:v>190541669.30256742</c:v>
                </c:pt>
                <c:pt idx="9">
                  <c:v>195036527.31584156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53-4BEA-99BA-BA96420F5FC7}"/>
            </c:ext>
          </c:extLst>
        </c:ser>
        <c:ser>
          <c:idx val="1"/>
          <c:order val="2"/>
          <c:tx>
            <c:strRef>
              <c:f>'Normalized Annual Summary'!$S$3</c:f>
              <c:strCache>
                <c:ptCount val="1"/>
                <c:pt idx="0">
                  <c:v>Actual</c:v>
                </c:pt>
              </c:strCache>
            </c:strRef>
          </c:tx>
          <c:marker>
            <c:symbol val="none"/>
          </c:marker>
          <c:cat>
            <c:numRef>
              <c:f>'Normalized Annual Summary'!$B$5:$B$14</c:f>
              <c:numCache>
                <c:formatCode>General</c:formatCod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numCache>
            </c:numRef>
          </c:cat>
          <c:val>
            <c:numRef>
              <c:f>'Normalized Annual Summary'!$S$5:$S$12</c:f>
              <c:numCache>
                <c:formatCode>#,##0</c:formatCode>
                <c:ptCount val="8"/>
                <c:pt idx="0">
                  <c:v>164879031.73586524</c:v>
                </c:pt>
                <c:pt idx="1">
                  <c:v>167052602.51730582</c:v>
                </c:pt>
                <c:pt idx="2">
                  <c:v>165850871.69855252</c:v>
                </c:pt>
                <c:pt idx="3">
                  <c:v>160883811.68478131</c:v>
                </c:pt>
                <c:pt idx="4">
                  <c:v>164887609.10912561</c:v>
                </c:pt>
                <c:pt idx="5">
                  <c:v>166100613.01807362</c:v>
                </c:pt>
                <c:pt idx="6">
                  <c:v>171874065.5064584</c:v>
                </c:pt>
                <c:pt idx="7">
                  <c:v>187031605.70527154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D53-4BEA-99BA-BA96420F5FC7}"/>
            </c:ext>
          </c:extLst>
        </c:ser>
        <c:ser>
          <c:idx val="2"/>
          <c:order val="3"/>
          <c:tx>
            <c:strRef>
              <c:f>'Normalized Annual Summary'!$X$3</c:f>
              <c:strCache>
                <c:ptCount val="1"/>
                <c:pt idx="0">
                  <c:v>Normalized</c:v>
                </c:pt>
              </c:strCache>
            </c:strRef>
          </c:tx>
          <c:marker>
            <c:symbol val="none"/>
          </c:marker>
          <c:cat>
            <c:numRef>
              <c:f>'Normalized Annual Summary'!$B$5:$B$14</c:f>
              <c:numCache>
                <c:formatCode>General</c:formatCod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numCache>
            </c:numRef>
          </c:cat>
          <c:val>
            <c:numRef>
              <c:f>'Normalized Annual Summary'!$X$5:$X$14</c:f>
              <c:numCache>
                <c:formatCode>#,##0</c:formatCode>
                <c:ptCount val="10"/>
                <c:pt idx="0">
                  <c:v>164256063.51835167</c:v>
                </c:pt>
                <c:pt idx="1">
                  <c:v>161762502.0422188</c:v>
                </c:pt>
                <c:pt idx="2">
                  <c:v>167777444.92246124</c:v>
                </c:pt>
                <c:pt idx="3">
                  <c:v>165482514.644131</c:v>
                </c:pt>
                <c:pt idx="4">
                  <c:v>167443135.32002583</c:v>
                </c:pt>
                <c:pt idx="5">
                  <c:v>170871519.30473995</c:v>
                </c:pt>
                <c:pt idx="6">
                  <c:v>170251668.71172935</c:v>
                </c:pt>
                <c:pt idx="7">
                  <c:v>176288333.64228591</c:v>
                </c:pt>
                <c:pt idx="8">
                  <c:v>173856406.99306336</c:v>
                </c:pt>
                <c:pt idx="9">
                  <c:v>178741298.50064945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D53-4BEA-99BA-BA96420F5F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04216848"/>
        <c:axId val="1"/>
      </c:lineChart>
      <c:catAx>
        <c:axId val="404216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in val="150000000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40421684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'GS &lt; 50 Predicted Monthly'!$C$1</c:f>
              <c:strCache>
                <c:ptCount val="1"/>
                <c:pt idx="0">
                  <c:v> Gross_GSlt50 </c:v>
                </c:pt>
              </c:strCache>
            </c:strRef>
          </c:tx>
          <c:marker>
            <c:symbol val="none"/>
          </c:marker>
          <c:cat>
            <c:numRef>
              <c:f>'GS &lt; 50 Predicted Monthly'!$A$2:$A$97</c:f>
              <c:numCache>
                <c:formatCode>m/d/yyyy</c:formatCode>
                <c:ptCount val="96"/>
                <c:pt idx="0">
                  <c:v>39814</c:v>
                </c:pt>
                <c:pt idx="1">
                  <c:v>39845</c:v>
                </c:pt>
                <c:pt idx="2">
                  <c:v>39873</c:v>
                </c:pt>
                <c:pt idx="3">
                  <c:v>39904</c:v>
                </c:pt>
                <c:pt idx="4">
                  <c:v>39934</c:v>
                </c:pt>
                <c:pt idx="5">
                  <c:v>39965</c:v>
                </c:pt>
                <c:pt idx="6">
                  <c:v>39995</c:v>
                </c:pt>
                <c:pt idx="7">
                  <c:v>40026</c:v>
                </c:pt>
                <c:pt idx="8">
                  <c:v>40057</c:v>
                </c:pt>
                <c:pt idx="9">
                  <c:v>40087</c:v>
                </c:pt>
                <c:pt idx="10">
                  <c:v>40118</c:v>
                </c:pt>
                <c:pt idx="11">
                  <c:v>40148</c:v>
                </c:pt>
                <c:pt idx="12">
                  <c:v>40179</c:v>
                </c:pt>
                <c:pt idx="13">
                  <c:v>40210</c:v>
                </c:pt>
                <c:pt idx="14">
                  <c:v>40238</c:v>
                </c:pt>
                <c:pt idx="15">
                  <c:v>40269</c:v>
                </c:pt>
                <c:pt idx="16">
                  <c:v>40299</c:v>
                </c:pt>
                <c:pt idx="17">
                  <c:v>40330</c:v>
                </c:pt>
                <c:pt idx="18">
                  <c:v>40360</c:v>
                </c:pt>
                <c:pt idx="19">
                  <c:v>40391</c:v>
                </c:pt>
                <c:pt idx="20">
                  <c:v>40422</c:v>
                </c:pt>
                <c:pt idx="21">
                  <c:v>40452</c:v>
                </c:pt>
                <c:pt idx="22">
                  <c:v>40483</c:v>
                </c:pt>
                <c:pt idx="23">
                  <c:v>40513</c:v>
                </c:pt>
                <c:pt idx="24">
                  <c:v>40544</c:v>
                </c:pt>
                <c:pt idx="25">
                  <c:v>40575</c:v>
                </c:pt>
                <c:pt idx="26">
                  <c:v>40603</c:v>
                </c:pt>
                <c:pt idx="27">
                  <c:v>40634</c:v>
                </c:pt>
                <c:pt idx="28">
                  <c:v>40664</c:v>
                </c:pt>
                <c:pt idx="29">
                  <c:v>40695</c:v>
                </c:pt>
                <c:pt idx="30">
                  <c:v>40725</c:v>
                </c:pt>
                <c:pt idx="31">
                  <c:v>40756</c:v>
                </c:pt>
                <c:pt idx="32">
                  <c:v>40787</c:v>
                </c:pt>
                <c:pt idx="33">
                  <c:v>40817</c:v>
                </c:pt>
                <c:pt idx="34">
                  <c:v>40848</c:v>
                </c:pt>
                <c:pt idx="35">
                  <c:v>40878</c:v>
                </c:pt>
                <c:pt idx="36">
                  <c:v>40909</c:v>
                </c:pt>
                <c:pt idx="37">
                  <c:v>40940</c:v>
                </c:pt>
                <c:pt idx="38">
                  <c:v>40969</c:v>
                </c:pt>
                <c:pt idx="39">
                  <c:v>41000</c:v>
                </c:pt>
                <c:pt idx="40">
                  <c:v>41030</c:v>
                </c:pt>
                <c:pt idx="41">
                  <c:v>41061</c:v>
                </c:pt>
                <c:pt idx="42">
                  <c:v>41091</c:v>
                </c:pt>
                <c:pt idx="43">
                  <c:v>41122</c:v>
                </c:pt>
                <c:pt idx="44">
                  <c:v>41153</c:v>
                </c:pt>
                <c:pt idx="45">
                  <c:v>41183</c:v>
                </c:pt>
                <c:pt idx="46">
                  <c:v>41214</c:v>
                </c:pt>
                <c:pt idx="47">
                  <c:v>41244</c:v>
                </c:pt>
                <c:pt idx="48">
                  <c:v>41275</c:v>
                </c:pt>
                <c:pt idx="49">
                  <c:v>41306</c:v>
                </c:pt>
                <c:pt idx="50">
                  <c:v>41334</c:v>
                </c:pt>
                <c:pt idx="51">
                  <c:v>41365</c:v>
                </c:pt>
                <c:pt idx="52">
                  <c:v>41395</c:v>
                </c:pt>
                <c:pt idx="53">
                  <c:v>41426</c:v>
                </c:pt>
                <c:pt idx="54">
                  <c:v>41456</c:v>
                </c:pt>
                <c:pt idx="55">
                  <c:v>41487</c:v>
                </c:pt>
                <c:pt idx="56">
                  <c:v>41518</c:v>
                </c:pt>
                <c:pt idx="57">
                  <c:v>41548</c:v>
                </c:pt>
                <c:pt idx="58">
                  <c:v>41579</c:v>
                </c:pt>
                <c:pt idx="59">
                  <c:v>41609</c:v>
                </c:pt>
                <c:pt idx="60">
                  <c:v>41640</c:v>
                </c:pt>
                <c:pt idx="61">
                  <c:v>41671</c:v>
                </c:pt>
                <c:pt idx="62">
                  <c:v>41699</c:v>
                </c:pt>
                <c:pt idx="63">
                  <c:v>41730</c:v>
                </c:pt>
                <c:pt idx="64">
                  <c:v>41760</c:v>
                </c:pt>
                <c:pt idx="65">
                  <c:v>41791</c:v>
                </c:pt>
                <c:pt idx="66">
                  <c:v>41821</c:v>
                </c:pt>
                <c:pt idx="67">
                  <c:v>41852</c:v>
                </c:pt>
                <c:pt idx="68">
                  <c:v>41883</c:v>
                </c:pt>
                <c:pt idx="69">
                  <c:v>41913</c:v>
                </c:pt>
                <c:pt idx="70">
                  <c:v>41944</c:v>
                </c:pt>
                <c:pt idx="71">
                  <c:v>41974</c:v>
                </c:pt>
                <c:pt idx="72">
                  <c:v>42005</c:v>
                </c:pt>
                <c:pt idx="73">
                  <c:v>42036</c:v>
                </c:pt>
                <c:pt idx="74">
                  <c:v>42064</c:v>
                </c:pt>
                <c:pt idx="75">
                  <c:v>42095</c:v>
                </c:pt>
                <c:pt idx="76">
                  <c:v>42125</c:v>
                </c:pt>
                <c:pt idx="77">
                  <c:v>42156</c:v>
                </c:pt>
                <c:pt idx="78">
                  <c:v>42186</c:v>
                </c:pt>
                <c:pt idx="79">
                  <c:v>42217</c:v>
                </c:pt>
                <c:pt idx="80">
                  <c:v>42248</c:v>
                </c:pt>
                <c:pt idx="81">
                  <c:v>42278</c:v>
                </c:pt>
                <c:pt idx="82">
                  <c:v>42309</c:v>
                </c:pt>
                <c:pt idx="83">
                  <c:v>42339</c:v>
                </c:pt>
                <c:pt idx="84">
                  <c:v>42370</c:v>
                </c:pt>
                <c:pt idx="85">
                  <c:v>42401</c:v>
                </c:pt>
                <c:pt idx="86">
                  <c:v>42430</c:v>
                </c:pt>
                <c:pt idx="87">
                  <c:v>42461</c:v>
                </c:pt>
                <c:pt idx="88">
                  <c:v>42491</c:v>
                </c:pt>
                <c:pt idx="89">
                  <c:v>42522</c:v>
                </c:pt>
                <c:pt idx="90">
                  <c:v>42552</c:v>
                </c:pt>
                <c:pt idx="91">
                  <c:v>42583</c:v>
                </c:pt>
                <c:pt idx="92">
                  <c:v>42614</c:v>
                </c:pt>
                <c:pt idx="93">
                  <c:v>42644</c:v>
                </c:pt>
                <c:pt idx="94">
                  <c:v>42675</c:v>
                </c:pt>
                <c:pt idx="95">
                  <c:v>42705</c:v>
                </c:pt>
              </c:numCache>
            </c:numRef>
          </c:cat>
          <c:val>
            <c:numRef>
              <c:f>'GS &lt; 50 Predicted Monthly'!$C$2:$C$97</c:f>
              <c:numCache>
                <c:formatCode>_(* #,##0_);_(* \(#,##0\);_(* "-"??_);_(@_)</c:formatCode>
                <c:ptCount val="96"/>
                <c:pt idx="0">
                  <c:v>6180599.9418864548</c:v>
                </c:pt>
                <c:pt idx="1">
                  <c:v>5531247.4825260816</c:v>
                </c:pt>
                <c:pt idx="2">
                  <c:v>5678036.4363599839</c:v>
                </c:pt>
                <c:pt idx="3">
                  <c:v>5165756.2748493869</c:v>
                </c:pt>
                <c:pt idx="4">
                  <c:v>5358760.0193285467</c:v>
                </c:pt>
                <c:pt idx="5">
                  <c:v>5663326.2574443072</c:v>
                </c:pt>
                <c:pt idx="6">
                  <c:v>6200335.1519909399</c:v>
                </c:pt>
                <c:pt idx="7">
                  <c:v>6260864.1239666771</c:v>
                </c:pt>
                <c:pt idx="8">
                  <c:v>5590921.3744961126</c:v>
                </c:pt>
                <c:pt idx="9">
                  <c:v>5185699.0044068033</c:v>
                </c:pt>
                <c:pt idx="10">
                  <c:v>5131204.807266444</c:v>
                </c:pt>
                <c:pt idx="11">
                  <c:v>5688515.449409673</c:v>
                </c:pt>
                <c:pt idx="12">
                  <c:v>5896501.9011723185</c:v>
                </c:pt>
                <c:pt idx="13">
                  <c:v>5282460.4406652441</c:v>
                </c:pt>
                <c:pt idx="14">
                  <c:v>5367265.7782861628</c:v>
                </c:pt>
                <c:pt idx="15">
                  <c:v>5048654.5806024112</c:v>
                </c:pt>
                <c:pt idx="16">
                  <c:v>5629447.9636161011</c:v>
                </c:pt>
                <c:pt idx="17">
                  <c:v>6292517.6784429774</c:v>
                </c:pt>
                <c:pt idx="18">
                  <c:v>7051776.6779211387</c:v>
                </c:pt>
                <c:pt idx="19">
                  <c:v>6891570.3434989201</c:v>
                </c:pt>
                <c:pt idx="20">
                  <c:v>5651782.3575958619</c:v>
                </c:pt>
                <c:pt idx="21">
                  <c:v>5255156.9166128142</c:v>
                </c:pt>
                <c:pt idx="22">
                  <c:v>5251525.9795399467</c:v>
                </c:pt>
                <c:pt idx="23">
                  <c:v>5844905.3892598506</c:v>
                </c:pt>
                <c:pt idx="24">
                  <c:v>6026588.3635599045</c:v>
                </c:pt>
                <c:pt idx="25">
                  <c:v>5362970.5444677435</c:v>
                </c:pt>
                <c:pt idx="26">
                  <c:v>5630900.4388400922</c:v>
                </c:pt>
                <c:pt idx="27">
                  <c:v>5175082.1278635412</c:v>
                </c:pt>
                <c:pt idx="28">
                  <c:v>5463133.8059784928</c:v>
                </c:pt>
                <c:pt idx="29">
                  <c:v>5976127.300790932</c:v>
                </c:pt>
                <c:pt idx="30">
                  <c:v>6877540.0657793824</c:v>
                </c:pt>
                <c:pt idx="31">
                  <c:v>6603628.8820340019</c:v>
                </c:pt>
                <c:pt idx="32">
                  <c:v>5618306.5975156222</c:v>
                </c:pt>
                <c:pt idx="33">
                  <c:v>5113557.1313079717</c:v>
                </c:pt>
                <c:pt idx="34">
                  <c:v>5112407.7414213624</c:v>
                </c:pt>
                <c:pt idx="35">
                  <c:v>5620143.3445212664</c:v>
                </c:pt>
                <c:pt idx="36">
                  <c:v>5678473.7393108159</c:v>
                </c:pt>
                <c:pt idx="37">
                  <c:v>5379271.6074002506</c:v>
                </c:pt>
                <c:pt idx="38">
                  <c:v>5431638.8336107414</c:v>
                </c:pt>
                <c:pt idx="39">
                  <c:v>4996283.2985174851</c:v>
                </c:pt>
                <c:pt idx="40">
                  <c:v>5646499.9793941975</c:v>
                </c:pt>
                <c:pt idx="41">
                  <c:v>6382835.9578270745</c:v>
                </c:pt>
                <c:pt idx="42">
                  <c:v>7118049.1198525634</c:v>
                </c:pt>
                <c:pt idx="43">
                  <c:v>6559336.0869305413</c:v>
                </c:pt>
                <c:pt idx="44">
                  <c:v>5578962.0305964015</c:v>
                </c:pt>
                <c:pt idx="45">
                  <c:v>5153415.156241239</c:v>
                </c:pt>
                <c:pt idx="46">
                  <c:v>5140839.870752953</c:v>
                </c:pt>
                <c:pt idx="47">
                  <c:v>5435911.5977635086</c:v>
                </c:pt>
                <c:pt idx="48">
                  <c:v>5731939.4442237746</c:v>
                </c:pt>
                <c:pt idx="49">
                  <c:v>5288814.8620550148</c:v>
                </c:pt>
                <c:pt idx="50">
                  <c:v>5578008.3017610069</c:v>
                </c:pt>
                <c:pt idx="51">
                  <c:v>5151120.774575416</c:v>
                </c:pt>
                <c:pt idx="52">
                  <c:v>5423795.7144559138</c:v>
                </c:pt>
                <c:pt idx="53">
                  <c:v>5819129.7356781708</c:v>
                </c:pt>
                <c:pt idx="54">
                  <c:v>6365784.4325457644</c:v>
                </c:pt>
                <c:pt idx="55">
                  <c:v>6212999.889886952</c:v>
                </c:pt>
                <c:pt idx="56">
                  <c:v>5635233.8218801301</c:v>
                </c:pt>
                <c:pt idx="57">
                  <c:v>5244110.3430482503</c:v>
                </c:pt>
                <c:pt idx="58">
                  <c:v>5278519.5614520842</c:v>
                </c:pt>
                <c:pt idx="59">
                  <c:v>5836114.3315690635</c:v>
                </c:pt>
                <c:pt idx="60">
                  <c:v>6160076.9121971037</c:v>
                </c:pt>
                <c:pt idx="61">
                  <c:v>5583527.4099679338</c:v>
                </c:pt>
                <c:pt idx="62">
                  <c:v>5765002.1393458238</c:v>
                </c:pt>
                <c:pt idx="63">
                  <c:v>5047184.9055247335</c:v>
                </c:pt>
                <c:pt idx="64">
                  <c:v>5341469.543139304</c:v>
                </c:pt>
                <c:pt idx="65">
                  <c:v>5873777.4547528643</c:v>
                </c:pt>
                <c:pt idx="66">
                  <c:v>6167201.5336482739</c:v>
                </c:pt>
                <c:pt idx="67">
                  <c:v>6189372.2861325433</c:v>
                </c:pt>
                <c:pt idx="68">
                  <c:v>5434281.2694790848</c:v>
                </c:pt>
                <c:pt idx="69">
                  <c:v>5094540.9732233444</c:v>
                </c:pt>
                <c:pt idx="70">
                  <c:v>5321955.4914958244</c:v>
                </c:pt>
                <c:pt idx="71">
                  <c:v>5607365.7681212937</c:v>
                </c:pt>
                <c:pt idx="72">
                  <c:v>6084150.685240835</c:v>
                </c:pt>
                <c:pt idx="73">
                  <c:v>5710443.8822701648</c:v>
                </c:pt>
                <c:pt idx="74">
                  <c:v>5822785.6363107348</c:v>
                </c:pt>
                <c:pt idx="75">
                  <c:v>5202149.7221366046</c:v>
                </c:pt>
                <c:pt idx="76">
                  <c:v>5469380.5887120552</c:v>
                </c:pt>
                <c:pt idx="77">
                  <c:v>5756959.3529045451</c:v>
                </c:pt>
                <c:pt idx="78">
                  <c:v>6509905.9223975558</c:v>
                </c:pt>
                <c:pt idx="79">
                  <c:v>6562142.499803775</c:v>
                </c:pt>
                <c:pt idx="80">
                  <c:v>5923003.162959775</c:v>
                </c:pt>
                <c:pt idx="81">
                  <c:v>5319208.2404462555</c:v>
                </c:pt>
                <c:pt idx="82">
                  <c:v>5143230.8555141054</c:v>
                </c:pt>
                <c:pt idx="83">
                  <c:v>5382460.9427639553</c:v>
                </c:pt>
                <c:pt idx="84">
                  <c:v>5905404.868295663</c:v>
                </c:pt>
                <c:pt idx="85">
                  <c:v>5580361.4202029929</c:v>
                </c:pt>
                <c:pt idx="86">
                  <c:v>5600144.3847357929</c:v>
                </c:pt>
                <c:pt idx="87">
                  <c:v>5299935.1901814425</c:v>
                </c:pt>
                <c:pt idx="88">
                  <c:v>5725044.7124987924</c:v>
                </c:pt>
                <c:pt idx="89">
                  <c:v>6274571.4465554031</c:v>
                </c:pt>
                <c:pt idx="90">
                  <c:v>7190951.1979749231</c:v>
                </c:pt>
                <c:pt idx="91">
                  <c:v>7201848.0708680535</c:v>
                </c:pt>
                <c:pt idx="92">
                  <c:v>6187428.4299528729</c:v>
                </c:pt>
                <c:pt idx="93">
                  <c:v>5528378.5441089226</c:v>
                </c:pt>
                <c:pt idx="94">
                  <c:v>5302153.4829599326</c:v>
                </c:pt>
                <c:pt idx="95">
                  <c:v>5864439.0227300832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7E-4A48-8D24-7361D1A1304D}"/>
            </c:ext>
          </c:extLst>
        </c:ser>
        <c:ser>
          <c:idx val="1"/>
          <c:order val="1"/>
          <c:tx>
            <c:strRef>
              <c:f>'GS &lt; 50 Predicted Monthly'!$T$1</c:f>
              <c:strCache>
                <c:ptCount val="1"/>
                <c:pt idx="0">
                  <c:v> Predicted kWh </c:v>
                </c:pt>
              </c:strCache>
            </c:strRef>
          </c:tx>
          <c:marker>
            <c:symbol val="none"/>
          </c:marker>
          <c:cat>
            <c:numRef>
              <c:f>'GS &lt; 50 Predicted Monthly'!$A$2:$A$97</c:f>
              <c:numCache>
                <c:formatCode>m/d/yyyy</c:formatCode>
                <c:ptCount val="96"/>
                <c:pt idx="0">
                  <c:v>39814</c:v>
                </c:pt>
                <c:pt idx="1">
                  <c:v>39845</c:v>
                </c:pt>
                <c:pt idx="2">
                  <c:v>39873</c:v>
                </c:pt>
                <c:pt idx="3">
                  <c:v>39904</c:v>
                </c:pt>
                <c:pt idx="4">
                  <c:v>39934</c:v>
                </c:pt>
                <c:pt idx="5">
                  <c:v>39965</c:v>
                </c:pt>
                <c:pt idx="6">
                  <c:v>39995</c:v>
                </c:pt>
                <c:pt idx="7">
                  <c:v>40026</c:v>
                </c:pt>
                <c:pt idx="8">
                  <c:v>40057</c:v>
                </c:pt>
                <c:pt idx="9">
                  <c:v>40087</c:v>
                </c:pt>
                <c:pt idx="10">
                  <c:v>40118</c:v>
                </c:pt>
                <c:pt idx="11">
                  <c:v>40148</c:v>
                </c:pt>
                <c:pt idx="12">
                  <c:v>40179</c:v>
                </c:pt>
                <c:pt idx="13">
                  <c:v>40210</c:v>
                </c:pt>
                <c:pt idx="14">
                  <c:v>40238</c:v>
                </c:pt>
                <c:pt idx="15">
                  <c:v>40269</c:v>
                </c:pt>
                <c:pt idx="16">
                  <c:v>40299</c:v>
                </c:pt>
                <c:pt idx="17">
                  <c:v>40330</c:v>
                </c:pt>
                <c:pt idx="18">
                  <c:v>40360</c:v>
                </c:pt>
                <c:pt idx="19">
                  <c:v>40391</c:v>
                </c:pt>
                <c:pt idx="20">
                  <c:v>40422</c:v>
                </c:pt>
                <c:pt idx="21">
                  <c:v>40452</c:v>
                </c:pt>
                <c:pt idx="22">
                  <c:v>40483</c:v>
                </c:pt>
                <c:pt idx="23">
                  <c:v>40513</c:v>
                </c:pt>
                <c:pt idx="24">
                  <c:v>40544</c:v>
                </c:pt>
                <c:pt idx="25">
                  <c:v>40575</c:v>
                </c:pt>
                <c:pt idx="26">
                  <c:v>40603</c:v>
                </c:pt>
                <c:pt idx="27">
                  <c:v>40634</c:v>
                </c:pt>
                <c:pt idx="28">
                  <c:v>40664</c:v>
                </c:pt>
                <c:pt idx="29">
                  <c:v>40695</c:v>
                </c:pt>
                <c:pt idx="30">
                  <c:v>40725</c:v>
                </c:pt>
                <c:pt idx="31">
                  <c:v>40756</c:v>
                </c:pt>
                <c:pt idx="32">
                  <c:v>40787</c:v>
                </c:pt>
                <c:pt idx="33">
                  <c:v>40817</c:v>
                </c:pt>
                <c:pt idx="34">
                  <c:v>40848</c:v>
                </c:pt>
                <c:pt idx="35">
                  <c:v>40878</c:v>
                </c:pt>
                <c:pt idx="36">
                  <c:v>40909</c:v>
                </c:pt>
                <c:pt idx="37">
                  <c:v>40940</c:v>
                </c:pt>
                <c:pt idx="38">
                  <c:v>40969</c:v>
                </c:pt>
                <c:pt idx="39">
                  <c:v>41000</c:v>
                </c:pt>
                <c:pt idx="40">
                  <c:v>41030</c:v>
                </c:pt>
                <c:pt idx="41">
                  <c:v>41061</c:v>
                </c:pt>
                <c:pt idx="42">
                  <c:v>41091</c:v>
                </c:pt>
                <c:pt idx="43">
                  <c:v>41122</c:v>
                </c:pt>
                <c:pt idx="44">
                  <c:v>41153</c:v>
                </c:pt>
                <c:pt idx="45">
                  <c:v>41183</c:v>
                </c:pt>
                <c:pt idx="46">
                  <c:v>41214</c:v>
                </c:pt>
                <c:pt idx="47">
                  <c:v>41244</c:v>
                </c:pt>
                <c:pt idx="48">
                  <c:v>41275</c:v>
                </c:pt>
                <c:pt idx="49">
                  <c:v>41306</c:v>
                </c:pt>
                <c:pt idx="50">
                  <c:v>41334</c:v>
                </c:pt>
                <c:pt idx="51">
                  <c:v>41365</c:v>
                </c:pt>
                <c:pt idx="52">
                  <c:v>41395</c:v>
                </c:pt>
                <c:pt idx="53">
                  <c:v>41426</c:v>
                </c:pt>
                <c:pt idx="54">
                  <c:v>41456</c:v>
                </c:pt>
                <c:pt idx="55">
                  <c:v>41487</c:v>
                </c:pt>
                <c:pt idx="56">
                  <c:v>41518</c:v>
                </c:pt>
                <c:pt idx="57">
                  <c:v>41548</c:v>
                </c:pt>
                <c:pt idx="58">
                  <c:v>41579</c:v>
                </c:pt>
                <c:pt idx="59">
                  <c:v>41609</c:v>
                </c:pt>
                <c:pt idx="60">
                  <c:v>41640</c:v>
                </c:pt>
                <c:pt idx="61">
                  <c:v>41671</c:v>
                </c:pt>
                <c:pt idx="62">
                  <c:v>41699</c:v>
                </c:pt>
                <c:pt idx="63">
                  <c:v>41730</c:v>
                </c:pt>
                <c:pt idx="64">
                  <c:v>41760</c:v>
                </c:pt>
                <c:pt idx="65">
                  <c:v>41791</c:v>
                </c:pt>
                <c:pt idx="66">
                  <c:v>41821</c:v>
                </c:pt>
                <c:pt idx="67">
                  <c:v>41852</c:v>
                </c:pt>
                <c:pt idx="68">
                  <c:v>41883</c:v>
                </c:pt>
                <c:pt idx="69">
                  <c:v>41913</c:v>
                </c:pt>
                <c:pt idx="70">
                  <c:v>41944</c:v>
                </c:pt>
                <c:pt idx="71">
                  <c:v>41974</c:v>
                </c:pt>
                <c:pt idx="72">
                  <c:v>42005</c:v>
                </c:pt>
                <c:pt idx="73">
                  <c:v>42036</c:v>
                </c:pt>
                <c:pt idx="74">
                  <c:v>42064</c:v>
                </c:pt>
                <c:pt idx="75">
                  <c:v>42095</c:v>
                </c:pt>
                <c:pt idx="76">
                  <c:v>42125</c:v>
                </c:pt>
                <c:pt idx="77">
                  <c:v>42156</c:v>
                </c:pt>
                <c:pt idx="78">
                  <c:v>42186</c:v>
                </c:pt>
                <c:pt idx="79">
                  <c:v>42217</c:v>
                </c:pt>
                <c:pt idx="80">
                  <c:v>42248</c:v>
                </c:pt>
                <c:pt idx="81">
                  <c:v>42278</c:v>
                </c:pt>
                <c:pt idx="82">
                  <c:v>42309</c:v>
                </c:pt>
                <c:pt idx="83">
                  <c:v>42339</c:v>
                </c:pt>
                <c:pt idx="84">
                  <c:v>42370</c:v>
                </c:pt>
                <c:pt idx="85">
                  <c:v>42401</c:v>
                </c:pt>
                <c:pt idx="86">
                  <c:v>42430</c:v>
                </c:pt>
                <c:pt idx="87">
                  <c:v>42461</c:v>
                </c:pt>
                <c:pt idx="88">
                  <c:v>42491</c:v>
                </c:pt>
                <c:pt idx="89">
                  <c:v>42522</c:v>
                </c:pt>
                <c:pt idx="90">
                  <c:v>42552</c:v>
                </c:pt>
                <c:pt idx="91">
                  <c:v>42583</c:v>
                </c:pt>
                <c:pt idx="92">
                  <c:v>42614</c:v>
                </c:pt>
                <c:pt idx="93">
                  <c:v>42644</c:v>
                </c:pt>
                <c:pt idx="94">
                  <c:v>42675</c:v>
                </c:pt>
                <c:pt idx="95">
                  <c:v>42705</c:v>
                </c:pt>
              </c:numCache>
            </c:numRef>
          </c:cat>
          <c:val>
            <c:numRef>
              <c:f>'GS &lt; 50 Predicted Monthly'!$T$2:$T$97</c:f>
              <c:numCache>
                <c:formatCode>_(* #,##0_);_(* \(#,##0\);_(* "-"??_);_(@_)</c:formatCode>
                <c:ptCount val="96"/>
                <c:pt idx="0">
                  <c:v>6072818.5336997118</c:v>
                </c:pt>
                <c:pt idx="1">
                  <c:v>5336305.9860103428</c:v>
                </c:pt>
                <c:pt idx="2">
                  <c:v>5552898.8956078142</c:v>
                </c:pt>
                <c:pt idx="3">
                  <c:v>5122074.81491243</c:v>
                </c:pt>
                <c:pt idx="4">
                  <c:v>5107029.7529778695</c:v>
                </c:pt>
                <c:pt idx="5">
                  <c:v>5686068.8789846357</c:v>
                </c:pt>
                <c:pt idx="6">
                  <c:v>5948935.4591709338</c:v>
                </c:pt>
                <c:pt idx="7">
                  <c:v>6219892.3889976963</c:v>
                </c:pt>
                <c:pt idx="8">
                  <c:v>5512999.5278621167</c:v>
                </c:pt>
                <c:pt idx="9">
                  <c:v>5218226.0744911805</c:v>
                </c:pt>
                <c:pt idx="10">
                  <c:v>5159210.6225445094</c:v>
                </c:pt>
                <c:pt idx="11">
                  <c:v>5659750.5932908366</c:v>
                </c:pt>
                <c:pt idx="12">
                  <c:v>5899072.0716080246</c:v>
                </c:pt>
                <c:pt idx="13">
                  <c:v>5326472.5833431147</c:v>
                </c:pt>
                <c:pt idx="14">
                  <c:v>5493087.055587925</c:v>
                </c:pt>
                <c:pt idx="15">
                  <c:v>5014494.7606151104</c:v>
                </c:pt>
                <c:pt idx="16">
                  <c:v>5505194.3001958923</c:v>
                </c:pt>
                <c:pt idx="17">
                  <c:v>6154920.2506939005</c:v>
                </c:pt>
                <c:pt idx="18">
                  <c:v>6975088.4557060767</c:v>
                </c:pt>
                <c:pt idx="19">
                  <c:v>6860033.3939729612</c:v>
                </c:pt>
                <c:pt idx="20">
                  <c:v>5589744.364009128</c:v>
                </c:pt>
                <c:pt idx="21">
                  <c:v>5159038.2191117145</c:v>
                </c:pt>
                <c:pt idx="22">
                  <c:v>5215893.0261893915</c:v>
                </c:pt>
                <c:pt idx="23">
                  <c:v>5696254.1337925605</c:v>
                </c:pt>
                <c:pt idx="24">
                  <c:v>5966889.0187497232</c:v>
                </c:pt>
                <c:pt idx="25">
                  <c:v>5369765.429842934</c:v>
                </c:pt>
                <c:pt idx="26">
                  <c:v>5646742.6248975154</c:v>
                </c:pt>
                <c:pt idx="27">
                  <c:v>5050940.4112495258</c:v>
                </c:pt>
                <c:pt idx="28">
                  <c:v>5310113.6231669048</c:v>
                </c:pt>
                <c:pt idx="29">
                  <c:v>5951580.6197334928</c:v>
                </c:pt>
                <c:pt idx="30">
                  <c:v>7183727.7861892227</c:v>
                </c:pt>
                <c:pt idx="31">
                  <c:v>6463543.4477845775</c:v>
                </c:pt>
                <c:pt idx="32">
                  <c:v>5599086.3719713502</c:v>
                </c:pt>
                <c:pt idx="33">
                  <c:v>5190630.3780987076</c:v>
                </c:pt>
                <c:pt idx="34">
                  <c:v>5160441.5205753557</c:v>
                </c:pt>
                <c:pt idx="35">
                  <c:v>5586468.4502798589</c:v>
                </c:pt>
                <c:pt idx="36">
                  <c:v>5829537.7685811957</c:v>
                </c:pt>
                <c:pt idx="37">
                  <c:v>5448150.3036943693</c:v>
                </c:pt>
                <c:pt idx="38">
                  <c:v>5454809.6133372355</c:v>
                </c:pt>
                <c:pt idx="39">
                  <c:v>5144440.7523976723</c:v>
                </c:pt>
                <c:pt idx="40">
                  <c:v>5510568.5176498676</c:v>
                </c:pt>
                <c:pt idx="41">
                  <c:v>6279126.8173165433</c:v>
                </c:pt>
                <c:pt idx="42">
                  <c:v>7110745.2606169973</c:v>
                </c:pt>
                <c:pt idx="43">
                  <c:v>6430372.1338749751</c:v>
                </c:pt>
                <c:pt idx="44">
                  <c:v>5646825.2794107599</c:v>
                </c:pt>
                <c:pt idx="45">
                  <c:v>5351606.2731568813</c:v>
                </c:pt>
                <c:pt idx="46">
                  <c:v>5366018.0409755642</c:v>
                </c:pt>
                <c:pt idx="47">
                  <c:v>5632260.5111706639</c:v>
                </c:pt>
                <c:pt idx="48">
                  <c:v>5891452.9661540315</c:v>
                </c:pt>
                <c:pt idx="49">
                  <c:v>5409519.8494272381</c:v>
                </c:pt>
                <c:pt idx="50">
                  <c:v>5692691.5836205287</c:v>
                </c:pt>
                <c:pt idx="51">
                  <c:v>5188328.1074106311</c:v>
                </c:pt>
                <c:pt idx="52">
                  <c:v>5581147.5073114587</c:v>
                </c:pt>
                <c:pt idx="53">
                  <c:v>6000846.2842024975</c:v>
                </c:pt>
                <c:pt idx="54">
                  <c:v>6691566.7200060226</c:v>
                </c:pt>
                <c:pt idx="55">
                  <c:v>6379627.6266376441</c:v>
                </c:pt>
                <c:pt idx="56">
                  <c:v>5717549.7424728544</c:v>
                </c:pt>
                <c:pt idx="57">
                  <c:v>5399810.0445336532</c:v>
                </c:pt>
                <c:pt idx="58">
                  <c:v>5373564.2729756264</c:v>
                </c:pt>
                <c:pt idx="59">
                  <c:v>5817529.5012051081</c:v>
                </c:pt>
                <c:pt idx="60">
                  <c:v>6166974.7433262374</c:v>
                </c:pt>
                <c:pt idx="61">
                  <c:v>5574212.8041528929</c:v>
                </c:pt>
                <c:pt idx="62">
                  <c:v>5823546.9652378736</c:v>
                </c:pt>
                <c:pt idx="63">
                  <c:v>5119653.797653961</c:v>
                </c:pt>
                <c:pt idx="64">
                  <c:v>5380228.8045525346</c:v>
                </c:pt>
                <c:pt idx="65">
                  <c:v>6070685.0693953875</c:v>
                </c:pt>
                <c:pt idx="66">
                  <c:v>6180428.9019837826</c:v>
                </c:pt>
                <c:pt idx="67">
                  <c:v>6320040.5606720652</c:v>
                </c:pt>
                <c:pt idx="68">
                  <c:v>5648330.4465463338</c:v>
                </c:pt>
                <c:pt idx="69">
                  <c:v>5321305.6898807278</c:v>
                </c:pt>
                <c:pt idx="70">
                  <c:v>5427152.02791961</c:v>
                </c:pt>
                <c:pt idx="71">
                  <c:v>5740330.8020028947</c:v>
                </c:pt>
                <c:pt idx="72">
                  <c:v>6135255.6246780055</c:v>
                </c:pt>
                <c:pt idx="73">
                  <c:v>5720825.6594284922</c:v>
                </c:pt>
                <c:pt idx="74">
                  <c:v>5788973.4722221643</c:v>
                </c:pt>
                <c:pt idx="75">
                  <c:v>5196776.9927470582</c:v>
                </c:pt>
                <c:pt idx="76">
                  <c:v>5679123.4459075816</c:v>
                </c:pt>
                <c:pt idx="77">
                  <c:v>6003373.6401461009</c:v>
                </c:pt>
                <c:pt idx="78">
                  <c:v>6637638.5286165234</c:v>
                </c:pt>
                <c:pt idx="79">
                  <c:v>6474872.4713262497</c:v>
                </c:pt>
                <c:pt idx="80">
                  <c:v>6051556.6256698612</c:v>
                </c:pt>
                <c:pt idx="81">
                  <c:v>5244512.9583300641</c:v>
                </c:pt>
                <c:pt idx="82">
                  <c:v>5214104.4170641145</c:v>
                </c:pt>
                <c:pt idx="83">
                  <c:v>5533289.0184258567</c:v>
                </c:pt>
                <c:pt idx="84">
                  <c:v>5966320.4997218195</c:v>
                </c:pt>
                <c:pt idx="85">
                  <c:v>5571928.8314806828</c:v>
                </c:pt>
                <c:pt idx="86">
                  <c:v>5636015.7370401509</c:v>
                </c:pt>
                <c:pt idx="87">
                  <c:v>5296462.731854165</c:v>
                </c:pt>
                <c:pt idx="88">
                  <c:v>5633120.8464768277</c:v>
                </c:pt>
                <c:pt idx="89">
                  <c:v>6322404.7456273008</c:v>
                </c:pt>
                <c:pt idx="90">
                  <c:v>7167380.3603770854</c:v>
                </c:pt>
                <c:pt idx="91">
                  <c:v>7237474.4277535435</c:v>
                </c:pt>
                <c:pt idx="92">
                  <c:v>6093238.7477241103</c:v>
                </c:pt>
                <c:pt idx="93">
                  <c:v>5581356.7861031098</c:v>
                </c:pt>
                <c:pt idx="94">
                  <c:v>5356969.7753464421</c:v>
                </c:pt>
                <c:pt idx="95">
                  <c:v>5828956.8342717728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7E-4A48-8D24-7361D1A130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03718272"/>
        <c:axId val="1"/>
      </c:lineChart>
      <c:dateAx>
        <c:axId val="403718272"/>
        <c:scaling>
          <c:orientation val="minMax"/>
        </c:scaling>
        <c:delete val="0"/>
        <c:axPos val="b"/>
        <c:numFmt formatCode="m/d/yyyy" sourceLinked="0"/>
        <c:majorTickMark val="out"/>
        <c:minorTickMark val="none"/>
        <c:tickLblPos val="nextTo"/>
        <c:crossAx val="1"/>
        <c:crosses val="autoZero"/>
        <c:auto val="1"/>
        <c:lblOffset val="100"/>
        <c:baseTimeUnit val="months"/>
      </c:dateAx>
      <c:valAx>
        <c:axId val="1"/>
        <c:scaling>
          <c:orientation val="minMax"/>
          <c:min val="4000000"/>
        </c:scaling>
        <c:delete val="0"/>
        <c:axPos val="l"/>
        <c:majorGridlines/>
        <c:numFmt formatCode="_(* #,##0_);_(* \(#,##0\);_(* &quot;-&quot;??_);_(@_)" sourceLinked="1"/>
        <c:majorTickMark val="out"/>
        <c:minorTickMark val="none"/>
        <c:tickLblPos val="nextTo"/>
        <c:crossAx val="40371827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'GS &gt; 50 Predicted Monthly'!$C$1</c:f>
              <c:strCache>
                <c:ptCount val="1"/>
                <c:pt idx="0">
                  <c:v> Gross_GSgt50 </c:v>
                </c:pt>
              </c:strCache>
            </c:strRef>
          </c:tx>
          <c:marker>
            <c:symbol val="none"/>
          </c:marker>
          <c:cat>
            <c:numRef>
              <c:f>'GS &gt; 50 Predicted Monthly'!$A$2:$A$97</c:f>
              <c:numCache>
                <c:formatCode>m/d/yyyy</c:formatCode>
                <c:ptCount val="96"/>
                <c:pt idx="0">
                  <c:v>39814</c:v>
                </c:pt>
                <c:pt idx="1">
                  <c:v>39845</c:v>
                </c:pt>
                <c:pt idx="2">
                  <c:v>39873</c:v>
                </c:pt>
                <c:pt idx="3">
                  <c:v>39904</c:v>
                </c:pt>
                <c:pt idx="4">
                  <c:v>39934</c:v>
                </c:pt>
                <c:pt idx="5">
                  <c:v>39965</c:v>
                </c:pt>
                <c:pt idx="6">
                  <c:v>39995</c:v>
                </c:pt>
                <c:pt idx="7">
                  <c:v>40026</c:v>
                </c:pt>
                <c:pt idx="8">
                  <c:v>40057</c:v>
                </c:pt>
                <c:pt idx="9">
                  <c:v>40087</c:v>
                </c:pt>
                <c:pt idx="10">
                  <c:v>40118</c:v>
                </c:pt>
                <c:pt idx="11">
                  <c:v>40148</c:v>
                </c:pt>
                <c:pt idx="12">
                  <c:v>40179</c:v>
                </c:pt>
                <c:pt idx="13">
                  <c:v>40210</c:v>
                </c:pt>
                <c:pt idx="14">
                  <c:v>40238</c:v>
                </c:pt>
                <c:pt idx="15">
                  <c:v>40269</c:v>
                </c:pt>
                <c:pt idx="16">
                  <c:v>40299</c:v>
                </c:pt>
                <c:pt idx="17">
                  <c:v>40330</c:v>
                </c:pt>
                <c:pt idx="18">
                  <c:v>40360</c:v>
                </c:pt>
                <c:pt idx="19">
                  <c:v>40391</c:v>
                </c:pt>
                <c:pt idx="20">
                  <c:v>40422</c:v>
                </c:pt>
                <c:pt idx="21">
                  <c:v>40452</c:v>
                </c:pt>
                <c:pt idx="22">
                  <c:v>40483</c:v>
                </c:pt>
                <c:pt idx="23">
                  <c:v>40513</c:v>
                </c:pt>
                <c:pt idx="24">
                  <c:v>40544</c:v>
                </c:pt>
                <c:pt idx="25">
                  <c:v>40575</c:v>
                </c:pt>
                <c:pt idx="26">
                  <c:v>40603</c:v>
                </c:pt>
                <c:pt idx="27">
                  <c:v>40634</c:v>
                </c:pt>
                <c:pt idx="28">
                  <c:v>40664</c:v>
                </c:pt>
                <c:pt idx="29">
                  <c:v>40695</c:v>
                </c:pt>
                <c:pt idx="30">
                  <c:v>40725</c:v>
                </c:pt>
                <c:pt idx="31">
                  <c:v>40756</c:v>
                </c:pt>
                <c:pt idx="32">
                  <c:v>40787</c:v>
                </c:pt>
                <c:pt idx="33">
                  <c:v>40817</c:v>
                </c:pt>
                <c:pt idx="34">
                  <c:v>40848</c:v>
                </c:pt>
                <c:pt idx="35">
                  <c:v>40878</c:v>
                </c:pt>
                <c:pt idx="36">
                  <c:v>40909</c:v>
                </c:pt>
                <c:pt idx="37">
                  <c:v>40940</c:v>
                </c:pt>
                <c:pt idx="38">
                  <c:v>40969</c:v>
                </c:pt>
                <c:pt idx="39">
                  <c:v>41000</c:v>
                </c:pt>
                <c:pt idx="40">
                  <c:v>41030</c:v>
                </c:pt>
                <c:pt idx="41">
                  <c:v>41061</c:v>
                </c:pt>
                <c:pt idx="42">
                  <c:v>41091</c:v>
                </c:pt>
                <c:pt idx="43">
                  <c:v>41122</c:v>
                </c:pt>
                <c:pt idx="44">
                  <c:v>41153</c:v>
                </c:pt>
                <c:pt idx="45">
                  <c:v>41183</c:v>
                </c:pt>
                <c:pt idx="46">
                  <c:v>41214</c:v>
                </c:pt>
                <c:pt idx="47">
                  <c:v>41244</c:v>
                </c:pt>
                <c:pt idx="48">
                  <c:v>41275</c:v>
                </c:pt>
                <c:pt idx="49">
                  <c:v>41306</c:v>
                </c:pt>
                <c:pt idx="50">
                  <c:v>41334</c:v>
                </c:pt>
                <c:pt idx="51">
                  <c:v>41365</c:v>
                </c:pt>
                <c:pt idx="52">
                  <c:v>41395</c:v>
                </c:pt>
                <c:pt idx="53">
                  <c:v>41426</c:v>
                </c:pt>
                <c:pt idx="54">
                  <c:v>41456</c:v>
                </c:pt>
                <c:pt idx="55">
                  <c:v>41487</c:v>
                </c:pt>
                <c:pt idx="56">
                  <c:v>41518</c:v>
                </c:pt>
                <c:pt idx="57">
                  <c:v>41548</c:v>
                </c:pt>
                <c:pt idx="58">
                  <c:v>41579</c:v>
                </c:pt>
                <c:pt idx="59">
                  <c:v>41609</c:v>
                </c:pt>
                <c:pt idx="60">
                  <c:v>41640</c:v>
                </c:pt>
                <c:pt idx="61">
                  <c:v>41671</c:v>
                </c:pt>
                <c:pt idx="62">
                  <c:v>41699</c:v>
                </c:pt>
                <c:pt idx="63">
                  <c:v>41730</c:v>
                </c:pt>
                <c:pt idx="64">
                  <c:v>41760</c:v>
                </c:pt>
                <c:pt idx="65">
                  <c:v>41791</c:v>
                </c:pt>
                <c:pt idx="66">
                  <c:v>41821</c:v>
                </c:pt>
                <c:pt idx="67">
                  <c:v>41852</c:v>
                </c:pt>
                <c:pt idx="68">
                  <c:v>41883</c:v>
                </c:pt>
                <c:pt idx="69">
                  <c:v>41913</c:v>
                </c:pt>
                <c:pt idx="70">
                  <c:v>41944</c:v>
                </c:pt>
                <c:pt idx="71">
                  <c:v>41974</c:v>
                </c:pt>
                <c:pt idx="72">
                  <c:v>42005</c:v>
                </c:pt>
                <c:pt idx="73">
                  <c:v>42036</c:v>
                </c:pt>
                <c:pt idx="74">
                  <c:v>42064</c:v>
                </c:pt>
                <c:pt idx="75">
                  <c:v>42095</c:v>
                </c:pt>
                <c:pt idx="76">
                  <c:v>42125</c:v>
                </c:pt>
                <c:pt idx="77">
                  <c:v>42156</c:v>
                </c:pt>
                <c:pt idx="78">
                  <c:v>42186</c:v>
                </c:pt>
                <c:pt idx="79">
                  <c:v>42217</c:v>
                </c:pt>
                <c:pt idx="80">
                  <c:v>42248</c:v>
                </c:pt>
                <c:pt idx="81">
                  <c:v>42278</c:v>
                </c:pt>
                <c:pt idx="82">
                  <c:v>42309</c:v>
                </c:pt>
                <c:pt idx="83">
                  <c:v>42339</c:v>
                </c:pt>
                <c:pt idx="84">
                  <c:v>42370</c:v>
                </c:pt>
                <c:pt idx="85">
                  <c:v>42401</c:v>
                </c:pt>
                <c:pt idx="86">
                  <c:v>42430</c:v>
                </c:pt>
                <c:pt idx="87">
                  <c:v>42461</c:v>
                </c:pt>
                <c:pt idx="88">
                  <c:v>42491</c:v>
                </c:pt>
                <c:pt idx="89">
                  <c:v>42522</c:v>
                </c:pt>
                <c:pt idx="90">
                  <c:v>42552</c:v>
                </c:pt>
                <c:pt idx="91">
                  <c:v>42583</c:v>
                </c:pt>
                <c:pt idx="92">
                  <c:v>42614</c:v>
                </c:pt>
                <c:pt idx="93">
                  <c:v>42644</c:v>
                </c:pt>
                <c:pt idx="94">
                  <c:v>42675</c:v>
                </c:pt>
                <c:pt idx="95">
                  <c:v>42705</c:v>
                </c:pt>
              </c:numCache>
            </c:numRef>
          </c:cat>
          <c:val>
            <c:numRef>
              <c:f>'GS &gt; 50 Predicted Monthly'!$C$2:$C$97</c:f>
              <c:numCache>
                <c:formatCode>_(* #,##0_);_(* \(#,##0\);_(* "-"??_);_(@_)</c:formatCode>
                <c:ptCount val="96"/>
                <c:pt idx="0">
                  <c:v>14097033.012462217</c:v>
                </c:pt>
                <c:pt idx="1">
                  <c:v>12607538.392457418</c:v>
                </c:pt>
                <c:pt idx="2">
                  <c:v>13429022.116557317</c:v>
                </c:pt>
                <c:pt idx="3">
                  <c:v>12281549.857111618</c:v>
                </c:pt>
                <c:pt idx="4">
                  <c:v>12599585.861056818</c:v>
                </c:pt>
                <c:pt idx="5">
                  <c:v>13567319.355545716</c:v>
                </c:pt>
                <c:pt idx="6">
                  <c:v>14350399.872788418</c:v>
                </c:pt>
                <c:pt idx="7">
                  <c:v>15846869.236809116</c:v>
                </c:pt>
                <c:pt idx="8">
                  <c:v>14340385.521492418</c:v>
                </c:pt>
                <c:pt idx="9">
                  <c:v>14535093.861762017</c:v>
                </c:pt>
                <c:pt idx="10">
                  <c:v>13933768.375684015</c:v>
                </c:pt>
                <c:pt idx="11">
                  <c:v>13861683.743107518</c:v>
                </c:pt>
                <c:pt idx="12">
                  <c:v>14179965.938707981</c:v>
                </c:pt>
                <c:pt idx="13">
                  <c:v>12772387.686685381</c:v>
                </c:pt>
                <c:pt idx="14">
                  <c:v>13777421.092791181</c:v>
                </c:pt>
                <c:pt idx="15">
                  <c:v>12131054.106289882</c:v>
                </c:pt>
                <c:pt idx="16">
                  <c:v>12960765.690806882</c:v>
                </c:pt>
                <c:pt idx="17">
                  <c:v>14889407.58055778</c:v>
                </c:pt>
                <c:pt idx="18">
                  <c:v>15844471.30334268</c:v>
                </c:pt>
                <c:pt idx="19">
                  <c:v>16457809.899910983</c:v>
                </c:pt>
                <c:pt idx="20">
                  <c:v>13945593.812022582</c:v>
                </c:pt>
                <c:pt idx="21">
                  <c:v>13680357.311501181</c:v>
                </c:pt>
                <c:pt idx="22">
                  <c:v>13943764.881368984</c:v>
                </c:pt>
                <c:pt idx="23">
                  <c:v>13816144.317732083</c:v>
                </c:pt>
                <c:pt idx="24">
                  <c:v>14300120.531601261</c:v>
                </c:pt>
                <c:pt idx="25">
                  <c:v>12823986.900859961</c:v>
                </c:pt>
                <c:pt idx="26">
                  <c:v>13729652.925076362</c:v>
                </c:pt>
                <c:pt idx="27">
                  <c:v>12372493.118964862</c:v>
                </c:pt>
                <c:pt idx="28">
                  <c:v>12952023.395882361</c:v>
                </c:pt>
                <c:pt idx="29">
                  <c:v>13742572.92912866</c:v>
                </c:pt>
                <c:pt idx="30">
                  <c:v>15283419.080539763</c:v>
                </c:pt>
                <c:pt idx="31">
                  <c:v>16123689.71845906</c:v>
                </c:pt>
                <c:pt idx="32">
                  <c:v>15052993.327057259</c:v>
                </c:pt>
                <c:pt idx="33">
                  <c:v>14491842.224375563</c:v>
                </c:pt>
                <c:pt idx="34">
                  <c:v>14078651.005573262</c:v>
                </c:pt>
                <c:pt idx="35">
                  <c:v>12838425.441282462</c:v>
                </c:pt>
                <c:pt idx="36">
                  <c:v>13787865.393137159</c:v>
                </c:pt>
                <c:pt idx="37">
                  <c:v>12675359.092876958</c:v>
                </c:pt>
                <c:pt idx="38">
                  <c:v>12781827.774171758</c:v>
                </c:pt>
                <c:pt idx="39">
                  <c:v>11400354.174002958</c:v>
                </c:pt>
                <c:pt idx="40">
                  <c:v>12880130.856031761</c:v>
                </c:pt>
                <c:pt idx="41">
                  <c:v>14743265.379287858</c:v>
                </c:pt>
                <c:pt idx="42">
                  <c:v>14959296.897546859</c:v>
                </c:pt>
                <c:pt idx="43">
                  <c:v>15427464.10820546</c:v>
                </c:pt>
                <c:pt idx="44">
                  <c:v>13989318.161179857</c:v>
                </c:pt>
                <c:pt idx="45">
                  <c:v>14174576.273356561</c:v>
                </c:pt>
                <c:pt idx="46">
                  <c:v>14174334.11660606</c:v>
                </c:pt>
                <c:pt idx="47">
                  <c:v>12910330.309349159</c:v>
                </c:pt>
                <c:pt idx="48">
                  <c:v>13849091.99800721</c:v>
                </c:pt>
                <c:pt idx="49">
                  <c:v>12913536.665801208</c:v>
                </c:pt>
                <c:pt idx="50">
                  <c:v>13644930.137241308</c:v>
                </c:pt>
                <c:pt idx="51">
                  <c:v>12517016.774652008</c:v>
                </c:pt>
                <c:pt idx="52">
                  <c:v>13122967.337625708</c:v>
                </c:pt>
                <c:pt idx="53">
                  <c:v>13706309.307653708</c:v>
                </c:pt>
                <c:pt idx="54">
                  <c:v>14308336.935974209</c:v>
                </c:pt>
                <c:pt idx="55">
                  <c:v>14823345.522277808</c:v>
                </c:pt>
                <c:pt idx="56">
                  <c:v>17407710.791521009</c:v>
                </c:pt>
                <c:pt idx="57">
                  <c:v>14654921.464652408</c:v>
                </c:pt>
                <c:pt idx="58">
                  <c:v>14053596.57630801</c:v>
                </c:pt>
                <c:pt idx="59">
                  <c:v>14070719.674795508</c:v>
                </c:pt>
                <c:pt idx="60">
                  <c:v>14875645.707828557</c:v>
                </c:pt>
                <c:pt idx="61">
                  <c:v>13682562.631763957</c:v>
                </c:pt>
                <c:pt idx="62">
                  <c:v>14325269.380689258</c:v>
                </c:pt>
                <c:pt idx="63">
                  <c:v>12347342.329740856</c:v>
                </c:pt>
                <c:pt idx="64">
                  <c:v>13027047.197540756</c:v>
                </c:pt>
                <c:pt idx="65">
                  <c:v>14734221.274116758</c:v>
                </c:pt>
                <c:pt idx="66">
                  <c:v>14543861.212159758</c:v>
                </c:pt>
                <c:pt idx="67">
                  <c:v>15553654.723300757</c:v>
                </c:pt>
                <c:pt idx="68">
                  <c:v>15488003.303288059</c:v>
                </c:pt>
                <c:pt idx="69">
                  <c:v>14136513.320189355</c:v>
                </c:pt>
                <c:pt idx="70">
                  <c:v>14316064.015974456</c:v>
                </c:pt>
                <c:pt idx="71">
                  <c:v>14393324.346090155</c:v>
                </c:pt>
                <c:pt idx="72">
                  <c:v>15292979.442877699</c:v>
                </c:pt>
                <c:pt idx="73">
                  <c:v>13718905.410599297</c:v>
                </c:pt>
                <c:pt idx="74">
                  <c:v>14249105.727115598</c:v>
                </c:pt>
                <c:pt idx="75">
                  <c:v>13550882.035712998</c:v>
                </c:pt>
                <c:pt idx="76">
                  <c:v>14127007.598327398</c:v>
                </c:pt>
                <c:pt idx="77">
                  <c:v>14819671.828454498</c:v>
                </c:pt>
                <c:pt idx="78">
                  <c:v>17164140.077347599</c:v>
                </c:pt>
                <c:pt idx="79">
                  <c:v>17217721.319291797</c:v>
                </c:pt>
                <c:pt idx="80">
                  <c:v>17819369.446930595</c:v>
                </c:pt>
                <c:pt idx="81">
                  <c:v>15846417.326269798</c:v>
                </c:pt>
                <c:pt idx="82">
                  <c:v>15229786.954621598</c:v>
                </c:pt>
                <c:pt idx="83">
                  <c:v>14365011.014332298</c:v>
                </c:pt>
                <c:pt idx="84">
                  <c:v>15431424.738603622</c:v>
                </c:pt>
                <c:pt idx="85">
                  <c:v>15030864.146966521</c:v>
                </c:pt>
                <c:pt idx="86">
                  <c:v>15122357.521874521</c:v>
                </c:pt>
                <c:pt idx="87">
                  <c:v>14803652.51585792</c:v>
                </c:pt>
                <c:pt idx="88">
                  <c:v>15283276.211668622</c:v>
                </c:pt>
                <c:pt idx="89">
                  <c:v>17013951.366398223</c:v>
                </c:pt>
                <c:pt idx="90">
                  <c:v>18981418.061228823</c:v>
                </c:pt>
                <c:pt idx="91">
                  <c:v>21159046.159141023</c:v>
                </c:pt>
                <c:pt idx="92">
                  <c:v>20280486.904661123</c:v>
                </c:pt>
                <c:pt idx="93">
                  <c:v>17866088.555173323</c:v>
                </c:pt>
                <c:pt idx="94">
                  <c:v>16907552.106454022</c:v>
                </c:pt>
                <c:pt idx="95">
                  <c:v>16478686.250430923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F1-473B-8C20-4CBDAA4E1874}"/>
            </c:ext>
          </c:extLst>
        </c:ser>
        <c:ser>
          <c:idx val="1"/>
          <c:order val="1"/>
          <c:tx>
            <c:strRef>
              <c:f>'GS &gt; 50 Predicted Monthly'!$Z$1</c:f>
              <c:strCache>
                <c:ptCount val="1"/>
                <c:pt idx="0">
                  <c:v> Predicted kWh </c:v>
                </c:pt>
              </c:strCache>
            </c:strRef>
          </c:tx>
          <c:marker>
            <c:symbol val="none"/>
          </c:marker>
          <c:cat>
            <c:numRef>
              <c:f>'GS &gt; 50 Predicted Monthly'!$A$2:$A$97</c:f>
              <c:numCache>
                <c:formatCode>m/d/yyyy</c:formatCode>
                <c:ptCount val="96"/>
                <c:pt idx="0">
                  <c:v>39814</c:v>
                </c:pt>
                <c:pt idx="1">
                  <c:v>39845</c:v>
                </c:pt>
                <c:pt idx="2">
                  <c:v>39873</c:v>
                </c:pt>
                <c:pt idx="3">
                  <c:v>39904</c:v>
                </c:pt>
                <c:pt idx="4">
                  <c:v>39934</c:v>
                </c:pt>
                <c:pt idx="5">
                  <c:v>39965</c:v>
                </c:pt>
                <c:pt idx="6">
                  <c:v>39995</c:v>
                </c:pt>
                <c:pt idx="7">
                  <c:v>40026</c:v>
                </c:pt>
                <c:pt idx="8">
                  <c:v>40057</c:v>
                </c:pt>
                <c:pt idx="9">
                  <c:v>40087</c:v>
                </c:pt>
                <c:pt idx="10">
                  <c:v>40118</c:v>
                </c:pt>
                <c:pt idx="11">
                  <c:v>40148</c:v>
                </c:pt>
                <c:pt idx="12">
                  <c:v>40179</c:v>
                </c:pt>
                <c:pt idx="13">
                  <c:v>40210</c:v>
                </c:pt>
                <c:pt idx="14">
                  <c:v>40238</c:v>
                </c:pt>
                <c:pt idx="15">
                  <c:v>40269</c:v>
                </c:pt>
                <c:pt idx="16">
                  <c:v>40299</c:v>
                </c:pt>
                <c:pt idx="17">
                  <c:v>40330</c:v>
                </c:pt>
                <c:pt idx="18">
                  <c:v>40360</c:v>
                </c:pt>
                <c:pt idx="19">
                  <c:v>40391</c:v>
                </c:pt>
                <c:pt idx="20">
                  <c:v>40422</c:v>
                </c:pt>
                <c:pt idx="21">
                  <c:v>40452</c:v>
                </c:pt>
                <c:pt idx="22">
                  <c:v>40483</c:v>
                </c:pt>
                <c:pt idx="23">
                  <c:v>40513</c:v>
                </c:pt>
                <c:pt idx="24">
                  <c:v>40544</c:v>
                </c:pt>
                <c:pt idx="25">
                  <c:v>40575</c:v>
                </c:pt>
                <c:pt idx="26">
                  <c:v>40603</c:v>
                </c:pt>
                <c:pt idx="27">
                  <c:v>40634</c:v>
                </c:pt>
                <c:pt idx="28">
                  <c:v>40664</c:v>
                </c:pt>
                <c:pt idx="29">
                  <c:v>40695</c:v>
                </c:pt>
                <c:pt idx="30">
                  <c:v>40725</c:v>
                </c:pt>
                <c:pt idx="31">
                  <c:v>40756</c:v>
                </c:pt>
                <c:pt idx="32">
                  <c:v>40787</c:v>
                </c:pt>
                <c:pt idx="33">
                  <c:v>40817</c:v>
                </c:pt>
                <c:pt idx="34">
                  <c:v>40848</c:v>
                </c:pt>
                <c:pt idx="35">
                  <c:v>40878</c:v>
                </c:pt>
                <c:pt idx="36">
                  <c:v>40909</c:v>
                </c:pt>
                <c:pt idx="37">
                  <c:v>40940</c:v>
                </c:pt>
                <c:pt idx="38">
                  <c:v>40969</c:v>
                </c:pt>
                <c:pt idx="39">
                  <c:v>41000</c:v>
                </c:pt>
                <c:pt idx="40">
                  <c:v>41030</c:v>
                </c:pt>
                <c:pt idx="41">
                  <c:v>41061</c:v>
                </c:pt>
                <c:pt idx="42">
                  <c:v>41091</c:v>
                </c:pt>
                <c:pt idx="43">
                  <c:v>41122</c:v>
                </c:pt>
                <c:pt idx="44">
                  <c:v>41153</c:v>
                </c:pt>
                <c:pt idx="45">
                  <c:v>41183</c:v>
                </c:pt>
                <c:pt idx="46">
                  <c:v>41214</c:v>
                </c:pt>
                <c:pt idx="47">
                  <c:v>41244</c:v>
                </c:pt>
                <c:pt idx="48">
                  <c:v>41275</c:v>
                </c:pt>
                <c:pt idx="49">
                  <c:v>41306</c:v>
                </c:pt>
                <c:pt idx="50">
                  <c:v>41334</c:v>
                </c:pt>
                <c:pt idx="51">
                  <c:v>41365</c:v>
                </c:pt>
                <c:pt idx="52">
                  <c:v>41395</c:v>
                </c:pt>
                <c:pt idx="53">
                  <c:v>41426</c:v>
                </c:pt>
                <c:pt idx="54">
                  <c:v>41456</c:v>
                </c:pt>
                <c:pt idx="55">
                  <c:v>41487</c:v>
                </c:pt>
                <c:pt idx="56">
                  <c:v>41518</c:v>
                </c:pt>
                <c:pt idx="57">
                  <c:v>41548</c:v>
                </c:pt>
                <c:pt idx="58">
                  <c:v>41579</c:v>
                </c:pt>
                <c:pt idx="59">
                  <c:v>41609</c:v>
                </c:pt>
                <c:pt idx="60">
                  <c:v>41640</c:v>
                </c:pt>
                <c:pt idx="61">
                  <c:v>41671</c:v>
                </c:pt>
                <c:pt idx="62">
                  <c:v>41699</c:v>
                </c:pt>
                <c:pt idx="63">
                  <c:v>41730</c:v>
                </c:pt>
                <c:pt idx="64">
                  <c:v>41760</c:v>
                </c:pt>
                <c:pt idx="65">
                  <c:v>41791</c:v>
                </c:pt>
                <c:pt idx="66">
                  <c:v>41821</c:v>
                </c:pt>
                <c:pt idx="67">
                  <c:v>41852</c:v>
                </c:pt>
                <c:pt idx="68">
                  <c:v>41883</c:v>
                </c:pt>
                <c:pt idx="69">
                  <c:v>41913</c:v>
                </c:pt>
                <c:pt idx="70">
                  <c:v>41944</c:v>
                </c:pt>
                <c:pt idx="71">
                  <c:v>41974</c:v>
                </c:pt>
                <c:pt idx="72">
                  <c:v>42005</c:v>
                </c:pt>
                <c:pt idx="73">
                  <c:v>42036</c:v>
                </c:pt>
                <c:pt idx="74">
                  <c:v>42064</c:v>
                </c:pt>
                <c:pt idx="75">
                  <c:v>42095</c:v>
                </c:pt>
                <c:pt idx="76">
                  <c:v>42125</c:v>
                </c:pt>
                <c:pt idx="77">
                  <c:v>42156</c:v>
                </c:pt>
                <c:pt idx="78">
                  <c:v>42186</c:v>
                </c:pt>
                <c:pt idx="79">
                  <c:v>42217</c:v>
                </c:pt>
                <c:pt idx="80">
                  <c:v>42248</c:v>
                </c:pt>
                <c:pt idx="81">
                  <c:v>42278</c:v>
                </c:pt>
                <c:pt idx="82">
                  <c:v>42309</c:v>
                </c:pt>
                <c:pt idx="83">
                  <c:v>42339</c:v>
                </c:pt>
                <c:pt idx="84">
                  <c:v>42370</c:v>
                </c:pt>
                <c:pt idx="85">
                  <c:v>42401</c:v>
                </c:pt>
                <c:pt idx="86">
                  <c:v>42430</c:v>
                </c:pt>
                <c:pt idx="87">
                  <c:v>42461</c:v>
                </c:pt>
                <c:pt idx="88">
                  <c:v>42491</c:v>
                </c:pt>
                <c:pt idx="89">
                  <c:v>42522</c:v>
                </c:pt>
                <c:pt idx="90">
                  <c:v>42552</c:v>
                </c:pt>
                <c:pt idx="91">
                  <c:v>42583</c:v>
                </c:pt>
                <c:pt idx="92">
                  <c:v>42614</c:v>
                </c:pt>
                <c:pt idx="93">
                  <c:v>42644</c:v>
                </c:pt>
                <c:pt idx="94">
                  <c:v>42675</c:v>
                </c:pt>
                <c:pt idx="95">
                  <c:v>42705</c:v>
                </c:pt>
              </c:numCache>
            </c:numRef>
          </c:cat>
          <c:val>
            <c:numRef>
              <c:f>'GS &gt; 50 Predicted Monthly'!$Z$2:$Z$97</c:f>
              <c:numCache>
                <c:formatCode>_(* #,##0_);_(* \(#,##0\);_(* "-"??_);_(@_)</c:formatCode>
                <c:ptCount val="96"/>
                <c:pt idx="0">
                  <c:v>14487449.566540806</c:v>
                </c:pt>
                <c:pt idx="1">
                  <c:v>13383544.980465204</c:v>
                </c:pt>
                <c:pt idx="2">
                  <c:v>12308669.466107616</c:v>
                </c:pt>
                <c:pt idx="3">
                  <c:v>12282165.804036256</c:v>
                </c:pt>
                <c:pt idx="4">
                  <c:v>11607871.7785958</c:v>
                </c:pt>
                <c:pt idx="5">
                  <c:v>13027801.074689908</c:v>
                </c:pt>
                <c:pt idx="6">
                  <c:v>13053523.630137734</c:v>
                </c:pt>
                <c:pt idx="7">
                  <c:v>15521737.033451553</c:v>
                </c:pt>
                <c:pt idx="8">
                  <c:v>14872572.648237463</c:v>
                </c:pt>
                <c:pt idx="9">
                  <c:v>13796679.298141949</c:v>
                </c:pt>
                <c:pt idx="10">
                  <c:v>14448870.752110254</c:v>
                </c:pt>
                <c:pt idx="11">
                  <c:v>13394663.677354876</c:v>
                </c:pt>
                <c:pt idx="12">
                  <c:v>13330157.811319325</c:v>
                </c:pt>
                <c:pt idx="13">
                  <c:v>12154778.981500342</c:v>
                </c:pt>
                <c:pt idx="14">
                  <c:v>12336398.315618427</c:v>
                </c:pt>
                <c:pt idx="15">
                  <c:v>12180173.92607294</c:v>
                </c:pt>
                <c:pt idx="16">
                  <c:v>12857669.390590388</c:v>
                </c:pt>
                <c:pt idx="17">
                  <c:v>13955065.913044779</c:v>
                </c:pt>
                <c:pt idx="18">
                  <c:v>15311910.073876845</c:v>
                </c:pt>
                <c:pt idx="19">
                  <c:v>16259302.977699876</c:v>
                </c:pt>
                <c:pt idx="20">
                  <c:v>14829547.525070125</c:v>
                </c:pt>
                <c:pt idx="21">
                  <c:v>13976779.018316027</c:v>
                </c:pt>
                <c:pt idx="22">
                  <c:v>13642997.442518026</c:v>
                </c:pt>
                <c:pt idx="23">
                  <c:v>13596480.021671765</c:v>
                </c:pt>
                <c:pt idx="24">
                  <c:v>14079358.476891086</c:v>
                </c:pt>
                <c:pt idx="25">
                  <c:v>12857750.168882005</c:v>
                </c:pt>
                <c:pt idx="26">
                  <c:v>13422563.15150342</c:v>
                </c:pt>
                <c:pt idx="27">
                  <c:v>12747974.670854244</c:v>
                </c:pt>
                <c:pt idx="28">
                  <c:v>12889698.208290292</c:v>
                </c:pt>
                <c:pt idx="29">
                  <c:v>13970033.471896106</c:v>
                </c:pt>
                <c:pt idx="30">
                  <c:v>16356926.625687258</c:v>
                </c:pt>
                <c:pt idx="31">
                  <c:v>16312734.057916913</c:v>
                </c:pt>
                <c:pt idx="32">
                  <c:v>15614053.050666774</c:v>
                </c:pt>
                <c:pt idx="33">
                  <c:v>14503825.974508654</c:v>
                </c:pt>
                <c:pt idx="34">
                  <c:v>13863525.941858117</c:v>
                </c:pt>
                <c:pt idx="35">
                  <c:v>13994137.040640289</c:v>
                </c:pt>
                <c:pt idx="36">
                  <c:v>13874687.3014712</c:v>
                </c:pt>
                <c:pt idx="37">
                  <c:v>12872454.447889287</c:v>
                </c:pt>
                <c:pt idx="38">
                  <c:v>12537665.850806002</c:v>
                </c:pt>
                <c:pt idx="39">
                  <c:v>12624776.576243374</c:v>
                </c:pt>
                <c:pt idx="40">
                  <c:v>13048974.214473903</c:v>
                </c:pt>
                <c:pt idx="41">
                  <c:v>14237480.574564362</c:v>
                </c:pt>
                <c:pt idx="42">
                  <c:v>15727409.927599765</c:v>
                </c:pt>
                <c:pt idx="43">
                  <c:v>15737216.182872644</c:v>
                </c:pt>
                <c:pt idx="44">
                  <c:v>15291564.404968949</c:v>
                </c:pt>
                <c:pt idx="45">
                  <c:v>14545584.739932749</c:v>
                </c:pt>
                <c:pt idx="46">
                  <c:v>14322392.50431625</c:v>
                </c:pt>
                <c:pt idx="47">
                  <c:v>13604600.622737445</c:v>
                </c:pt>
                <c:pt idx="48">
                  <c:v>13487888.414412441</c:v>
                </c:pt>
                <c:pt idx="49">
                  <c:v>12619456.211718641</c:v>
                </c:pt>
                <c:pt idx="50">
                  <c:v>13225674.451181307</c:v>
                </c:pt>
                <c:pt idx="51">
                  <c:v>13181402.788918367</c:v>
                </c:pt>
                <c:pt idx="52">
                  <c:v>13379276.15204636</c:v>
                </c:pt>
                <c:pt idx="53">
                  <c:v>14197814.245011082</c:v>
                </c:pt>
                <c:pt idx="54">
                  <c:v>15333671.048275692</c:v>
                </c:pt>
                <c:pt idx="55">
                  <c:v>15945055.967443323</c:v>
                </c:pt>
                <c:pt idx="56">
                  <c:v>15810556.516773641</c:v>
                </c:pt>
                <c:pt idx="57">
                  <c:v>14935263.568855099</c:v>
                </c:pt>
                <c:pt idx="58">
                  <c:v>14721066.847564677</c:v>
                </c:pt>
                <c:pt idx="59">
                  <c:v>14958976.399278831</c:v>
                </c:pt>
                <c:pt idx="60">
                  <c:v>15086808.781701388</c:v>
                </c:pt>
                <c:pt idx="61">
                  <c:v>13750832.327906493</c:v>
                </c:pt>
                <c:pt idx="62">
                  <c:v>14298758.99946871</c:v>
                </c:pt>
                <c:pt idx="63">
                  <c:v>13194952.875906972</c:v>
                </c:pt>
                <c:pt idx="64">
                  <c:v>13421697.632484684</c:v>
                </c:pt>
                <c:pt idx="65">
                  <c:v>14500024.183228895</c:v>
                </c:pt>
                <c:pt idx="66">
                  <c:v>14600555.506379021</c:v>
                </c:pt>
                <c:pt idx="67">
                  <c:v>16135566.162529722</c:v>
                </c:pt>
                <c:pt idx="68">
                  <c:v>16076442.950845608</c:v>
                </c:pt>
                <c:pt idx="69">
                  <c:v>15366687.007541981</c:v>
                </c:pt>
                <c:pt idx="70">
                  <c:v>14732124.93419593</c:v>
                </c:pt>
                <c:pt idx="71">
                  <c:v>14649592.341784602</c:v>
                </c:pt>
                <c:pt idx="72">
                  <c:v>15225900.230034735</c:v>
                </c:pt>
                <c:pt idx="73">
                  <c:v>14461962.314419024</c:v>
                </c:pt>
                <c:pt idx="74">
                  <c:v>14348813.817056011</c:v>
                </c:pt>
                <c:pt idx="75">
                  <c:v>13719875.51235803</c:v>
                </c:pt>
                <c:pt idx="76">
                  <c:v>14403931.366741905</c:v>
                </c:pt>
                <c:pt idx="77">
                  <c:v>15111014.97550801</c:v>
                </c:pt>
                <c:pt idx="78">
                  <c:v>16152328.939379115</c:v>
                </c:pt>
                <c:pt idx="79">
                  <c:v>16973610.733295459</c:v>
                </c:pt>
                <c:pt idx="80">
                  <c:v>17351659.620896362</c:v>
                </c:pt>
                <c:pt idx="81">
                  <c:v>15068942.438802138</c:v>
                </c:pt>
                <c:pt idx="82">
                  <c:v>14712164.113444736</c:v>
                </c:pt>
                <c:pt idx="83">
                  <c:v>14450890.835025772</c:v>
                </c:pt>
                <c:pt idx="84">
                  <c:v>14891015.956950387</c:v>
                </c:pt>
                <c:pt idx="85">
                  <c:v>13909346.114153462</c:v>
                </c:pt>
                <c:pt idx="86">
                  <c:v>14414647.949877787</c:v>
                </c:pt>
                <c:pt idx="87">
                  <c:v>14760085.707185911</c:v>
                </c:pt>
                <c:pt idx="88">
                  <c:v>15266142.680837467</c:v>
                </c:pt>
                <c:pt idx="89">
                  <c:v>16624876.617741626</c:v>
                </c:pt>
                <c:pt idx="90">
                  <c:v>19527208.26944631</c:v>
                </c:pt>
                <c:pt idx="91">
                  <c:v>19509362.191110238</c:v>
                </c:pt>
                <c:pt idx="92">
                  <c:v>18262449.169617683</c:v>
                </c:pt>
                <c:pt idx="93">
                  <c:v>16977032.91010534</c:v>
                </c:pt>
                <c:pt idx="94">
                  <c:v>15979360.115506167</c:v>
                </c:pt>
                <c:pt idx="95">
                  <c:v>15852028.550136372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F1-473B-8C20-4CBDAA4E18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02102256"/>
        <c:axId val="1"/>
      </c:lineChart>
      <c:dateAx>
        <c:axId val="402102256"/>
        <c:scaling>
          <c:orientation val="minMax"/>
        </c:scaling>
        <c:delete val="0"/>
        <c:axPos val="b"/>
        <c:numFmt formatCode="m/d/yyyy" sourceLinked="0"/>
        <c:majorTickMark val="out"/>
        <c:minorTickMark val="none"/>
        <c:tickLblPos val="nextTo"/>
        <c:crossAx val="1"/>
        <c:crosses val="autoZero"/>
        <c:auto val="1"/>
        <c:lblOffset val="100"/>
        <c:baseTimeUnit val="months"/>
      </c:dateAx>
      <c:valAx>
        <c:axId val="1"/>
        <c:scaling>
          <c:orientation val="minMax"/>
          <c:min val="10000000"/>
        </c:scaling>
        <c:delete val="0"/>
        <c:axPos val="l"/>
        <c:majorGridlines/>
        <c:numFmt formatCode="_(* #,##0_);_(* \(#,##0\);_(* &quot;-&quot;??_);_(@_)" sourceLinked="1"/>
        <c:majorTickMark val="out"/>
        <c:minorTickMark val="none"/>
        <c:tickLblPos val="nextTo"/>
        <c:crossAx val="40210225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Res kWh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'Model Annual Summary'!$C$3</c:f>
              <c:strCache>
                <c:ptCount val="1"/>
                <c:pt idx="0">
                  <c:v>Actual+CDM</c:v>
                </c:pt>
              </c:strCache>
            </c:strRef>
          </c:tx>
          <c:marker>
            <c:symbol val="none"/>
          </c:marker>
          <c:cat>
            <c:numRef>
              <c:f>'Model Annual Summary'!$B$4:$B$11</c:f>
              <c:numCache>
                <c:formatCode>General</c:formatCode>
                <c:ptCount val="8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</c:numCache>
            </c:numRef>
          </c:cat>
          <c:val>
            <c:numRef>
              <c:f>'Model Annual Summary'!$C$4:$C$11</c:f>
              <c:numCache>
                <c:formatCode>#,##0</c:formatCode>
                <c:ptCount val="8"/>
                <c:pt idx="0">
                  <c:v>249248744.52630949</c:v>
                </c:pt>
                <c:pt idx="1">
                  <c:v>267217596.28228575</c:v>
                </c:pt>
                <c:pt idx="2">
                  <c:v>260939811.58200753</c:v>
                </c:pt>
                <c:pt idx="3">
                  <c:v>259249764.01228067</c:v>
                </c:pt>
                <c:pt idx="4">
                  <c:v>254292198.12159741</c:v>
                </c:pt>
                <c:pt idx="5">
                  <c:v>250468248.15084472</c:v>
                </c:pt>
                <c:pt idx="6">
                  <c:v>250818286.1511052</c:v>
                </c:pt>
                <c:pt idx="7">
                  <c:v>263617211.88820487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4B-4597-8A3C-D75E7B7B9D14}"/>
            </c:ext>
          </c:extLst>
        </c:ser>
        <c:ser>
          <c:idx val="1"/>
          <c:order val="1"/>
          <c:tx>
            <c:strRef>
              <c:f>'Model Annual Summary'!$D$3</c:f>
              <c:strCache>
                <c:ptCount val="1"/>
                <c:pt idx="0">
                  <c:v>Predicted</c:v>
                </c:pt>
              </c:strCache>
            </c:strRef>
          </c:tx>
          <c:marker>
            <c:symbol val="none"/>
          </c:marker>
          <c:cat>
            <c:numRef>
              <c:f>'Model Annual Summary'!$B$4:$B$11</c:f>
              <c:numCache>
                <c:formatCode>General</c:formatCode>
                <c:ptCount val="8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</c:numCache>
            </c:numRef>
          </c:cat>
          <c:val>
            <c:numRef>
              <c:f>'Model Annual Summary'!$D$4:$D$11</c:f>
              <c:numCache>
                <c:formatCode>#,##0</c:formatCode>
                <c:ptCount val="8"/>
                <c:pt idx="0">
                  <c:v>249212657.30886456</c:v>
                </c:pt>
                <c:pt idx="1">
                  <c:v>266752857.60305488</c:v>
                </c:pt>
                <c:pt idx="2">
                  <c:v>259883261.60815969</c:v>
                </c:pt>
                <c:pt idx="3">
                  <c:v>260627963.67993584</c:v>
                </c:pt>
                <c:pt idx="4">
                  <c:v>255278939.09272054</c:v>
                </c:pt>
                <c:pt idx="5">
                  <c:v>247884673.58290616</c:v>
                </c:pt>
                <c:pt idx="6">
                  <c:v>251927550.64436734</c:v>
                </c:pt>
                <c:pt idx="7">
                  <c:v>263631290.98245144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4B-4597-8A3C-D75E7B7B9D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02099632"/>
        <c:axId val="1"/>
      </c:lineChart>
      <c:catAx>
        <c:axId val="402099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40209963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GS &lt; 50 kWh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'Model Annual Summary'!$H$3</c:f>
              <c:strCache>
                <c:ptCount val="1"/>
                <c:pt idx="0">
                  <c:v>Actual+CDM</c:v>
                </c:pt>
              </c:strCache>
            </c:strRef>
          </c:tx>
          <c:marker>
            <c:symbol val="none"/>
          </c:marker>
          <c:cat>
            <c:numRef>
              <c:f>'Model Annual Summary'!$B$4:$B$11</c:f>
              <c:numCache>
                <c:formatCode>General</c:formatCode>
                <c:ptCount val="8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</c:numCache>
            </c:numRef>
          </c:cat>
          <c:val>
            <c:numRef>
              <c:f>'Model Annual Summary'!$H$4:$H$11</c:f>
              <c:numCache>
                <c:formatCode>#,##0</c:formatCode>
                <c:ptCount val="8"/>
                <c:pt idx="0">
                  <c:v>67635266.323931411</c:v>
                </c:pt>
                <c:pt idx="1">
                  <c:v>69463566.007213742</c:v>
                </c:pt>
                <c:pt idx="2">
                  <c:v>68580386.344080314</c:v>
                </c:pt>
                <c:pt idx="3">
                  <c:v>68501517.278197765</c:v>
                </c:pt>
                <c:pt idx="4">
                  <c:v>67565571.213131547</c:v>
                </c:pt>
                <c:pt idx="5">
                  <c:v>67585755.68702814</c:v>
                </c:pt>
                <c:pt idx="6">
                  <c:v>68885821.491460353</c:v>
                </c:pt>
                <c:pt idx="7">
                  <c:v>71660660.771064878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4C-4640-93F0-68E793F1ACDB}"/>
            </c:ext>
          </c:extLst>
        </c:ser>
        <c:ser>
          <c:idx val="1"/>
          <c:order val="1"/>
          <c:tx>
            <c:strRef>
              <c:f>'Model Annual Summary'!$I$3</c:f>
              <c:strCache>
                <c:ptCount val="1"/>
                <c:pt idx="0">
                  <c:v>Predicted</c:v>
                </c:pt>
              </c:strCache>
            </c:strRef>
          </c:tx>
          <c:marker>
            <c:symbol val="none"/>
          </c:marker>
          <c:cat>
            <c:numRef>
              <c:f>'Model Annual Summary'!$B$4:$B$11</c:f>
              <c:numCache>
                <c:formatCode>General</c:formatCode>
                <c:ptCount val="8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</c:numCache>
            </c:numRef>
          </c:cat>
          <c:val>
            <c:numRef>
              <c:f>'Model Annual Summary'!$I$4:$I$11</c:f>
              <c:numCache>
                <c:formatCode>#,##0</c:formatCode>
                <c:ptCount val="8"/>
                <c:pt idx="0">
                  <c:v>66596211.528550088</c:v>
                </c:pt>
                <c:pt idx="1">
                  <c:v>68889292.6148258</c:v>
                </c:pt>
                <c:pt idx="2">
                  <c:v>68479929.68253918</c:v>
                </c:pt>
                <c:pt idx="3">
                  <c:v>69204461.272182718</c:v>
                </c:pt>
                <c:pt idx="4">
                  <c:v>69143634.205957294</c:v>
                </c:pt>
                <c:pt idx="5">
                  <c:v>68772890.613324299</c:v>
                </c:pt>
                <c:pt idx="6">
                  <c:v>69680302.854562074</c:v>
                </c:pt>
                <c:pt idx="7">
                  <c:v>71691630.323777005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4C-4640-93F0-68E793F1AC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02103896"/>
        <c:axId val="1"/>
      </c:lineChart>
      <c:catAx>
        <c:axId val="402103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40210389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GS &gt; 50 kWh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'Model Annual Summary'!$M$3</c:f>
              <c:strCache>
                <c:ptCount val="1"/>
                <c:pt idx="0">
                  <c:v>Actual+CDM</c:v>
                </c:pt>
              </c:strCache>
            </c:strRef>
          </c:tx>
          <c:marker>
            <c:symbol val="none"/>
          </c:marker>
          <c:cat>
            <c:numRef>
              <c:f>'Model Annual Summary'!$B$4:$B$11</c:f>
              <c:numCache>
                <c:formatCode>General</c:formatCode>
                <c:ptCount val="8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</c:numCache>
            </c:numRef>
          </c:cat>
          <c:val>
            <c:numRef>
              <c:f>'Model Annual Summary'!$M$4:$M$11</c:f>
              <c:numCache>
                <c:formatCode>#,##0</c:formatCode>
                <c:ptCount val="8"/>
                <c:pt idx="0">
                  <c:v>165450249.20683464</c:v>
                </c:pt>
                <c:pt idx="1">
                  <c:v>168399143.6217176</c:v>
                </c:pt>
                <c:pt idx="2">
                  <c:v>167789870.59880084</c:v>
                </c:pt>
                <c:pt idx="3">
                  <c:v>163904122.53575242</c:v>
                </c:pt>
                <c:pt idx="4">
                  <c:v>169072483.18651012</c:v>
                </c:pt>
                <c:pt idx="5">
                  <c:v>171423509.44268268</c:v>
                </c:pt>
                <c:pt idx="6">
                  <c:v>183400998.18188119</c:v>
                </c:pt>
                <c:pt idx="7">
                  <c:v>204358804.53845862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F2-4A3D-80F5-8B13305B4F8C}"/>
            </c:ext>
          </c:extLst>
        </c:ser>
        <c:ser>
          <c:idx val="1"/>
          <c:order val="1"/>
          <c:tx>
            <c:strRef>
              <c:f>'Model Annual Summary'!$N$3</c:f>
              <c:strCache>
                <c:ptCount val="1"/>
                <c:pt idx="0">
                  <c:v>Predicted</c:v>
                </c:pt>
              </c:strCache>
            </c:strRef>
          </c:tx>
          <c:marker>
            <c:symbol val="none"/>
          </c:marker>
          <c:cat>
            <c:numRef>
              <c:f>'Model Annual Summary'!$B$4:$B$11</c:f>
              <c:numCache>
                <c:formatCode>General</c:formatCode>
                <c:ptCount val="8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</c:numCache>
            </c:numRef>
          </c:cat>
          <c:val>
            <c:numRef>
              <c:f>'Model Annual Summary'!$N$4:$N$11</c:f>
              <c:numCache>
                <c:formatCode>#,##0</c:formatCode>
                <c:ptCount val="8"/>
                <c:pt idx="0">
                  <c:v>162185549.70986941</c:v>
                </c:pt>
                <c:pt idx="1">
                  <c:v>164431261.39729887</c:v>
                </c:pt>
                <c:pt idx="2">
                  <c:v>170612580.83959517</c:v>
                </c:pt>
                <c:pt idx="3">
                  <c:v>168424807.34787592</c:v>
                </c:pt>
                <c:pt idx="4">
                  <c:v>171796102.61147943</c:v>
                </c:pt>
                <c:pt idx="5">
                  <c:v>175814043.70397401</c:v>
                </c:pt>
                <c:pt idx="6">
                  <c:v>181981094.89696133</c:v>
                </c:pt>
                <c:pt idx="7">
                  <c:v>195973556.23266876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F2-4A3D-80F5-8B13305B4F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02104552"/>
        <c:axId val="1"/>
      </c:lineChart>
      <c:catAx>
        <c:axId val="402104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in val="150000000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40210455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'Res Predicted Monthly'!$C$1</c:f>
              <c:strCache>
                <c:ptCount val="1"/>
                <c:pt idx="0">
                  <c:v> Gross_Res </c:v>
                </c:pt>
              </c:strCache>
            </c:strRef>
          </c:tx>
          <c:marker>
            <c:symbol val="none"/>
          </c:marker>
          <c:cat>
            <c:numRef>
              <c:f>'Res Normalized Monthly'!$A$2:$A$121</c:f>
              <c:numCache>
                <c:formatCode>m/d/yyyy</c:formatCode>
                <c:ptCount val="120"/>
                <c:pt idx="0">
                  <c:v>39814</c:v>
                </c:pt>
                <c:pt idx="1">
                  <c:v>39845</c:v>
                </c:pt>
                <c:pt idx="2">
                  <c:v>39873</c:v>
                </c:pt>
                <c:pt idx="3">
                  <c:v>39904</c:v>
                </c:pt>
                <c:pt idx="4">
                  <c:v>39934</c:v>
                </c:pt>
                <c:pt idx="5">
                  <c:v>39965</c:v>
                </c:pt>
                <c:pt idx="6">
                  <c:v>39995</c:v>
                </c:pt>
                <c:pt idx="7">
                  <c:v>40026</c:v>
                </c:pt>
                <c:pt idx="8">
                  <c:v>40057</c:v>
                </c:pt>
                <c:pt idx="9">
                  <c:v>40087</c:v>
                </c:pt>
                <c:pt idx="10">
                  <c:v>40118</c:v>
                </c:pt>
                <c:pt idx="11">
                  <c:v>40148</c:v>
                </c:pt>
                <c:pt idx="12">
                  <c:v>40179</c:v>
                </c:pt>
                <c:pt idx="13">
                  <c:v>40210</c:v>
                </c:pt>
                <c:pt idx="14">
                  <c:v>40238</c:v>
                </c:pt>
                <c:pt idx="15">
                  <c:v>40269</c:v>
                </c:pt>
                <c:pt idx="16">
                  <c:v>40299</c:v>
                </c:pt>
                <c:pt idx="17">
                  <c:v>40330</c:v>
                </c:pt>
                <c:pt idx="18">
                  <c:v>40360</c:v>
                </c:pt>
                <c:pt idx="19">
                  <c:v>40391</c:v>
                </c:pt>
                <c:pt idx="20">
                  <c:v>40422</c:v>
                </c:pt>
                <c:pt idx="21">
                  <c:v>40452</c:v>
                </c:pt>
                <c:pt idx="22">
                  <c:v>40483</c:v>
                </c:pt>
                <c:pt idx="23">
                  <c:v>40513</c:v>
                </c:pt>
                <c:pt idx="24">
                  <c:v>40544</c:v>
                </c:pt>
                <c:pt idx="25">
                  <c:v>40575</c:v>
                </c:pt>
                <c:pt idx="26">
                  <c:v>40603</c:v>
                </c:pt>
                <c:pt idx="27">
                  <c:v>40634</c:v>
                </c:pt>
                <c:pt idx="28">
                  <c:v>40664</c:v>
                </c:pt>
                <c:pt idx="29">
                  <c:v>40695</c:v>
                </c:pt>
                <c:pt idx="30">
                  <c:v>40725</c:v>
                </c:pt>
                <c:pt idx="31">
                  <c:v>40756</c:v>
                </c:pt>
                <c:pt idx="32">
                  <c:v>40787</c:v>
                </c:pt>
                <c:pt idx="33">
                  <c:v>40817</c:v>
                </c:pt>
                <c:pt idx="34">
                  <c:v>40848</c:v>
                </c:pt>
                <c:pt idx="35">
                  <c:v>40878</c:v>
                </c:pt>
                <c:pt idx="36">
                  <c:v>40909</c:v>
                </c:pt>
                <c:pt idx="37">
                  <c:v>40940</c:v>
                </c:pt>
                <c:pt idx="38">
                  <c:v>40969</c:v>
                </c:pt>
                <c:pt idx="39">
                  <c:v>41000</c:v>
                </c:pt>
                <c:pt idx="40">
                  <c:v>41030</c:v>
                </c:pt>
                <c:pt idx="41">
                  <c:v>41061</c:v>
                </c:pt>
                <c:pt idx="42">
                  <c:v>41091</c:v>
                </c:pt>
                <c:pt idx="43">
                  <c:v>41122</c:v>
                </c:pt>
                <c:pt idx="44">
                  <c:v>41153</c:v>
                </c:pt>
                <c:pt idx="45">
                  <c:v>41183</c:v>
                </c:pt>
                <c:pt idx="46">
                  <c:v>41214</c:v>
                </c:pt>
                <c:pt idx="47">
                  <c:v>41244</c:v>
                </c:pt>
                <c:pt idx="48">
                  <c:v>41275</c:v>
                </c:pt>
                <c:pt idx="49">
                  <c:v>41306</c:v>
                </c:pt>
                <c:pt idx="50">
                  <c:v>41334</c:v>
                </c:pt>
                <c:pt idx="51">
                  <c:v>41365</c:v>
                </c:pt>
                <c:pt idx="52">
                  <c:v>41395</c:v>
                </c:pt>
                <c:pt idx="53">
                  <c:v>41426</c:v>
                </c:pt>
                <c:pt idx="54">
                  <c:v>41456</c:v>
                </c:pt>
                <c:pt idx="55">
                  <c:v>41487</c:v>
                </c:pt>
                <c:pt idx="56">
                  <c:v>41518</c:v>
                </c:pt>
                <c:pt idx="57">
                  <c:v>41548</c:v>
                </c:pt>
                <c:pt idx="58">
                  <c:v>41579</c:v>
                </c:pt>
                <c:pt idx="59">
                  <c:v>41609</c:v>
                </c:pt>
                <c:pt idx="60">
                  <c:v>41640</c:v>
                </c:pt>
                <c:pt idx="61">
                  <c:v>41671</c:v>
                </c:pt>
                <c:pt idx="62">
                  <c:v>41699</c:v>
                </c:pt>
                <c:pt idx="63">
                  <c:v>41730</c:v>
                </c:pt>
                <c:pt idx="64">
                  <c:v>41760</c:v>
                </c:pt>
                <c:pt idx="65">
                  <c:v>41791</c:v>
                </c:pt>
                <c:pt idx="66">
                  <c:v>41821</c:v>
                </c:pt>
                <c:pt idx="67">
                  <c:v>41852</c:v>
                </c:pt>
                <c:pt idx="68">
                  <c:v>41883</c:v>
                </c:pt>
                <c:pt idx="69">
                  <c:v>41913</c:v>
                </c:pt>
                <c:pt idx="70">
                  <c:v>41944</c:v>
                </c:pt>
                <c:pt idx="71">
                  <c:v>41974</c:v>
                </c:pt>
                <c:pt idx="72">
                  <c:v>42005</c:v>
                </c:pt>
                <c:pt idx="73">
                  <c:v>42036</c:v>
                </c:pt>
                <c:pt idx="74">
                  <c:v>42064</c:v>
                </c:pt>
                <c:pt idx="75">
                  <c:v>42095</c:v>
                </c:pt>
                <c:pt idx="76">
                  <c:v>42125</c:v>
                </c:pt>
                <c:pt idx="77">
                  <c:v>42156</c:v>
                </c:pt>
                <c:pt idx="78">
                  <c:v>42186</c:v>
                </c:pt>
                <c:pt idx="79">
                  <c:v>42217</c:v>
                </c:pt>
                <c:pt idx="80">
                  <c:v>42248</c:v>
                </c:pt>
                <c:pt idx="81">
                  <c:v>42278</c:v>
                </c:pt>
                <c:pt idx="82">
                  <c:v>42309</c:v>
                </c:pt>
                <c:pt idx="83">
                  <c:v>42339</c:v>
                </c:pt>
                <c:pt idx="84">
                  <c:v>42370</c:v>
                </c:pt>
                <c:pt idx="85">
                  <c:v>42401</c:v>
                </c:pt>
                <c:pt idx="86">
                  <c:v>42430</c:v>
                </c:pt>
                <c:pt idx="87">
                  <c:v>42461</c:v>
                </c:pt>
                <c:pt idx="88">
                  <c:v>42491</c:v>
                </c:pt>
                <c:pt idx="89">
                  <c:v>42522</c:v>
                </c:pt>
                <c:pt idx="90">
                  <c:v>42552</c:v>
                </c:pt>
                <c:pt idx="91">
                  <c:v>42583</c:v>
                </c:pt>
                <c:pt idx="92">
                  <c:v>42614</c:v>
                </c:pt>
                <c:pt idx="93">
                  <c:v>42644</c:v>
                </c:pt>
                <c:pt idx="94">
                  <c:v>42675</c:v>
                </c:pt>
                <c:pt idx="95">
                  <c:v>42705</c:v>
                </c:pt>
                <c:pt idx="96">
                  <c:v>42736</c:v>
                </c:pt>
                <c:pt idx="97">
                  <c:v>42767</c:v>
                </c:pt>
                <c:pt idx="98">
                  <c:v>42795</c:v>
                </c:pt>
                <c:pt idx="99">
                  <c:v>42826</c:v>
                </c:pt>
                <c:pt idx="100">
                  <c:v>42856</c:v>
                </c:pt>
                <c:pt idx="101">
                  <c:v>42887</c:v>
                </c:pt>
                <c:pt idx="102">
                  <c:v>42917</c:v>
                </c:pt>
                <c:pt idx="103">
                  <c:v>42948</c:v>
                </c:pt>
                <c:pt idx="104">
                  <c:v>42979</c:v>
                </c:pt>
                <c:pt idx="105">
                  <c:v>43009</c:v>
                </c:pt>
                <c:pt idx="106">
                  <c:v>43040</c:v>
                </c:pt>
                <c:pt idx="107">
                  <c:v>43070</c:v>
                </c:pt>
                <c:pt idx="108">
                  <c:v>43101</c:v>
                </c:pt>
                <c:pt idx="109">
                  <c:v>43132</c:v>
                </c:pt>
                <c:pt idx="110">
                  <c:v>43160</c:v>
                </c:pt>
                <c:pt idx="111">
                  <c:v>43191</c:v>
                </c:pt>
                <c:pt idx="112">
                  <c:v>43221</c:v>
                </c:pt>
                <c:pt idx="113">
                  <c:v>43252</c:v>
                </c:pt>
                <c:pt idx="114">
                  <c:v>43282</c:v>
                </c:pt>
                <c:pt idx="115">
                  <c:v>43313</c:v>
                </c:pt>
                <c:pt idx="116">
                  <c:v>43344</c:v>
                </c:pt>
                <c:pt idx="117">
                  <c:v>43374</c:v>
                </c:pt>
                <c:pt idx="118">
                  <c:v>43405</c:v>
                </c:pt>
                <c:pt idx="119">
                  <c:v>43435</c:v>
                </c:pt>
              </c:numCache>
            </c:numRef>
          </c:cat>
          <c:val>
            <c:numRef>
              <c:f>'Res Predicted Monthly'!$C$2:$C$97</c:f>
              <c:numCache>
                <c:formatCode>_(* #,##0_);_(* \(#,##0\);_(* "-"??_);_(@_)</c:formatCode>
                <c:ptCount val="96"/>
                <c:pt idx="0">
                  <c:v>22953528.183818262</c:v>
                </c:pt>
                <c:pt idx="1">
                  <c:v>19172932.773045871</c:v>
                </c:pt>
                <c:pt idx="2">
                  <c:v>19039064.366005011</c:v>
                </c:pt>
                <c:pt idx="3">
                  <c:v>17003193.089812111</c:v>
                </c:pt>
                <c:pt idx="4">
                  <c:v>17391297.954777639</c:v>
                </c:pt>
                <c:pt idx="5">
                  <c:v>21273593.977212608</c:v>
                </c:pt>
                <c:pt idx="6">
                  <c:v>25787416.81760994</c:v>
                </c:pt>
                <c:pt idx="7">
                  <c:v>27496374.034570016</c:v>
                </c:pt>
                <c:pt idx="8">
                  <c:v>20755352.022298176</c:v>
                </c:pt>
                <c:pt idx="9">
                  <c:v>18082092.987588529</c:v>
                </c:pt>
                <c:pt idx="10">
                  <c:v>18074593.893965401</c:v>
                </c:pt>
                <c:pt idx="11">
                  <c:v>22219304.425605915</c:v>
                </c:pt>
                <c:pt idx="12">
                  <c:v>22358460.250977054</c:v>
                </c:pt>
                <c:pt idx="13">
                  <c:v>18735998.915144272</c:v>
                </c:pt>
                <c:pt idx="14">
                  <c:v>18338914.486644384</c:v>
                </c:pt>
                <c:pt idx="15">
                  <c:v>16457791.552007467</c:v>
                </c:pt>
                <c:pt idx="16">
                  <c:v>19877888.578557905</c:v>
                </c:pt>
                <c:pt idx="17">
                  <c:v>27745184.765543249</c:v>
                </c:pt>
                <c:pt idx="18">
                  <c:v>34151513.368632481</c:v>
                </c:pt>
                <c:pt idx="19">
                  <c:v>31520743.190588608</c:v>
                </c:pt>
                <c:pt idx="20">
                  <c:v>21071409.668348346</c:v>
                </c:pt>
                <c:pt idx="21">
                  <c:v>17208459.015448716</c:v>
                </c:pt>
                <c:pt idx="22">
                  <c:v>17984730.026108824</c:v>
                </c:pt>
                <c:pt idx="23">
                  <c:v>21766502.464284435</c:v>
                </c:pt>
                <c:pt idx="24">
                  <c:v>22178314.15854536</c:v>
                </c:pt>
                <c:pt idx="25">
                  <c:v>18955531.053135466</c:v>
                </c:pt>
                <c:pt idx="26">
                  <c:v>19020096.60404275</c:v>
                </c:pt>
                <c:pt idx="27">
                  <c:v>17125422.053072423</c:v>
                </c:pt>
                <c:pt idx="28">
                  <c:v>18591300.513173018</c:v>
                </c:pt>
                <c:pt idx="29">
                  <c:v>24888672.212482154</c:v>
                </c:pt>
                <c:pt idx="30">
                  <c:v>33358689.098552275</c:v>
                </c:pt>
                <c:pt idx="31">
                  <c:v>30414812.49304403</c:v>
                </c:pt>
                <c:pt idx="32">
                  <c:v>20929875.731459919</c:v>
                </c:pt>
                <c:pt idx="33">
                  <c:v>17117587.736433852</c:v>
                </c:pt>
                <c:pt idx="34">
                  <c:v>17522596.420983914</c:v>
                </c:pt>
                <c:pt idx="35">
                  <c:v>20836913.507082358</c:v>
                </c:pt>
                <c:pt idx="36">
                  <c:v>20826549.184631586</c:v>
                </c:pt>
                <c:pt idx="37">
                  <c:v>18396143.263278905</c:v>
                </c:pt>
                <c:pt idx="38">
                  <c:v>17464653.067603219</c:v>
                </c:pt>
                <c:pt idx="39">
                  <c:v>16103149.412524818</c:v>
                </c:pt>
                <c:pt idx="40">
                  <c:v>19432613.145942483</c:v>
                </c:pt>
                <c:pt idx="41">
                  <c:v>27178390.62937149</c:v>
                </c:pt>
                <c:pt idx="42">
                  <c:v>34122931.733509071</c:v>
                </c:pt>
                <c:pt idx="43">
                  <c:v>28774043.990622215</c:v>
                </c:pt>
                <c:pt idx="44">
                  <c:v>21128025.774475966</c:v>
                </c:pt>
                <c:pt idx="45">
                  <c:v>17095388.657426659</c:v>
                </c:pt>
                <c:pt idx="46">
                  <c:v>18002983.69606806</c:v>
                </c:pt>
                <c:pt idx="47">
                  <c:v>20724891.456826214</c:v>
                </c:pt>
                <c:pt idx="48">
                  <c:v>21175039.85558828</c:v>
                </c:pt>
                <c:pt idx="49">
                  <c:v>18639689.622604229</c:v>
                </c:pt>
                <c:pt idx="50">
                  <c:v>19203289.13178562</c:v>
                </c:pt>
                <c:pt idx="51">
                  <c:v>17076984.319236379</c:v>
                </c:pt>
                <c:pt idx="52">
                  <c:v>18457139.291948661</c:v>
                </c:pt>
                <c:pt idx="53">
                  <c:v>23738163.011233285</c:v>
                </c:pt>
                <c:pt idx="54">
                  <c:v>28992560.436643723</c:v>
                </c:pt>
                <c:pt idx="55">
                  <c:v>26394506.736268964</c:v>
                </c:pt>
                <c:pt idx="56">
                  <c:v>22082821.70344121</c:v>
                </c:pt>
                <c:pt idx="57">
                  <c:v>17752714.709292348</c:v>
                </c:pt>
                <c:pt idx="58">
                  <c:v>18589259.601015333</c:v>
                </c:pt>
                <c:pt idx="59">
                  <c:v>22190029.702539392</c:v>
                </c:pt>
                <c:pt idx="60">
                  <c:v>22841547.431234065</c:v>
                </c:pt>
                <c:pt idx="61">
                  <c:v>19788010.013485562</c:v>
                </c:pt>
                <c:pt idx="62">
                  <c:v>19723646.263600551</c:v>
                </c:pt>
                <c:pt idx="63">
                  <c:v>16641111.8668398</c:v>
                </c:pt>
                <c:pt idx="64">
                  <c:v>17829710.566903893</c:v>
                </c:pt>
                <c:pt idx="65">
                  <c:v>23632986.106066652</c:v>
                </c:pt>
                <c:pt idx="66">
                  <c:v>26634565.643123828</c:v>
                </c:pt>
                <c:pt idx="67">
                  <c:v>26081906.981533043</c:v>
                </c:pt>
                <c:pt idx="68">
                  <c:v>20850948.143452179</c:v>
                </c:pt>
                <c:pt idx="69">
                  <c:v>16908660.489088871</c:v>
                </c:pt>
                <c:pt idx="70">
                  <c:v>18563212.718194302</c:v>
                </c:pt>
                <c:pt idx="71">
                  <c:v>20971941.927321982</c:v>
                </c:pt>
                <c:pt idx="72">
                  <c:v>21649989.759603012</c:v>
                </c:pt>
                <c:pt idx="73">
                  <c:v>19486683.702997562</c:v>
                </c:pt>
                <c:pt idx="74">
                  <c:v>18973860.261144333</c:v>
                </c:pt>
                <c:pt idx="75">
                  <c:v>16365087.530337434</c:v>
                </c:pt>
                <c:pt idx="76">
                  <c:v>18651758.220492445</c:v>
                </c:pt>
                <c:pt idx="77">
                  <c:v>22183132.397238649</c:v>
                </c:pt>
                <c:pt idx="78">
                  <c:v>27993055.489478592</c:v>
                </c:pt>
                <c:pt idx="79">
                  <c:v>28703608.706477717</c:v>
                </c:pt>
                <c:pt idx="80">
                  <c:v>22815455.466654569</c:v>
                </c:pt>
                <c:pt idx="81">
                  <c:v>17314651.390864406</c:v>
                </c:pt>
                <c:pt idx="82">
                  <c:v>17016965.168729268</c:v>
                </c:pt>
                <c:pt idx="83">
                  <c:v>19664038.057087231</c:v>
                </c:pt>
                <c:pt idx="84">
                  <c:v>20601636.758254569</c:v>
                </c:pt>
                <c:pt idx="85">
                  <c:v>18346878.747394856</c:v>
                </c:pt>
                <c:pt idx="86">
                  <c:v>17956001.716218144</c:v>
                </c:pt>
                <c:pt idx="87">
                  <c:v>16392981.032851683</c:v>
                </c:pt>
                <c:pt idx="88">
                  <c:v>18911404.750367332</c:v>
                </c:pt>
                <c:pt idx="89">
                  <c:v>25541820.802852735</c:v>
                </c:pt>
                <c:pt idx="90">
                  <c:v>32875458.838660937</c:v>
                </c:pt>
                <c:pt idx="91">
                  <c:v>32826624.542499222</c:v>
                </c:pt>
                <c:pt idx="92">
                  <c:v>24014017.40842779</c:v>
                </c:pt>
                <c:pt idx="93">
                  <c:v>18276477.462164998</c:v>
                </c:pt>
                <c:pt idx="94">
                  <c:v>17199045.550591063</c:v>
                </c:pt>
                <c:pt idx="95">
                  <c:v>20674864.277921565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01-473D-AE4E-CA10A1080B44}"/>
            </c:ext>
          </c:extLst>
        </c:ser>
        <c:ser>
          <c:idx val="1"/>
          <c:order val="1"/>
          <c:tx>
            <c:strRef>
              <c:f>'Res Normalized Monthly'!$R$1</c:f>
              <c:strCache>
                <c:ptCount val="1"/>
                <c:pt idx="0">
                  <c:v> Normalized kWh </c:v>
                </c:pt>
              </c:strCache>
            </c:strRef>
          </c:tx>
          <c:marker>
            <c:symbol val="none"/>
          </c:marker>
          <c:cat>
            <c:numRef>
              <c:f>'Res Normalized Monthly'!$A$2:$A$121</c:f>
              <c:numCache>
                <c:formatCode>m/d/yyyy</c:formatCode>
                <c:ptCount val="120"/>
                <c:pt idx="0">
                  <c:v>39814</c:v>
                </c:pt>
                <c:pt idx="1">
                  <c:v>39845</c:v>
                </c:pt>
                <c:pt idx="2">
                  <c:v>39873</c:v>
                </c:pt>
                <c:pt idx="3">
                  <c:v>39904</c:v>
                </c:pt>
                <c:pt idx="4">
                  <c:v>39934</c:v>
                </c:pt>
                <c:pt idx="5">
                  <c:v>39965</c:v>
                </c:pt>
                <c:pt idx="6">
                  <c:v>39995</c:v>
                </c:pt>
                <c:pt idx="7">
                  <c:v>40026</c:v>
                </c:pt>
                <c:pt idx="8">
                  <c:v>40057</c:v>
                </c:pt>
                <c:pt idx="9">
                  <c:v>40087</c:v>
                </c:pt>
                <c:pt idx="10">
                  <c:v>40118</c:v>
                </c:pt>
                <c:pt idx="11">
                  <c:v>40148</c:v>
                </c:pt>
                <c:pt idx="12">
                  <c:v>40179</c:v>
                </c:pt>
                <c:pt idx="13">
                  <c:v>40210</c:v>
                </c:pt>
                <c:pt idx="14">
                  <c:v>40238</c:v>
                </c:pt>
                <c:pt idx="15">
                  <c:v>40269</c:v>
                </c:pt>
                <c:pt idx="16">
                  <c:v>40299</c:v>
                </c:pt>
                <c:pt idx="17">
                  <c:v>40330</c:v>
                </c:pt>
                <c:pt idx="18">
                  <c:v>40360</c:v>
                </c:pt>
                <c:pt idx="19">
                  <c:v>40391</c:v>
                </c:pt>
                <c:pt idx="20">
                  <c:v>40422</c:v>
                </c:pt>
                <c:pt idx="21">
                  <c:v>40452</c:v>
                </c:pt>
                <c:pt idx="22">
                  <c:v>40483</c:v>
                </c:pt>
                <c:pt idx="23">
                  <c:v>40513</c:v>
                </c:pt>
                <c:pt idx="24">
                  <c:v>40544</c:v>
                </c:pt>
                <c:pt idx="25">
                  <c:v>40575</c:v>
                </c:pt>
                <c:pt idx="26">
                  <c:v>40603</c:v>
                </c:pt>
                <c:pt idx="27">
                  <c:v>40634</c:v>
                </c:pt>
                <c:pt idx="28">
                  <c:v>40664</c:v>
                </c:pt>
                <c:pt idx="29">
                  <c:v>40695</c:v>
                </c:pt>
                <c:pt idx="30">
                  <c:v>40725</c:v>
                </c:pt>
                <c:pt idx="31">
                  <c:v>40756</c:v>
                </c:pt>
                <c:pt idx="32">
                  <c:v>40787</c:v>
                </c:pt>
                <c:pt idx="33">
                  <c:v>40817</c:v>
                </c:pt>
                <c:pt idx="34">
                  <c:v>40848</c:v>
                </c:pt>
                <c:pt idx="35">
                  <c:v>40878</c:v>
                </c:pt>
                <c:pt idx="36">
                  <c:v>40909</c:v>
                </c:pt>
                <c:pt idx="37">
                  <c:v>40940</c:v>
                </c:pt>
                <c:pt idx="38">
                  <c:v>40969</c:v>
                </c:pt>
                <c:pt idx="39">
                  <c:v>41000</c:v>
                </c:pt>
                <c:pt idx="40">
                  <c:v>41030</c:v>
                </c:pt>
                <c:pt idx="41">
                  <c:v>41061</c:v>
                </c:pt>
                <c:pt idx="42">
                  <c:v>41091</c:v>
                </c:pt>
                <c:pt idx="43">
                  <c:v>41122</c:v>
                </c:pt>
                <c:pt idx="44">
                  <c:v>41153</c:v>
                </c:pt>
                <c:pt idx="45">
                  <c:v>41183</c:v>
                </c:pt>
                <c:pt idx="46">
                  <c:v>41214</c:v>
                </c:pt>
                <c:pt idx="47">
                  <c:v>41244</c:v>
                </c:pt>
                <c:pt idx="48">
                  <c:v>41275</c:v>
                </c:pt>
                <c:pt idx="49">
                  <c:v>41306</c:v>
                </c:pt>
                <c:pt idx="50">
                  <c:v>41334</c:v>
                </c:pt>
                <c:pt idx="51">
                  <c:v>41365</c:v>
                </c:pt>
                <c:pt idx="52">
                  <c:v>41395</c:v>
                </c:pt>
                <c:pt idx="53">
                  <c:v>41426</c:v>
                </c:pt>
                <c:pt idx="54">
                  <c:v>41456</c:v>
                </c:pt>
                <c:pt idx="55">
                  <c:v>41487</c:v>
                </c:pt>
                <c:pt idx="56">
                  <c:v>41518</c:v>
                </c:pt>
                <c:pt idx="57">
                  <c:v>41548</c:v>
                </c:pt>
                <c:pt idx="58">
                  <c:v>41579</c:v>
                </c:pt>
                <c:pt idx="59">
                  <c:v>41609</c:v>
                </c:pt>
                <c:pt idx="60">
                  <c:v>41640</c:v>
                </c:pt>
                <c:pt idx="61">
                  <c:v>41671</c:v>
                </c:pt>
                <c:pt idx="62">
                  <c:v>41699</c:v>
                </c:pt>
                <c:pt idx="63">
                  <c:v>41730</c:v>
                </c:pt>
                <c:pt idx="64">
                  <c:v>41760</c:v>
                </c:pt>
                <c:pt idx="65">
                  <c:v>41791</c:v>
                </c:pt>
                <c:pt idx="66">
                  <c:v>41821</c:v>
                </c:pt>
                <c:pt idx="67">
                  <c:v>41852</c:v>
                </c:pt>
                <c:pt idx="68">
                  <c:v>41883</c:v>
                </c:pt>
                <c:pt idx="69">
                  <c:v>41913</c:v>
                </c:pt>
                <c:pt idx="70">
                  <c:v>41944</c:v>
                </c:pt>
                <c:pt idx="71">
                  <c:v>41974</c:v>
                </c:pt>
                <c:pt idx="72">
                  <c:v>42005</c:v>
                </c:pt>
                <c:pt idx="73">
                  <c:v>42036</c:v>
                </c:pt>
                <c:pt idx="74">
                  <c:v>42064</c:v>
                </c:pt>
                <c:pt idx="75">
                  <c:v>42095</c:v>
                </c:pt>
                <c:pt idx="76">
                  <c:v>42125</c:v>
                </c:pt>
                <c:pt idx="77">
                  <c:v>42156</c:v>
                </c:pt>
                <c:pt idx="78">
                  <c:v>42186</c:v>
                </c:pt>
                <c:pt idx="79">
                  <c:v>42217</c:v>
                </c:pt>
                <c:pt idx="80">
                  <c:v>42248</c:v>
                </c:pt>
                <c:pt idx="81">
                  <c:v>42278</c:v>
                </c:pt>
                <c:pt idx="82">
                  <c:v>42309</c:v>
                </c:pt>
                <c:pt idx="83">
                  <c:v>42339</c:v>
                </c:pt>
                <c:pt idx="84">
                  <c:v>42370</c:v>
                </c:pt>
                <c:pt idx="85">
                  <c:v>42401</c:v>
                </c:pt>
                <c:pt idx="86">
                  <c:v>42430</c:v>
                </c:pt>
                <c:pt idx="87">
                  <c:v>42461</c:v>
                </c:pt>
                <c:pt idx="88">
                  <c:v>42491</c:v>
                </c:pt>
                <c:pt idx="89">
                  <c:v>42522</c:v>
                </c:pt>
                <c:pt idx="90">
                  <c:v>42552</c:v>
                </c:pt>
                <c:pt idx="91">
                  <c:v>42583</c:v>
                </c:pt>
                <c:pt idx="92">
                  <c:v>42614</c:v>
                </c:pt>
                <c:pt idx="93">
                  <c:v>42644</c:v>
                </c:pt>
                <c:pt idx="94">
                  <c:v>42675</c:v>
                </c:pt>
                <c:pt idx="95">
                  <c:v>42705</c:v>
                </c:pt>
                <c:pt idx="96">
                  <c:v>42736</c:v>
                </c:pt>
                <c:pt idx="97">
                  <c:v>42767</c:v>
                </c:pt>
                <c:pt idx="98">
                  <c:v>42795</c:v>
                </c:pt>
                <c:pt idx="99">
                  <c:v>42826</c:v>
                </c:pt>
                <c:pt idx="100">
                  <c:v>42856</c:v>
                </c:pt>
                <c:pt idx="101">
                  <c:v>42887</c:v>
                </c:pt>
                <c:pt idx="102">
                  <c:v>42917</c:v>
                </c:pt>
                <c:pt idx="103">
                  <c:v>42948</c:v>
                </c:pt>
                <c:pt idx="104">
                  <c:v>42979</c:v>
                </c:pt>
                <c:pt idx="105">
                  <c:v>43009</c:v>
                </c:pt>
                <c:pt idx="106">
                  <c:v>43040</c:v>
                </c:pt>
                <c:pt idx="107">
                  <c:v>43070</c:v>
                </c:pt>
                <c:pt idx="108">
                  <c:v>43101</c:v>
                </c:pt>
                <c:pt idx="109">
                  <c:v>43132</c:v>
                </c:pt>
                <c:pt idx="110">
                  <c:v>43160</c:v>
                </c:pt>
                <c:pt idx="111">
                  <c:v>43191</c:v>
                </c:pt>
                <c:pt idx="112">
                  <c:v>43221</c:v>
                </c:pt>
                <c:pt idx="113">
                  <c:v>43252</c:v>
                </c:pt>
                <c:pt idx="114">
                  <c:v>43282</c:v>
                </c:pt>
                <c:pt idx="115">
                  <c:v>43313</c:v>
                </c:pt>
                <c:pt idx="116">
                  <c:v>43344</c:v>
                </c:pt>
                <c:pt idx="117">
                  <c:v>43374</c:v>
                </c:pt>
                <c:pt idx="118">
                  <c:v>43405</c:v>
                </c:pt>
                <c:pt idx="119">
                  <c:v>43435</c:v>
                </c:pt>
              </c:numCache>
            </c:numRef>
          </c:cat>
          <c:val>
            <c:numRef>
              <c:f>'Res Normalized Monthly'!$R$2:$R$121</c:f>
              <c:numCache>
                <c:formatCode>_(* #,##0_);_(* \(#,##0\);_(* "-"??_);_(@_)</c:formatCode>
                <c:ptCount val="120"/>
                <c:pt idx="0">
                  <c:v>22751952.556839425</c:v>
                </c:pt>
                <c:pt idx="1">
                  <c:v>19576204.21044701</c:v>
                </c:pt>
                <c:pt idx="2">
                  <c:v>18956037.486039482</c:v>
                </c:pt>
                <c:pt idx="3">
                  <c:v>17099221.99493945</c:v>
                </c:pt>
                <c:pt idx="4">
                  <c:v>19633559.066558488</c:v>
                </c:pt>
                <c:pt idx="5">
                  <c:v>25224360.858321175</c:v>
                </c:pt>
                <c:pt idx="6">
                  <c:v>30126945.262497175</c:v>
                </c:pt>
                <c:pt idx="7">
                  <c:v>28693794.335101902</c:v>
                </c:pt>
                <c:pt idx="8">
                  <c:v>21972665.988186613</c:v>
                </c:pt>
                <c:pt idx="9">
                  <c:v>18083221.596069165</c:v>
                </c:pt>
                <c:pt idx="10">
                  <c:v>17818952.755812522</c:v>
                </c:pt>
                <c:pt idx="11">
                  <c:v>21735905.854168542</c:v>
                </c:pt>
                <c:pt idx="12">
                  <c:v>22195422.353054993</c:v>
                </c:pt>
                <c:pt idx="13">
                  <c:v>19197852.609995149</c:v>
                </c:pt>
                <c:pt idx="14">
                  <c:v>18736066.866327684</c:v>
                </c:pt>
                <c:pt idx="15">
                  <c:v>16971640.280659359</c:v>
                </c:pt>
                <c:pt idx="16">
                  <c:v>19571969.427586764</c:v>
                </c:pt>
                <c:pt idx="17">
                  <c:v>25255160.124781154</c:v>
                </c:pt>
                <c:pt idx="18">
                  <c:v>30144546.113895476</c:v>
                </c:pt>
                <c:pt idx="19">
                  <c:v>28665200.733784355</c:v>
                </c:pt>
                <c:pt idx="20">
                  <c:v>21851683.481437355</c:v>
                </c:pt>
                <c:pt idx="21">
                  <c:v>17863250.976357371</c:v>
                </c:pt>
                <c:pt idx="22">
                  <c:v>17493394.81560735</c:v>
                </c:pt>
                <c:pt idx="23">
                  <c:v>21350955.046185847</c:v>
                </c:pt>
                <c:pt idx="24">
                  <c:v>22074439.846305735</c:v>
                </c:pt>
                <c:pt idx="25">
                  <c:v>19030675.65053004</c:v>
                </c:pt>
                <c:pt idx="26">
                  <c:v>18628282.774640106</c:v>
                </c:pt>
                <c:pt idx="27">
                  <c:v>16553693.435022483</c:v>
                </c:pt>
                <c:pt idx="28">
                  <c:v>19114427.336764868</c:v>
                </c:pt>
                <c:pt idx="29">
                  <c:v>24751423.581243411</c:v>
                </c:pt>
                <c:pt idx="30">
                  <c:v>29851984.211344484</c:v>
                </c:pt>
                <c:pt idx="31">
                  <c:v>28438630.90654172</c:v>
                </c:pt>
                <c:pt idx="32">
                  <c:v>21565720.786417201</c:v>
                </c:pt>
                <c:pt idx="33">
                  <c:v>17583887.488868054</c:v>
                </c:pt>
                <c:pt idx="34">
                  <c:v>17372412.3088581</c:v>
                </c:pt>
                <c:pt idx="35">
                  <c:v>21368555.897584148</c:v>
                </c:pt>
                <c:pt idx="36">
                  <c:v>21880866.056717284</c:v>
                </c:pt>
                <c:pt idx="37">
                  <c:v>19724337.852176212</c:v>
                </c:pt>
                <c:pt idx="38">
                  <c:v>18586490.758260883</c:v>
                </c:pt>
                <c:pt idx="39">
                  <c:v>16742873.682222525</c:v>
                </c:pt>
                <c:pt idx="40">
                  <c:v>19297008.376434073</c:v>
                </c:pt>
                <c:pt idx="41">
                  <c:v>24914206.998320106</c:v>
                </c:pt>
                <c:pt idx="42">
                  <c:v>29988370.798297837</c:v>
                </c:pt>
                <c:pt idx="43">
                  <c:v>28608013.531149261</c:v>
                </c:pt>
                <c:pt idx="44">
                  <c:v>21900083.599295639</c:v>
                </c:pt>
                <c:pt idx="45">
                  <c:v>17891853.471623145</c:v>
                </c:pt>
                <c:pt idx="46">
                  <c:v>17574790.971119814</c:v>
                </c:pt>
                <c:pt idx="47">
                  <c:v>21346561.503797438</c:v>
                </c:pt>
                <c:pt idx="48">
                  <c:v>21740085.927375525</c:v>
                </c:pt>
                <c:pt idx="49">
                  <c:v>18768913.014439024</c:v>
                </c:pt>
                <c:pt idx="50">
                  <c:v>18399516.17620327</c:v>
                </c:pt>
                <c:pt idx="51">
                  <c:v>16628490.383004107</c:v>
                </c:pt>
                <c:pt idx="52">
                  <c:v>19242017.944993183</c:v>
                </c:pt>
                <c:pt idx="53">
                  <c:v>24912010.227125902</c:v>
                </c:pt>
                <c:pt idx="54">
                  <c:v>29953177.989449453</c:v>
                </c:pt>
                <c:pt idx="55">
                  <c:v>28460634.194276661</c:v>
                </c:pt>
                <c:pt idx="56">
                  <c:v>21501934.376251269</c:v>
                </c:pt>
                <c:pt idx="57">
                  <c:v>17533299.493763793</c:v>
                </c:pt>
                <c:pt idx="58">
                  <c:v>17269030.653507147</c:v>
                </c:pt>
                <c:pt idx="59">
                  <c:v>21344364.732603233</c:v>
                </c:pt>
                <c:pt idx="60">
                  <c:v>21889670.92939055</c:v>
                </c:pt>
                <c:pt idx="61">
                  <c:v>18819509.903491512</c:v>
                </c:pt>
                <c:pt idx="62">
                  <c:v>18351124.952293213</c:v>
                </c:pt>
                <c:pt idx="63">
                  <c:v>16283134.820206426</c:v>
                </c:pt>
                <c:pt idx="64">
                  <c:v>18810872.684294634</c:v>
                </c:pt>
                <c:pt idx="65">
                  <c:v>24335682.400748961</c:v>
                </c:pt>
                <c:pt idx="66">
                  <c:v>29508834.313689232</c:v>
                </c:pt>
                <c:pt idx="67">
                  <c:v>28082282.593824804</c:v>
                </c:pt>
                <c:pt idx="68">
                  <c:v>21387551.077032849</c:v>
                </c:pt>
                <c:pt idx="69">
                  <c:v>17451912.232199557</c:v>
                </c:pt>
                <c:pt idx="70">
                  <c:v>17194242.599473748</c:v>
                </c:pt>
                <c:pt idx="71">
                  <c:v>21223382.22585398</c:v>
                </c:pt>
                <c:pt idx="72">
                  <c:v>21788486.045233808</c:v>
                </c:pt>
                <c:pt idx="73">
                  <c:v>18863507.585013159</c:v>
                </c:pt>
                <c:pt idx="74">
                  <c:v>18348928.181099009</c:v>
                </c:pt>
                <c:pt idx="75">
                  <c:v>16386525.369505599</c:v>
                </c:pt>
                <c:pt idx="76">
                  <c:v>19085842.629395545</c:v>
                </c:pt>
                <c:pt idx="77">
                  <c:v>24947211.92992251</c:v>
                </c:pt>
                <c:pt idx="78">
                  <c:v>30001578.107307736</c:v>
                </c:pt>
                <c:pt idx="79">
                  <c:v>28251665.218432333</c:v>
                </c:pt>
                <c:pt idx="80">
                  <c:v>21147782.834728546</c:v>
                </c:pt>
                <c:pt idx="81">
                  <c:v>16994370.141377661</c:v>
                </c:pt>
                <c:pt idx="82">
                  <c:v>16677307.64087433</c:v>
                </c:pt>
                <c:pt idx="83">
                  <c:v>20587661.531699516</c:v>
                </c:pt>
                <c:pt idx="84">
                  <c:v>21258352.671572715</c:v>
                </c:pt>
                <c:pt idx="85">
                  <c:v>19240407.825179197</c:v>
                </c:pt>
                <c:pt idx="86">
                  <c:v>18148755.18397972</c:v>
                </c:pt>
                <c:pt idx="87">
                  <c:v>16331534.938064707</c:v>
                </c:pt>
                <c:pt idx="88">
                  <c:v>19037451.405485488</c:v>
                </c:pt>
                <c:pt idx="89">
                  <c:v>24885622.290950783</c:v>
                </c:pt>
                <c:pt idx="90">
                  <c:v>30091770.241545234</c:v>
                </c:pt>
                <c:pt idx="91">
                  <c:v>28724611.389458325</c:v>
                </c:pt>
                <c:pt idx="92">
                  <c:v>21812106.024148785</c:v>
                </c:pt>
                <c:pt idx="93">
                  <c:v>17678490.953390408</c:v>
                </c:pt>
                <c:pt idx="94">
                  <c:v>17110658.566715308</c:v>
                </c:pt>
                <c:pt idx="95">
                  <c:v>20823036.231615409</c:v>
                </c:pt>
                <c:pt idx="96">
                  <c:v>21388140.050995231</c:v>
                </c:pt>
                <c:pt idx="97">
                  <c:v>18350975.062750377</c:v>
                </c:pt>
                <c:pt idx="98">
                  <c:v>17955181.394391272</c:v>
                </c:pt>
                <c:pt idx="99">
                  <c:v>15920187.299958667</c:v>
                </c:pt>
                <c:pt idx="100">
                  <c:v>18500718.824293561</c:v>
                </c:pt>
                <c:pt idx="101">
                  <c:v>24276298.426919661</c:v>
                </c:pt>
                <c:pt idx="102">
                  <c:v>29403255.887144081</c:v>
                </c:pt>
                <c:pt idx="103">
                  <c:v>28201077.223328073</c:v>
                </c:pt>
                <c:pt idx="104">
                  <c:v>21407357.593573585</c:v>
                </c:pt>
                <c:pt idx="105">
                  <c:v>17161555.994790994</c:v>
                </c:pt>
                <c:pt idx="106">
                  <c:v>16811497.456633478</c:v>
                </c:pt>
                <c:pt idx="107">
                  <c:v>20695454.517335318</c:v>
                </c:pt>
                <c:pt idx="108">
                  <c:v>21300846.498690896</c:v>
                </c:pt>
                <c:pt idx="109">
                  <c:v>18261800.736299749</c:v>
                </c:pt>
                <c:pt idx="110">
                  <c:v>17864819.210585095</c:v>
                </c:pt>
                <c:pt idx="111">
                  <c:v>15829033.211248789</c:v>
                </c:pt>
                <c:pt idx="112">
                  <c:v>18410455.628600348</c:v>
                </c:pt>
                <c:pt idx="113">
                  <c:v>24189499.815180134</c:v>
                </c:pt>
                <c:pt idx="114">
                  <c:v>29318437.037663803</c:v>
                </c:pt>
                <c:pt idx="115">
                  <c:v>28120514.862705186</c:v>
                </c:pt>
                <c:pt idx="116">
                  <c:v>21327389.161628474</c:v>
                </c:pt>
                <c:pt idx="117">
                  <c:v>17078617.919457007</c:v>
                </c:pt>
                <c:pt idx="118">
                  <c:v>16728163.428847643</c:v>
                </c:pt>
                <c:pt idx="119">
                  <c:v>20611724.537097633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01-473D-AE4E-CA10A1080B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01931776"/>
        <c:axId val="1"/>
      </c:lineChart>
      <c:dateAx>
        <c:axId val="401931776"/>
        <c:scaling>
          <c:orientation val="minMax"/>
        </c:scaling>
        <c:delete val="0"/>
        <c:axPos val="b"/>
        <c:numFmt formatCode="m/d/yyyy" sourceLinked="0"/>
        <c:majorTickMark val="out"/>
        <c:minorTickMark val="none"/>
        <c:tickLblPos val="nextTo"/>
        <c:crossAx val="1"/>
        <c:crosses val="autoZero"/>
        <c:auto val="1"/>
        <c:lblOffset val="100"/>
        <c:baseTimeUnit val="months"/>
      </c:dateAx>
      <c:valAx>
        <c:axId val="1"/>
        <c:scaling>
          <c:orientation val="minMax"/>
          <c:min val="15000000"/>
        </c:scaling>
        <c:delete val="0"/>
        <c:axPos val="l"/>
        <c:majorGridlines/>
        <c:numFmt formatCode="_(* #,##0_);_(* \(#,##0\);_(* &quot;-&quot;??_);_(@_)" sourceLinked="1"/>
        <c:majorTickMark val="out"/>
        <c:minorTickMark val="none"/>
        <c:tickLblPos val="nextTo"/>
        <c:crossAx val="40193177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'GS &lt; 50 Normalized Monthly'!$C$1</c:f>
              <c:strCache>
                <c:ptCount val="1"/>
                <c:pt idx="0">
                  <c:v> Gross_GSlt50 </c:v>
                </c:pt>
              </c:strCache>
            </c:strRef>
          </c:tx>
          <c:marker>
            <c:symbol val="none"/>
          </c:marker>
          <c:cat>
            <c:numRef>
              <c:f>'GS &lt; 50 Normalized Monthly'!$A$2:$A$121</c:f>
              <c:numCache>
                <c:formatCode>m/d/yyyy</c:formatCode>
                <c:ptCount val="120"/>
                <c:pt idx="0">
                  <c:v>39814</c:v>
                </c:pt>
                <c:pt idx="1">
                  <c:v>39845</c:v>
                </c:pt>
                <c:pt idx="2">
                  <c:v>39873</c:v>
                </c:pt>
                <c:pt idx="3">
                  <c:v>39904</c:v>
                </c:pt>
                <c:pt idx="4">
                  <c:v>39934</c:v>
                </c:pt>
                <c:pt idx="5">
                  <c:v>39965</c:v>
                </c:pt>
                <c:pt idx="6">
                  <c:v>39995</c:v>
                </c:pt>
                <c:pt idx="7">
                  <c:v>40026</c:v>
                </c:pt>
                <c:pt idx="8">
                  <c:v>40057</c:v>
                </c:pt>
                <c:pt idx="9">
                  <c:v>40087</c:v>
                </c:pt>
                <c:pt idx="10">
                  <c:v>40118</c:v>
                </c:pt>
                <c:pt idx="11">
                  <c:v>40148</c:v>
                </c:pt>
                <c:pt idx="12">
                  <c:v>40179</c:v>
                </c:pt>
                <c:pt idx="13">
                  <c:v>40210</c:v>
                </c:pt>
                <c:pt idx="14">
                  <c:v>40238</c:v>
                </c:pt>
                <c:pt idx="15">
                  <c:v>40269</c:v>
                </c:pt>
                <c:pt idx="16">
                  <c:v>40299</c:v>
                </c:pt>
                <c:pt idx="17">
                  <c:v>40330</c:v>
                </c:pt>
                <c:pt idx="18">
                  <c:v>40360</c:v>
                </c:pt>
                <c:pt idx="19">
                  <c:v>40391</c:v>
                </c:pt>
                <c:pt idx="20">
                  <c:v>40422</c:v>
                </c:pt>
                <c:pt idx="21">
                  <c:v>40452</c:v>
                </c:pt>
                <c:pt idx="22">
                  <c:v>40483</c:v>
                </c:pt>
                <c:pt idx="23">
                  <c:v>40513</c:v>
                </c:pt>
                <c:pt idx="24">
                  <c:v>40544</c:v>
                </c:pt>
                <c:pt idx="25">
                  <c:v>40575</c:v>
                </c:pt>
                <c:pt idx="26">
                  <c:v>40603</c:v>
                </c:pt>
                <c:pt idx="27">
                  <c:v>40634</c:v>
                </c:pt>
                <c:pt idx="28">
                  <c:v>40664</c:v>
                </c:pt>
                <c:pt idx="29">
                  <c:v>40695</c:v>
                </c:pt>
                <c:pt idx="30">
                  <c:v>40725</c:v>
                </c:pt>
                <c:pt idx="31">
                  <c:v>40756</c:v>
                </c:pt>
                <c:pt idx="32">
                  <c:v>40787</c:v>
                </c:pt>
                <c:pt idx="33">
                  <c:v>40817</c:v>
                </c:pt>
                <c:pt idx="34">
                  <c:v>40848</c:v>
                </c:pt>
                <c:pt idx="35">
                  <c:v>40878</c:v>
                </c:pt>
                <c:pt idx="36">
                  <c:v>40909</c:v>
                </c:pt>
                <c:pt idx="37">
                  <c:v>40940</c:v>
                </c:pt>
                <c:pt idx="38">
                  <c:v>40969</c:v>
                </c:pt>
                <c:pt idx="39">
                  <c:v>41000</c:v>
                </c:pt>
                <c:pt idx="40">
                  <c:v>41030</c:v>
                </c:pt>
                <c:pt idx="41">
                  <c:v>41061</c:v>
                </c:pt>
                <c:pt idx="42">
                  <c:v>41091</c:v>
                </c:pt>
                <c:pt idx="43">
                  <c:v>41122</c:v>
                </c:pt>
                <c:pt idx="44">
                  <c:v>41153</c:v>
                </c:pt>
                <c:pt idx="45">
                  <c:v>41183</c:v>
                </c:pt>
                <c:pt idx="46">
                  <c:v>41214</c:v>
                </c:pt>
                <c:pt idx="47">
                  <c:v>41244</c:v>
                </c:pt>
                <c:pt idx="48">
                  <c:v>41275</c:v>
                </c:pt>
                <c:pt idx="49">
                  <c:v>41306</c:v>
                </c:pt>
                <c:pt idx="50">
                  <c:v>41334</c:v>
                </c:pt>
                <c:pt idx="51">
                  <c:v>41365</c:v>
                </c:pt>
                <c:pt idx="52">
                  <c:v>41395</c:v>
                </c:pt>
                <c:pt idx="53">
                  <c:v>41426</c:v>
                </c:pt>
                <c:pt idx="54">
                  <c:v>41456</c:v>
                </c:pt>
                <c:pt idx="55">
                  <c:v>41487</c:v>
                </c:pt>
                <c:pt idx="56">
                  <c:v>41518</c:v>
                </c:pt>
                <c:pt idx="57">
                  <c:v>41548</c:v>
                </c:pt>
                <c:pt idx="58">
                  <c:v>41579</c:v>
                </c:pt>
                <c:pt idx="59">
                  <c:v>41609</c:v>
                </c:pt>
                <c:pt idx="60">
                  <c:v>41640</c:v>
                </c:pt>
                <c:pt idx="61">
                  <c:v>41671</c:v>
                </c:pt>
                <c:pt idx="62">
                  <c:v>41699</c:v>
                </c:pt>
                <c:pt idx="63">
                  <c:v>41730</c:v>
                </c:pt>
                <c:pt idx="64">
                  <c:v>41760</c:v>
                </c:pt>
                <c:pt idx="65">
                  <c:v>41791</c:v>
                </c:pt>
                <c:pt idx="66">
                  <c:v>41821</c:v>
                </c:pt>
                <c:pt idx="67">
                  <c:v>41852</c:v>
                </c:pt>
                <c:pt idx="68">
                  <c:v>41883</c:v>
                </c:pt>
                <c:pt idx="69">
                  <c:v>41913</c:v>
                </c:pt>
                <c:pt idx="70">
                  <c:v>41944</c:v>
                </c:pt>
                <c:pt idx="71">
                  <c:v>41974</c:v>
                </c:pt>
                <c:pt idx="72">
                  <c:v>42005</c:v>
                </c:pt>
                <c:pt idx="73">
                  <c:v>42036</c:v>
                </c:pt>
                <c:pt idx="74">
                  <c:v>42064</c:v>
                </c:pt>
                <c:pt idx="75">
                  <c:v>42095</c:v>
                </c:pt>
                <c:pt idx="76">
                  <c:v>42125</c:v>
                </c:pt>
                <c:pt idx="77">
                  <c:v>42156</c:v>
                </c:pt>
                <c:pt idx="78">
                  <c:v>42186</c:v>
                </c:pt>
                <c:pt idx="79">
                  <c:v>42217</c:v>
                </c:pt>
                <c:pt idx="80">
                  <c:v>42248</c:v>
                </c:pt>
                <c:pt idx="81">
                  <c:v>42278</c:v>
                </c:pt>
                <c:pt idx="82">
                  <c:v>42309</c:v>
                </c:pt>
                <c:pt idx="83">
                  <c:v>42339</c:v>
                </c:pt>
                <c:pt idx="84">
                  <c:v>42370</c:v>
                </c:pt>
                <c:pt idx="85">
                  <c:v>42401</c:v>
                </c:pt>
                <c:pt idx="86">
                  <c:v>42430</c:v>
                </c:pt>
                <c:pt idx="87">
                  <c:v>42461</c:v>
                </c:pt>
                <c:pt idx="88">
                  <c:v>42491</c:v>
                </c:pt>
                <c:pt idx="89">
                  <c:v>42522</c:v>
                </c:pt>
                <c:pt idx="90">
                  <c:v>42552</c:v>
                </c:pt>
                <c:pt idx="91">
                  <c:v>42583</c:v>
                </c:pt>
                <c:pt idx="92">
                  <c:v>42614</c:v>
                </c:pt>
                <c:pt idx="93">
                  <c:v>42644</c:v>
                </c:pt>
                <c:pt idx="94">
                  <c:v>42675</c:v>
                </c:pt>
                <c:pt idx="95">
                  <c:v>42705</c:v>
                </c:pt>
                <c:pt idx="96">
                  <c:v>42736</c:v>
                </c:pt>
                <c:pt idx="97">
                  <c:v>42767</c:v>
                </c:pt>
                <c:pt idx="98">
                  <c:v>42795</c:v>
                </c:pt>
                <c:pt idx="99">
                  <c:v>42826</c:v>
                </c:pt>
                <c:pt idx="100">
                  <c:v>42856</c:v>
                </c:pt>
                <c:pt idx="101">
                  <c:v>42887</c:v>
                </c:pt>
                <c:pt idx="102">
                  <c:v>42917</c:v>
                </c:pt>
                <c:pt idx="103">
                  <c:v>42948</c:v>
                </c:pt>
                <c:pt idx="104">
                  <c:v>42979</c:v>
                </c:pt>
                <c:pt idx="105">
                  <c:v>43009</c:v>
                </c:pt>
                <c:pt idx="106">
                  <c:v>43040</c:v>
                </c:pt>
                <c:pt idx="107">
                  <c:v>43070</c:v>
                </c:pt>
                <c:pt idx="108">
                  <c:v>43101</c:v>
                </c:pt>
                <c:pt idx="109">
                  <c:v>43132</c:v>
                </c:pt>
                <c:pt idx="110">
                  <c:v>43160</c:v>
                </c:pt>
                <c:pt idx="111">
                  <c:v>43191</c:v>
                </c:pt>
                <c:pt idx="112">
                  <c:v>43221</c:v>
                </c:pt>
                <c:pt idx="113">
                  <c:v>43252</c:v>
                </c:pt>
                <c:pt idx="114">
                  <c:v>43282</c:v>
                </c:pt>
                <c:pt idx="115">
                  <c:v>43313</c:v>
                </c:pt>
                <c:pt idx="116">
                  <c:v>43344</c:v>
                </c:pt>
                <c:pt idx="117">
                  <c:v>43374</c:v>
                </c:pt>
                <c:pt idx="118">
                  <c:v>43405</c:v>
                </c:pt>
                <c:pt idx="119">
                  <c:v>43435</c:v>
                </c:pt>
              </c:numCache>
            </c:numRef>
          </c:cat>
          <c:val>
            <c:numRef>
              <c:f>'GS &lt; 50 Normalized Monthly'!$C$2:$C$97</c:f>
              <c:numCache>
                <c:formatCode>_(* #,##0_);_(* \(#,##0\);_(* "-"??_);_(@_)</c:formatCode>
                <c:ptCount val="96"/>
                <c:pt idx="0">
                  <c:v>6180599.9418864548</c:v>
                </c:pt>
                <c:pt idx="1">
                  <c:v>5531247.4825260816</c:v>
                </c:pt>
                <c:pt idx="2">
                  <c:v>5678036.4363599839</c:v>
                </c:pt>
                <c:pt idx="3">
                  <c:v>5165756.2748493869</c:v>
                </c:pt>
                <c:pt idx="4">
                  <c:v>5358760.0193285467</c:v>
                </c:pt>
                <c:pt idx="5">
                  <c:v>5663326.2574443072</c:v>
                </c:pt>
                <c:pt idx="6">
                  <c:v>6200335.1519909399</c:v>
                </c:pt>
                <c:pt idx="7">
                  <c:v>6260864.1239666771</c:v>
                </c:pt>
                <c:pt idx="8">
                  <c:v>5590921.3744961126</c:v>
                </c:pt>
                <c:pt idx="9">
                  <c:v>5185699.0044068033</c:v>
                </c:pt>
                <c:pt idx="10">
                  <c:v>5131204.807266444</c:v>
                </c:pt>
                <c:pt idx="11">
                  <c:v>5688515.449409673</c:v>
                </c:pt>
                <c:pt idx="12">
                  <c:v>5896501.9011723185</c:v>
                </c:pt>
                <c:pt idx="13">
                  <c:v>5282460.4406652441</c:v>
                </c:pt>
                <c:pt idx="14">
                  <c:v>5367265.7782861628</c:v>
                </c:pt>
                <c:pt idx="15">
                  <c:v>5048654.5806024112</c:v>
                </c:pt>
                <c:pt idx="16">
                  <c:v>5629447.9636161011</c:v>
                </c:pt>
                <c:pt idx="17">
                  <c:v>6292517.6784429774</c:v>
                </c:pt>
                <c:pt idx="18">
                  <c:v>7051776.6779211387</c:v>
                </c:pt>
                <c:pt idx="19">
                  <c:v>6891570.3434989201</c:v>
                </c:pt>
                <c:pt idx="20">
                  <c:v>5651782.3575958619</c:v>
                </c:pt>
                <c:pt idx="21">
                  <c:v>5255156.9166128142</c:v>
                </c:pt>
                <c:pt idx="22">
                  <c:v>5251525.9795399467</c:v>
                </c:pt>
                <c:pt idx="23">
                  <c:v>5844905.3892598506</c:v>
                </c:pt>
                <c:pt idx="24">
                  <c:v>6026588.3635599045</c:v>
                </c:pt>
                <c:pt idx="25">
                  <c:v>5362970.5444677435</c:v>
                </c:pt>
                <c:pt idx="26">
                  <c:v>5630900.4388400922</c:v>
                </c:pt>
                <c:pt idx="27">
                  <c:v>5175082.1278635412</c:v>
                </c:pt>
                <c:pt idx="28">
                  <c:v>5463133.8059784928</c:v>
                </c:pt>
                <c:pt idx="29">
                  <c:v>5976127.300790932</c:v>
                </c:pt>
                <c:pt idx="30">
                  <c:v>6877540.0657793824</c:v>
                </c:pt>
                <c:pt idx="31">
                  <c:v>6603628.8820340019</c:v>
                </c:pt>
                <c:pt idx="32">
                  <c:v>5618306.5975156222</c:v>
                </c:pt>
                <c:pt idx="33">
                  <c:v>5113557.1313079717</c:v>
                </c:pt>
                <c:pt idx="34">
                  <c:v>5112407.7414213624</c:v>
                </c:pt>
                <c:pt idx="35">
                  <c:v>5620143.3445212664</c:v>
                </c:pt>
                <c:pt idx="36">
                  <c:v>5678473.7393108159</c:v>
                </c:pt>
                <c:pt idx="37">
                  <c:v>5379271.6074002506</c:v>
                </c:pt>
                <c:pt idx="38">
                  <c:v>5431638.8336107414</c:v>
                </c:pt>
                <c:pt idx="39">
                  <c:v>4996283.2985174851</c:v>
                </c:pt>
                <c:pt idx="40">
                  <c:v>5646499.9793941975</c:v>
                </c:pt>
                <c:pt idx="41">
                  <c:v>6382835.9578270745</c:v>
                </c:pt>
                <c:pt idx="42">
                  <c:v>7118049.1198525634</c:v>
                </c:pt>
                <c:pt idx="43">
                  <c:v>6559336.0869305413</c:v>
                </c:pt>
                <c:pt idx="44">
                  <c:v>5578962.0305964015</c:v>
                </c:pt>
                <c:pt idx="45">
                  <c:v>5153415.156241239</c:v>
                </c:pt>
                <c:pt idx="46">
                  <c:v>5140839.870752953</c:v>
                </c:pt>
                <c:pt idx="47">
                  <c:v>5435911.5977635086</c:v>
                </c:pt>
                <c:pt idx="48">
                  <c:v>5731939.4442237746</c:v>
                </c:pt>
                <c:pt idx="49">
                  <c:v>5288814.8620550148</c:v>
                </c:pt>
                <c:pt idx="50">
                  <c:v>5578008.3017610069</c:v>
                </c:pt>
                <c:pt idx="51">
                  <c:v>5151120.774575416</c:v>
                </c:pt>
                <c:pt idx="52">
                  <c:v>5423795.7144559138</c:v>
                </c:pt>
                <c:pt idx="53">
                  <c:v>5819129.7356781708</c:v>
                </c:pt>
                <c:pt idx="54">
                  <c:v>6365784.4325457644</c:v>
                </c:pt>
                <c:pt idx="55">
                  <c:v>6212999.889886952</c:v>
                </c:pt>
                <c:pt idx="56">
                  <c:v>5635233.8218801301</c:v>
                </c:pt>
                <c:pt idx="57">
                  <c:v>5244110.3430482503</c:v>
                </c:pt>
                <c:pt idx="58">
                  <c:v>5278519.5614520842</c:v>
                </c:pt>
                <c:pt idx="59">
                  <c:v>5836114.3315690635</c:v>
                </c:pt>
                <c:pt idx="60">
                  <c:v>6160076.9121971037</c:v>
                </c:pt>
                <c:pt idx="61">
                  <c:v>5583527.4099679338</c:v>
                </c:pt>
                <c:pt idx="62">
                  <c:v>5765002.1393458238</c:v>
                </c:pt>
                <c:pt idx="63">
                  <c:v>5047184.9055247335</c:v>
                </c:pt>
                <c:pt idx="64">
                  <c:v>5341469.543139304</c:v>
                </c:pt>
                <c:pt idx="65">
                  <c:v>5873777.4547528643</c:v>
                </c:pt>
                <c:pt idx="66">
                  <c:v>6167201.5336482739</c:v>
                </c:pt>
                <c:pt idx="67">
                  <c:v>6189372.2861325433</c:v>
                </c:pt>
                <c:pt idx="68">
                  <c:v>5434281.2694790848</c:v>
                </c:pt>
                <c:pt idx="69">
                  <c:v>5094540.9732233444</c:v>
                </c:pt>
                <c:pt idx="70">
                  <c:v>5321955.4914958244</c:v>
                </c:pt>
                <c:pt idx="71">
                  <c:v>5607365.7681212937</c:v>
                </c:pt>
                <c:pt idx="72">
                  <c:v>6084150.685240835</c:v>
                </c:pt>
                <c:pt idx="73">
                  <c:v>5710443.8822701648</c:v>
                </c:pt>
                <c:pt idx="74">
                  <c:v>5822785.6363107348</c:v>
                </c:pt>
                <c:pt idx="75">
                  <c:v>5202149.7221366046</c:v>
                </c:pt>
                <c:pt idx="76">
                  <c:v>5469380.5887120552</c:v>
                </c:pt>
                <c:pt idx="77">
                  <c:v>5756959.3529045451</c:v>
                </c:pt>
                <c:pt idx="78">
                  <c:v>6509905.9223975558</c:v>
                </c:pt>
                <c:pt idx="79">
                  <c:v>6562142.499803775</c:v>
                </c:pt>
                <c:pt idx="80">
                  <c:v>5923003.162959775</c:v>
                </c:pt>
                <c:pt idx="81">
                  <c:v>5319208.2404462555</c:v>
                </c:pt>
                <c:pt idx="82">
                  <c:v>5143230.8555141054</c:v>
                </c:pt>
                <c:pt idx="83">
                  <c:v>5382460.9427639553</c:v>
                </c:pt>
                <c:pt idx="84">
                  <c:v>5905404.868295663</c:v>
                </c:pt>
                <c:pt idx="85">
                  <c:v>5580361.4202029929</c:v>
                </c:pt>
                <c:pt idx="86">
                  <c:v>5600144.3847357929</c:v>
                </c:pt>
                <c:pt idx="87">
                  <c:v>5299935.1901814425</c:v>
                </c:pt>
                <c:pt idx="88">
                  <c:v>5725044.7124987924</c:v>
                </c:pt>
                <c:pt idx="89">
                  <c:v>6274571.4465554031</c:v>
                </c:pt>
                <c:pt idx="90">
                  <c:v>7190951.1979749231</c:v>
                </c:pt>
                <c:pt idx="91">
                  <c:v>7201848.0708680535</c:v>
                </c:pt>
                <c:pt idx="92">
                  <c:v>6187428.4299528729</c:v>
                </c:pt>
                <c:pt idx="93">
                  <c:v>5528378.5441089226</c:v>
                </c:pt>
                <c:pt idx="94">
                  <c:v>5302153.4829599326</c:v>
                </c:pt>
                <c:pt idx="95">
                  <c:v>5864439.0227300832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0E-4806-BC4E-B0DA717B4621}"/>
            </c:ext>
          </c:extLst>
        </c:ser>
        <c:ser>
          <c:idx val="1"/>
          <c:order val="1"/>
          <c:tx>
            <c:strRef>
              <c:f>'GS &lt; 50 Normalized Monthly'!$T$1</c:f>
              <c:strCache>
                <c:ptCount val="1"/>
                <c:pt idx="0">
                  <c:v> Normalized kWh </c:v>
                </c:pt>
              </c:strCache>
            </c:strRef>
          </c:tx>
          <c:marker>
            <c:symbol val="none"/>
          </c:marker>
          <c:cat>
            <c:numRef>
              <c:f>'GS &lt; 50 Normalized Monthly'!$A$2:$A$121</c:f>
              <c:numCache>
                <c:formatCode>m/d/yyyy</c:formatCode>
                <c:ptCount val="120"/>
                <c:pt idx="0">
                  <c:v>39814</c:v>
                </c:pt>
                <c:pt idx="1">
                  <c:v>39845</c:v>
                </c:pt>
                <c:pt idx="2">
                  <c:v>39873</c:v>
                </c:pt>
                <c:pt idx="3">
                  <c:v>39904</c:v>
                </c:pt>
                <c:pt idx="4">
                  <c:v>39934</c:v>
                </c:pt>
                <c:pt idx="5">
                  <c:v>39965</c:v>
                </c:pt>
                <c:pt idx="6">
                  <c:v>39995</c:v>
                </c:pt>
                <c:pt idx="7">
                  <c:v>40026</c:v>
                </c:pt>
                <c:pt idx="8">
                  <c:v>40057</c:v>
                </c:pt>
                <c:pt idx="9">
                  <c:v>40087</c:v>
                </c:pt>
                <c:pt idx="10">
                  <c:v>40118</c:v>
                </c:pt>
                <c:pt idx="11">
                  <c:v>40148</c:v>
                </c:pt>
                <c:pt idx="12">
                  <c:v>40179</c:v>
                </c:pt>
                <c:pt idx="13">
                  <c:v>40210</c:v>
                </c:pt>
                <c:pt idx="14">
                  <c:v>40238</c:v>
                </c:pt>
                <c:pt idx="15">
                  <c:v>40269</c:v>
                </c:pt>
                <c:pt idx="16">
                  <c:v>40299</c:v>
                </c:pt>
                <c:pt idx="17">
                  <c:v>40330</c:v>
                </c:pt>
                <c:pt idx="18">
                  <c:v>40360</c:v>
                </c:pt>
                <c:pt idx="19">
                  <c:v>40391</c:v>
                </c:pt>
                <c:pt idx="20">
                  <c:v>40422</c:v>
                </c:pt>
                <c:pt idx="21">
                  <c:v>40452</c:v>
                </c:pt>
                <c:pt idx="22">
                  <c:v>40483</c:v>
                </c:pt>
                <c:pt idx="23">
                  <c:v>40513</c:v>
                </c:pt>
                <c:pt idx="24">
                  <c:v>40544</c:v>
                </c:pt>
                <c:pt idx="25">
                  <c:v>40575</c:v>
                </c:pt>
                <c:pt idx="26">
                  <c:v>40603</c:v>
                </c:pt>
                <c:pt idx="27">
                  <c:v>40634</c:v>
                </c:pt>
                <c:pt idx="28">
                  <c:v>40664</c:v>
                </c:pt>
                <c:pt idx="29">
                  <c:v>40695</c:v>
                </c:pt>
                <c:pt idx="30">
                  <c:v>40725</c:v>
                </c:pt>
                <c:pt idx="31">
                  <c:v>40756</c:v>
                </c:pt>
                <c:pt idx="32">
                  <c:v>40787</c:v>
                </c:pt>
                <c:pt idx="33">
                  <c:v>40817</c:v>
                </c:pt>
                <c:pt idx="34">
                  <c:v>40848</c:v>
                </c:pt>
                <c:pt idx="35">
                  <c:v>40878</c:v>
                </c:pt>
                <c:pt idx="36">
                  <c:v>40909</c:v>
                </c:pt>
                <c:pt idx="37">
                  <c:v>40940</c:v>
                </c:pt>
                <c:pt idx="38">
                  <c:v>40969</c:v>
                </c:pt>
                <c:pt idx="39">
                  <c:v>41000</c:v>
                </c:pt>
                <c:pt idx="40">
                  <c:v>41030</c:v>
                </c:pt>
                <c:pt idx="41">
                  <c:v>41061</c:v>
                </c:pt>
                <c:pt idx="42">
                  <c:v>41091</c:v>
                </c:pt>
                <c:pt idx="43">
                  <c:v>41122</c:v>
                </c:pt>
                <c:pt idx="44">
                  <c:v>41153</c:v>
                </c:pt>
                <c:pt idx="45">
                  <c:v>41183</c:v>
                </c:pt>
                <c:pt idx="46">
                  <c:v>41214</c:v>
                </c:pt>
                <c:pt idx="47">
                  <c:v>41244</c:v>
                </c:pt>
                <c:pt idx="48">
                  <c:v>41275</c:v>
                </c:pt>
                <c:pt idx="49">
                  <c:v>41306</c:v>
                </c:pt>
                <c:pt idx="50">
                  <c:v>41334</c:v>
                </c:pt>
                <c:pt idx="51">
                  <c:v>41365</c:v>
                </c:pt>
                <c:pt idx="52">
                  <c:v>41395</c:v>
                </c:pt>
                <c:pt idx="53">
                  <c:v>41426</c:v>
                </c:pt>
                <c:pt idx="54">
                  <c:v>41456</c:v>
                </c:pt>
                <c:pt idx="55">
                  <c:v>41487</c:v>
                </c:pt>
                <c:pt idx="56">
                  <c:v>41518</c:v>
                </c:pt>
                <c:pt idx="57">
                  <c:v>41548</c:v>
                </c:pt>
                <c:pt idx="58">
                  <c:v>41579</c:v>
                </c:pt>
                <c:pt idx="59">
                  <c:v>41609</c:v>
                </c:pt>
                <c:pt idx="60">
                  <c:v>41640</c:v>
                </c:pt>
                <c:pt idx="61">
                  <c:v>41671</c:v>
                </c:pt>
                <c:pt idx="62">
                  <c:v>41699</c:v>
                </c:pt>
                <c:pt idx="63">
                  <c:v>41730</c:v>
                </c:pt>
                <c:pt idx="64">
                  <c:v>41760</c:v>
                </c:pt>
                <c:pt idx="65">
                  <c:v>41791</c:v>
                </c:pt>
                <c:pt idx="66">
                  <c:v>41821</c:v>
                </c:pt>
                <c:pt idx="67">
                  <c:v>41852</c:v>
                </c:pt>
                <c:pt idx="68">
                  <c:v>41883</c:v>
                </c:pt>
                <c:pt idx="69">
                  <c:v>41913</c:v>
                </c:pt>
                <c:pt idx="70">
                  <c:v>41944</c:v>
                </c:pt>
                <c:pt idx="71">
                  <c:v>41974</c:v>
                </c:pt>
                <c:pt idx="72">
                  <c:v>42005</c:v>
                </c:pt>
                <c:pt idx="73">
                  <c:v>42036</c:v>
                </c:pt>
                <c:pt idx="74">
                  <c:v>42064</c:v>
                </c:pt>
                <c:pt idx="75">
                  <c:v>42095</c:v>
                </c:pt>
                <c:pt idx="76">
                  <c:v>42125</c:v>
                </c:pt>
                <c:pt idx="77">
                  <c:v>42156</c:v>
                </c:pt>
                <c:pt idx="78">
                  <c:v>42186</c:v>
                </c:pt>
                <c:pt idx="79">
                  <c:v>42217</c:v>
                </c:pt>
                <c:pt idx="80">
                  <c:v>42248</c:v>
                </c:pt>
                <c:pt idx="81">
                  <c:v>42278</c:v>
                </c:pt>
                <c:pt idx="82">
                  <c:v>42309</c:v>
                </c:pt>
                <c:pt idx="83">
                  <c:v>42339</c:v>
                </c:pt>
                <c:pt idx="84">
                  <c:v>42370</c:v>
                </c:pt>
                <c:pt idx="85">
                  <c:v>42401</c:v>
                </c:pt>
                <c:pt idx="86">
                  <c:v>42430</c:v>
                </c:pt>
                <c:pt idx="87">
                  <c:v>42461</c:v>
                </c:pt>
                <c:pt idx="88">
                  <c:v>42491</c:v>
                </c:pt>
                <c:pt idx="89">
                  <c:v>42522</c:v>
                </c:pt>
                <c:pt idx="90">
                  <c:v>42552</c:v>
                </c:pt>
                <c:pt idx="91">
                  <c:v>42583</c:v>
                </c:pt>
                <c:pt idx="92">
                  <c:v>42614</c:v>
                </c:pt>
                <c:pt idx="93">
                  <c:v>42644</c:v>
                </c:pt>
                <c:pt idx="94">
                  <c:v>42675</c:v>
                </c:pt>
                <c:pt idx="95">
                  <c:v>42705</c:v>
                </c:pt>
                <c:pt idx="96">
                  <c:v>42736</c:v>
                </c:pt>
                <c:pt idx="97">
                  <c:v>42767</c:v>
                </c:pt>
                <c:pt idx="98">
                  <c:v>42795</c:v>
                </c:pt>
                <c:pt idx="99">
                  <c:v>42826</c:v>
                </c:pt>
                <c:pt idx="100">
                  <c:v>42856</c:v>
                </c:pt>
                <c:pt idx="101">
                  <c:v>42887</c:v>
                </c:pt>
                <c:pt idx="102">
                  <c:v>42917</c:v>
                </c:pt>
                <c:pt idx="103">
                  <c:v>42948</c:v>
                </c:pt>
                <c:pt idx="104">
                  <c:v>42979</c:v>
                </c:pt>
                <c:pt idx="105">
                  <c:v>43009</c:v>
                </c:pt>
                <c:pt idx="106">
                  <c:v>43040</c:v>
                </c:pt>
                <c:pt idx="107">
                  <c:v>43070</c:v>
                </c:pt>
                <c:pt idx="108">
                  <c:v>43101</c:v>
                </c:pt>
                <c:pt idx="109">
                  <c:v>43132</c:v>
                </c:pt>
                <c:pt idx="110">
                  <c:v>43160</c:v>
                </c:pt>
                <c:pt idx="111">
                  <c:v>43191</c:v>
                </c:pt>
                <c:pt idx="112">
                  <c:v>43221</c:v>
                </c:pt>
                <c:pt idx="113">
                  <c:v>43252</c:v>
                </c:pt>
                <c:pt idx="114">
                  <c:v>43282</c:v>
                </c:pt>
                <c:pt idx="115">
                  <c:v>43313</c:v>
                </c:pt>
                <c:pt idx="116">
                  <c:v>43344</c:v>
                </c:pt>
                <c:pt idx="117">
                  <c:v>43374</c:v>
                </c:pt>
                <c:pt idx="118">
                  <c:v>43405</c:v>
                </c:pt>
                <c:pt idx="119">
                  <c:v>43435</c:v>
                </c:pt>
              </c:numCache>
            </c:numRef>
          </c:cat>
          <c:val>
            <c:numRef>
              <c:f>'GS &lt; 50 Normalized Monthly'!$T$2:$T$121</c:f>
              <c:numCache>
                <c:formatCode>_(* #,##0_);_(* \(#,##0\);_(* "-"??_);_(@_)</c:formatCode>
                <c:ptCount val="120"/>
                <c:pt idx="0">
                  <c:v>5959796.1483812518</c:v>
                </c:pt>
                <c:pt idx="1">
                  <c:v>5395476.354011164</c:v>
                </c:pt>
                <c:pt idx="2">
                  <c:v>5554358.9562016781</c:v>
                </c:pt>
                <c:pt idx="3">
                  <c:v>5058567.9596038042</c:v>
                </c:pt>
                <c:pt idx="4">
                  <c:v>5351001.3246153826</c:v>
                </c:pt>
                <c:pt idx="5">
                  <c:v>5962223.2878403626</c:v>
                </c:pt>
                <c:pt idx="6">
                  <c:v>6560887.0166630019</c:v>
                </c:pt>
                <c:pt idx="7">
                  <c:v>6406915.5400194172</c:v>
                </c:pt>
                <c:pt idx="8">
                  <c:v>5616539.2041023448</c:v>
                </c:pt>
                <c:pt idx="9">
                  <c:v>5239321.1837748038</c:v>
                </c:pt>
                <c:pt idx="10">
                  <c:v>5218726.8587613078</c:v>
                </c:pt>
                <c:pt idx="11">
                  <c:v>5628899.1244074563</c:v>
                </c:pt>
                <c:pt idx="12">
                  <c:v>5897242.3051703144</c:v>
                </c:pt>
                <c:pt idx="13">
                  <c:v>5368857.697325659</c:v>
                </c:pt>
                <c:pt idx="14">
                  <c:v>5559682.6875387793</c:v>
                </c:pt>
                <c:pt idx="15">
                  <c:v>5082524.7506207591</c:v>
                </c:pt>
                <c:pt idx="16">
                  <c:v>5388267.44397509</c:v>
                </c:pt>
                <c:pt idx="17">
                  <c:v>6018122.4668799238</c:v>
                </c:pt>
                <c:pt idx="18">
                  <c:v>6614124.3300340129</c:v>
                </c:pt>
                <c:pt idx="19">
                  <c:v>6450836.3235505018</c:v>
                </c:pt>
                <c:pt idx="20">
                  <c:v>5641826.9279535748</c:v>
                </c:pt>
                <c:pt idx="21">
                  <c:v>5244644.915111905</c:v>
                </c:pt>
                <c:pt idx="22">
                  <c:v>5202755.6647500051</c:v>
                </c:pt>
                <c:pt idx="23">
                  <c:v>5600949.5348876752</c:v>
                </c:pt>
                <c:pt idx="24">
                  <c:v>5922530.0290215444</c:v>
                </c:pt>
                <c:pt idx="25">
                  <c:v>5384828.8913369626</c:v>
                </c:pt>
                <c:pt idx="26">
                  <c:v>5587632.2770585604</c:v>
                </c:pt>
                <c:pt idx="27">
                  <c:v>5047920.4969296018</c:v>
                </c:pt>
                <c:pt idx="28">
                  <c:v>5345677.5932782814</c:v>
                </c:pt>
                <c:pt idx="29">
                  <c:v>5966216.0863431878</c:v>
                </c:pt>
                <c:pt idx="30">
                  <c:v>6604807.8001940856</c:v>
                </c:pt>
                <c:pt idx="31">
                  <c:v>6454829.122053327</c:v>
                </c:pt>
                <c:pt idx="32">
                  <c:v>5633841.3309479235</c:v>
                </c:pt>
                <c:pt idx="33">
                  <c:v>5237990.2509405287</c:v>
                </c:pt>
                <c:pt idx="34">
                  <c:v>5228043.3886012351</c:v>
                </c:pt>
                <c:pt idx="35">
                  <c:v>5654186.8482586863</c:v>
                </c:pt>
                <c:pt idx="36">
                  <c:v>5933177.4916957468</c:v>
                </c:pt>
                <c:pt idx="37">
                  <c:v>5556136.346636666</c:v>
                </c:pt>
                <c:pt idx="38">
                  <c:v>5628891.1949210931</c:v>
                </c:pt>
                <c:pt idx="39">
                  <c:v>5135762.0639917692</c:v>
                </c:pt>
                <c:pt idx="40">
                  <c:v>5432188.2275061738</c:v>
                </c:pt>
                <c:pt idx="41">
                  <c:v>6048733.922068255</c:v>
                </c:pt>
                <c:pt idx="42">
                  <c:v>6682001.9045820516</c:v>
                </c:pt>
                <c:pt idx="43">
                  <c:v>6538677.8906126693</c:v>
                </c:pt>
                <c:pt idx="44">
                  <c:v>5750963.4203641471</c:v>
                </c:pt>
                <c:pt idx="45">
                  <c:v>5349788.6090196511</c:v>
                </c:pt>
                <c:pt idx="46">
                  <c:v>5318546.8213319527</c:v>
                </c:pt>
                <c:pt idx="47">
                  <c:v>5699438.564624045</c:v>
                </c:pt>
                <c:pt idx="48">
                  <c:v>5954472.4170441506</c:v>
                </c:pt>
                <c:pt idx="49">
                  <c:v>5431411.5405365964</c:v>
                </c:pt>
                <c:pt idx="50">
                  <c:v>5640869.5904295705</c:v>
                </c:pt>
                <c:pt idx="51">
                  <c:v>5162380.7206772743</c:v>
                </c:pt>
                <c:pt idx="52">
                  <c:v>5470785.2797001572</c:v>
                </c:pt>
                <c:pt idx="53">
                  <c:v>6097978.4369364399</c:v>
                </c:pt>
                <c:pt idx="54">
                  <c:v>6724591.7552788602</c:v>
                </c:pt>
                <c:pt idx="55">
                  <c:v>6558641.883126799</c:v>
                </c:pt>
                <c:pt idx="56">
                  <c:v>5720351.9651758159</c:v>
                </c:pt>
                <c:pt idx="57">
                  <c:v>5327162.7508369712</c:v>
                </c:pt>
                <c:pt idx="58">
                  <c:v>5306568.4258234752</c:v>
                </c:pt>
                <c:pt idx="59">
                  <c:v>5748683.07949223</c:v>
                </c:pt>
                <c:pt idx="60">
                  <c:v>6034328.3871006668</c:v>
                </c:pt>
                <c:pt idx="61">
                  <c:v>5491303.5180789838</c:v>
                </c:pt>
                <c:pt idx="62">
                  <c:v>5680797.5754578291</c:v>
                </c:pt>
                <c:pt idx="63">
                  <c:v>5142416.7281631455</c:v>
                </c:pt>
                <c:pt idx="64">
                  <c:v>5433519.1603404488</c:v>
                </c:pt>
                <c:pt idx="65">
                  <c:v>6031431.7952226764</c:v>
                </c:pt>
                <c:pt idx="66">
                  <c:v>6684663.7702506017</c:v>
                </c:pt>
                <c:pt idx="67">
                  <c:v>6532023.226441293</c:v>
                </c:pt>
                <c:pt idx="68">
                  <c:v>5746970.6218613219</c:v>
                </c:pt>
                <c:pt idx="69">
                  <c:v>5360436.0716938535</c:v>
                </c:pt>
                <c:pt idx="70">
                  <c:v>5341172.6795146326</c:v>
                </c:pt>
                <c:pt idx="71">
                  <c:v>5773970.8033434609</c:v>
                </c:pt>
                <c:pt idx="72">
                  <c:v>6063608.9094547229</c:v>
                </c:pt>
                <c:pt idx="73">
                  <c:v>5549864.5627870951</c:v>
                </c:pt>
                <c:pt idx="74">
                  <c:v>5730042.090326014</c:v>
                </c:pt>
                <c:pt idx="75">
                  <c:v>5212956.1683797352</c:v>
                </c:pt>
                <c:pt idx="76">
                  <c:v>5538662.854248195</c:v>
                </c:pt>
                <c:pt idx="77">
                  <c:v>6204453.0636784611</c:v>
                </c:pt>
                <c:pt idx="78">
                  <c:v>6833728.2476894325</c:v>
                </c:pt>
                <c:pt idx="79">
                  <c:v>6615871.9950006353</c:v>
                </c:pt>
                <c:pt idx="80">
                  <c:v>5748301.5546955969</c:v>
                </c:pt>
                <c:pt idx="81">
                  <c:v>5317846.2209970448</c:v>
                </c:pt>
                <c:pt idx="82">
                  <c:v>5286604.4333093464</c:v>
                </c:pt>
                <c:pt idx="83">
                  <c:v>5695445.7661212198</c:v>
                </c:pt>
                <c:pt idx="84">
                  <c:v>6006378.7975808866</c:v>
                </c:pt>
                <c:pt idx="85">
                  <c:v>5657287.2420415869</c:v>
                </c:pt>
                <c:pt idx="86">
                  <c:v>5739358.6201659413</c:v>
                </c:pt>
                <c:pt idx="87">
                  <c:v>5251553.2205737177</c:v>
                </c:pt>
                <c:pt idx="88">
                  <c:v>5578590.8392764535</c:v>
                </c:pt>
                <c:pt idx="89">
                  <c:v>6241719.1830381686</c:v>
                </c:pt>
                <c:pt idx="90">
                  <c:v>6901605.8222374711</c:v>
                </c:pt>
                <c:pt idx="91">
                  <c:v>6760943.673936639</c:v>
                </c:pt>
                <c:pt idx="92">
                  <c:v>5931970.2858255841</c:v>
                </c:pt>
                <c:pt idx="93">
                  <c:v>5505507.7506298581</c:v>
                </c:pt>
                <c:pt idx="94">
                  <c:v>5423690.5152396997</c:v>
                </c:pt>
                <c:pt idx="95">
                  <c:v>5792603.8630233146</c:v>
                </c:pt>
                <c:pt idx="96">
                  <c:v>6082241.9691345766</c:v>
                </c:pt>
                <c:pt idx="97">
                  <c:v>5545871.7642842699</c:v>
                </c:pt>
                <c:pt idx="98">
                  <c:v>5750006.0828401428</c:v>
                </c:pt>
                <c:pt idx="99">
                  <c:v>5218279.8997168364</c:v>
                </c:pt>
                <c:pt idx="100">
                  <c:v>5520029.7945683422</c:v>
                </c:pt>
                <c:pt idx="101">
                  <c:v>6168517.8771530287</c:v>
                </c:pt>
                <c:pt idx="102">
                  <c:v>6812433.3223410277</c:v>
                </c:pt>
                <c:pt idx="103">
                  <c:v>6705044.4948970787</c:v>
                </c:pt>
                <c:pt idx="104">
                  <c:v>5900027.8978029769</c:v>
                </c:pt>
                <c:pt idx="105">
                  <c:v>5450939.5044245711</c:v>
                </c:pt>
                <c:pt idx="106">
                  <c:v>5413043.0525654973</c:v>
                </c:pt>
                <c:pt idx="107">
                  <c:v>5816560.6540402696</c:v>
                </c:pt>
                <c:pt idx="108">
                  <c:v>6114324.1051047817</c:v>
                </c:pt>
                <c:pt idx="109">
                  <c:v>5577574.5843967069</c:v>
                </c:pt>
                <c:pt idx="110">
                  <c:v>5781469.3350424096</c:v>
                </c:pt>
                <c:pt idx="111">
                  <c:v>5249583.4399789907</c:v>
                </c:pt>
                <c:pt idx="112">
                  <c:v>5551513.0107631227</c:v>
                </c:pt>
                <c:pt idx="113">
                  <c:v>6200699.8330858052</c:v>
                </c:pt>
                <c:pt idx="114">
                  <c:v>6845014.5581240859</c:v>
                </c:pt>
                <c:pt idx="115">
                  <c:v>6738484.1823582444</c:v>
                </c:pt>
                <c:pt idx="116">
                  <c:v>5933587.3692192286</c:v>
                </c:pt>
                <c:pt idx="117">
                  <c:v>5483900.0560653983</c:v>
                </c:pt>
                <c:pt idx="118">
                  <c:v>5445923.7482362678</c:v>
                </c:pt>
                <c:pt idx="119">
                  <c:v>5849361.4937409833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0E-4806-BC4E-B0DA717B46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03716632"/>
        <c:axId val="1"/>
      </c:lineChart>
      <c:dateAx>
        <c:axId val="403716632"/>
        <c:scaling>
          <c:orientation val="minMax"/>
        </c:scaling>
        <c:delete val="0"/>
        <c:axPos val="b"/>
        <c:numFmt formatCode="m/d/yyyy" sourceLinked="0"/>
        <c:majorTickMark val="out"/>
        <c:minorTickMark val="none"/>
        <c:tickLblPos val="nextTo"/>
        <c:crossAx val="1"/>
        <c:crosses val="autoZero"/>
        <c:auto val="1"/>
        <c:lblOffset val="100"/>
        <c:baseTimeUnit val="months"/>
      </c:dateAx>
      <c:valAx>
        <c:axId val="1"/>
        <c:scaling>
          <c:orientation val="minMax"/>
          <c:min val="4000000"/>
        </c:scaling>
        <c:delete val="0"/>
        <c:axPos val="l"/>
        <c:majorGridlines/>
        <c:numFmt formatCode="_(* #,##0_);_(* \(#,##0\);_(* &quot;-&quot;??_);_(@_)" sourceLinked="1"/>
        <c:majorTickMark val="out"/>
        <c:minorTickMark val="none"/>
        <c:tickLblPos val="nextTo"/>
        <c:crossAx val="40371663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'GS &gt; 50 Normalized Monthly'!$C$1</c:f>
              <c:strCache>
                <c:ptCount val="1"/>
                <c:pt idx="0">
                  <c:v> Gross_GSgt50 </c:v>
                </c:pt>
              </c:strCache>
            </c:strRef>
          </c:tx>
          <c:marker>
            <c:symbol val="none"/>
          </c:marker>
          <c:cat>
            <c:numRef>
              <c:f>'GS &gt; 50 Normalized Monthly'!$A$2:$A$121</c:f>
              <c:numCache>
                <c:formatCode>m/d/yyyy</c:formatCode>
                <c:ptCount val="120"/>
                <c:pt idx="0">
                  <c:v>39814</c:v>
                </c:pt>
                <c:pt idx="1">
                  <c:v>39845</c:v>
                </c:pt>
                <c:pt idx="2">
                  <c:v>39873</c:v>
                </c:pt>
                <c:pt idx="3">
                  <c:v>39904</c:v>
                </c:pt>
                <c:pt idx="4">
                  <c:v>39934</c:v>
                </c:pt>
                <c:pt idx="5">
                  <c:v>39965</c:v>
                </c:pt>
                <c:pt idx="6">
                  <c:v>39995</c:v>
                </c:pt>
                <c:pt idx="7">
                  <c:v>40026</c:v>
                </c:pt>
                <c:pt idx="8">
                  <c:v>40057</c:v>
                </c:pt>
                <c:pt idx="9">
                  <c:v>40087</c:v>
                </c:pt>
                <c:pt idx="10">
                  <c:v>40118</c:v>
                </c:pt>
                <c:pt idx="11">
                  <c:v>40148</c:v>
                </c:pt>
                <c:pt idx="12">
                  <c:v>40179</c:v>
                </c:pt>
                <c:pt idx="13">
                  <c:v>40210</c:v>
                </c:pt>
                <c:pt idx="14">
                  <c:v>40238</c:v>
                </c:pt>
                <c:pt idx="15">
                  <c:v>40269</c:v>
                </c:pt>
                <c:pt idx="16">
                  <c:v>40299</c:v>
                </c:pt>
                <c:pt idx="17">
                  <c:v>40330</c:v>
                </c:pt>
                <c:pt idx="18">
                  <c:v>40360</c:v>
                </c:pt>
                <c:pt idx="19">
                  <c:v>40391</c:v>
                </c:pt>
                <c:pt idx="20">
                  <c:v>40422</c:v>
                </c:pt>
                <c:pt idx="21">
                  <c:v>40452</c:v>
                </c:pt>
                <c:pt idx="22">
                  <c:v>40483</c:v>
                </c:pt>
                <c:pt idx="23">
                  <c:v>40513</c:v>
                </c:pt>
                <c:pt idx="24">
                  <c:v>40544</c:v>
                </c:pt>
                <c:pt idx="25">
                  <c:v>40575</c:v>
                </c:pt>
                <c:pt idx="26">
                  <c:v>40603</c:v>
                </c:pt>
                <c:pt idx="27">
                  <c:v>40634</c:v>
                </c:pt>
                <c:pt idx="28">
                  <c:v>40664</c:v>
                </c:pt>
                <c:pt idx="29">
                  <c:v>40695</c:v>
                </c:pt>
                <c:pt idx="30">
                  <c:v>40725</c:v>
                </c:pt>
                <c:pt idx="31">
                  <c:v>40756</c:v>
                </c:pt>
                <c:pt idx="32">
                  <c:v>40787</c:v>
                </c:pt>
                <c:pt idx="33">
                  <c:v>40817</c:v>
                </c:pt>
                <c:pt idx="34">
                  <c:v>40848</c:v>
                </c:pt>
                <c:pt idx="35">
                  <c:v>40878</c:v>
                </c:pt>
                <c:pt idx="36">
                  <c:v>40909</c:v>
                </c:pt>
                <c:pt idx="37">
                  <c:v>40940</c:v>
                </c:pt>
                <c:pt idx="38">
                  <c:v>40969</c:v>
                </c:pt>
                <c:pt idx="39">
                  <c:v>41000</c:v>
                </c:pt>
                <c:pt idx="40">
                  <c:v>41030</c:v>
                </c:pt>
                <c:pt idx="41">
                  <c:v>41061</c:v>
                </c:pt>
                <c:pt idx="42">
                  <c:v>41091</c:v>
                </c:pt>
                <c:pt idx="43">
                  <c:v>41122</c:v>
                </c:pt>
                <c:pt idx="44">
                  <c:v>41153</c:v>
                </c:pt>
                <c:pt idx="45">
                  <c:v>41183</c:v>
                </c:pt>
                <c:pt idx="46">
                  <c:v>41214</c:v>
                </c:pt>
                <c:pt idx="47">
                  <c:v>41244</c:v>
                </c:pt>
                <c:pt idx="48">
                  <c:v>41275</c:v>
                </c:pt>
                <c:pt idx="49">
                  <c:v>41306</c:v>
                </c:pt>
                <c:pt idx="50">
                  <c:v>41334</c:v>
                </c:pt>
                <c:pt idx="51">
                  <c:v>41365</c:v>
                </c:pt>
                <c:pt idx="52">
                  <c:v>41395</c:v>
                </c:pt>
                <c:pt idx="53">
                  <c:v>41426</c:v>
                </c:pt>
                <c:pt idx="54">
                  <c:v>41456</c:v>
                </c:pt>
                <c:pt idx="55">
                  <c:v>41487</c:v>
                </c:pt>
                <c:pt idx="56">
                  <c:v>41518</c:v>
                </c:pt>
                <c:pt idx="57">
                  <c:v>41548</c:v>
                </c:pt>
                <c:pt idx="58">
                  <c:v>41579</c:v>
                </c:pt>
                <c:pt idx="59">
                  <c:v>41609</c:v>
                </c:pt>
                <c:pt idx="60">
                  <c:v>41640</c:v>
                </c:pt>
                <c:pt idx="61">
                  <c:v>41671</c:v>
                </c:pt>
                <c:pt idx="62">
                  <c:v>41699</c:v>
                </c:pt>
                <c:pt idx="63">
                  <c:v>41730</c:v>
                </c:pt>
                <c:pt idx="64">
                  <c:v>41760</c:v>
                </c:pt>
                <c:pt idx="65">
                  <c:v>41791</c:v>
                </c:pt>
                <c:pt idx="66">
                  <c:v>41821</c:v>
                </c:pt>
                <c:pt idx="67">
                  <c:v>41852</c:v>
                </c:pt>
                <c:pt idx="68">
                  <c:v>41883</c:v>
                </c:pt>
                <c:pt idx="69">
                  <c:v>41913</c:v>
                </c:pt>
                <c:pt idx="70">
                  <c:v>41944</c:v>
                </c:pt>
                <c:pt idx="71">
                  <c:v>41974</c:v>
                </c:pt>
                <c:pt idx="72">
                  <c:v>42005</c:v>
                </c:pt>
                <c:pt idx="73">
                  <c:v>42036</c:v>
                </c:pt>
                <c:pt idx="74">
                  <c:v>42064</c:v>
                </c:pt>
                <c:pt idx="75">
                  <c:v>42095</c:v>
                </c:pt>
                <c:pt idx="76">
                  <c:v>42125</c:v>
                </c:pt>
                <c:pt idx="77">
                  <c:v>42156</c:v>
                </c:pt>
                <c:pt idx="78">
                  <c:v>42186</c:v>
                </c:pt>
                <c:pt idx="79">
                  <c:v>42217</c:v>
                </c:pt>
                <c:pt idx="80">
                  <c:v>42248</c:v>
                </c:pt>
                <c:pt idx="81">
                  <c:v>42278</c:v>
                </c:pt>
                <c:pt idx="82">
                  <c:v>42309</c:v>
                </c:pt>
                <c:pt idx="83">
                  <c:v>42339</c:v>
                </c:pt>
                <c:pt idx="84">
                  <c:v>42370</c:v>
                </c:pt>
                <c:pt idx="85">
                  <c:v>42401</c:v>
                </c:pt>
                <c:pt idx="86">
                  <c:v>42430</c:v>
                </c:pt>
                <c:pt idx="87">
                  <c:v>42461</c:v>
                </c:pt>
                <c:pt idx="88">
                  <c:v>42491</c:v>
                </c:pt>
                <c:pt idx="89">
                  <c:v>42522</c:v>
                </c:pt>
                <c:pt idx="90">
                  <c:v>42552</c:v>
                </c:pt>
                <c:pt idx="91">
                  <c:v>42583</c:v>
                </c:pt>
                <c:pt idx="92">
                  <c:v>42614</c:v>
                </c:pt>
                <c:pt idx="93">
                  <c:v>42644</c:v>
                </c:pt>
                <c:pt idx="94">
                  <c:v>42675</c:v>
                </c:pt>
                <c:pt idx="95">
                  <c:v>42705</c:v>
                </c:pt>
                <c:pt idx="96">
                  <c:v>42736</c:v>
                </c:pt>
                <c:pt idx="97">
                  <c:v>42767</c:v>
                </c:pt>
                <c:pt idx="98">
                  <c:v>42795</c:v>
                </c:pt>
                <c:pt idx="99">
                  <c:v>42826</c:v>
                </c:pt>
                <c:pt idx="100">
                  <c:v>42856</c:v>
                </c:pt>
                <c:pt idx="101">
                  <c:v>42887</c:v>
                </c:pt>
                <c:pt idx="102">
                  <c:v>42917</c:v>
                </c:pt>
                <c:pt idx="103">
                  <c:v>42948</c:v>
                </c:pt>
                <c:pt idx="104">
                  <c:v>42979</c:v>
                </c:pt>
                <c:pt idx="105">
                  <c:v>43009</c:v>
                </c:pt>
                <c:pt idx="106">
                  <c:v>43040</c:v>
                </c:pt>
                <c:pt idx="107">
                  <c:v>43070</c:v>
                </c:pt>
                <c:pt idx="108">
                  <c:v>43101</c:v>
                </c:pt>
                <c:pt idx="109">
                  <c:v>43132</c:v>
                </c:pt>
                <c:pt idx="110">
                  <c:v>43160</c:v>
                </c:pt>
                <c:pt idx="111">
                  <c:v>43191</c:v>
                </c:pt>
                <c:pt idx="112">
                  <c:v>43221</c:v>
                </c:pt>
                <c:pt idx="113">
                  <c:v>43252</c:v>
                </c:pt>
                <c:pt idx="114">
                  <c:v>43282</c:v>
                </c:pt>
                <c:pt idx="115">
                  <c:v>43313</c:v>
                </c:pt>
                <c:pt idx="116">
                  <c:v>43344</c:v>
                </c:pt>
                <c:pt idx="117">
                  <c:v>43374</c:v>
                </c:pt>
                <c:pt idx="118">
                  <c:v>43405</c:v>
                </c:pt>
                <c:pt idx="119">
                  <c:v>43435</c:v>
                </c:pt>
              </c:numCache>
            </c:numRef>
          </c:cat>
          <c:val>
            <c:numRef>
              <c:f>'GS &gt; 50 Normalized Monthly'!$C$2:$C$97</c:f>
              <c:numCache>
                <c:formatCode>_(* #,##0_);_(* \(#,##0\);_(* "-"??_);_(@_)</c:formatCode>
                <c:ptCount val="96"/>
                <c:pt idx="0">
                  <c:v>14097033.012462217</c:v>
                </c:pt>
                <c:pt idx="1">
                  <c:v>12607538.392457418</c:v>
                </c:pt>
                <c:pt idx="2">
                  <c:v>13429022.116557317</c:v>
                </c:pt>
                <c:pt idx="3">
                  <c:v>12281549.857111618</c:v>
                </c:pt>
                <c:pt idx="4">
                  <c:v>12599585.861056818</c:v>
                </c:pt>
                <c:pt idx="5">
                  <c:v>13567319.355545716</c:v>
                </c:pt>
                <c:pt idx="6">
                  <c:v>14350399.872788418</c:v>
                </c:pt>
                <c:pt idx="7">
                  <c:v>15846869.236809116</c:v>
                </c:pt>
                <c:pt idx="8">
                  <c:v>14340385.521492418</c:v>
                </c:pt>
                <c:pt idx="9">
                  <c:v>14535093.861762017</c:v>
                </c:pt>
                <c:pt idx="10">
                  <c:v>13933768.375684015</c:v>
                </c:pt>
                <c:pt idx="11">
                  <c:v>13861683.743107518</c:v>
                </c:pt>
                <c:pt idx="12">
                  <c:v>14179965.938707981</c:v>
                </c:pt>
                <c:pt idx="13">
                  <c:v>12772387.686685381</c:v>
                </c:pt>
                <c:pt idx="14">
                  <c:v>13777421.092791181</c:v>
                </c:pt>
                <c:pt idx="15">
                  <c:v>12131054.106289882</c:v>
                </c:pt>
                <c:pt idx="16">
                  <c:v>12960765.690806882</c:v>
                </c:pt>
                <c:pt idx="17">
                  <c:v>14889407.58055778</c:v>
                </c:pt>
                <c:pt idx="18">
                  <c:v>15844471.30334268</c:v>
                </c:pt>
                <c:pt idx="19">
                  <c:v>16457809.899910983</c:v>
                </c:pt>
                <c:pt idx="20">
                  <c:v>13945593.812022582</c:v>
                </c:pt>
                <c:pt idx="21">
                  <c:v>13680357.311501181</c:v>
                </c:pt>
                <c:pt idx="22">
                  <c:v>13943764.881368984</c:v>
                </c:pt>
                <c:pt idx="23">
                  <c:v>13816144.317732083</c:v>
                </c:pt>
                <c:pt idx="24">
                  <c:v>14300120.531601261</c:v>
                </c:pt>
                <c:pt idx="25">
                  <c:v>12823986.900859961</c:v>
                </c:pt>
                <c:pt idx="26">
                  <c:v>13729652.925076362</c:v>
                </c:pt>
                <c:pt idx="27">
                  <c:v>12372493.118964862</c:v>
                </c:pt>
                <c:pt idx="28">
                  <c:v>12952023.395882361</c:v>
                </c:pt>
                <c:pt idx="29">
                  <c:v>13742572.92912866</c:v>
                </c:pt>
                <c:pt idx="30">
                  <c:v>15283419.080539763</c:v>
                </c:pt>
                <c:pt idx="31">
                  <c:v>16123689.71845906</c:v>
                </c:pt>
                <c:pt idx="32">
                  <c:v>15052993.327057259</c:v>
                </c:pt>
                <c:pt idx="33">
                  <c:v>14491842.224375563</c:v>
                </c:pt>
                <c:pt idx="34">
                  <c:v>14078651.005573262</c:v>
                </c:pt>
                <c:pt idx="35">
                  <c:v>12838425.441282462</c:v>
                </c:pt>
                <c:pt idx="36">
                  <c:v>13787865.393137159</c:v>
                </c:pt>
                <c:pt idx="37">
                  <c:v>12675359.092876958</c:v>
                </c:pt>
                <c:pt idx="38">
                  <c:v>12781827.774171758</c:v>
                </c:pt>
                <c:pt idx="39">
                  <c:v>11400354.174002958</c:v>
                </c:pt>
                <c:pt idx="40">
                  <c:v>12880130.856031761</c:v>
                </c:pt>
                <c:pt idx="41">
                  <c:v>14743265.379287858</c:v>
                </c:pt>
                <c:pt idx="42">
                  <c:v>14959296.897546859</c:v>
                </c:pt>
                <c:pt idx="43">
                  <c:v>15427464.10820546</c:v>
                </c:pt>
                <c:pt idx="44">
                  <c:v>13989318.161179857</c:v>
                </c:pt>
                <c:pt idx="45">
                  <c:v>14174576.273356561</c:v>
                </c:pt>
                <c:pt idx="46">
                  <c:v>14174334.11660606</c:v>
                </c:pt>
                <c:pt idx="47">
                  <c:v>12910330.309349159</c:v>
                </c:pt>
                <c:pt idx="48">
                  <c:v>13849091.99800721</c:v>
                </c:pt>
                <c:pt idx="49">
                  <c:v>12913536.665801208</c:v>
                </c:pt>
                <c:pt idx="50">
                  <c:v>13644930.137241308</c:v>
                </c:pt>
                <c:pt idx="51">
                  <c:v>12517016.774652008</c:v>
                </c:pt>
                <c:pt idx="52">
                  <c:v>13122967.337625708</c:v>
                </c:pt>
                <c:pt idx="53">
                  <c:v>13706309.307653708</c:v>
                </c:pt>
                <c:pt idx="54">
                  <c:v>14308336.935974209</c:v>
                </c:pt>
                <c:pt idx="55">
                  <c:v>14823345.522277808</c:v>
                </c:pt>
                <c:pt idx="56">
                  <c:v>17407710.791521009</c:v>
                </c:pt>
                <c:pt idx="57">
                  <c:v>14654921.464652408</c:v>
                </c:pt>
                <c:pt idx="58">
                  <c:v>14053596.57630801</c:v>
                </c:pt>
                <c:pt idx="59">
                  <c:v>14070719.674795508</c:v>
                </c:pt>
                <c:pt idx="60">
                  <c:v>14875645.707828557</c:v>
                </c:pt>
                <c:pt idx="61">
                  <c:v>13682562.631763957</c:v>
                </c:pt>
                <c:pt idx="62">
                  <c:v>14325269.380689258</c:v>
                </c:pt>
                <c:pt idx="63">
                  <c:v>12347342.329740856</c:v>
                </c:pt>
                <c:pt idx="64">
                  <c:v>13027047.197540756</c:v>
                </c:pt>
                <c:pt idx="65">
                  <c:v>14734221.274116758</c:v>
                </c:pt>
                <c:pt idx="66">
                  <c:v>14543861.212159758</c:v>
                </c:pt>
                <c:pt idx="67">
                  <c:v>15553654.723300757</c:v>
                </c:pt>
                <c:pt idx="68">
                  <c:v>15488003.303288059</c:v>
                </c:pt>
                <c:pt idx="69">
                  <c:v>14136513.320189355</c:v>
                </c:pt>
                <c:pt idx="70">
                  <c:v>14316064.015974456</c:v>
                </c:pt>
                <c:pt idx="71">
                  <c:v>14393324.346090155</c:v>
                </c:pt>
                <c:pt idx="72">
                  <c:v>15292979.442877699</c:v>
                </c:pt>
                <c:pt idx="73">
                  <c:v>13718905.410599297</c:v>
                </c:pt>
                <c:pt idx="74">
                  <c:v>14249105.727115598</c:v>
                </c:pt>
                <c:pt idx="75">
                  <c:v>13550882.035712998</c:v>
                </c:pt>
                <c:pt idx="76">
                  <c:v>14127007.598327398</c:v>
                </c:pt>
                <c:pt idx="77">
                  <c:v>14819671.828454498</c:v>
                </c:pt>
                <c:pt idx="78">
                  <c:v>17164140.077347599</c:v>
                </c:pt>
                <c:pt idx="79">
                  <c:v>17217721.319291797</c:v>
                </c:pt>
                <c:pt idx="80">
                  <c:v>17819369.446930595</c:v>
                </c:pt>
                <c:pt idx="81">
                  <c:v>15846417.326269798</c:v>
                </c:pt>
                <c:pt idx="82">
                  <c:v>15229786.954621598</c:v>
                </c:pt>
                <c:pt idx="83">
                  <c:v>14365011.014332298</c:v>
                </c:pt>
                <c:pt idx="84">
                  <c:v>15431424.738603622</c:v>
                </c:pt>
                <c:pt idx="85">
                  <c:v>15030864.146966521</c:v>
                </c:pt>
                <c:pt idx="86">
                  <c:v>15122357.521874521</c:v>
                </c:pt>
                <c:pt idx="87">
                  <c:v>14803652.51585792</c:v>
                </c:pt>
                <c:pt idx="88">
                  <c:v>15283276.211668622</c:v>
                </c:pt>
                <c:pt idx="89">
                  <c:v>17013951.366398223</c:v>
                </c:pt>
                <c:pt idx="90">
                  <c:v>18981418.061228823</c:v>
                </c:pt>
                <c:pt idx="91">
                  <c:v>21159046.159141023</c:v>
                </c:pt>
                <c:pt idx="92">
                  <c:v>20280486.904661123</c:v>
                </c:pt>
                <c:pt idx="93">
                  <c:v>17866088.555173323</c:v>
                </c:pt>
                <c:pt idx="94">
                  <c:v>16907552.106454022</c:v>
                </c:pt>
                <c:pt idx="95">
                  <c:v>16478686.250430923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F0-4165-A19D-E4D726851C4F}"/>
            </c:ext>
          </c:extLst>
        </c:ser>
        <c:ser>
          <c:idx val="1"/>
          <c:order val="1"/>
          <c:tx>
            <c:strRef>
              <c:f>'GS &gt; 50 Normalized Monthly'!$Z$1</c:f>
              <c:strCache>
                <c:ptCount val="1"/>
                <c:pt idx="0">
                  <c:v> Normalized kWh </c:v>
                </c:pt>
              </c:strCache>
            </c:strRef>
          </c:tx>
          <c:marker>
            <c:symbol val="none"/>
          </c:marker>
          <c:cat>
            <c:numRef>
              <c:f>'GS &gt; 50 Normalized Monthly'!$A$2:$A$121</c:f>
              <c:numCache>
                <c:formatCode>m/d/yyyy</c:formatCode>
                <c:ptCount val="120"/>
                <c:pt idx="0">
                  <c:v>39814</c:v>
                </c:pt>
                <c:pt idx="1">
                  <c:v>39845</c:v>
                </c:pt>
                <c:pt idx="2">
                  <c:v>39873</c:v>
                </c:pt>
                <c:pt idx="3">
                  <c:v>39904</c:v>
                </c:pt>
                <c:pt idx="4">
                  <c:v>39934</c:v>
                </c:pt>
                <c:pt idx="5">
                  <c:v>39965</c:v>
                </c:pt>
                <c:pt idx="6">
                  <c:v>39995</c:v>
                </c:pt>
                <c:pt idx="7">
                  <c:v>40026</c:v>
                </c:pt>
                <c:pt idx="8">
                  <c:v>40057</c:v>
                </c:pt>
                <c:pt idx="9">
                  <c:v>40087</c:v>
                </c:pt>
                <c:pt idx="10">
                  <c:v>40118</c:v>
                </c:pt>
                <c:pt idx="11">
                  <c:v>40148</c:v>
                </c:pt>
                <c:pt idx="12">
                  <c:v>40179</c:v>
                </c:pt>
                <c:pt idx="13">
                  <c:v>40210</c:v>
                </c:pt>
                <c:pt idx="14">
                  <c:v>40238</c:v>
                </c:pt>
                <c:pt idx="15">
                  <c:v>40269</c:v>
                </c:pt>
                <c:pt idx="16">
                  <c:v>40299</c:v>
                </c:pt>
                <c:pt idx="17">
                  <c:v>40330</c:v>
                </c:pt>
                <c:pt idx="18">
                  <c:v>40360</c:v>
                </c:pt>
                <c:pt idx="19">
                  <c:v>40391</c:v>
                </c:pt>
                <c:pt idx="20">
                  <c:v>40422</c:v>
                </c:pt>
                <c:pt idx="21">
                  <c:v>40452</c:v>
                </c:pt>
                <c:pt idx="22">
                  <c:v>40483</c:v>
                </c:pt>
                <c:pt idx="23">
                  <c:v>40513</c:v>
                </c:pt>
                <c:pt idx="24">
                  <c:v>40544</c:v>
                </c:pt>
                <c:pt idx="25">
                  <c:v>40575</c:v>
                </c:pt>
                <c:pt idx="26">
                  <c:v>40603</c:v>
                </c:pt>
                <c:pt idx="27">
                  <c:v>40634</c:v>
                </c:pt>
                <c:pt idx="28">
                  <c:v>40664</c:v>
                </c:pt>
                <c:pt idx="29">
                  <c:v>40695</c:v>
                </c:pt>
                <c:pt idx="30">
                  <c:v>40725</c:v>
                </c:pt>
                <c:pt idx="31">
                  <c:v>40756</c:v>
                </c:pt>
                <c:pt idx="32">
                  <c:v>40787</c:v>
                </c:pt>
                <c:pt idx="33">
                  <c:v>40817</c:v>
                </c:pt>
                <c:pt idx="34">
                  <c:v>40848</c:v>
                </c:pt>
                <c:pt idx="35">
                  <c:v>40878</c:v>
                </c:pt>
                <c:pt idx="36">
                  <c:v>40909</c:v>
                </c:pt>
                <c:pt idx="37">
                  <c:v>40940</c:v>
                </c:pt>
                <c:pt idx="38">
                  <c:v>40969</c:v>
                </c:pt>
                <c:pt idx="39">
                  <c:v>41000</c:v>
                </c:pt>
                <c:pt idx="40">
                  <c:v>41030</c:v>
                </c:pt>
                <c:pt idx="41">
                  <c:v>41061</c:v>
                </c:pt>
                <c:pt idx="42">
                  <c:v>41091</c:v>
                </c:pt>
                <c:pt idx="43">
                  <c:v>41122</c:v>
                </c:pt>
                <c:pt idx="44">
                  <c:v>41153</c:v>
                </c:pt>
                <c:pt idx="45">
                  <c:v>41183</c:v>
                </c:pt>
                <c:pt idx="46">
                  <c:v>41214</c:v>
                </c:pt>
                <c:pt idx="47">
                  <c:v>41244</c:v>
                </c:pt>
                <c:pt idx="48">
                  <c:v>41275</c:v>
                </c:pt>
                <c:pt idx="49">
                  <c:v>41306</c:v>
                </c:pt>
                <c:pt idx="50">
                  <c:v>41334</c:v>
                </c:pt>
                <c:pt idx="51">
                  <c:v>41365</c:v>
                </c:pt>
                <c:pt idx="52">
                  <c:v>41395</c:v>
                </c:pt>
                <c:pt idx="53">
                  <c:v>41426</c:v>
                </c:pt>
                <c:pt idx="54">
                  <c:v>41456</c:v>
                </c:pt>
                <c:pt idx="55">
                  <c:v>41487</c:v>
                </c:pt>
                <c:pt idx="56">
                  <c:v>41518</c:v>
                </c:pt>
                <c:pt idx="57">
                  <c:v>41548</c:v>
                </c:pt>
                <c:pt idx="58">
                  <c:v>41579</c:v>
                </c:pt>
                <c:pt idx="59">
                  <c:v>41609</c:v>
                </c:pt>
                <c:pt idx="60">
                  <c:v>41640</c:v>
                </c:pt>
                <c:pt idx="61">
                  <c:v>41671</c:v>
                </c:pt>
                <c:pt idx="62">
                  <c:v>41699</c:v>
                </c:pt>
                <c:pt idx="63">
                  <c:v>41730</c:v>
                </c:pt>
                <c:pt idx="64">
                  <c:v>41760</c:v>
                </c:pt>
                <c:pt idx="65">
                  <c:v>41791</c:v>
                </c:pt>
                <c:pt idx="66">
                  <c:v>41821</c:v>
                </c:pt>
                <c:pt idx="67">
                  <c:v>41852</c:v>
                </c:pt>
                <c:pt idx="68">
                  <c:v>41883</c:v>
                </c:pt>
                <c:pt idx="69">
                  <c:v>41913</c:v>
                </c:pt>
                <c:pt idx="70">
                  <c:v>41944</c:v>
                </c:pt>
                <c:pt idx="71">
                  <c:v>41974</c:v>
                </c:pt>
                <c:pt idx="72">
                  <c:v>42005</c:v>
                </c:pt>
                <c:pt idx="73">
                  <c:v>42036</c:v>
                </c:pt>
                <c:pt idx="74">
                  <c:v>42064</c:v>
                </c:pt>
                <c:pt idx="75">
                  <c:v>42095</c:v>
                </c:pt>
                <c:pt idx="76">
                  <c:v>42125</c:v>
                </c:pt>
                <c:pt idx="77">
                  <c:v>42156</c:v>
                </c:pt>
                <c:pt idx="78">
                  <c:v>42186</c:v>
                </c:pt>
                <c:pt idx="79">
                  <c:v>42217</c:v>
                </c:pt>
                <c:pt idx="80">
                  <c:v>42248</c:v>
                </c:pt>
                <c:pt idx="81">
                  <c:v>42278</c:v>
                </c:pt>
                <c:pt idx="82">
                  <c:v>42309</c:v>
                </c:pt>
                <c:pt idx="83">
                  <c:v>42339</c:v>
                </c:pt>
                <c:pt idx="84">
                  <c:v>42370</c:v>
                </c:pt>
                <c:pt idx="85">
                  <c:v>42401</c:v>
                </c:pt>
                <c:pt idx="86">
                  <c:v>42430</c:v>
                </c:pt>
                <c:pt idx="87">
                  <c:v>42461</c:v>
                </c:pt>
                <c:pt idx="88">
                  <c:v>42491</c:v>
                </c:pt>
                <c:pt idx="89">
                  <c:v>42522</c:v>
                </c:pt>
                <c:pt idx="90">
                  <c:v>42552</c:v>
                </c:pt>
                <c:pt idx="91">
                  <c:v>42583</c:v>
                </c:pt>
                <c:pt idx="92">
                  <c:v>42614</c:v>
                </c:pt>
                <c:pt idx="93">
                  <c:v>42644</c:v>
                </c:pt>
                <c:pt idx="94">
                  <c:v>42675</c:v>
                </c:pt>
                <c:pt idx="95">
                  <c:v>42705</c:v>
                </c:pt>
                <c:pt idx="96">
                  <c:v>42736</c:v>
                </c:pt>
                <c:pt idx="97">
                  <c:v>42767</c:v>
                </c:pt>
                <c:pt idx="98">
                  <c:v>42795</c:v>
                </c:pt>
                <c:pt idx="99">
                  <c:v>42826</c:v>
                </c:pt>
                <c:pt idx="100">
                  <c:v>42856</c:v>
                </c:pt>
                <c:pt idx="101">
                  <c:v>42887</c:v>
                </c:pt>
                <c:pt idx="102">
                  <c:v>42917</c:v>
                </c:pt>
                <c:pt idx="103">
                  <c:v>42948</c:v>
                </c:pt>
                <c:pt idx="104">
                  <c:v>42979</c:v>
                </c:pt>
                <c:pt idx="105">
                  <c:v>43009</c:v>
                </c:pt>
                <c:pt idx="106">
                  <c:v>43040</c:v>
                </c:pt>
                <c:pt idx="107">
                  <c:v>43070</c:v>
                </c:pt>
                <c:pt idx="108">
                  <c:v>43101</c:v>
                </c:pt>
                <c:pt idx="109">
                  <c:v>43132</c:v>
                </c:pt>
                <c:pt idx="110">
                  <c:v>43160</c:v>
                </c:pt>
                <c:pt idx="111">
                  <c:v>43191</c:v>
                </c:pt>
                <c:pt idx="112">
                  <c:v>43221</c:v>
                </c:pt>
                <c:pt idx="113">
                  <c:v>43252</c:v>
                </c:pt>
                <c:pt idx="114">
                  <c:v>43282</c:v>
                </c:pt>
                <c:pt idx="115">
                  <c:v>43313</c:v>
                </c:pt>
                <c:pt idx="116">
                  <c:v>43344</c:v>
                </c:pt>
                <c:pt idx="117">
                  <c:v>43374</c:v>
                </c:pt>
                <c:pt idx="118">
                  <c:v>43405</c:v>
                </c:pt>
                <c:pt idx="119">
                  <c:v>43435</c:v>
                </c:pt>
              </c:numCache>
            </c:numRef>
          </c:cat>
          <c:val>
            <c:numRef>
              <c:f>'GS &gt; 50 Normalized Monthly'!$Z$2:$Z$121</c:f>
              <c:numCache>
                <c:formatCode>_(* #,##0_);_(* \(#,##0\);_(* "-"??_);_(@_)</c:formatCode>
                <c:ptCount val="120"/>
                <c:pt idx="0">
                  <c:v>14192716.302433945</c:v>
                </c:pt>
                <c:pt idx="1">
                  <c:v>13511781.147443101</c:v>
                </c:pt>
                <c:pt idx="2">
                  <c:v>12339740.64906073</c:v>
                </c:pt>
                <c:pt idx="3">
                  <c:v>12172823.613324899</c:v>
                </c:pt>
                <c:pt idx="4">
                  <c:v>12102647.767719815</c:v>
                </c:pt>
                <c:pt idx="5">
                  <c:v>13556668.307521423</c:v>
                </c:pt>
                <c:pt idx="6">
                  <c:v>14247408.272489142</c:v>
                </c:pt>
                <c:pt idx="7">
                  <c:v>15876605.367133832</c:v>
                </c:pt>
                <c:pt idx="8">
                  <c:v>15089924.889515428</c:v>
                </c:pt>
                <c:pt idx="9">
                  <c:v>13824949.211532256</c:v>
                </c:pt>
                <c:pt idx="10">
                  <c:v>14586911.326955872</c:v>
                </c:pt>
                <c:pt idx="11">
                  <c:v>13325104.134190623</c:v>
                </c:pt>
                <c:pt idx="12">
                  <c:v>13344939.032053584</c:v>
                </c:pt>
                <c:pt idx="13">
                  <c:v>12282161.402680388</c:v>
                </c:pt>
                <c:pt idx="14">
                  <c:v>12527594.173445681</c:v>
                </c:pt>
                <c:pt idx="15">
                  <c:v>12376664.789974818</c:v>
                </c:pt>
                <c:pt idx="16">
                  <c:v>12643705.383159023</c:v>
                </c:pt>
                <c:pt idx="17">
                  <c:v>13708277.697856683</c:v>
                </c:pt>
                <c:pt idx="18">
                  <c:v>14635651.283093231</c:v>
                </c:pt>
                <c:pt idx="19">
                  <c:v>15496662.281538716</c:v>
                </c:pt>
                <c:pt idx="20">
                  <c:v>14947391.575010914</c:v>
                </c:pt>
                <c:pt idx="21">
                  <c:v>14164841.189930551</c:v>
                </c:pt>
                <c:pt idx="22">
                  <c:v>13627064.733224589</c:v>
                </c:pt>
                <c:pt idx="23">
                  <c:v>13354089.604662409</c:v>
                </c:pt>
                <c:pt idx="24">
                  <c:v>13962597.98761579</c:v>
                </c:pt>
                <c:pt idx="25">
                  <c:v>12891826.532110112</c:v>
                </c:pt>
                <c:pt idx="26">
                  <c:v>13263375.90143686</c:v>
                </c:pt>
                <c:pt idx="27">
                  <c:v>12718497.145427549</c:v>
                </c:pt>
                <c:pt idx="28">
                  <c:v>12935246.329351522</c:v>
                </c:pt>
                <c:pt idx="29">
                  <c:v>13991824.817916701</c:v>
                </c:pt>
                <c:pt idx="30">
                  <c:v>15238098.737212241</c:v>
                </c:pt>
                <c:pt idx="31">
                  <c:v>16284287.720433669</c:v>
                </c:pt>
                <c:pt idx="32">
                  <c:v>15659579.900015529</c:v>
                </c:pt>
                <c:pt idx="33">
                  <c:v>14581334.508451849</c:v>
                </c:pt>
                <c:pt idx="34">
                  <c:v>14042005.750102339</c:v>
                </c:pt>
                <c:pt idx="35">
                  <c:v>14147768.492635414</c:v>
                </c:pt>
                <c:pt idx="36">
                  <c:v>14133299.633503113</c:v>
                </c:pt>
                <c:pt idx="37">
                  <c:v>13137965.291887773</c:v>
                </c:pt>
                <c:pt idx="38">
                  <c:v>13018707.466768343</c:v>
                </c:pt>
                <c:pt idx="39">
                  <c:v>12615156.810763683</c:v>
                </c:pt>
                <c:pt idx="40">
                  <c:v>12924883.062486513</c:v>
                </c:pt>
                <c:pt idx="41">
                  <c:v>13804277.392408233</c:v>
                </c:pt>
                <c:pt idx="42">
                  <c:v>14915664.736188062</c:v>
                </c:pt>
                <c:pt idx="43">
                  <c:v>15953083.742455233</c:v>
                </c:pt>
                <c:pt idx="44">
                  <c:v>15487243.975950258</c:v>
                </c:pt>
                <c:pt idx="45">
                  <c:v>14527509.432226438</c:v>
                </c:pt>
                <c:pt idx="46">
                  <c:v>14208826.641880788</c:v>
                </c:pt>
                <c:pt idx="47">
                  <c:v>13776207.308583668</c:v>
                </c:pt>
                <c:pt idx="48">
                  <c:v>13661543.706341799</c:v>
                </c:pt>
                <c:pt idx="49">
                  <c:v>12682973.167813201</c:v>
                </c:pt>
                <c:pt idx="50">
                  <c:v>13096432.044856805</c:v>
                </c:pt>
                <c:pt idx="51">
                  <c:v>13089159.213855915</c:v>
                </c:pt>
                <c:pt idx="52">
                  <c:v>13170245.671442403</c:v>
                </c:pt>
                <c:pt idx="53">
                  <c:v>14370092.637066668</c:v>
                </c:pt>
                <c:pt idx="54">
                  <c:v>15388890.988458524</c:v>
                </c:pt>
                <c:pt idx="55">
                  <c:v>16283817.668488381</c:v>
                </c:pt>
                <c:pt idx="56">
                  <c:v>15803542.551361987</c:v>
                </c:pt>
                <c:pt idx="57">
                  <c:v>14792740.447556166</c:v>
                </c:pt>
                <c:pt idx="58">
                  <c:v>14541112.869557485</c:v>
                </c:pt>
                <c:pt idx="59">
                  <c:v>14747458.430611016</c:v>
                </c:pt>
                <c:pt idx="60">
                  <c:v>14724219.594524458</c:v>
                </c:pt>
                <c:pt idx="61">
                  <c:v>13518561.563503062</c:v>
                </c:pt>
                <c:pt idx="62">
                  <c:v>13907650.886738326</c:v>
                </c:pt>
                <c:pt idx="63">
                  <c:v>13219115.57825904</c:v>
                </c:pt>
                <c:pt idx="64">
                  <c:v>13495314.223808389</c:v>
                </c:pt>
                <c:pt idx="65">
                  <c:v>14409400.38613626</c:v>
                </c:pt>
                <c:pt idx="66">
                  <c:v>15545157.283724425</c:v>
                </c:pt>
                <c:pt idx="67">
                  <c:v>16523902.979187995</c:v>
                </c:pt>
                <c:pt idx="68">
                  <c:v>16226865.469783109</c:v>
                </c:pt>
                <c:pt idx="69">
                  <c:v>15410011.327707488</c:v>
                </c:pt>
                <c:pt idx="70">
                  <c:v>14507932.350527689</c:v>
                </c:pt>
                <c:pt idx="71">
                  <c:v>14706284.085448733</c:v>
                </c:pt>
                <c:pt idx="72">
                  <c:v>15012267.862018978</c:v>
                </c:pt>
                <c:pt idx="73">
                  <c:v>13991011.664951749</c:v>
                </c:pt>
                <c:pt idx="74">
                  <c:v>14169389.22337007</c:v>
                </c:pt>
                <c:pt idx="75">
                  <c:v>13716323.308926957</c:v>
                </c:pt>
                <c:pt idx="76">
                  <c:v>14109092.425261728</c:v>
                </c:pt>
                <c:pt idx="77">
                  <c:v>15450655.56630153</c:v>
                </c:pt>
                <c:pt idx="78">
                  <c:v>16486217.720780129</c:v>
                </c:pt>
                <c:pt idx="79">
                  <c:v>17206288.694631852</c:v>
                </c:pt>
                <c:pt idx="80">
                  <c:v>16744329.682235748</c:v>
                </c:pt>
                <c:pt idx="81">
                  <c:v>15194757.427188842</c:v>
                </c:pt>
                <c:pt idx="82">
                  <c:v>14876074.636843193</c:v>
                </c:pt>
                <c:pt idx="83">
                  <c:v>14822193.174641326</c:v>
                </c:pt>
                <c:pt idx="84">
                  <c:v>14958210.467878822</c:v>
                </c:pt>
                <c:pt idx="85">
                  <c:v>14088216.574003164</c:v>
                </c:pt>
                <c:pt idx="86">
                  <c:v>14635785.875740711</c:v>
                </c:pt>
                <c:pt idx="87">
                  <c:v>14569839.73393622</c:v>
                </c:pt>
                <c:pt idx="88">
                  <c:v>15072349.721156593</c:v>
                </c:pt>
                <c:pt idx="89">
                  <c:v>16397149.059109651</c:v>
                </c:pt>
                <c:pt idx="90">
                  <c:v>18892482.065863661</c:v>
                </c:pt>
                <c:pt idx="91">
                  <c:v>18527639.304426357</c:v>
                </c:pt>
                <c:pt idx="92">
                  <c:v>17903319.559419107</c:v>
                </c:pt>
                <c:pt idx="93">
                  <c:v>16784328.886371229</c:v>
                </c:pt>
                <c:pt idx="94">
                  <c:v>16096454.352706358</c:v>
                </c:pt>
                <c:pt idx="95">
                  <c:v>15689756.874861125</c:v>
                </c:pt>
                <c:pt idx="96">
                  <c:v>15771906.260800611</c:v>
                </c:pt>
                <c:pt idx="97">
                  <c:v>14658837.222167186</c:v>
                </c:pt>
                <c:pt idx="98">
                  <c:v>14988089.00836619</c:v>
                </c:pt>
                <c:pt idx="99">
                  <c:v>14442822.176945994</c:v>
                </c:pt>
                <c:pt idx="100">
                  <c:v>14684717.065500081</c:v>
                </c:pt>
                <c:pt idx="101">
                  <c:v>15866636.001804942</c:v>
                </c:pt>
                <c:pt idx="102">
                  <c:v>16943719.588589512</c:v>
                </c:pt>
                <c:pt idx="103">
                  <c:v>18258129.421198819</c:v>
                </c:pt>
                <c:pt idx="104">
                  <c:v>17784683.903972249</c:v>
                </c:pt>
                <c:pt idx="105">
                  <c:v>15107038.447032576</c:v>
                </c:pt>
                <c:pt idx="106">
                  <c:v>16111929.121953441</c:v>
                </c:pt>
                <c:pt idx="107">
                  <c:v>15923161.084235862</c:v>
                </c:pt>
                <c:pt idx="108">
                  <c:v>16144665.175698034</c:v>
                </c:pt>
                <c:pt idx="109">
                  <c:v>15029207.295124751</c:v>
                </c:pt>
                <c:pt idx="110">
                  <c:v>15356950.339045947</c:v>
                </c:pt>
                <c:pt idx="111">
                  <c:v>14810677.679440545</c:v>
                </c:pt>
                <c:pt idx="112">
                  <c:v>15053704.12470299</c:v>
                </c:pt>
                <c:pt idx="113">
                  <c:v>16240023.559318118</c:v>
                </c:pt>
                <c:pt idx="114">
                  <c:v>17319621.716565698</c:v>
                </c:pt>
                <c:pt idx="115">
                  <c:v>18639437.875670481</c:v>
                </c:pt>
                <c:pt idx="116">
                  <c:v>18166746.729582816</c:v>
                </c:pt>
                <c:pt idx="117">
                  <c:v>15485329.416948626</c:v>
                </c:pt>
                <c:pt idx="118">
                  <c:v>16489717.177776888</c:v>
                </c:pt>
                <c:pt idx="119">
                  <c:v>16300446.225966707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F0-4165-A19D-E4D726851C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03719584"/>
        <c:axId val="1"/>
      </c:lineChart>
      <c:dateAx>
        <c:axId val="403719584"/>
        <c:scaling>
          <c:orientation val="minMax"/>
        </c:scaling>
        <c:delete val="0"/>
        <c:axPos val="b"/>
        <c:numFmt formatCode="m/d/yyyy" sourceLinked="0"/>
        <c:majorTickMark val="out"/>
        <c:minorTickMark val="none"/>
        <c:tickLblPos val="nextTo"/>
        <c:crossAx val="1"/>
        <c:crosses val="autoZero"/>
        <c:auto val="1"/>
        <c:lblOffset val="100"/>
        <c:baseTimeUnit val="months"/>
      </c:dateAx>
      <c:valAx>
        <c:axId val="1"/>
        <c:scaling>
          <c:orientation val="minMax"/>
          <c:min val="10000000"/>
        </c:scaling>
        <c:delete val="0"/>
        <c:axPos val="l"/>
        <c:majorGridlines/>
        <c:numFmt formatCode="_(* #,##0_);_(* \(#,##0\);_(* &quot;-&quot;??_);_(@_)" sourceLinked="1"/>
        <c:majorTickMark val="out"/>
        <c:minorTickMark val="none"/>
        <c:tickLblPos val="nextTo"/>
        <c:crossAx val="40371958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447675</xdr:colOff>
      <xdr:row>7</xdr:row>
      <xdr:rowOff>114300</xdr:rowOff>
    </xdr:from>
    <xdr:to>
      <xdr:col>28</xdr:col>
      <xdr:colOff>219075</xdr:colOff>
      <xdr:row>24</xdr:row>
      <xdr:rowOff>104775</xdr:rowOff>
    </xdr:to>
    <xdr:graphicFrame macro="">
      <xdr:nvGraphicFramePr>
        <xdr:cNvPr id="3075" name="Chart 1">
          <a:extLst>
            <a:ext uri="{FF2B5EF4-FFF2-40B4-BE49-F238E27FC236}">
              <a16:creationId xmlns:a16="http://schemas.microsoft.com/office/drawing/2014/main" id="{661B68BB-0945-4BF7-BD55-F321E05796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514350</xdr:colOff>
      <xdr:row>13</xdr:row>
      <xdr:rowOff>28575</xdr:rowOff>
    </xdr:from>
    <xdr:to>
      <xdr:col>31</xdr:col>
      <xdr:colOff>285750</xdr:colOff>
      <xdr:row>30</xdr:row>
      <xdr:rowOff>19050</xdr:rowOff>
    </xdr:to>
    <xdr:graphicFrame macro="">
      <xdr:nvGraphicFramePr>
        <xdr:cNvPr id="4099" name="Chart 1">
          <a:extLst>
            <a:ext uri="{FF2B5EF4-FFF2-40B4-BE49-F238E27FC236}">
              <a16:creationId xmlns:a16="http://schemas.microsoft.com/office/drawing/2014/main" id="{BA3FB0F9-4AEB-4086-8E63-5FB020EB6A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114300</xdr:colOff>
      <xdr:row>8</xdr:row>
      <xdr:rowOff>19050</xdr:rowOff>
    </xdr:from>
    <xdr:to>
      <xdr:col>35</xdr:col>
      <xdr:colOff>419100</xdr:colOff>
      <xdr:row>25</xdr:row>
      <xdr:rowOff>9525</xdr:rowOff>
    </xdr:to>
    <xdr:graphicFrame macro="">
      <xdr:nvGraphicFramePr>
        <xdr:cNvPr id="5123" name="Chart 1">
          <a:extLst>
            <a:ext uri="{FF2B5EF4-FFF2-40B4-BE49-F238E27FC236}">
              <a16:creationId xmlns:a16="http://schemas.microsoft.com/office/drawing/2014/main" id="{74DAD5F2-8868-4091-BC09-225AA97D62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15</xdr:row>
      <xdr:rowOff>133350</xdr:rowOff>
    </xdr:from>
    <xdr:to>
      <xdr:col>9</xdr:col>
      <xdr:colOff>400050</xdr:colOff>
      <xdr:row>32</xdr:row>
      <xdr:rowOff>123825</xdr:rowOff>
    </xdr:to>
    <xdr:graphicFrame macro="">
      <xdr:nvGraphicFramePr>
        <xdr:cNvPr id="6151" name="Chart 1">
          <a:extLst>
            <a:ext uri="{FF2B5EF4-FFF2-40B4-BE49-F238E27FC236}">
              <a16:creationId xmlns:a16="http://schemas.microsoft.com/office/drawing/2014/main" id="{4400CFBC-00AE-4158-BF92-AB1CC620EC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600075</xdr:colOff>
      <xdr:row>34</xdr:row>
      <xdr:rowOff>38100</xdr:rowOff>
    </xdr:from>
    <xdr:to>
      <xdr:col>13</xdr:col>
      <xdr:colOff>190500</xdr:colOff>
      <xdr:row>51</xdr:row>
      <xdr:rowOff>28575</xdr:rowOff>
    </xdr:to>
    <xdr:graphicFrame macro="">
      <xdr:nvGraphicFramePr>
        <xdr:cNvPr id="6152" name="Chart 2">
          <a:extLst>
            <a:ext uri="{FF2B5EF4-FFF2-40B4-BE49-F238E27FC236}">
              <a16:creationId xmlns:a16="http://schemas.microsoft.com/office/drawing/2014/main" id="{1BB41B9B-7F8C-4174-9441-3118A1860A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161925</xdr:colOff>
      <xdr:row>15</xdr:row>
      <xdr:rowOff>95250</xdr:rowOff>
    </xdr:from>
    <xdr:to>
      <xdr:col>18</xdr:col>
      <xdr:colOff>180975</xdr:colOff>
      <xdr:row>32</xdr:row>
      <xdr:rowOff>76200</xdr:rowOff>
    </xdr:to>
    <xdr:graphicFrame macro="">
      <xdr:nvGraphicFramePr>
        <xdr:cNvPr id="6153" name="Chart 3">
          <a:extLst>
            <a:ext uri="{FF2B5EF4-FFF2-40B4-BE49-F238E27FC236}">
              <a16:creationId xmlns:a16="http://schemas.microsoft.com/office/drawing/2014/main" id="{4917A994-9139-403C-A255-07D5D67A09B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485775</xdr:colOff>
      <xdr:row>7</xdr:row>
      <xdr:rowOff>95250</xdr:rowOff>
    </xdr:from>
    <xdr:to>
      <xdr:col>29</xdr:col>
      <xdr:colOff>352425</xdr:colOff>
      <xdr:row>25</xdr:row>
      <xdr:rowOff>57150</xdr:rowOff>
    </xdr:to>
    <xdr:graphicFrame macro="">
      <xdr:nvGraphicFramePr>
        <xdr:cNvPr id="7171" name="Chart 1">
          <a:extLst>
            <a:ext uri="{FF2B5EF4-FFF2-40B4-BE49-F238E27FC236}">
              <a16:creationId xmlns:a16="http://schemas.microsoft.com/office/drawing/2014/main" id="{8E0DB76E-E7F4-4141-9A99-B143B70DAC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514350</xdr:colOff>
      <xdr:row>13</xdr:row>
      <xdr:rowOff>28575</xdr:rowOff>
    </xdr:from>
    <xdr:to>
      <xdr:col>33</xdr:col>
      <xdr:colOff>447675</xdr:colOff>
      <xdr:row>33</xdr:row>
      <xdr:rowOff>19050</xdr:rowOff>
    </xdr:to>
    <xdr:graphicFrame macro="">
      <xdr:nvGraphicFramePr>
        <xdr:cNvPr id="8195" name="Chart 1">
          <a:extLst>
            <a:ext uri="{FF2B5EF4-FFF2-40B4-BE49-F238E27FC236}">
              <a16:creationId xmlns:a16="http://schemas.microsoft.com/office/drawing/2014/main" id="{744E050B-3CE3-4CFA-8E12-E59442BAAE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209550</xdr:colOff>
      <xdr:row>8</xdr:row>
      <xdr:rowOff>85725</xdr:rowOff>
    </xdr:from>
    <xdr:to>
      <xdr:col>36</xdr:col>
      <xdr:colOff>514350</xdr:colOff>
      <xdr:row>25</xdr:row>
      <xdr:rowOff>76200</xdr:rowOff>
    </xdr:to>
    <xdr:graphicFrame macro="">
      <xdr:nvGraphicFramePr>
        <xdr:cNvPr id="9219" name="Chart 1">
          <a:extLst>
            <a:ext uri="{FF2B5EF4-FFF2-40B4-BE49-F238E27FC236}">
              <a16:creationId xmlns:a16="http://schemas.microsoft.com/office/drawing/2014/main" id="{A07DB59A-2DD1-4F3E-955D-D925F56559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16</xdr:row>
      <xdr:rowOff>0</xdr:rowOff>
    </xdr:from>
    <xdr:to>
      <xdr:col>7</xdr:col>
      <xdr:colOff>504825</xdr:colOff>
      <xdr:row>32</xdr:row>
      <xdr:rowOff>152400</xdr:rowOff>
    </xdr:to>
    <xdr:graphicFrame macro="">
      <xdr:nvGraphicFramePr>
        <xdr:cNvPr id="10247" name="Chart 5">
          <a:extLst>
            <a:ext uri="{FF2B5EF4-FFF2-40B4-BE49-F238E27FC236}">
              <a16:creationId xmlns:a16="http://schemas.microsoft.com/office/drawing/2014/main" id="{0FAB371F-0C72-4B4B-9377-A4A6A9482E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16</xdr:row>
      <xdr:rowOff>0</xdr:rowOff>
    </xdr:from>
    <xdr:to>
      <xdr:col>16</xdr:col>
      <xdr:colOff>19050</xdr:colOff>
      <xdr:row>32</xdr:row>
      <xdr:rowOff>152400</xdr:rowOff>
    </xdr:to>
    <xdr:graphicFrame macro="">
      <xdr:nvGraphicFramePr>
        <xdr:cNvPr id="10248" name="Chart 6">
          <a:extLst>
            <a:ext uri="{FF2B5EF4-FFF2-40B4-BE49-F238E27FC236}">
              <a16:creationId xmlns:a16="http://schemas.microsoft.com/office/drawing/2014/main" id="{757FD48F-D225-42F3-8704-BC637B012B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23</xdr:col>
      <xdr:colOff>419100</xdr:colOff>
      <xdr:row>32</xdr:row>
      <xdr:rowOff>152400</xdr:rowOff>
    </xdr:to>
    <xdr:graphicFrame macro="">
      <xdr:nvGraphicFramePr>
        <xdr:cNvPr id="10249" name="Chart 7">
          <a:extLst>
            <a:ext uri="{FF2B5EF4-FFF2-40B4-BE49-F238E27FC236}">
              <a16:creationId xmlns:a16="http://schemas.microsoft.com/office/drawing/2014/main" id="{B47A6162-AB48-4452-8A04-5AD9BECA1C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D110"/>
  <sheetViews>
    <sheetView topLeftCell="U1" workbookViewId="0">
      <pane ySplit="1" topLeftCell="A68" activePane="bottomLeft" state="frozen"/>
      <selection pane="bottomLeft" activeCell="U1" sqref="A1:XFD1048576"/>
    </sheetView>
  </sheetViews>
  <sheetFormatPr defaultColWidth="8.85546875" defaultRowHeight="15"/>
  <cols>
    <col min="1" max="3" width="13.5703125" style="83" customWidth="1"/>
    <col min="4" max="4" width="20" style="84" customWidth="1"/>
    <col min="5" max="8" width="14.28515625" style="84" customWidth="1"/>
    <col min="9" max="12" width="13.28515625" style="84" customWidth="1"/>
    <col min="13" max="13" width="12.5703125" style="84" customWidth="1"/>
    <col min="14" max="15" width="12.5703125" style="104" customWidth="1"/>
    <col min="16" max="16" width="10.5703125" style="104" customWidth="1"/>
    <col min="17" max="17" width="12.28515625" style="85" customWidth="1"/>
    <col min="18" max="18" width="12.5703125" style="84" customWidth="1"/>
    <col min="19" max="19" width="9.5703125" style="104" customWidth="1"/>
    <col min="20" max="20" width="12" style="85" customWidth="1"/>
    <col min="21" max="21" width="16.7109375" style="84" customWidth="1"/>
    <col min="22" max="22" width="14.85546875" style="104" customWidth="1"/>
    <col min="23" max="23" width="11.85546875" style="85" customWidth="1"/>
    <col min="24" max="24" width="10.140625" style="84" customWidth="1"/>
    <col min="25" max="25" width="8.85546875" style="104"/>
    <col min="26" max="26" width="12.28515625" style="85" customWidth="1"/>
    <col min="27" max="27" width="11.5703125" style="84" customWidth="1"/>
    <col min="28" max="28" width="12.140625" style="85" customWidth="1"/>
    <col min="29" max="29" width="14.28515625" style="84" customWidth="1"/>
    <col min="30" max="30" width="12.28515625" style="85" customWidth="1"/>
    <col min="31" max="31" width="10.5703125" style="84" customWidth="1"/>
    <col min="32" max="32" width="10.7109375" style="104" customWidth="1"/>
    <col min="33" max="33" width="12.42578125" style="85" customWidth="1"/>
    <col min="34" max="38" width="8.85546875" style="87"/>
    <col min="39" max="39" width="13.42578125" style="87" customWidth="1"/>
    <col min="40" max="40" width="10.28515625" style="87" customWidth="1"/>
    <col min="41" max="16384" width="8.85546875" style="87"/>
  </cols>
  <sheetData>
    <row r="1" spans="1:56">
      <c r="A1" s="83" t="s">
        <v>27</v>
      </c>
      <c r="C1" s="83" t="s">
        <v>164</v>
      </c>
      <c r="D1" s="84" t="s">
        <v>0</v>
      </c>
      <c r="E1" s="84" t="s">
        <v>7</v>
      </c>
      <c r="F1" s="84" t="s">
        <v>146</v>
      </c>
      <c r="G1" s="84" t="s">
        <v>145</v>
      </c>
      <c r="H1" s="85" t="s">
        <v>151</v>
      </c>
      <c r="I1" s="84" t="s">
        <v>9</v>
      </c>
      <c r="J1" s="84" t="s">
        <v>147</v>
      </c>
      <c r="K1" s="84" t="s">
        <v>150</v>
      </c>
      <c r="L1" s="85" t="s">
        <v>154</v>
      </c>
      <c r="M1" s="84" t="s">
        <v>10</v>
      </c>
      <c r="N1" s="84" t="s">
        <v>148</v>
      </c>
      <c r="O1" s="106" t="s">
        <v>149</v>
      </c>
      <c r="P1" s="84" t="s">
        <v>11</v>
      </c>
      <c r="Q1" s="85" t="s">
        <v>8</v>
      </c>
      <c r="R1" s="84" t="s">
        <v>12</v>
      </c>
      <c r="S1" s="86" t="s">
        <v>13</v>
      </c>
      <c r="T1" s="85" t="s">
        <v>14</v>
      </c>
      <c r="U1" s="84" t="s">
        <v>15</v>
      </c>
      <c r="V1" s="86" t="s">
        <v>16</v>
      </c>
      <c r="W1" s="85" t="s">
        <v>17</v>
      </c>
      <c r="X1" s="84" t="s">
        <v>18</v>
      </c>
      <c r="Y1" s="86" t="s">
        <v>19</v>
      </c>
      <c r="Z1" s="85" t="s">
        <v>20</v>
      </c>
      <c r="AA1" s="84" t="s">
        <v>21</v>
      </c>
      <c r="AB1" s="85" t="s">
        <v>22</v>
      </c>
      <c r="AC1" s="84" t="s">
        <v>23</v>
      </c>
      <c r="AD1" s="85" t="s">
        <v>142</v>
      </c>
      <c r="AE1" s="84" t="s">
        <v>24</v>
      </c>
      <c r="AF1" s="84" t="s">
        <v>25</v>
      </c>
      <c r="AG1" s="85" t="s">
        <v>26</v>
      </c>
      <c r="AH1" s="86" t="s">
        <v>28</v>
      </c>
      <c r="AI1" s="86" t="s">
        <v>29</v>
      </c>
      <c r="AJ1" s="86" t="s">
        <v>127</v>
      </c>
      <c r="AK1" s="86" t="s">
        <v>57</v>
      </c>
      <c r="AL1" s="113" t="s">
        <v>196</v>
      </c>
      <c r="AM1" s="87" t="s">
        <v>152</v>
      </c>
      <c r="AN1" s="87" t="s">
        <v>153</v>
      </c>
      <c r="AO1" s="87" t="s">
        <v>68</v>
      </c>
      <c r="AP1" s="86" t="s">
        <v>48</v>
      </c>
      <c r="AQ1" s="86" t="s">
        <v>49</v>
      </c>
      <c r="AR1" s="86" t="s">
        <v>50</v>
      </c>
      <c r="AS1" s="86" t="s">
        <v>51</v>
      </c>
      <c r="AT1" s="86" t="s">
        <v>34</v>
      </c>
      <c r="AU1" s="86" t="s">
        <v>35</v>
      </c>
      <c r="AV1" s="86" t="s">
        <v>36</v>
      </c>
      <c r="AW1" s="86" t="s">
        <v>37</v>
      </c>
      <c r="AX1" s="86" t="s">
        <v>52</v>
      </c>
      <c r="AY1" s="86" t="s">
        <v>53</v>
      </c>
      <c r="AZ1" s="86" t="s">
        <v>54</v>
      </c>
      <c r="BA1" s="86" t="s">
        <v>55</v>
      </c>
      <c r="BB1" s="86" t="s">
        <v>69</v>
      </c>
      <c r="BC1" s="86" t="s">
        <v>128</v>
      </c>
      <c r="BD1" s="86" t="s">
        <v>129</v>
      </c>
    </row>
    <row r="2" spans="1:56">
      <c r="A2" s="88">
        <v>39814</v>
      </c>
      <c r="B2" s="122">
        <f>MONTH(A2)</f>
        <v>1</v>
      </c>
      <c r="C2" s="89">
        <f>YEAR(A2)</f>
        <v>2009</v>
      </c>
      <c r="D2" s="90">
        <v>47165542.899999984</v>
      </c>
      <c r="E2" s="90">
        <v>22882790.014304265</v>
      </c>
      <c r="F2" s="90">
        <f ca="1">OFFSET('Historic CDM'!$C$64,0,(ROW()-ROW(F$2))/12)/12</f>
        <v>70738.169513998277</v>
      </c>
      <c r="G2" s="90">
        <f ca="1">E2+F2</f>
        <v>22953528.183818262</v>
      </c>
      <c r="H2" s="91">
        <v>25903</v>
      </c>
      <c r="I2" s="90">
        <v>6161944.602354954</v>
      </c>
      <c r="J2" s="90">
        <f ca="1">OFFSET('Historic CDM'!$C$76,0,(ROW()-ROW(F$2))/12)/12</f>
        <v>18655.339531500493</v>
      </c>
      <c r="K2" s="90">
        <f ca="1">I2+J2</f>
        <v>6180599.9418864548</v>
      </c>
      <c r="L2" s="85">
        <v>1878</v>
      </c>
      <c r="M2" s="90">
        <f>14205703.6065481-R2</f>
        <v>14127567.5815481</v>
      </c>
      <c r="N2" s="92">
        <f ca="1">OFFSET('Historic CDM'!$C$88,0,(ROW()-ROW(F$2))/12)/12</f>
        <v>47601.455914117883</v>
      </c>
      <c r="O2" s="1">
        <f t="shared" ref="O2:O33" ca="1" si="0">M2+N2-R2</f>
        <v>14097033.012462217</v>
      </c>
      <c r="P2" s="3">
        <f>36752.02-S2</f>
        <v>34519.119999999995</v>
      </c>
      <c r="Q2" s="2">
        <f>226-T2</f>
        <v>225</v>
      </c>
      <c r="R2" s="90">
        <v>78136.024999999994</v>
      </c>
      <c r="S2" s="92">
        <v>2232.9</v>
      </c>
      <c r="T2" s="91">
        <v>1</v>
      </c>
      <c r="U2" s="90">
        <v>611903.9270967741</v>
      </c>
      <c r="V2" s="93">
        <v>1461.74</v>
      </c>
      <c r="W2" s="94">
        <f>1091+2976+1882+1633</f>
        <v>7582</v>
      </c>
      <c r="X2" s="90">
        <v>33568.28</v>
      </c>
      <c r="Y2" s="92">
        <v>73.575999999999993</v>
      </c>
      <c r="Z2" s="85">
        <v>174</v>
      </c>
      <c r="AA2" s="90">
        <v>129846</v>
      </c>
      <c r="AB2" s="85">
        <v>141</v>
      </c>
      <c r="AC2" s="90">
        <v>3225532</v>
      </c>
      <c r="AD2" s="91">
        <v>1</v>
      </c>
      <c r="AE2" s="90">
        <v>4183868.0474193553</v>
      </c>
      <c r="AF2" s="92">
        <v>8756.07</v>
      </c>
      <c r="AG2" s="91">
        <v>6</v>
      </c>
      <c r="AH2" s="87">
        <f>Weather!B170</f>
        <v>768.79999999999973</v>
      </c>
      <c r="AI2" s="87">
        <f>Weather!C170</f>
        <v>0</v>
      </c>
      <c r="AJ2" s="87">
        <f>Employment!B2</f>
        <v>6506.5</v>
      </c>
      <c r="AK2" s="87">
        <f>Employment!C2</f>
        <v>151.5</v>
      </c>
      <c r="AL2" s="114">
        <v>539388</v>
      </c>
      <c r="AM2" s="95">
        <v>31</v>
      </c>
      <c r="AN2" s="87">
        <v>21</v>
      </c>
      <c r="AO2" s="87">
        <v>1</v>
      </c>
      <c r="AP2" s="87">
        <v>1</v>
      </c>
      <c r="AQ2" s="87">
        <v>0</v>
      </c>
      <c r="AR2" s="87">
        <v>0</v>
      </c>
      <c r="AS2" s="87">
        <v>0</v>
      </c>
      <c r="AT2" s="87">
        <v>0</v>
      </c>
      <c r="AU2" s="87">
        <v>0</v>
      </c>
      <c r="AV2" s="87">
        <v>0</v>
      </c>
      <c r="AW2" s="87">
        <v>0</v>
      </c>
      <c r="AX2" s="87">
        <v>0</v>
      </c>
      <c r="AY2" s="87">
        <v>0</v>
      </c>
      <c r="AZ2" s="87">
        <v>0</v>
      </c>
      <c r="BA2" s="87">
        <v>0</v>
      </c>
      <c r="BB2" s="87">
        <v>0</v>
      </c>
      <c r="BC2" s="87">
        <v>0</v>
      </c>
      <c r="BD2" s="87">
        <f>BB2+BC2</f>
        <v>0</v>
      </c>
    </row>
    <row r="3" spans="1:56">
      <c r="A3" s="88">
        <v>39845</v>
      </c>
      <c r="B3" s="122">
        <f t="shared" ref="B3:B66" si="1">MONTH(A3)</f>
        <v>2</v>
      </c>
      <c r="C3" s="89">
        <f t="shared" ref="C3:C66" si="2">YEAR(A3)</f>
        <v>2009</v>
      </c>
      <c r="D3" s="90">
        <v>40422798.900000013</v>
      </c>
      <c r="E3" s="90">
        <v>19102194.603531875</v>
      </c>
      <c r="F3" s="90">
        <f ca="1">OFFSET('Historic CDM'!$C$64,0,(ROW()-ROW(F$2))/12)/12</f>
        <v>70738.169513998277</v>
      </c>
      <c r="G3" s="90">
        <f t="shared" ref="G3:G66" ca="1" si="3">E3+F3</f>
        <v>19172932.773045871</v>
      </c>
      <c r="H3" s="91">
        <v>25877</v>
      </c>
      <c r="I3" s="90">
        <v>5512592.1429945808</v>
      </c>
      <c r="J3" s="90">
        <f ca="1">OFFSET('Historic CDM'!$C$76,0,(ROW()-ROW(F$2))/12)/12</f>
        <v>18655.339531500493</v>
      </c>
      <c r="K3" s="90">
        <f t="shared" ref="K3:K66" ca="1" si="4">I3+J3</f>
        <v>5531247.4825260816</v>
      </c>
      <c r="L3" s="85">
        <v>1869</v>
      </c>
      <c r="M3" s="90">
        <f>12667056.6185433-R3</f>
        <v>12613496.777543301</v>
      </c>
      <c r="N3" s="92">
        <f ca="1">OFFSET('Historic CDM'!$C$88,0,(ROW()-ROW(F$2))/12)/12</f>
        <v>47601.455914117883</v>
      </c>
      <c r="O3" s="1">
        <f t="shared" ca="1" si="0"/>
        <v>12607538.392457418</v>
      </c>
      <c r="P3" s="3">
        <f>34022.73-S3</f>
        <v>33720.33</v>
      </c>
      <c r="Q3" s="2">
        <f>238-T3</f>
        <v>237</v>
      </c>
      <c r="R3" s="90">
        <v>53559.841</v>
      </c>
      <c r="S3" s="92">
        <v>302.39999999999998</v>
      </c>
      <c r="T3" s="91">
        <v>1</v>
      </c>
      <c r="U3" s="90">
        <v>552560.07999999996</v>
      </c>
      <c r="V3" s="93">
        <v>1461.82</v>
      </c>
      <c r="W3" s="94">
        <f>1092+2976+1882+1633</f>
        <v>7583</v>
      </c>
      <c r="X3" s="90">
        <v>34392.92</v>
      </c>
      <c r="Y3" s="92">
        <v>73.575999999999993</v>
      </c>
      <c r="Z3" s="85">
        <v>174</v>
      </c>
      <c r="AA3" s="90">
        <v>129846</v>
      </c>
      <c r="AB3" s="85">
        <v>141</v>
      </c>
      <c r="AC3" s="90">
        <v>2535868</v>
      </c>
      <c r="AD3" s="91">
        <v>1</v>
      </c>
      <c r="AE3" s="90">
        <v>3596867.0031451606</v>
      </c>
      <c r="AF3" s="92">
        <v>8283.2199999999993</v>
      </c>
      <c r="AG3" s="91">
        <v>6</v>
      </c>
      <c r="AH3" s="87">
        <f>Weather!B171</f>
        <v>540</v>
      </c>
      <c r="AI3" s="87">
        <f>Weather!C171</f>
        <v>0</v>
      </c>
      <c r="AJ3" s="87">
        <f>Employment!B3</f>
        <v>6436.2</v>
      </c>
      <c r="AK3" s="87">
        <f>Employment!C3</f>
        <v>147.5</v>
      </c>
      <c r="AL3" s="114">
        <v>539388</v>
      </c>
      <c r="AM3" s="95">
        <v>28</v>
      </c>
      <c r="AN3" s="87">
        <v>19</v>
      </c>
      <c r="AO3" s="87">
        <v>2</v>
      </c>
      <c r="AP3" s="87">
        <v>0</v>
      </c>
      <c r="AQ3" s="87">
        <v>1</v>
      </c>
      <c r="AR3" s="87">
        <v>0</v>
      </c>
      <c r="AS3" s="87">
        <v>0</v>
      </c>
      <c r="AT3" s="87">
        <v>0</v>
      </c>
      <c r="AU3" s="87">
        <v>0</v>
      </c>
      <c r="AV3" s="87">
        <v>0</v>
      </c>
      <c r="AW3" s="87">
        <v>0</v>
      </c>
      <c r="AX3" s="87">
        <v>0</v>
      </c>
      <c r="AY3" s="87">
        <v>0</v>
      </c>
      <c r="AZ3" s="87">
        <v>0</v>
      </c>
      <c r="BA3" s="87">
        <v>0</v>
      </c>
      <c r="BB3" s="87">
        <v>0</v>
      </c>
      <c r="BC3" s="87">
        <v>0</v>
      </c>
      <c r="BD3" s="87">
        <f t="shared" ref="BD3:BD13" si="5">BB3+BC3</f>
        <v>0</v>
      </c>
    </row>
    <row r="4" spans="1:56">
      <c r="A4" s="88">
        <v>39873</v>
      </c>
      <c r="B4" s="122">
        <f t="shared" si="1"/>
        <v>3</v>
      </c>
      <c r="C4" s="89">
        <f t="shared" si="2"/>
        <v>2009</v>
      </c>
      <c r="D4" s="90">
        <v>41655409.874999985</v>
      </c>
      <c r="E4" s="90">
        <v>18968326.196491014</v>
      </c>
      <c r="F4" s="90">
        <f ca="1">OFFSET('Historic CDM'!$C$64,0,(ROW()-ROW(F$2))/12)/12</f>
        <v>70738.169513998277</v>
      </c>
      <c r="G4" s="90">
        <f t="shared" ca="1" si="3"/>
        <v>19039064.366005011</v>
      </c>
      <c r="H4" s="91">
        <v>25892</v>
      </c>
      <c r="I4" s="90">
        <v>5659381.096828483</v>
      </c>
      <c r="J4" s="90">
        <f ca="1">OFFSET('Historic CDM'!$C$76,0,(ROW()-ROW(F$2))/12)/12</f>
        <v>18655.339531500493</v>
      </c>
      <c r="K4" s="90">
        <f t="shared" ca="1" si="4"/>
        <v>5678036.4363599839</v>
      </c>
      <c r="L4" s="85">
        <v>1877</v>
      </c>
      <c r="M4" s="90">
        <f>13381420.6606432-R4</f>
        <v>13381420.660643199</v>
      </c>
      <c r="N4" s="92">
        <f ca="1">OFFSET('Historic CDM'!$C$88,0,(ROW()-ROW(F$2))/12)/12</f>
        <v>47601.455914117883</v>
      </c>
      <c r="O4" s="1">
        <f t="shared" ca="1" si="0"/>
        <v>13429022.116557317</v>
      </c>
      <c r="P4" s="3">
        <f>33526.71-S4</f>
        <v>33526.71</v>
      </c>
      <c r="Q4" s="2">
        <f>214-T4</f>
        <v>213</v>
      </c>
      <c r="R4" s="90">
        <v>0</v>
      </c>
      <c r="S4" s="92">
        <v>0</v>
      </c>
      <c r="T4" s="91">
        <v>1</v>
      </c>
      <c r="U4" s="90">
        <v>515831.90064516128</v>
      </c>
      <c r="V4" s="93">
        <v>1464.67</v>
      </c>
      <c r="W4" s="94">
        <f>1094+2996+1882+1633</f>
        <v>7605</v>
      </c>
      <c r="X4" s="90">
        <v>33432.79</v>
      </c>
      <c r="Y4" s="92">
        <v>73.575999999999993</v>
      </c>
      <c r="Z4" s="85">
        <v>174</v>
      </c>
      <c r="AA4" s="90">
        <v>129846</v>
      </c>
      <c r="AB4" s="85">
        <v>141</v>
      </c>
      <c r="AC4" s="90">
        <v>2739260</v>
      </c>
      <c r="AD4" s="91">
        <v>1</v>
      </c>
      <c r="AE4" s="90">
        <v>4022162.7087903237</v>
      </c>
      <c r="AF4" s="92">
        <v>8681.51</v>
      </c>
      <c r="AG4" s="91">
        <v>6</v>
      </c>
      <c r="AH4" s="87">
        <f>Weather!B172</f>
        <v>456.7999999999999</v>
      </c>
      <c r="AI4" s="87">
        <f>Weather!C172</f>
        <v>0</v>
      </c>
      <c r="AJ4" s="87">
        <f>Employment!B4</f>
        <v>6363.8</v>
      </c>
      <c r="AK4" s="87">
        <f>Employment!C4</f>
        <v>142.9</v>
      </c>
      <c r="AL4" s="114">
        <v>539388</v>
      </c>
      <c r="AM4" s="95">
        <v>31</v>
      </c>
      <c r="AN4" s="87">
        <v>22</v>
      </c>
      <c r="AO4" s="87">
        <v>3</v>
      </c>
      <c r="AP4" s="87">
        <v>0</v>
      </c>
      <c r="AQ4" s="87">
        <v>0</v>
      </c>
      <c r="AR4" s="87">
        <v>1</v>
      </c>
      <c r="AS4" s="87">
        <v>0</v>
      </c>
      <c r="AT4" s="87">
        <v>0</v>
      </c>
      <c r="AU4" s="87">
        <v>0</v>
      </c>
      <c r="AV4" s="87">
        <v>0</v>
      </c>
      <c r="AW4" s="87">
        <v>0</v>
      </c>
      <c r="AX4" s="87">
        <v>0</v>
      </c>
      <c r="AY4" s="87">
        <v>0</v>
      </c>
      <c r="AZ4" s="87">
        <v>0</v>
      </c>
      <c r="BA4" s="87">
        <v>0</v>
      </c>
      <c r="BB4" s="87">
        <v>1</v>
      </c>
      <c r="BC4" s="87">
        <v>0</v>
      </c>
      <c r="BD4" s="87">
        <f t="shared" si="5"/>
        <v>1</v>
      </c>
    </row>
    <row r="5" spans="1:56">
      <c r="A5" s="88">
        <v>39904</v>
      </c>
      <c r="B5" s="122">
        <f t="shared" si="1"/>
        <v>4</v>
      </c>
      <c r="C5" s="89">
        <f t="shared" si="2"/>
        <v>2009</v>
      </c>
      <c r="D5" s="90">
        <v>37844275.075000003</v>
      </c>
      <c r="E5" s="90">
        <v>16932454.920298114</v>
      </c>
      <c r="F5" s="90">
        <f ca="1">OFFSET('Historic CDM'!$C$64,0,(ROW()-ROW(F$2))/12)/12</f>
        <v>70738.169513998277</v>
      </c>
      <c r="G5" s="90">
        <f t="shared" ca="1" si="3"/>
        <v>17003193.089812111</v>
      </c>
      <c r="H5" s="91">
        <v>25952</v>
      </c>
      <c r="I5" s="90">
        <v>5147100.9353178861</v>
      </c>
      <c r="J5" s="90">
        <f ca="1">OFFSET('Historic CDM'!$C$76,0,(ROW()-ROW(F$2))/12)/12</f>
        <v>18655.339531500493</v>
      </c>
      <c r="K5" s="90">
        <f t="shared" ca="1" si="4"/>
        <v>5165756.2748493869</v>
      </c>
      <c r="L5" s="85">
        <v>1876</v>
      </c>
      <c r="M5" s="90">
        <f>12233955.8251975-R5</f>
        <v>12233952.1131975</v>
      </c>
      <c r="N5" s="92">
        <f ca="1">OFFSET('Historic CDM'!$C$88,0,(ROW()-ROW(F$2))/12)/12</f>
        <v>47601.455914117883</v>
      </c>
      <c r="O5" s="1">
        <f t="shared" ca="1" si="0"/>
        <v>12281549.857111618</v>
      </c>
      <c r="P5" s="3">
        <f>33623.85-S5</f>
        <v>33620.01</v>
      </c>
      <c r="Q5" s="2">
        <f>217-T5</f>
        <v>216</v>
      </c>
      <c r="R5" s="90">
        <v>3.7120000000000002</v>
      </c>
      <c r="S5" s="96">
        <v>3.84</v>
      </c>
      <c r="T5" s="91">
        <v>1</v>
      </c>
      <c r="U5" s="90">
        <v>432795.42602150532</v>
      </c>
      <c r="V5" s="93">
        <v>1464.67</v>
      </c>
      <c r="W5" s="94">
        <f>1094+2996+1882+1633</f>
        <v>7605</v>
      </c>
      <c r="X5" s="90">
        <v>33697.360000000001</v>
      </c>
      <c r="Y5" s="92">
        <v>73.575999999999993</v>
      </c>
      <c r="Z5" s="85">
        <v>174</v>
      </c>
      <c r="AA5" s="90">
        <v>129846</v>
      </c>
      <c r="AB5" s="85">
        <v>141</v>
      </c>
      <c r="AC5" s="90">
        <v>1899752</v>
      </c>
      <c r="AD5" s="91">
        <v>1</v>
      </c>
      <c r="AE5" s="90">
        <v>3483280.0257096775</v>
      </c>
      <c r="AF5" s="92">
        <v>7996.76</v>
      </c>
      <c r="AG5" s="91">
        <v>6</v>
      </c>
      <c r="AH5" s="87">
        <f>Weather!B173</f>
        <v>263.29999999999995</v>
      </c>
      <c r="AI5" s="87">
        <f>Weather!C173</f>
        <v>10.399999999999999</v>
      </c>
      <c r="AJ5" s="87">
        <f>Employment!B5</f>
        <v>6359.6</v>
      </c>
      <c r="AK5" s="87">
        <f>Employment!C5</f>
        <v>144.80000000000001</v>
      </c>
      <c r="AL5" s="114">
        <v>539388</v>
      </c>
      <c r="AM5" s="95">
        <v>30</v>
      </c>
      <c r="AN5" s="87">
        <v>20</v>
      </c>
      <c r="AO5" s="87">
        <v>4</v>
      </c>
      <c r="AP5" s="87">
        <v>0</v>
      </c>
      <c r="AQ5" s="87">
        <v>0</v>
      </c>
      <c r="AR5" s="87">
        <v>0</v>
      </c>
      <c r="AS5" s="87">
        <v>1</v>
      </c>
      <c r="AT5" s="87">
        <v>0</v>
      </c>
      <c r="AU5" s="87">
        <v>0</v>
      </c>
      <c r="AV5" s="87">
        <v>0</v>
      </c>
      <c r="AW5" s="87">
        <v>0</v>
      </c>
      <c r="AX5" s="87">
        <v>0</v>
      </c>
      <c r="AY5" s="87">
        <v>0</v>
      </c>
      <c r="AZ5" s="87">
        <v>0</v>
      </c>
      <c r="BA5" s="87">
        <v>0</v>
      </c>
      <c r="BB5" s="87">
        <v>1</v>
      </c>
      <c r="BC5" s="87">
        <v>0</v>
      </c>
      <c r="BD5" s="87">
        <f t="shared" si="5"/>
        <v>1</v>
      </c>
    </row>
    <row r="6" spans="1:56">
      <c r="A6" s="88">
        <v>39934</v>
      </c>
      <c r="B6" s="122">
        <f t="shared" si="1"/>
        <v>5</v>
      </c>
      <c r="C6" s="89">
        <f t="shared" si="2"/>
        <v>2009</v>
      </c>
      <c r="D6" s="90">
        <v>38497480.175000019</v>
      </c>
      <c r="E6" s="90">
        <v>17320559.785263643</v>
      </c>
      <c r="F6" s="90">
        <f ca="1">OFFSET('Historic CDM'!$C$64,0,(ROW()-ROW(F$2))/12)/12</f>
        <v>70738.169513998277</v>
      </c>
      <c r="G6" s="90">
        <f t="shared" ca="1" si="3"/>
        <v>17391297.954777639</v>
      </c>
      <c r="H6" s="91">
        <v>25978</v>
      </c>
      <c r="I6" s="90">
        <v>5340104.6797970459</v>
      </c>
      <c r="J6" s="90">
        <f ca="1">OFFSET('Historic CDM'!$C$76,0,(ROW()-ROW(F$2))/12)/12</f>
        <v>18655.339531500493</v>
      </c>
      <c r="K6" s="90">
        <f t="shared" ca="1" si="4"/>
        <v>5358760.0193285467</v>
      </c>
      <c r="L6" s="85">
        <v>1878</v>
      </c>
      <c r="M6" s="90">
        <f>12552706.8851427-R6</f>
        <v>12552345.645142701</v>
      </c>
      <c r="N6" s="92">
        <f ca="1">OFFSET('Historic CDM'!$C$88,0,(ROW()-ROW(F$2))/12)/12</f>
        <v>47601.455914117883</v>
      </c>
      <c r="O6" s="1">
        <f t="shared" ca="1" si="0"/>
        <v>12599585.861056818</v>
      </c>
      <c r="P6" s="3">
        <f>34011.18-S6</f>
        <v>33723.46</v>
      </c>
      <c r="Q6" s="2">
        <f>212-T6</f>
        <v>211</v>
      </c>
      <c r="R6" s="90">
        <v>361.24</v>
      </c>
      <c r="S6" s="96">
        <v>287.72000000000003</v>
      </c>
      <c r="T6" s="91">
        <v>1</v>
      </c>
      <c r="U6" s="90">
        <v>389616.22430107533</v>
      </c>
      <c r="V6" s="93">
        <v>1464.67</v>
      </c>
      <c r="W6" s="94">
        <f>1094+2996+1882+1633</f>
        <v>7605</v>
      </c>
      <c r="X6" s="90">
        <v>33333.410000000003</v>
      </c>
      <c r="Y6" s="92">
        <v>73.575999999999993</v>
      </c>
      <c r="Z6" s="85">
        <v>174</v>
      </c>
      <c r="AA6" s="90">
        <v>129546</v>
      </c>
      <c r="AB6" s="85">
        <v>140</v>
      </c>
      <c r="AC6" s="90">
        <v>1435850</v>
      </c>
      <c r="AD6" s="91">
        <v>1</v>
      </c>
      <c r="AE6" s="90">
        <v>3184771.9903449137</v>
      </c>
      <c r="AF6" s="92">
        <v>7393.07</v>
      </c>
      <c r="AG6" s="91">
        <v>7</v>
      </c>
      <c r="AH6" s="87">
        <f>Weather!B174</f>
        <v>83.40000000000002</v>
      </c>
      <c r="AI6" s="87">
        <f>Weather!C174</f>
        <v>12.899999999999999</v>
      </c>
      <c r="AJ6" s="87">
        <f>Employment!B6</f>
        <v>6382.1</v>
      </c>
      <c r="AK6" s="87">
        <f>Employment!C6</f>
        <v>145</v>
      </c>
      <c r="AL6" s="114">
        <v>539388</v>
      </c>
      <c r="AM6" s="95">
        <v>31</v>
      </c>
      <c r="AN6" s="87">
        <v>20</v>
      </c>
      <c r="AO6" s="87">
        <v>5</v>
      </c>
      <c r="AP6" s="87">
        <v>0</v>
      </c>
      <c r="AQ6" s="87">
        <v>0</v>
      </c>
      <c r="AR6" s="87">
        <v>0</v>
      </c>
      <c r="AS6" s="87">
        <v>0</v>
      </c>
      <c r="AT6" s="87">
        <v>1</v>
      </c>
      <c r="AU6" s="87">
        <v>0</v>
      </c>
      <c r="AV6" s="87">
        <v>0</v>
      </c>
      <c r="AW6" s="87">
        <v>0</v>
      </c>
      <c r="AX6" s="87">
        <v>0</v>
      </c>
      <c r="AY6" s="87">
        <v>0</v>
      </c>
      <c r="AZ6" s="87">
        <v>0</v>
      </c>
      <c r="BA6" s="87">
        <v>0</v>
      </c>
      <c r="BB6" s="87">
        <v>1</v>
      </c>
      <c r="BC6" s="87">
        <v>0</v>
      </c>
      <c r="BD6" s="87">
        <f t="shared" si="5"/>
        <v>1</v>
      </c>
    </row>
    <row r="7" spans="1:56">
      <c r="A7" s="88">
        <v>39965</v>
      </c>
      <c r="B7" s="122">
        <f t="shared" si="1"/>
        <v>6</v>
      </c>
      <c r="C7" s="89">
        <f t="shared" si="2"/>
        <v>2009</v>
      </c>
      <c r="D7" s="90">
        <v>46427862.100000046</v>
      </c>
      <c r="E7" s="90">
        <v>21202855.807698611</v>
      </c>
      <c r="F7" s="90">
        <f ca="1">OFFSET('Historic CDM'!$C$64,0,(ROW()-ROW(F$2))/12)/12</f>
        <v>70738.169513998277</v>
      </c>
      <c r="G7" s="90">
        <f t="shared" ca="1" si="3"/>
        <v>21273593.977212608</v>
      </c>
      <c r="H7" s="91">
        <v>25987</v>
      </c>
      <c r="I7" s="90">
        <v>5644670.9179128064</v>
      </c>
      <c r="J7" s="90">
        <f ca="1">OFFSET('Historic CDM'!$C$76,0,(ROW()-ROW(F$2))/12)/12</f>
        <v>18655.339531500493</v>
      </c>
      <c r="K7" s="90">
        <f t="shared" ca="1" si="4"/>
        <v>5663326.2574443072</v>
      </c>
      <c r="L7" s="85">
        <v>1876</v>
      </c>
      <c r="M7" s="90">
        <f>13522337.0676316-R7</f>
        <v>13521027.4836316</v>
      </c>
      <c r="N7" s="92">
        <f ca="1">OFFSET('Historic CDM'!$C$88,0,(ROW()-ROW(F$2))/12)/12</f>
        <v>47601.455914117883</v>
      </c>
      <c r="O7" s="1">
        <f t="shared" ca="1" si="0"/>
        <v>13567319.355545716</v>
      </c>
      <c r="P7" s="3">
        <f>39991.12-S7</f>
        <v>39587.300000000003</v>
      </c>
      <c r="Q7" s="2">
        <f>222-T7</f>
        <v>221</v>
      </c>
      <c r="R7" s="90">
        <v>1309.5840000000001</v>
      </c>
      <c r="S7" s="96">
        <v>403.82</v>
      </c>
      <c r="T7" s="91">
        <v>1</v>
      </c>
      <c r="U7" s="90">
        <v>343746.95203225815</v>
      </c>
      <c r="V7" s="93">
        <v>1469.1</v>
      </c>
      <c r="W7" s="94">
        <f>1094+3029+1882+1633</f>
        <v>7638</v>
      </c>
      <c r="X7" s="90">
        <v>33289.120000000003</v>
      </c>
      <c r="Y7" s="92">
        <v>73.575999999999993</v>
      </c>
      <c r="Z7" s="85">
        <v>174</v>
      </c>
      <c r="AA7" s="90">
        <v>129546</v>
      </c>
      <c r="AB7" s="85">
        <v>140</v>
      </c>
      <c r="AC7" s="90">
        <v>1285303</v>
      </c>
      <c r="AD7" s="91">
        <v>1</v>
      </c>
      <c r="AE7" s="90">
        <v>3784645.3403217532</v>
      </c>
      <c r="AF7" s="92">
        <v>11210.91</v>
      </c>
      <c r="AG7" s="91">
        <v>7</v>
      </c>
      <c r="AH7" s="87">
        <f>Weather!B175</f>
        <v>25.299999999999997</v>
      </c>
      <c r="AI7" s="87">
        <f>Weather!C175</f>
        <v>79.399999999999991</v>
      </c>
      <c r="AJ7" s="87">
        <f>Employment!B7</f>
        <v>6429.4</v>
      </c>
      <c r="AK7" s="87">
        <f>Employment!C7</f>
        <v>145.69999999999999</v>
      </c>
      <c r="AL7" s="114">
        <v>539388</v>
      </c>
      <c r="AM7" s="95">
        <v>30</v>
      </c>
      <c r="AN7" s="87">
        <v>22</v>
      </c>
      <c r="AO7" s="87">
        <v>6</v>
      </c>
      <c r="AP7" s="87">
        <v>0</v>
      </c>
      <c r="AQ7" s="87">
        <v>0</v>
      </c>
      <c r="AR7" s="87">
        <v>0</v>
      </c>
      <c r="AS7" s="87">
        <v>0</v>
      </c>
      <c r="AT7" s="87">
        <v>0</v>
      </c>
      <c r="AU7" s="87">
        <v>1</v>
      </c>
      <c r="AV7" s="87">
        <v>0</v>
      </c>
      <c r="AW7" s="87">
        <v>0</v>
      </c>
      <c r="AX7" s="87">
        <v>0</v>
      </c>
      <c r="AY7" s="87">
        <v>0</v>
      </c>
      <c r="AZ7" s="87">
        <v>0</v>
      </c>
      <c r="BA7" s="87">
        <v>0</v>
      </c>
      <c r="BB7" s="87">
        <v>0</v>
      </c>
      <c r="BC7" s="87">
        <v>0</v>
      </c>
      <c r="BD7" s="87">
        <f t="shared" si="5"/>
        <v>0</v>
      </c>
    </row>
    <row r="8" spans="1:56">
      <c r="A8" s="88">
        <v>39995</v>
      </c>
      <c r="B8" s="122">
        <f t="shared" si="1"/>
        <v>7</v>
      </c>
      <c r="C8" s="89">
        <f t="shared" si="2"/>
        <v>2009</v>
      </c>
      <c r="D8" s="90">
        <v>52905408.79999996</v>
      </c>
      <c r="E8" s="90">
        <v>25716678.648095943</v>
      </c>
      <c r="F8" s="90">
        <f ca="1">OFFSET('Historic CDM'!$C$64,0,(ROW()-ROW(F$2))/12)/12</f>
        <v>70738.169513998277</v>
      </c>
      <c r="G8" s="90">
        <f t="shared" ca="1" si="3"/>
        <v>25787416.81760994</v>
      </c>
      <c r="H8" s="91">
        <v>25968</v>
      </c>
      <c r="I8" s="90">
        <v>6181679.812459439</v>
      </c>
      <c r="J8" s="90">
        <f ca="1">OFFSET('Historic CDM'!$C$76,0,(ROW()-ROW(F$2))/12)/12</f>
        <v>18655.339531500493</v>
      </c>
      <c r="K8" s="90">
        <f t="shared" ca="1" si="4"/>
        <v>6200335.1519909399</v>
      </c>
      <c r="L8" s="85">
        <v>1858</v>
      </c>
      <c r="M8" s="90">
        <f>15465664.0188743-R8</f>
        <v>14884231.2178743</v>
      </c>
      <c r="N8" s="92">
        <f ca="1">OFFSET('Historic CDM'!$C$88,0,(ROW()-ROW(F$2))/12)/12</f>
        <v>47601.455914117883</v>
      </c>
      <c r="O8" s="1">
        <f t="shared" ca="1" si="0"/>
        <v>14350399.872788418</v>
      </c>
      <c r="P8" s="3">
        <f>40363.36-S8</f>
        <v>37555.949999999997</v>
      </c>
      <c r="Q8" s="2">
        <f>220-T8</f>
        <v>219</v>
      </c>
      <c r="R8" s="90">
        <v>581432.80099999998</v>
      </c>
      <c r="S8" s="96">
        <v>2807.41</v>
      </c>
      <c r="T8" s="91">
        <v>1</v>
      </c>
      <c r="U8" s="90">
        <v>363642.79409677419</v>
      </c>
      <c r="V8" s="93">
        <v>1469.0700000000002</v>
      </c>
      <c r="W8" s="94">
        <f>1094+3029+1882+1633</f>
        <v>7638</v>
      </c>
      <c r="X8" s="90">
        <v>33479.1</v>
      </c>
      <c r="Y8" s="92">
        <v>73.575999999999993</v>
      </c>
      <c r="Z8" s="85">
        <v>174</v>
      </c>
      <c r="AA8" s="90">
        <v>129546</v>
      </c>
      <c r="AB8" s="85">
        <v>140</v>
      </c>
      <c r="AC8" s="90">
        <v>514303</v>
      </c>
      <c r="AD8" s="91">
        <v>1</v>
      </c>
      <c r="AE8" s="90">
        <v>4303434.1997526884</v>
      </c>
      <c r="AF8" s="92">
        <v>10797.320000000002</v>
      </c>
      <c r="AG8" s="91">
        <v>7</v>
      </c>
      <c r="AH8" s="87">
        <f>Weather!B176</f>
        <v>0.5</v>
      </c>
      <c r="AI8" s="87">
        <f>Weather!C176</f>
        <v>100.19999999999999</v>
      </c>
      <c r="AJ8" s="87">
        <f>Employment!B8</f>
        <v>6467</v>
      </c>
      <c r="AK8" s="87">
        <f>Employment!C8</f>
        <v>144.30000000000001</v>
      </c>
      <c r="AL8" s="114">
        <v>539388</v>
      </c>
      <c r="AM8" s="95">
        <v>31</v>
      </c>
      <c r="AN8" s="87">
        <v>22</v>
      </c>
      <c r="AO8" s="87">
        <v>7</v>
      </c>
      <c r="AP8" s="87">
        <v>0</v>
      </c>
      <c r="AQ8" s="87">
        <v>0</v>
      </c>
      <c r="AR8" s="87">
        <v>0</v>
      </c>
      <c r="AS8" s="87">
        <v>0</v>
      </c>
      <c r="AT8" s="87">
        <v>0</v>
      </c>
      <c r="AU8" s="87">
        <v>0</v>
      </c>
      <c r="AV8" s="87">
        <v>1</v>
      </c>
      <c r="AW8" s="87">
        <v>0</v>
      </c>
      <c r="AX8" s="87">
        <v>0</v>
      </c>
      <c r="AY8" s="87">
        <v>0</v>
      </c>
      <c r="AZ8" s="87">
        <v>0</v>
      </c>
      <c r="BA8" s="87">
        <v>0</v>
      </c>
      <c r="BB8" s="87">
        <v>0</v>
      </c>
      <c r="BC8" s="87">
        <v>0</v>
      </c>
      <c r="BD8" s="87">
        <f t="shared" si="5"/>
        <v>0</v>
      </c>
    </row>
    <row r="9" spans="1:56">
      <c r="A9" s="88">
        <v>40026</v>
      </c>
      <c r="B9" s="122">
        <f t="shared" si="1"/>
        <v>8</v>
      </c>
      <c r="C9" s="89">
        <f t="shared" si="2"/>
        <v>2009</v>
      </c>
      <c r="D9" s="90">
        <v>55267047.75</v>
      </c>
      <c r="E9" s="90">
        <v>27425635.865056019</v>
      </c>
      <c r="F9" s="90">
        <f ca="1">OFFSET('Historic CDM'!$C$64,0,(ROW()-ROW(F$2))/12)/12</f>
        <v>70738.169513998277</v>
      </c>
      <c r="G9" s="90">
        <f t="shared" ca="1" si="3"/>
        <v>27496374.034570016</v>
      </c>
      <c r="H9" s="91">
        <v>25983</v>
      </c>
      <c r="I9" s="90">
        <v>6242208.7844351763</v>
      </c>
      <c r="J9" s="90">
        <f ca="1">OFFSET('Historic CDM'!$C$76,0,(ROW()-ROW(F$2))/12)/12</f>
        <v>18655.339531500493</v>
      </c>
      <c r="K9" s="90">
        <f t="shared" ca="1" si="4"/>
        <v>6260864.1239666771</v>
      </c>
      <c r="L9" s="85">
        <v>1863</v>
      </c>
      <c r="M9" s="90">
        <f>16317841.564895-R9</f>
        <v>16058554.672894999</v>
      </c>
      <c r="N9" s="92">
        <f ca="1">OFFSET('Historic CDM'!$C$88,0,(ROW()-ROW(F$2))/12)/12</f>
        <v>47601.455914117883</v>
      </c>
      <c r="O9" s="1">
        <f t="shared" ca="1" si="0"/>
        <v>15846869.236809116</v>
      </c>
      <c r="P9" s="3">
        <f>44094.04-S9</f>
        <v>41451.520000000004</v>
      </c>
      <c r="Q9" s="2">
        <f>232-T9</f>
        <v>231</v>
      </c>
      <c r="R9" s="90">
        <v>259286.89199999999</v>
      </c>
      <c r="S9" s="96">
        <v>2642.52</v>
      </c>
      <c r="T9" s="91">
        <v>1</v>
      </c>
      <c r="U9" s="90">
        <v>407405.83483870962</v>
      </c>
      <c r="V9" s="93">
        <v>1470.6999999999998</v>
      </c>
      <c r="W9" s="94">
        <f>1110+3029+1882+1633</f>
        <v>7654</v>
      </c>
      <c r="X9" s="90">
        <v>32955.839999999997</v>
      </c>
      <c r="Y9" s="92">
        <v>73.575999999999993</v>
      </c>
      <c r="Z9" s="85">
        <v>174</v>
      </c>
      <c r="AA9" s="90">
        <v>129546</v>
      </c>
      <c r="AB9" s="85">
        <v>140</v>
      </c>
      <c r="AC9" s="90">
        <v>639948</v>
      </c>
      <c r="AD9" s="91">
        <v>1</v>
      </c>
      <c r="AE9" s="90">
        <v>3566483.6616129037</v>
      </c>
      <c r="AF9" s="92">
        <v>12251.599999999999</v>
      </c>
      <c r="AG9" s="91">
        <v>7</v>
      </c>
      <c r="AH9" s="87">
        <f>Weather!B177</f>
        <v>5.9</v>
      </c>
      <c r="AI9" s="87">
        <f>Weather!C177</f>
        <v>133.4</v>
      </c>
      <c r="AJ9" s="87">
        <f>Employment!B9</f>
        <v>6487.6</v>
      </c>
      <c r="AK9" s="87">
        <f>Employment!C9</f>
        <v>145.1</v>
      </c>
      <c r="AL9" s="114">
        <v>539388</v>
      </c>
      <c r="AM9" s="95">
        <v>31</v>
      </c>
      <c r="AN9" s="87">
        <v>20</v>
      </c>
      <c r="AO9" s="87">
        <v>8</v>
      </c>
      <c r="AP9" s="87">
        <v>0</v>
      </c>
      <c r="AQ9" s="87">
        <v>0</v>
      </c>
      <c r="AR9" s="87">
        <v>0</v>
      </c>
      <c r="AS9" s="87">
        <v>0</v>
      </c>
      <c r="AT9" s="87">
        <v>0</v>
      </c>
      <c r="AU9" s="87">
        <v>0</v>
      </c>
      <c r="AV9" s="87">
        <v>0</v>
      </c>
      <c r="AW9" s="87">
        <v>1</v>
      </c>
      <c r="AX9" s="87">
        <v>0</v>
      </c>
      <c r="AY9" s="87">
        <v>0</v>
      </c>
      <c r="AZ9" s="87">
        <v>0</v>
      </c>
      <c r="BA9" s="87">
        <v>0</v>
      </c>
      <c r="BB9" s="87">
        <v>0</v>
      </c>
      <c r="BC9" s="87">
        <v>0</v>
      </c>
      <c r="BD9" s="87">
        <f t="shared" si="5"/>
        <v>0</v>
      </c>
    </row>
    <row r="10" spans="1:56">
      <c r="A10" s="88">
        <v>40057</v>
      </c>
      <c r="B10" s="122">
        <f t="shared" si="1"/>
        <v>9</v>
      </c>
      <c r="C10" s="89">
        <f t="shared" si="2"/>
        <v>2009</v>
      </c>
      <c r="D10" s="90">
        <v>46205978.524999976</v>
      </c>
      <c r="E10" s="90">
        <v>20684613.852784179</v>
      </c>
      <c r="F10" s="90">
        <f ca="1">OFFSET('Historic CDM'!$C$64,0,(ROW()-ROW(F$2))/12)/12</f>
        <v>70738.169513998277</v>
      </c>
      <c r="G10" s="90">
        <f t="shared" ca="1" si="3"/>
        <v>20755352.022298176</v>
      </c>
      <c r="H10" s="91">
        <v>25989</v>
      </c>
      <c r="I10" s="90">
        <v>5572266.0349646118</v>
      </c>
      <c r="J10" s="90">
        <f ca="1">OFFSET('Historic CDM'!$C$76,0,(ROW()-ROW(F$2))/12)/12</f>
        <v>18655.339531500493</v>
      </c>
      <c r="K10" s="90">
        <f t="shared" ca="1" si="4"/>
        <v>5590921.3744961126</v>
      </c>
      <c r="L10" s="85">
        <v>1861</v>
      </c>
      <c r="M10" s="90">
        <f>16518553.0795783-R10</f>
        <v>15405668.5725783</v>
      </c>
      <c r="N10" s="92">
        <f ca="1">OFFSET('Historic CDM'!$C$88,0,(ROW()-ROW(F$2))/12)/12</f>
        <v>47601.455914117883</v>
      </c>
      <c r="O10" s="1">
        <f t="shared" ca="1" si="0"/>
        <v>14340385.521492418</v>
      </c>
      <c r="P10" s="3">
        <f>41677.33-S10</f>
        <v>38520.25</v>
      </c>
      <c r="Q10" s="2">
        <f>224-T10</f>
        <v>223</v>
      </c>
      <c r="R10" s="90">
        <v>1112884.507</v>
      </c>
      <c r="S10" s="92">
        <v>3157.08</v>
      </c>
      <c r="T10" s="91">
        <v>1</v>
      </c>
      <c r="U10" s="90">
        <v>458942.18306451605</v>
      </c>
      <c r="V10" s="93">
        <v>1470.8899999999999</v>
      </c>
      <c r="W10" s="94">
        <f>1110+3029+1902+1633</f>
        <v>7674</v>
      </c>
      <c r="X10" s="90">
        <v>33858.5</v>
      </c>
      <c r="Y10" s="92">
        <v>73.575999999999993</v>
      </c>
      <c r="Z10" s="85">
        <v>174</v>
      </c>
      <c r="AA10" s="90">
        <v>128898</v>
      </c>
      <c r="AB10" s="85">
        <v>138</v>
      </c>
      <c r="AC10" s="90">
        <v>5315</v>
      </c>
      <c r="AD10" s="91">
        <v>1</v>
      </c>
      <c r="AE10" s="90">
        <v>2721768.368301075</v>
      </c>
      <c r="AF10" s="92">
        <v>9905.7999999999993</v>
      </c>
      <c r="AG10" s="91">
        <v>7</v>
      </c>
      <c r="AH10" s="87">
        <f>Weather!B178</f>
        <v>26.2</v>
      </c>
      <c r="AI10" s="87">
        <f>Weather!C178</f>
        <v>54.699999999999989</v>
      </c>
      <c r="AJ10" s="87">
        <f>Employment!B10</f>
        <v>6470.2</v>
      </c>
      <c r="AK10" s="87">
        <f>Employment!C10</f>
        <v>146.80000000000001</v>
      </c>
      <c r="AL10" s="114">
        <v>539388</v>
      </c>
      <c r="AM10" s="95">
        <v>30</v>
      </c>
      <c r="AN10" s="87">
        <v>21</v>
      </c>
      <c r="AO10" s="87">
        <v>9</v>
      </c>
      <c r="AP10" s="87">
        <v>0</v>
      </c>
      <c r="AQ10" s="87">
        <v>0</v>
      </c>
      <c r="AR10" s="87">
        <v>0</v>
      </c>
      <c r="AS10" s="87">
        <v>0</v>
      </c>
      <c r="AT10" s="87">
        <v>0</v>
      </c>
      <c r="AU10" s="87">
        <v>0</v>
      </c>
      <c r="AV10" s="87">
        <v>0</v>
      </c>
      <c r="AW10" s="87">
        <v>0</v>
      </c>
      <c r="AX10" s="87">
        <v>1</v>
      </c>
      <c r="AY10" s="87">
        <v>0</v>
      </c>
      <c r="AZ10" s="87">
        <v>0</v>
      </c>
      <c r="BA10" s="87">
        <v>0</v>
      </c>
      <c r="BB10" s="87">
        <v>0</v>
      </c>
      <c r="BC10" s="87">
        <v>0</v>
      </c>
      <c r="BD10" s="87">
        <v>0</v>
      </c>
    </row>
    <row r="11" spans="1:56">
      <c r="A11" s="88">
        <v>40087</v>
      </c>
      <c r="B11" s="122">
        <f t="shared" si="1"/>
        <v>10</v>
      </c>
      <c r="C11" s="89">
        <f t="shared" si="2"/>
        <v>2009</v>
      </c>
      <c r="D11" s="90">
        <v>42040717.625000015</v>
      </c>
      <c r="E11" s="90">
        <v>18011354.818074532</v>
      </c>
      <c r="F11" s="90">
        <f ca="1">OFFSET('Historic CDM'!$C$64,0,(ROW()-ROW(F$2))/12)/12</f>
        <v>70738.169513998277</v>
      </c>
      <c r="G11" s="90">
        <f t="shared" ca="1" si="3"/>
        <v>18082092.987588529</v>
      </c>
      <c r="H11" s="91">
        <v>26007</v>
      </c>
      <c r="I11" s="90">
        <v>5167043.6648753025</v>
      </c>
      <c r="J11" s="90">
        <f ca="1">OFFSET('Historic CDM'!$C$76,0,(ROW()-ROW(F$2))/12)/12</f>
        <v>18655.339531500493</v>
      </c>
      <c r="K11" s="90">
        <f t="shared" ca="1" si="4"/>
        <v>5185699.0044068033</v>
      </c>
      <c r="L11" s="85">
        <v>1863</v>
      </c>
      <c r="M11" s="90">
        <f>14805841.5438479-R11</f>
        <v>14646666.9748479</v>
      </c>
      <c r="N11" s="92">
        <f ca="1">OFFSET('Historic CDM'!$C$88,0,(ROW()-ROW(F$2))/12)/12</f>
        <v>47601.455914117883</v>
      </c>
      <c r="O11" s="1">
        <f t="shared" ca="1" si="0"/>
        <v>14535093.861762017</v>
      </c>
      <c r="P11" s="3">
        <f>36846.19-S11</f>
        <v>35365.54</v>
      </c>
      <c r="Q11" s="2">
        <f>214-T11</f>
        <v>213</v>
      </c>
      <c r="R11" s="90">
        <v>159174.56899999999</v>
      </c>
      <c r="S11" s="92">
        <v>1480.65</v>
      </c>
      <c r="T11" s="91">
        <v>1</v>
      </c>
      <c r="U11" s="90">
        <v>542756.33725806454</v>
      </c>
      <c r="V11" s="97">
        <v>1470.8899999999999</v>
      </c>
      <c r="W11" s="94">
        <f>1110+3029+1902+1633</f>
        <v>7674</v>
      </c>
      <c r="X11" s="90">
        <v>33331.050000000003</v>
      </c>
      <c r="Y11" s="92">
        <v>73.575999999999993</v>
      </c>
      <c r="Z11" s="85">
        <v>174</v>
      </c>
      <c r="AA11" s="90">
        <v>128898</v>
      </c>
      <c r="AB11" s="85">
        <v>138</v>
      </c>
      <c r="AC11" s="90">
        <v>1313738</v>
      </c>
      <c r="AD11" s="91">
        <v>1</v>
      </c>
      <c r="AE11" s="90">
        <v>3691302.8216989255</v>
      </c>
      <c r="AF11" s="92">
        <v>8167.94</v>
      </c>
      <c r="AG11" s="91">
        <v>7</v>
      </c>
      <c r="AH11" s="87">
        <f>Weather!B179</f>
        <v>230.79999999999995</v>
      </c>
      <c r="AI11" s="87">
        <f>Weather!C179</f>
        <v>0</v>
      </c>
      <c r="AJ11" s="87">
        <f>Employment!B11</f>
        <v>6472.1</v>
      </c>
      <c r="AK11" s="87">
        <f>Employment!C11</f>
        <v>149.19999999999999</v>
      </c>
      <c r="AL11" s="114">
        <v>539388</v>
      </c>
      <c r="AM11" s="95">
        <v>31</v>
      </c>
      <c r="AN11" s="87">
        <v>21</v>
      </c>
      <c r="AO11" s="87">
        <v>10</v>
      </c>
      <c r="AP11" s="87">
        <v>0</v>
      </c>
      <c r="AQ11" s="87">
        <v>0</v>
      </c>
      <c r="AR11" s="87">
        <v>0</v>
      </c>
      <c r="AS11" s="87">
        <v>0</v>
      </c>
      <c r="AT11" s="87">
        <v>0</v>
      </c>
      <c r="AU11" s="87">
        <v>0</v>
      </c>
      <c r="AV11" s="87">
        <v>0</v>
      </c>
      <c r="AW11" s="87">
        <v>0</v>
      </c>
      <c r="AX11" s="87">
        <v>0</v>
      </c>
      <c r="AY11" s="87">
        <v>1</v>
      </c>
      <c r="AZ11" s="87">
        <v>0</v>
      </c>
      <c r="BA11" s="87">
        <v>0</v>
      </c>
      <c r="BB11" s="87">
        <v>0</v>
      </c>
      <c r="BC11" s="87">
        <v>1</v>
      </c>
      <c r="BD11" s="87">
        <f t="shared" si="5"/>
        <v>1</v>
      </c>
    </row>
    <row r="12" spans="1:56">
      <c r="A12" s="88">
        <v>40118</v>
      </c>
      <c r="B12" s="122">
        <f t="shared" si="1"/>
        <v>11</v>
      </c>
      <c r="C12" s="89">
        <f t="shared" si="2"/>
        <v>2009</v>
      </c>
      <c r="D12" s="90">
        <v>40433149.474999957</v>
      </c>
      <c r="E12" s="90">
        <v>18003855.724451404</v>
      </c>
      <c r="F12" s="90">
        <f ca="1">OFFSET('Historic CDM'!$C$64,0,(ROW()-ROW(F$2))/12)/12</f>
        <v>70738.169513998277</v>
      </c>
      <c r="G12" s="90">
        <f t="shared" ca="1" si="3"/>
        <v>18074593.893965401</v>
      </c>
      <c r="H12" s="91">
        <v>26005</v>
      </c>
      <c r="I12" s="90">
        <v>5112549.4677349431</v>
      </c>
      <c r="J12" s="90">
        <f ca="1">OFFSET('Historic CDM'!$C$76,0,(ROW()-ROW(F$2))/12)/12</f>
        <v>18655.339531500493</v>
      </c>
      <c r="K12" s="90">
        <f t="shared" ca="1" si="4"/>
        <v>5131204.807266444</v>
      </c>
      <c r="L12" s="85">
        <v>1870</v>
      </c>
      <c r="M12" s="90">
        <f>13894238.5857699-R12</f>
        <v>13890202.752769899</v>
      </c>
      <c r="N12" s="92">
        <f ca="1">OFFSET('Historic CDM'!$C$88,0,(ROW()-ROW(F$2))/12)/12</f>
        <v>47601.455914117883</v>
      </c>
      <c r="O12" s="1">
        <f t="shared" ca="1" si="0"/>
        <v>13933768.375684015</v>
      </c>
      <c r="P12" s="3">
        <f>38415.47-S12</f>
        <v>38415.47</v>
      </c>
      <c r="Q12" s="2">
        <f>236-T12</f>
        <v>235</v>
      </c>
      <c r="R12" s="90">
        <v>4035.8330000000001</v>
      </c>
      <c r="S12" s="98">
        <v>0</v>
      </c>
      <c r="T12" s="91">
        <v>1</v>
      </c>
      <c r="U12" s="90">
        <v>570709.50974193553</v>
      </c>
      <c r="V12" s="97">
        <v>1471.06</v>
      </c>
      <c r="W12" s="94">
        <f>1109+3029+1903+1633</f>
        <v>7674</v>
      </c>
      <c r="X12" s="90">
        <v>30819.47</v>
      </c>
      <c r="Y12" s="96">
        <v>73.245000000000005</v>
      </c>
      <c r="Z12" s="85">
        <v>173</v>
      </c>
      <c r="AA12" s="90">
        <v>128898</v>
      </c>
      <c r="AB12" s="85">
        <v>138</v>
      </c>
      <c r="AC12" s="90">
        <v>2378965</v>
      </c>
      <c r="AD12" s="91">
        <v>1</v>
      </c>
      <c r="AE12" s="90">
        <v>4008230.4736344088</v>
      </c>
      <c r="AF12" s="92">
        <v>12206.990000000002</v>
      </c>
      <c r="AG12" s="91">
        <v>7</v>
      </c>
      <c r="AH12" s="87">
        <f>Weather!B180</f>
        <v>305.49999999999989</v>
      </c>
      <c r="AI12" s="87">
        <f>Weather!C180</f>
        <v>0</v>
      </c>
      <c r="AJ12" s="87">
        <f>Employment!B12</f>
        <v>6465.6</v>
      </c>
      <c r="AK12" s="87">
        <f>Employment!C12</f>
        <v>150.1</v>
      </c>
      <c r="AL12" s="114">
        <v>539388</v>
      </c>
      <c r="AM12" s="95">
        <v>30</v>
      </c>
      <c r="AN12" s="87">
        <v>21</v>
      </c>
      <c r="AO12" s="87">
        <v>11</v>
      </c>
      <c r="AP12" s="87">
        <v>0</v>
      </c>
      <c r="AQ12" s="87">
        <v>0</v>
      </c>
      <c r="AR12" s="87">
        <v>0</v>
      </c>
      <c r="AS12" s="87">
        <v>0</v>
      </c>
      <c r="AT12" s="87">
        <v>0</v>
      </c>
      <c r="AU12" s="87">
        <v>0</v>
      </c>
      <c r="AV12" s="87">
        <v>0</v>
      </c>
      <c r="AW12" s="87">
        <v>0</v>
      </c>
      <c r="AX12" s="87">
        <v>0</v>
      </c>
      <c r="AY12" s="87">
        <v>0</v>
      </c>
      <c r="AZ12" s="87">
        <v>1</v>
      </c>
      <c r="BA12" s="87">
        <v>0</v>
      </c>
      <c r="BB12" s="87">
        <v>0</v>
      </c>
      <c r="BC12" s="87">
        <v>1</v>
      </c>
      <c r="BD12" s="87">
        <f t="shared" si="5"/>
        <v>1</v>
      </c>
    </row>
    <row r="13" spans="1:56">
      <c r="A13" s="88">
        <v>40148</v>
      </c>
      <c r="B13" s="122">
        <f t="shared" si="1"/>
        <v>12</v>
      </c>
      <c r="C13" s="89">
        <f t="shared" si="2"/>
        <v>2009</v>
      </c>
      <c r="D13" s="90">
        <v>46143592.099999994</v>
      </c>
      <c r="E13" s="90">
        <v>22148566.256091919</v>
      </c>
      <c r="F13" s="90">
        <f ca="1">OFFSET('Historic CDM'!$C$64,0,(ROW()-ROW(F$2))/12)/12</f>
        <v>70738.169513998277</v>
      </c>
      <c r="G13" s="90">
        <f t="shared" ca="1" si="3"/>
        <v>22219304.425605915</v>
      </c>
      <c r="H13" s="91">
        <v>25938</v>
      </c>
      <c r="I13" s="90">
        <v>5669860.1098781722</v>
      </c>
      <c r="J13" s="90">
        <f ca="1">OFFSET('Historic CDM'!$C$76,0,(ROW()-ROW(F$2))/12)/12</f>
        <v>18655.339531500493</v>
      </c>
      <c r="K13" s="90">
        <f t="shared" ca="1" si="4"/>
        <v>5688515.449409673</v>
      </c>
      <c r="L13" s="85">
        <v>1867</v>
      </c>
      <c r="M13" s="90">
        <f>13814082.2871934-R13</f>
        <v>13814082.287193401</v>
      </c>
      <c r="N13" s="92">
        <f ca="1">OFFSET('Historic CDM'!$C$88,0,(ROW()-ROW(F$2))/12)/12</f>
        <v>47601.455914117883</v>
      </c>
      <c r="O13" s="1">
        <f t="shared" ca="1" si="0"/>
        <v>13861683.743107518</v>
      </c>
      <c r="P13" s="3">
        <f>34797.11-S13</f>
        <v>34797.11</v>
      </c>
      <c r="Q13" s="2">
        <f>214-T13</f>
        <v>213</v>
      </c>
      <c r="R13" s="90">
        <v>0</v>
      </c>
      <c r="S13" s="92">
        <v>0</v>
      </c>
      <c r="T13" s="91">
        <v>1</v>
      </c>
      <c r="U13" s="90">
        <v>624776.5254193549</v>
      </c>
      <c r="V13" s="97">
        <v>1470.96</v>
      </c>
      <c r="W13" s="94">
        <f>1109+3029+1903+1633</f>
        <v>7674</v>
      </c>
      <c r="X13" s="90">
        <v>32012.720000000001</v>
      </c>
      <c r="Y13" s="96">
        <v>73.245000000000005</v>
      </c>
      <c r="Z13" s="85">
        <v>173</v>
      </c>
      <c r="AA13" s="90">
        <v>128898</v>
      </c>
      <c r="AB13" s="85">
        <v>138</v>
      </c>
      <c r="AC13" s="90">
        <v>2773436</v>
      </c>
      <c r="AD13" s="91">
        <v>1</v>
      </c>
      <c r="AE13" s="90">
        <v>4161075.2657204298</v>
      </c>
      <c r="AF13" s="92">
        <v>9134.23</v>
      </c>
      <c r="AG13" s="91">
        <v>7</v>
      </c>
      <c r="AH13" s="87">
        <f>Weather!B181</f>
        <v>582</v>
      </c>
      <c r="AI13" s="87">
        <f>Weather!C181</f>
        <v>0</v>
      </c>
      <c r="AJ13" s="87">
        <f>Employment!B13</f>
        <v>6467.5</v>
      </c>
      <c r="AK13" s="87">
        <f>Employment!C13</f>
        <v>150.19999999999999</v>
      </c>
      <c r="AL13" s="114">
        <v>539388</v>
      </c>
      <c r="AM13" s="95">
        <v>31</v>
      </c>
      <c r="AN13" s="87">
        <v>21</v>
      </c>
      <c r="AO13" s="87">
        <v>12</v>
      </c>
      <c r="AP13" s="87">
        <v>0</v>
      </c>
      <c r="AQ13" s="87">
        <v>0</v>
      </c>
      <c r="AR13" s="87">
        <v>0</v>
      </c>
      <c r="AS13" s="87">
        <v>0</v>
      </c>
      <c r="AT13" s="87">
        <v>0</v>
      </c>
      <c r="AU13" s="87">
        <v>0</v>
      </c>
      <c r="AV13" s="87">
        <v>0</v>
      </c>
      <c r="AW13" s="87">
        <v>0</v>
      </c>
      <c r="AX13" s="87">
        <v>0</v>
      </c>
      <c r="AY13" s="87">
        <v>0</v>
      </c>
      <c r="AZ13" s="87">
        <v>0</v>
      </c>
      <c r="BA13" s="87">
        <v>1</v>
      </c>
      <c r="BB13" s="87">
        <v>0</v>
      </c>
      <c r="BC13" s="87">
        <v>0</v>
      </c>
      <c r="BD13" s="87">
        <f t="shared" si="5"/>
        <v>0</v>
      </c>
    </row>
    <row r="14" spans="1:56">
      <c r="A14" s="88">
        <v>40179</v>
      </c>
      <c r="B14" s="122">
        <f t="shared" si="1"/>
        <v>1</v>
      </c>
      <c r="C14" s="89">
        <f t="shared" si="2"/>
        <v>2010</v>
      </c>
      <c r="D14" s="90">
        <v>45690204.725000039</v>
      </c>
      <c r="E14" s="90">
        <v>22191707.905780409</v>
      </c>
      <c r="F14" s="90">
        <f ca="1">OFFSET('Historic CDM'!$C$64,0,(ROW()-ROW(F$2))/12)/12</f>
        <v>166752.34519664638</v>
      </c>
      <c r="G14" s="90">
        <f t="shared" ca="1" si="3"/>
        <v>22358460.250977054</v>
      </c>
      <c r="H14" s="91">
        <v>25980</v>
      </c>
      <c r="I14" s="90">
        <v>5836407.2059232816</v>
      </c>
      <c r="J14" s="90">
        <f ca="1">OFFSET('Historic CDM'!$C$76,0,(ROW()-ROW(F$2))/12)/12</f>
        <v>60094.695249036537</v>
      </c>
      <c r="K14" s="90">
        <f t="shared" ca="1" si="4"/>
        <v>5896501.9011723185</v>
      </c>
      <c r="L14" s="85">
        <v>1885</v>
      </c>
      <c r="M14" s="90">
        <f>14067754.180007-R14</f>
        <v>14067754.180007</v>
      </c>
      <c r="N14" s="92">
        <f ca="1">OFFSET('Historic CDM'!$C$88,0,(ROW()-ROW(F$2))/12)/12</f>
        <v>112211.7587009819</v>
      </c>
      <c r="O14" s="1">
        <f t="shared" ca="1" si="0"/>
        <v>14179965.938707981</v>
      </c>
      <c r="P14" s="3">
        <f>32940.94-S14</f>
        <v>32940.94</v>
      </c>
      <c r="Q14" s="2">
        <f>214-T14</f>
        <v>213</v>
      </c>
      <c r="R14" s="90">
        <v>0</v>
      </c>
      <c r="S14" s="92">
        <v>0</v>
      </c>
      <c r="T14" s="91">
        <v>1</v>
      </c>
      <c r="U14" s="90">
        <v>615928.30258064519</v>
      </c>
      <c r="V14" s="93">
        <v>1470.96</v>
      </c>
      <c r="W14" s="94">
        <f>1109+3029+1903+1633</f>
        <v>7674</v>
      </c>
      <c r="X14" s="90">
        <v>35989.480000000003</v>
      </c>
      <c r="Y14" s="92">
        <v>73.575999999999993</v>
      </c>
      <c r="Z14" s="85">
        <v>174</v>
      </c>
      <c r="AA14" s="90">
        <v>129846</v>
      </c>
      <c r="AB14" s="85">
        <v>141</v>
      </c>
      <c r="AC14" s="90">
        <v>3226087</v>
      </c>
      <c r="AD14" s="91">
        <v>1</v>
      </c>
      <c r="AE14" s="90">
        <v>4287365.1832258087</v>
      </c>
      <c r="AF14" s="92">
        <v>8844.07</v>
      </c>
      <c r="AG14" s="91">
        <v>7</v>
      </c>
      <c r="AH14" s="87">
        <f>Weather!B182</f>
        <v>663.29999999999984</v>
      </c>
      <c r="AI14" s="87">
        <f>Weather!C182</f>
        <v>0</v>
      </c>
      <c r="AJ14" s="87">
        <f>Employment!B14</f>
        <v>6434.5</v>
      </c>
      <c r="AK14" s="87">
        <f>Employment!C14</f>
        <v>146.80000000000001</v>
      </c>
      <c r="AL14" s="114">
        <v>555907.5</v>
      </c>
      <c r="AM14" s="95">
        <f>AM2</f>
        <v>31</v>
      </c>
      <c r="AN14" s="87">
        <v>20</v>
      </c>
      <c r="AO14" s="87">
        <v>13</v>
      </c>
      <c r="AP14" s="87">
        <f>AP2</f>
        <v>1</v>
      </c>
      <c r="AQ14" s="87">
        <f t="shared" ref="AQ14:BD14" si="6">AQ2</f>
        <v>0</v>
      </c>
      <c r="AR14" s="87">
        <f t="shared" si="6"/>
        <v>0</v>
      </c>
      <c r="AS14" s="87">
        <f t="shared" si="6"/>
        <v>0</v>
      </c>
      <c r="AT14" s="87">
        <f t="shared" si="6"/>
        <v>0</v>
      </c>
      <c r="AU14" s="87">
        <f t="shared" si="6"/>
        <v>0</v>
      </c>
      <c r="AV14" s="87">
        <f t="shared" si="6"/>
        <v>0</v>
      </c>
      <c r="AW14" s="87">
        <f t="shared" si="6"/>
        <v>0</v>
      </c>
      <c r="AX14" s="87">
        <f t="shared" si="6"/>
        <v>0</v>
      </c>
      <c r="AY14" s="87">
        <f t="shared" si="6"/>
        <v>0</v>
      </c>
      <c r="AZ14" s="87">
        <f t="shared" si="6"/>
        <v>0</v>
      </c>
      <c r="BA14" s="87">
        <f t="shared" si="6"/>
        <v>0</v>
      </c>
      <c r="BB14" s="87">
        <f t="shared" si="6"/>
        <v>0</v>
      </c>
      <c r="BC14" s="87">
        <f t="shared" si="6"/>
        <v>0</v>
      </c>
      <c r="BD14" s="87">
        <f t="shared" si="6"/>
        <v>0</v>
      </c>
    </row>
    <row r="15" spans="1:56">
      <c r="A15" s="88">
        <v>40210</v>
      </c>
      <c r="B15" s="122">
        <f t="shared" si="1"/>
        <v>2</v>
      </c>
      <c r="C15" s="89">
        <f t="shared" si="2"/>
        <v>2010</v>
      </c>
      <c r="D15" s="90">
        <v>39898826.150000006</v>
      </c>
      <c r="E15" s="90">
        <v>18569246.569947626</v>
      </c>
      <c r="F15" s="90">
        <f ca="1">OFFSET('Historic CDM'!$C$64,0,(ROW()-ROW(F$2))/12)/12</f>
        <v>166752.34519664638</v>
      </c>
      <c r="G15" s="90">
        <f t="shared" ca="1" si="3"/>
        <v>18735998.915144272</v>
      </c>
      <c r="H15" s="91">
        <v>25992</v>
      </c>
      <c r="I15" s="90">
        <v>5222365.7454162072</v>
      </c>
      <c r="J15" s="90">
        <f ca="1">OFFSET('Historic CDM'!$C$76,0,(ROW()-ROW(F$2))/12)/12</f>
        <v>60094.695249036537</v>
      </c>
      <c r="K15" s="90">
        <f t="shared" ca="1" si="4"/>
        <v>5282460.4406652441</v>
      </c>
      <c r="L15" s="85">
        <v>1889</v>
      </c>
      <c r="M15" s="90">
        <f>12660175.9279844-R15</f>
        <v>12660175.9279844</v>
      </c>
      <c r="N15" s="92">
        <f ca="1">OFFSET('Historic CDM'!$C$88,0,(ROW()-ROW(F$2))/12)/12</f>
        <v>112211.7587009819</v>
      </c>
      <c r="O15" s="1">
        <f t="shared" ca="1" si="0"/>
        <v>12772387.686685381</v>
      </c>
      <c r="P15" s="3">
        <f>29202.21-S15</f>
        <v>29202.21</v>
      </c>
      <c r="Q15" s="2">
        <f>214-T15</f>
        <v>213</v>
      </c>
      <c r="R15" s="90">
        <v>0</v>
      </c>
      <c r="S15" s="92">
        <v>0</v>
      </c>
      <c r="T15" s="91">
        <v>1</v>
      </c>
      <c r="U15" s="90">
        <v>576846.34000000008</v>
      </c>
      <c r="V15" s="93">
        <v>1528.0900000000001</v>
      </c>
      <c r="W15" s="94">
        <f>1525+3029+1903+1633</f>
        <v>8090</v>
      </c>
      <c r="X15" s="90">
        <v>32797.29</v>
      </c>
      <c r="Y15" s="96">
        <v>73.771000000000001</v>
      </c>
      <c r="Z15" s="85">
        <v>175</v>
      </c>
      <c r="AA15" s="90">
        <v>129846</v>
      </c>
      <c r="AB15" s="85">
        <v>141</v>
      </c>
      <c r="AC15" s="90">
        <v>2864661</v>
      </c>
      <c r="AD15" s="91">
        <v>1</v>
      </c>
      <c r="AE15" s="90">
        <v>3864101.6362442398</v>
      </c>
      <c r="AF15" s="92">
        <v>8659.25</v>
      </c>
      <c r="AG15" s="91">
        <v>7</v>
      </c>
      <c r="AH15" s="87">
        <f>Weather!B183</f>
        <v>557.29999999999995</v>
      </c>
      <c r="AI15" s="87">
        <f>Weather!C183</f>
        <v>0</v>
      </c>
      <c r="AJ15" s="87">
        <f>Employment!B15</f>
        <v>6404.1</v>
      </c>
      <c r="AK15" s="87">
        <f>Employment!C15</f>
        <v>145.5</v>
      </c>
      <c r="AL15" s="114">
        <v>555907.5</v>
      </c>
      <c r="AM15" s="95">
        <v>28</v>
      </c>
      <c r="AN15" s="87">
        <v>19</v>
      </c>
      <c r="AO15" s="87">
        <v>14</v>
      </c>
      <c r="AP15" s="87">
        <f t="shared" ref="AP15:BD15" si="7">AP3</f>
        <v>0</v>
      </c>
      <c r="AQ15" s="87">
        <f t="shared" si="7"/>
        <v>1</v>
      </c>
      <c r="AR15" s="87">
        <f t="shared" si="7"/>
        <v>0</v>
      </c>
      <c r="AS15" s="87">
        <f t="shared" si="7"/>
        <v>0</v>
      </c>
      <c r="AT15" s="87">
        <f t="shared" si="7"/>
        <v>0</v>
      </c>
      <c r="AU15" s="87">
        <f t="shared" si="7"/>
        <v>0</v>
      </c>
      <c r="AV15" s="87">
        <f t="shared" si="7"/>
        <v>0</v>
      </c>
      <c r="AW15" s="87">
        <f t="shared" si="7"/>
        <v>0</v>
      </c>
      <c r="AX15" s="87">
        <f t="shared" si="7"/>
        <v>0</v>
      </c>
      <c r="AY15" s="87">
        <f t="shared" si="7"/>
        <v>0</v>
      </c>
      <c r="AZ15" s="87">
        <f t="shared" si="7"/>
        <v>0</v>
      </c>
      <c r="BA15" s="87">
        <f t="shared" si="7"/>
        <v>0</v>
      </c>
      <c r="BB15" s="87">
        <f t="shared" si="7"/>
        <v>0</v>
      </c>
      <c r="BC15" s="87">
        <f t="shared" si="7"/>
        <v>0</v>
      </c>
      <c r="BD15" s="87">
        <f t="shared" si="7"/>
        <v>0</v>
      </c>
    </row>
    <row r="16" spans="1:56">
      <c r="A16" s="88">
        <v>40238</v>
      </c>
      <c r="B16" s="122">
        <f t="shared" si="1"/>
        <v>3</v>
      </c>
      <c r="C16" s="89">
        <f t="shared" si="2"/>
        <v>2010</v>
      </c>
      <c r="D16" s="90">
        <v>40682638.524999999</v>
      </c>
      <c r="E16" s="90">
        <v>18172162.141447738</v>
      </c>
      <c r="F16" s="90">
        <f ca="1">OFFSET('Historic CDM'!$C$64,0,(ROW()-ROW(F$2))/12)/12</f>
        <v>166752.34519664638</v>
      </c>
      <c r="G16" s="90">
        <f t="shared" ca="1" si="3"/>
        <v>18338914.486644384</v>
      </c>
      <c r="H16" s="91">
        <v>26054</v>
      </c>
      <c r="I16" s="90">
        <v>5307171.0830371259</v>
      </c>
      <c r="J16" s="90">
        <f ca="1">OFFSET('Historic CDM'!$C$76,0,(ROW()-ROW(F$2))/12)/12</f>
        <v>60094.695249036537</v>
      </c>
      <c r="K16" s="90">
        <f t="shared" ca="1" si="4"/>
        <v>5367265.7782861628</v>
      </c>
      <c r="L16" s="85">
        <v>1886</v>
      </c>
      <c r="M16" s="90">
        <f>13665209.3340902-R16</f>
        <v>13665209.334090199</v>
      </c>
      <c r="N16" s="92">
        <f ca="1">OFFSET('Historic CDM'!$C$88,0,(ROW()-ROW(F$2))/12)/12</f>
        <v>112211.7587009819</v>
      </c>
      <c r="O16" s="1">
        <f t="shared" ca="1" si="0"/>
        <v>13777421.092791181</v>
      </c>
      <c r="P16" s="3">
        <f>32096.2199999999-S16</f>
        <v>32096.219999999899</v>
      </c>
      <c r="Q16" s="2">
        <f>214-T16</f>
        <v>213</v>
      </c>
      <c r="R16" s="90">
        <v>0</v>
      </c>
      <c r="S16" s="92">
        <v>0</v>
      </c>
      <c r="T16" s="91">
        <v>1</v>
      </c>
      <c r="U16" s="90">
        <v>538207.99354838696</v>
      </c>
      <c r="V16" s="93">
        <v>1528.0900000000001</v>
      </c>
      <c r="W16" s="94">
        <f>1525+3029+1903+1633</f>
        <v>8090</v>
      </c>
      <c r="X16" s="90">
        <v>32902.07</v>
      </c>
      <c r="Y16" s="96">
        <v>73.771000000000001</v>
      </c>
      <c r="Z16" s="85">
        <v>175</v>
      </c>
      <c r="AA16" s="90">
        <v>129846</v>
      </c>
      <c r="AB16" s="85">
        <v>141</v>
      </c>
      <c r="AC16" s="90">
        <v>2659856</v>
      </c>
      <c r="AD16" s="91">
        <v>2</v>
      </c>
      <c r="AE16" s="90">
        <v>4021188.7327880189</v>
      </c>
      <c r="AF16" s="92">
        <v>8271.92</v>
      </c>
      <c r="AG16" s="91">
        <v>7</v>
      </c>
      <c r="AH16" s="87">
        <f>Weather!B184</f>
        <v>393.39999999999986</v>
      </c>
      <c r="AI16" s="87">
        <f>Weather!C184</f>
        <v>0</v>
      </c>
      <c r="AJ16" s="87">
        <f>Employment!B16</f>
        <v>6377.2</v>
      </c>
      <c r="AK16" s="87">
        <f>Employment!C16</f>
        <v>143.30000000000001</v>
      </c>
      <c r="AL16" s="114">
        <v>555907.5</v>
      </c>
      <c r="AM16" s="95">
        <f t="shared" ref="AM16:AM49" si="8">AM4</f>
        <v>31</v>
      </c>
      <c r="AN16" s="87">
        <v>23</v>
      </c>
      <c r="AO16" s="87">
        <v>15</v>
      </c>
      <c r="AP16" s="87">
        <f t="shared" ref="AP16:BD16" si="9">AP4</f>
        <v>0</v>
      </c>
      <c r="AQ16" s="87">
        <f t="shared" si="9"/>
        <v>0</v>
      </c>
      <c r="AR16" s="87">
        <f t="shared" si="9"/>
        <v>1</v>
      </c>
      <c r="AS16" s="87">
        <f t="shared" si="9"/>
        <v>0</v>
      </c>
      <c r="AT16" s="87">
        <f t="shared" si="9"/>
        <v>0</v>
      </c>
      <c r="AU16" s="87">
        <f t="shared" si="9"/>
        <v>0</v>
      </c>
      <c r="AV16" s="87">
        <f t="shared" si="9"/>
        <v>0</v>
      </c>
      <c r="AW16" s="87">
        <f t="shared" si="9"/>
        <v>0</v>
      </c>
      <c r="AX16" s="87">
        <f t="shared" si="9"/>
        <v>0</v>
      </c>
      <c r="AY16" s="87">
        <f t="shared" si="9"/>
        <v>0</v>
      </c>
      <c r="AZ16" s="87">
        <f t="shared" si="9"/>
        <v>0</v>
      </c>
      <c r="BA16" s="87">
        <f t="shared" si="9"/>
        <v>0</v>
      </c>
      <c r="BB16" s="87">
        <f t="shared" si="9"/>
        <v>1</v>
      </c>
      <c r="BC16" s="87">
        <f t="shared" si="9"/>
        <v>0</v>
      </c>
      <c r="BD16" s="87">
        <f t="shared" si="9"/>
        <v>1</v>
      </c>
    </row>
    <row r="17" spans="1:56">
      <c r="A17" s="88">
        <v>40269</v>
      </c>
      <c r="B17" s="122">
        <f t="shared" si="1"/>
        <v>4</v>
      </c>
      <c r="C17" s="89">
        <f t="shared" si="2"/>
        <v>2010</v>
      </c>
      <c r="D17" s="90">
        <v>35985685.375000015</v>
      </c>
      <c r="E17" s="90">
        <v>16291039.206810821</v>
      </c>
      <c r="F17" s="90">
        <f ca="1">OFFSET('Historic CDM'!$C$64,0,(ROW()-ROW(F$2))/12)/12</f>
        <v>166752.34519664638</v>
      </c>
      <c r="G17" s="90">
        <f t="shared" ca="1" si="3"/>
        <v>16457791.552007467</v>
      </c>
      <c r="H17" s="91">
        <v>26018</v>
      </c>
      <c r="I17" s="90">
        <v>4988559.8853533743</v>
      </c>
      <c r="J17" s="90">
        <f ca="1">OFFSET('Historic CDM'!$C$76,0,(ROW()-ROW(F$2))/12)/12</f>
        <v>60094.695249036537</v>
      </c>
      <c r="K17" s="90">
        <f t="shared" ca="1" si="4"/>
        <v>5048654.5806024112</v>
      </c>
      <c r="L17" s="85">
        <v>1885</v>
      </c>
      <c r="M17" s="90">
        <f>12071109.0475889-R17</f>
        <v>12044975.6975889</v>
      </c>
      <c r="N17" s="92">
        <f ca="1">OFFSET('Historic CDM'!$C$88,0,(ROW()-ROW(F$2))/12)/12</f>
        <v>112211.7587009819</v>
      </c>
      <c r="O17" s="1">
        <f t="shared" ca="1" si="0"/>
        <v>12131054.106289882</v>
      </c>
      <c r="P17" s="3">
        <f>33678.08-S17</f>
        <v>32477.34</v>
      </c>
      <c r="Q17" s="2">
        <f>215-T17</f>
        <v>214</v>
      </c>
      <c r="R17" s="90">
        <v>26133.35</v>
      </c>
      <c r="S17" s="92">
        <v>1200.74</v>
      </c>
      <c r="T17" s="91">
        <v>1</v>
      </c>
      <c r="U17" s="90">
        <v>426159.58645161288</v>
      </c>
      <c r="V17" s="93">
        <v>1505.77</v>
      </c>
      <c r="W17" s="94">
        <f>1071+3029+1903+1633</f>
        <v>7636</v>
      </c>
      <c r="X17" s="90">
        <v>29402.61</v>
      </c>
      <c r="Y17" s="96">
        <v>73.771000000000001</v>
      </c>
      <c r="Z17" s="85">
        <v>175</v>
      </c>
      <c r="AA17" s="90">
        <v>129846</v>
      </c>
      <c r="AB17" s="85">
        <v>141</v>
      </c>
      <c r="AC17" s="90">
        <v>1011729</v>
      </c>
      <c r="AD17" s="91">
        <v>2</v>
      </c>
      <c r="AE17" s="90">
        <v>3597797.5060215048</v>
      </c>
      <c r="AF17" s="92">
        <v>8677.7000000000007</v>
      </c>
      <c r="AG17" s="91">
        <v>7</v>
      </c>
      <c r="AH17" s="87">
        <f>Weather!B185</f>
        <v>174.9</v>
      </c>
      <c r="AI17" s="87">
        <f>Weather!C185</f>
        <v>5</v>
      </c>
      <c r="AJ17" s="87">
        <f>Employment!B17</f>
        <v>6401.7</v>
      </c>
      <c r="AK17" s="87">
        <f>Employment!C17</f>
        <v>146.6</v>
      </c>
      <c r="AL17" s="114">
        <v>555907.5</v>
      </c>
      <c r="AM17" s="95">
        <f t="shared" si="8"/>
        <v>30</v>
      </c>
      <c r="AN17" s="87">
        <v>20</v>
      </c>
      <c r="AO17" s="87">
        <v>16</v>
      </c>
      <c r="AP17" s="87">
        <f t="shared" ref="AP17:BD17" si="10">AP5</f>
        <v>0</v>
      </c>
      <c r="AQ17" s="87">
        <f t="shared" si="10"/>
        <v>0</v>
      </c>
      <c r="AR17" s="87">
        <f t="shared" si="10"/>
        <v>0</v>
      </c>
      <c r="AS17" s="87">
        <f t="shared" si="10"/>
        <v>1</v>
      </c>
      <c r="AT17" s="87">
        <f t="shared" si="10"/>
        <v>0</v>
      </c>
      <c r="AU17" s="87">
        <f t="shared" si="10"/>
        <v>0</v>
      </c>
      <c r="AV17" s="87">
        <f t="shared" si="10"/>
        <v>0</v>
      </c>
      <c r="AW17" s="87">
        <f t="shared" si="10"/>
        <v>0</v>
      </c>
      <c r="AX17" s="87">
        <f t="shared" si="10"/>
        <v>0</v>
      </c>
      <c r="AY17" s="87">
        <f t="shared" si="10"/>
        <v>0</v>
      </c>
      <c r="AZ17" s="87">
        <f t="shared" si="10"/>
        <v>0</v>
      </c>
      <c r="BA17" s="87">
        <f t="shared" si="10"/>
        <v>0</v>
      </c>
      <c r="BB17" s="87">
        <f t="shared" si="10"/>
        <v>1</v>
      </c>
      <c r="BC17" s="87">
        <f t="shared" si="10"/>
        <v>0</v>
      </c>
      <c r="BD17" s="87">
        <f t="shared" si="10"/>
        <v>1</v>
      </c>
    </row>
    <row r="18" spans="1:56">
      <c r="A18" s="88">
        <v>40299</v>
      </c>
      <c r="B18" s="122">
        <f t="shared" si="1"/>
        <v>5</v>
      </c>
      <c r="C18" s="89">
        <f t="shared" si="2"/>
        <v>2010</v>
      </c>
      <c r="D18" s="90">
        <v>42022764.574999988</v>
      </c>
      <c r="E18" s="90">
        <v>19711136.233361259</v>
      </c>
      <c r="F18" s="90">
        <f ca="1">OFFSET('Historic CDM'!$C$64,0,(ROW()-ROW(F$2))/12)/12</f>
        <v>166752.34519664638</v>
      </c>
      <c r="G18" s="90">
        <f t="shared" ca="1" si="3"/>
        <v>19877888.578557905</v>
      </c>
      <c r="H18" s="91">
        <v>26025</v>
      </c>
      <c r="I18" s="90">
        <v>5569353.2683670642</v>
      </c>
      <c r="J18" s="90">
        <f ca="1">OFFSET('Historic CDM'!$C$76,0,(ROW()-ROW(F$2))/12)/12</f>
        <v>60094.695249036537</v>
      </c>
      <c r="K18" s="90">
        <f t="shared" ca="1" si="4"/>
        <v>5629447.9636161011</v>
      </c>
      <c r="L18" s="85">
        <v>1879</v>
      </c>
      <c r="M18" s="90">
        <f>12877781.3401059-R18</f>
        <v>12863167.636105901</v>
      </c>
      <c r="N18" s="92">
        <f ca="1">OFFSET('Historic CDM'!$C$88,0,(ROW()-ROW(F$2))/12)/12</f>
        <v>112211.7587009819</v>
      </c>
      <c r="O18" s="1">
        <f t="shared" ca="1" si="0"/>
        <v>12960765.690806882</v>
      </c>
      <c r="P18" s="3">
        <f>36729.71-S18</f>
        <v>34861.42</v>
      </c>
      <c r="Q18" s="2">
        <f>215-T18</f>
        <v>214</v>
      </c>
      <c r="R18" s="90">
        <v>14613.704</v>
      </c>
      <c r="S18" s="92">
        <v>1868.29</v>
      </c>
      <c r="T18" s="91">
        <v>1</v>
      </c>
      <c r="U18" s="90">
        <v>382734.72387096786</v>
      </c>
      <c r="V18" s="93">
        <v>1438.79</v>
      </c>
      <c r="W18" s="94">
        <f>342+3029+1903+1633</f>
        <v>6907</v>
      </c>
      <c r="X18" s="90">
        <v>32763.46</v>
      </c>
      <c r="Y18" s="96">
        <v>73.575999999999993</v>
      </c>
      <c r="Z18" s="85">
        <v>174</v>
      </c>
      <c r="AA18" s="90">
        <v>129846</v>
      </c>
      <c r="AB18" s="85">
        <v>141</v>
      </c>
      <c r="AC18" s="90">
        <v>3065134</v>
      </c>
      <c r="AD18" s="91">
        <v>4</v>
      </c>
      <c r="AE18" s="90">
        <v>4005543.8236559154</v>
      </c>
      <c r="AF18" s="92">
        <v>20409.11</v>
      </c>
      <c r="AG18" s="91">
        <v>7</v>
      </c>
      <c r="AH18" s="87">
        <f>Weather!B186</f>
        <v>84.300000000000011</v>
      </c>
      <c r="AI18" s="87">
        <f>Weather!C186</f>
        <v>59.699999999999989</v>
      </c>
      <c r="AJ18" s="87">
        <f>Employment!B18</f>
        <v>6468.9</v>
      </c>
      <c r="AK18" s="87">
        <f>Employment!C18</f>
        <v>147.80000000000001</v>
      </c>
      <c r="AL18" s="114">
        <v>555907.5</v>
      </c>
      <c r="AM18" s="95">
        <f t="shared" si="8"/>
        <v>31</v>
      </c>
      <c r="AN18" s="87">
        <v>20</v>
      </c>
      <c r="AO18" s="87">
        <v>17</v>
      </c>
      <c r="AP18" s="87">
        <f t="shared" ref="AP18:BD18" si="11">AP6</f>
        <v>0</v>
      </c>
      <c r="AQ18" s="87">
        <f t="shared" si="11"/>
        <v>0</v>
      </c>
      <c r="AR18" s="87">
        <f t="shared" si="11"/>
        <v>0</v>
      </c>
      <c r="AS18" s="87">
        <f t="shared" si="11"/>
        <v>0</v>
      </c>
      <c r="AT18" s="87">
        <f t="shared" si="11"/>
        <v>1</v>
      </c>
      <c r="AU18" s="87">
        <f t="shared" si="11"/>
        <v>0</v>
      </c>
      <c r="AV18" s="87">
        <f t="shared" si="11"/>
        <v>0</v>
      </c>
      <c r="AW18" s="87">
        <f t="shared" si="11"/>
        <v>0</v>
      </c>
      <c r="AX18" s="87">
        <f t="shared" si="11"/>
        <v>0</v>
      </c>
      <c r="AY18" s="87">
        <f t="shared" si="11"/>
        <v>0</v>
      </c>
      <c r="AZ18" s="87">
        <f t="shared" si="11"/>
        <v>0</v>
      </c>
      <c r="BA18" s="87">
        <f t="shared" si="11"/>
        <v>0</v>
      </c>
      <c r="BB18" s="87">
        <f t="shared" si="11"/>
        <v>1</v>
      </c>
      <c r="BC18" s="87">
        <f t="shared" si="11"/>
        <v>0</v>
      </c>
      <c r="BD18" s="87">
        <f t="shared" si="11"/>
        <v>1</v>
      </c>
    </row>
    <row r="19" spans="1:56">
      <c r="A19" s="88">
        <v>40330</v>
      </c>
      <c r="B19" s="122">
        <f t="shared" si="1"/>
        <v>6</v>
      </c>
      <c r="C19" s="89">
        <f t="shared" si="2"/>
        <v>2010</v>
      </c>
      <c r="D19" s="90">
        <v>53346932.100000001</v>
      </c>
      <c r="E19" s="90">
        <v>27578432.420346603</v>
      </c>
      <c r="F19" s="90">
        <f ca="1">OFFSET('Historic CDM'!$C$64,0,(ROW()-ROW(F$2))/12)/12</f>
        <v>166752.34519664638</v>
      </c>
      <c r="G19" s="90">
        <f t="shared" ca="1" si="3"/>
        <v>27745184.765543249</v>
      </c>
      <c r="H19" s="91">
        <v>26076</v>
      </c>
      <c r="I19" s="90">
        <v>6232422.9831939405</v>
      </c>
      <c r="J19" s="90">
        <f ca="1">OFFSET('Historic CDM'!$C$76,0,(ROW()-ROW(F$2))/12)/12</f>
        <v>60094.695249036537</v>
      </c>
      <c r="K19" s="90">
        <f t="shared" ca="1" si="4"/>
        <v>6292517.6784429774</v>
      </c>
      <c r="L19" s="85">
        <v>1884</v>
      </c>
      <c r="M19" s="90">
        <f>14967314.5358568-R19</f>
        <v>14872255.178856799</v>
      </c>
      <c r="N19" s="92">
        <f ca="1">OFFSET('Historic CDM'!$C$88,0,(ROW()-ROW(F$2))/12)/12</f>
        <v>112211.7587009819</v>
      </c>
      <c r="O19" s="1">
        <f t="shared" ca="1" si="0"/>
        <v>14889407.58055778</v>
      </c>
      <c r="P19" s="3">
        <f>42395.98-S19</f>
        <v>39626.9</v>
      </c>
      <c r="Q19" s="2">
        <f>215-T19</f>
        <v>214</v>
      </c>
      <c r="R19" s="90">
        <v>95059.357000000004</v>
      </c>
      <c r="S19" s="92">
        <v>2769.08</v>
      </c>
      <c r="T19" s="91">
        <v>1</v>
      </c>
      <c r="U19" s="90">
        <v>336701.24612903234</v>
      </c>
      <c r="V19" s="93">
        <v>1438.8</v>
      </c>
      <c r="W19" s="94">
        <f>342+3029+1903+1633</f>
        <v>6907</v>
      </c>
      <c r="X19" s="90">
        <v>33573.79</v>
      </c>
      <c r="Y19" s="96">
        <v>73.575999999999993</v>
      </c>
      <c r="Z19" s="85">
        <v>174</v>
      </c>
      <c r="AA19" s="90">
        <v>129846</v>
      </c>
      <c r="AB19" s="85">
        <v>141</v>
      </c>
      <c r="AC19" s="90">
        <v>1943362</v>
      </c>
      <c r="AD19" s="91">
        <v>4</v>
      </c>
      <c r="AE19" s="90">
        <v>4623646.4586774185</v>
      </c>
      <c r="AF19" s="92">
        <v>11897.8</v>
      </c>
      <c r="AG19" s="91">
        <v>7</v>
      </c>
      <c r="AH19" s="87">
        <f>Weather!B187</f>
        <v>3.9000000000000004</v>
      </c>
      <c r="AI19" s="87">
        <f>Weather!C187</f>
        <v>135.89999999999998</v>
      </c>
      <c r="AJ19" s="87">
        <f>Employment!B19</f>
        <v>6578.9</v>
      </c>
      <c r="AK19" s="87">
        <f>Employment!C19</f>
        <v>149.9</v>
      </c>
      <c r="AL19" s="114">
        <v>555907.5</v>
      </c>
      <c r="AM19" s="95">
        <f t="shared" si="8"/>
        <v>30</v>
      </c>
      <c r="AN19" s="87">
        <v>22</v>
      </c>
      <c r="AO19" s="87">
        <v>18</v>
      </c>
      <c r="AP19" s="87">
        <f t="shared" ref="AP19:BD19" si="12">AP7</f>
        <v>0</v>
      </c>
      <c r="AQ19" s="87">
        <f t="shared" si="12"/>
        <v>0</v>
      </c>
      <c r="AR19" s="87">
        <f t="shared" si="12"/>
        <v>0</v>
      </c>
      <c r="AS19" s="87">
        <f t="shared" si="12"/>
        <v>0</v>
      </c>
      <c r="AT19" s="87">
        <f t="shared" si="12"/>
        <v>0</v>
      </c>
      <c r="AU19" s="87">
        <f t="shared" si="12"/>
        <v>1</v>
      </c>
      <c r="AV19" s="87">
        <f t="shared" si="12"/>
        <v>0</v>
      </c>
      <c r="AW19" s="87">
        <f t="shared" si="12"/>
        <v>0</v>
      </c>
      <c r="AX19" s="87">
        <f t="shared" si="12"/>
        <v>0</v>
      </c>
      <c r="AY19" s="87">
        <f t="shared" si="12"/>
        <v>0</v>
      </c>
      <c r="AZ19" s="87">
        <f t="shared" si="12"/>
        <v>0</v>
      </c>
      <c r="BA19" s="87">
        <f t="shared" si="12"/>
        <v>0</v>
      </c>
      <c r="BB19" s="87">
        <f t="shared" si="12"/>
        <v>0</v>
      </c>
      <c r="BC19" s="87">
        <f t="shared" si="12"/>
        <v>0</v>
      </c>
      <c r="BD19" s="87">
        <f t="shared" si="12"/>
        <v>0</v>
      </c>
    </row>
    <row r="20" spans="1:56">
      <c r="A20" s="88">
        <v>40360</v>
      </c>
      <c r="B20" s="122">
        <f t="shared" si="1"/>
        <v>7</v>
      </c>
      <c r="C20" s="89">
        <f t="shared" si="2"/>
        <v>2010</v>
      </c>
      <c r="D20" s="90">
        <v>65592011.975000016</v>
      </c>
      <c r="E20" s="90">
        <v>33984761.023435831</v>
      </c>
      <c r="F20" s="90">
        <f ca="1">OFFSET('Historic CDM'!$C$64,0,(ROW()-ROW(F$2))/12)/12</f>
        <v>166752.34519664638</v>
      </c>
      <c r="G20" s="90">
        <f t="shared" ca="1" si="3"/>
        <v>34151513.368632481</v>
      </c>
      <c r="H20" s="91">
        <v>26109</v>
      </c>
      <c r="I20" s="90">
        <v>6991681.9826721018</v>
      </c>
      <c r="J20" s="90">
        <f ca="1">OFFSET('Historic CDM'!$C$76,0,(ROW()-ROW(F$2))/12)/12</f>
        <v>60094.695249036537</v>
      </c>
      <c r="K20" s="90">
        <f t="shared" ca="1" si="4"/>
        <v>7051776.6779211387</v>
      </c>
      <c r="L20" s="85">
        <v>1908</v>
      </c>
      <c r="M20" s="90">
        <f>16763382.2586417-R20</f>
        <v>16247820.901641699</v>
      </c>
      <c r="N20" s="92">
        <f ca="1">OFFSET('Historic CDM'!$C$88,0,(ROW()-ROW(F$2))/12)/12</f>
        <v>112211.7587009819</v>
      </c>
      <c r="O20" s="1">
        <f t="shared" ca="1" si="0"/>
        <v>15844471.30334268</v>
      </c>
      <c r="P20" s="3">
        <f>43203.89-S20</f>
        <v>40169.64</v>
      </c>
      <c r="Q20" s="2">
        <f>218-T20</f>
        <v>217</v>
      </c>
      <c r="R20" s="90">
        <v>515561.35700000002</v>
      </c>
      <c r="S20" s="92">
        <v>3034.25</v>
      </c>
      <c r="T20" s="91">
        <v>1</v>
      </c>
      <c r="U20" s="90">
        <v>356150.57322580647</v>
      </c>
      <c r="V20" s="93">
        <v>1438.8</v>
      </c>
      <c r="W20" s="94">
        <f>342+3029+1903+1633</f>
        <v>6907</v>
      </c>
      <c r="X20" s="90">
        <v>32030.16</v>
      </c>
      <c r="Y20" s="96">
        <v>73.575999999999993</v>
      </c>
      <c r="Z20" s="85">
        <v>174</v>
      </c>
      <c r="AA20" s="90">
        <v>129846</v>
      </c>
      <c r="AB20" s="85">
        <v>141</v>
      </c>
      <c r="AC20" s="90">
        <v>1677982</v>
      </c>
      <c r="AD20" s="91">
        <v>4</v>
      </c>
      <c r="AE20" s="90">
        <v>5419427.2648709696</v>
      </c>
      <c r="AF20" s="92">
        <v>13333.060000000001</v>
      </c>
      <c r="AG20" s="91">
        <v>7</v>
      </c>
      <c r="AH20" s="87">
        <f>Weather!B188</f>
        <v>0</v>
      </c>
      <c r="AI20" s="87">
        <f>Weather!C188</f>
        <v>227.00000000000006</v>
      </c>
      <c r="AJ20" s="87">
        <f>Employment!B20</f>
        <v>6640.9</v>
      </c>
      <c r="AK20" s="87">
        <f>Employment!C20</f>
        <v>148.30000000000001</v>
      </c>
      <c r="AL20" s="114">
        <v>555907.5</v>
      </c>
      <c r="AM20" s="95">
        <f t="shared" si="8"/>
        <v>31</v>
      </c>
      <c r="AN20" s="87">
        <v>21</v>
      </c>
      <c r="AO20" s="87">
        <v>19</v>
      </c>
      <c r="AP20" s="87">
        <f t="shared" ref="AP20:BD20" si="13">AP8</f>
        <v>0</v>
      </c>
      <c r="AQ20" s="87">
        <f t="shared" si="13"/>
        <v>0</v>
      </c>
      <c r="AR20" s="87">
        <f t="shared" si="13"/>
        <v>0</v>
      </c>
      <c r="AS20" s="87">
        <f t="shared" si="13"/>
        <v>0</v>
      </c>
      <c r="AT20" s="87">
        <f t="shared" si="13"/>
        <v>0</v>
      </c>
      <c r="AU20" s="87">
        <f t="shared" si="13"/>
        <v>0</v>
      </c>
      <c r="AV20" s="87">
        <f t="shared" si="13"/>
        <v>1</v>
      </c>
      <c r="AW20" s="87">
        <f t="shared" si="13"/>
        <v>0</v>
      </c>
      <c r="AX20" s="87">
        <f t="shared" si="13"/>
        <v>0</v>
      </c>
      <c r="AY20" s="87">
        <f t="shared" si="13"/>
        <v>0</v>
      </c>
      <c r="AZ20" s="87">
        <f t="shared" si="13"/>
        <v>0</v>
      </c>
      <c r="BA20" s="87">
        <f t="shared" si="13"/>
        <v>0</v>
      </c>
      <c r="BB20" s="87">
        <f t="shared" si="13"/>
        <v>0</v>
      </c>
      <c r="BC20" s="87">
        <f t="shared" si="13"/>
        <v>0</v>
      </c>
      <c r="BD20" s="87">
        <f t="shared" si="13"/>
        <v>0</v>
      </c>
    </row>
    <row r="21" spans="1:56">
      <c r="A21" s="88">
        <v>40391</v>
      </c>
      <c r="B21" s="122">
        <f t="shared" si="1"/>
        <v>8</v>
      </c>
      <c r="C21" s="89">
        <f t="shared" si="2"/>
        <v>2010</v>
      </c>
      <c r="D21" s="90">
        <v>64580657.375000007</v>
      </c>
      <c r="E21" s="90">
        <v>31353990.845391963</v>
      </c>
      <c r="F21" s="90">
        <f ca="1">OFFSET('Historic CDM'!$C$64,0,(ROW()-ROW(F$2))/12)/12</f>
        <v>166752.34519664638</v>
      </c>
      <c r="G21" s="90">
        <f t="shared" ca="1" si="3"/>
        <v>31520743.190588608</v>
      </c>
      <c r="H21" s="91">
        <v>26117</v>
      </c>
      <c r="I21" s="90">
        <v>6831475.6482498832</v>
      </c>
      <c r="J21" s="90">
        <f ca="1">OFFSET('Historic CDM'!$C$76,0,(ROW()-ROW(F$2))/12)/12</f>
        <v>60094.695249036537</v>
      </c>
      <c r="K21" s="90">
        <f t="shared" ca="1" si="4"/>
        <v>6891570.3434989201</v>
      </c>
      <c r="L21" s="85">
        <v>1898</v>
      </c>
      <c r="M21" s="90">
        <f>18038978.53121-R21</f>
        <v>17192288.336210001</v>
      </c>
      <c r="N21" s="92">
        <f ca="1">OFFSET('Historic CDM'!$C$88,0,(ROW()-ROW(F$2))/12)/12</f>
        <v>112211.7587009819</v>
      </c>
      <c r="O21" s="1">
        <f t="shared" ca="1" si="0"/>
        <v>16457809.899910983</v>
      </c>
      <c r="P21" s="3">
        <f>43008.91-S21</f>
        <v>39342.58</v>
      </c>
      <c r="Q21" s="2">
        <f>216-T21</f>
        <v>215</v>
      </c>
      <c r="R21" s="90">
        <v>846690.19499999995</v>
      </c>
      <c r="S21" s="92">
        <v>3666.33</v>
      </c>
      <c r="T21" s="91">
        <v>1</v>
      </c>
      <c r="U21" s="90">
        <v>398582.40967741929</v>
      </c>
      <c r="V21" s="93">
        <v>1438.8</v>
      </c>
      <c r="W21" s="94">
        <f>342+3029+1903+1633</f>
        <v>6907</v>
      </c>
      <c r="X21" s="90">
        <v>32866.910000000003</v>
      </c>
      <c r="Y21" s="96">
        <v>73.575999999999993</v>
      </c>
      <c r="Z21" s="85">
        <v>174</v>
      </c>
      <c r="AA21" s="90">
        <v>129846</v>
      </c>
      <c r="AB21" s="85">
        <v>141</v>
      </c>
      <c r="AC21" s="90">
        <v>1474893</v>
      </c>
      <c r="AD21" s="91">
        <v>6</v>
      </c>
      <c r="AE21" s="90">
        <v>5368699.861612903</v>
      </c>
      <c r="AF21" s="92">
        <v>15605.869999999999</v>
      </c>
      <c r="AG21" s="91">
        <v>7</v>
      </c>
      <c r="AH21" s="87">
        <f>Weather!B189</f>
        <v>0</v>
      </c>
      <c r="AI21" s="87">
        <f>Weather!C189</f>
        <v>211.80000000000004</v>
      </c>
      <c r="AJ21" s="87">
        <f>Employment!B21</f>
        <v>6662.6</v>
      </c>
      <c r="AK21" s="87">
        <f>Employment!C21</f>
        <v>148.4</v>
      </c>
      <c r="AL21" s="114">
        <v>555907.5</v>
      </c>
      <c r="AM21" s="95">
        <f t="shared" si="8"/>
        <v>31</v>
      </c>
      <c r="AN21" s="87">
        <v>21</v>
      </c>
      <c r="AO21" s="87">
        <v>20</v>
      </c>
      <c r="AP21" s="87">
        <f t="shared" ref="AP21:BD21" si="14">AP9</f>
        <v>0</v>
      </c>
      <c r="AQ21" s="87">
        <f t="shared" si="14"/>
        <v>0</v>
      </c>
      <c r="AR21" s="87">
        <f t="shared" si="14"/>
        <v>0</v>
      </c>
      <c r="AS21" s="87">
        <f t="shared" si="14"/>
        <v>0</v>
      </c>
      <c r="AT21" s="87">
        <f t="shared" si="14"/>
        <v>0</v>
      </c>
      <c r="AU21" s="87">
        <f t="shared" si="14"/>
        <v>0</v>
      </c>
      <c r="AV21" s="87">
        <f t="shared" si="14"/>
        <v>0</v>
      </c>
      <c r="AW21" s="87">
        <f t="shared" si="14"/>
        <v>1</v>
      </c>
      <c r="AX21" s="87">
        <f t="shared" si="14"/>
        <v>0</v>
      </c>
      <c r="AY21" s="87">
        <f t="shared" si="14"/>
        <v>0</v>
      </c>
      <c r="AZ21" s="87">
        <f t="shared" si="14"/>
        <v>0</v>
      </c>
      <c r="BA21" s="87">
        <f t="shared" si="14"/>
        <v>0</v>
      </c>
      <c r="BB21" s="87">
        <f t="shared" si="14"/>
        <v>0</v>
      </c>
      <c r="BC21" s="87">
        <f t="shared" si="14"/>
        <v>0</v>
      </c>
      <c r="BD21" s="87">
        <f t="shared" si="14"/>
        <v>0</v>
      </c>
    </row>
    <row r="22" spans="1:56">
      <c r="A22" s="88">
        <v>40422</v>
      </c>
      <c r="B22" s="122">
        <f t="shared" si="1"/>
        <v>9</v>
      </c>
      <c r="C22" s="89">
        <f t="shared" si="2"/>
        <v>2010</v>
      </c>
      <c r="D22" s="90">
        <v>44342415.074999914</v>
      </c>
      <c r="E22" s="90">
        <v>20904657.3231517</v>
      </c>
      <c r="F22" s="90">
        <f ca="1">OFFSET('Historic CDM'!$C$64,0,(ROW()-ROW(F$2))/12)/12</f>
        <v>166752.34519664638</v>
      </c>
      <c r="G22" s="90">
        <f t="shared" ca="1" si="3"/>
        <v>21071409.668348346</v>
      </c>
      <c r="H22" s="91">
        <v>26151</v>
      </c>
      <c r="I22" s="90">
        <v>5591687.662346825</v>
      </c>
      <c r="J22" s="90">
        <f ca="1">OFFSET('Historic CDM'!$C$76,0,(ROW()-ROW(F$2))/12)/12</f>
        <v>60094.695249036537</v>
      </c>
      <c r="K22" s="90">
        <f t="shared" ca="1" si="4"/>
        <v>5651782.3575958619</v>
      </c>
      <c r="L22" s="85">
        <v>1899</v>
      </c>
      <c r="M22" s="90">
        <f>16667342.0433216-R22</f>
        <v>15250362.048321601</v>
      </c>
      <c r="N22" s="92">
        <f ca="1">OFFSET('Historic CDM'!$C$88,0,(ROW()-ROW(F$2))/12)/12</f>
        <v>112211.7587009819</v>
      </c>
      <c r="O22" s="1">
        <f t="shared" ca="1" si="0"/>
        <v>13945593.812022582</v>
      </c>
      <c r="P22" s="3">
        <f>43189.9-S22</f>
        <v>39392.730000000003</v>
      </c>
      <c r="Q22" s="2">
        <f>215-T22</f>
        <v>214</v>
      </c>
      <c r="R22" s="90">
        <v>1416979.9950000001</v>
      </c>
      <c r="S22" s="92">
        <v>3797.17</v>
      </c>
      <c r="T22" s="91">
        <v>1</v>
      </c>
      <c r="U22" s="90">
        <v>448931.12709677423</v>
      </c>
      <c r="V22" s="93">
        <v>1438.8</v>
      </c>
      <c r="W22" s="94">
        <f>342+3029+577+1633</f>
        <v>5581</v>
      </c>
      <c r="X22" s="90">
        <v>36207.71</v>
      </c>
      <c r="Y22" s="96">
        <v>73.575999999999993</v>
      </c>
      <c r="Z22" s="85">
        <v>174</v>
      </c>
      <c r="AA22" s="90">
        <v>129846</v>
      </c>
      <c r="AB22" s="85">
        <v>141</v>
      </c>
      <c r="AC22" s="90">
        <v>3401723</v>
      </c>
      <c r="AD22" s="91">
        <v>7</v>
      </c>
      <c r="AE22" s="90">
        <v>3865573.1158494628</v>
      </c>
      <c r="AF22" s="92">
        <v>16187.3</v>
      </c>
      <c r="AG22" s="91">
        <v>7</v>
      </c>
      <c r="AH22" s="87">
        <f>Weather!B190</f>
        <v>38</v>
      </c>
      <c r="AI22" s="87">
        <f>Weather!C190</f>
        <v>59.699999999999989</v>
      </c>
      <c r="AJ22" s="87">
        <f>Employment!B22</f>
        <v>6611.2</v>
      </c>
      <c r="AK22" s="87">
        <f>Employment!C22</f>
        <v>148.69999999999999</v>
      </c>
      <c r="AL22" s="114">
        <v>555907.5</v>
      </c>
      <c r="AM22" s="95">
        <f t="shared" si="8"/>
        <v>30</v>
      </c>
      <c r="AN22" s="87">
        <v>21</v>
      </c>
      <c r="AO22" s="87">
        <v>21</v>
      </c>
      <c r="AP22" s="87">
        <f t="shared" ref="AP22:BD22" si="15">AP10</f>
        <v>0</v>
      </c>
      <c r="AQ22" s="87">
        <f t="shared" si="15"/>
        <v>0</v>
      </c>
      <c r="AR22" s="87">
        <f t="shared" si="15"/>
        <v>0</v>
      </c>
      <c r="AS22" s="87">
        <f t="shared" si="15"/>
        <v>0</v>
      </c>
      <c r="AT22" s="87">
        <f t="shared" si="15"/>
        <v>0</v>
      </c>
      <c r="AU22" s="87">
        <f t="shared" si="15"/>
        <v>0</v>
      </c>
      <c r="AV22" s="87">
        <f t="shared" si="15"/>
        <v>0</v>
      </c>
      <c r="AW22" s="87">
        <f t="shared" si="15"/>
        <v>0</v>
      </c>
      <c r="AX22" s="87">
        <f t="shared" si="15"/>
        <v>1</v>
      </c>
      <c r="AY22" s="87">
        <f t="shared" si="15"/>
        <v>0</v>
      </c>
      <c r="AZ22" s="87">
        <f t="shared" si="15"/>
        <v>0</v>
      </c>
      <c r="BA22" s="87">
        <f t="shared" si="15"/>
        <v>0</v>
      </c>
      <c r="BB22" s="87">
        <f t="shared" si="15"/>
        <v>0</v>
      </c>
      <c r="BC22" s="87">
        <f t="shared" si="15"/>
        <v>0</v>
      </c>
      <c r="BD22" s="87">
        <f t="shared" si="15"/>
        <v>0</v>
      </c>
    </row>
    <row r="23" spans="1:56">
      <c r="A23" s="88">
        <v>40452</v>
      </c>
      <c r="B23" s="122">
        <f t="shared" si="1"/>
        <v>10</v>
      </c>
      <c r="C23" s="89">
        <f t="shared" si="2"/>
        <v>2010</v>
      </c>
      <c r="D23" s="90">
        <v>34443862.375</v>
      </c>
      <c r="E23" s="90">
        <v>17041706.67025207</v>
      </c>
      <c r="F23" s="90">
        <f ca="1">OFFSET('Historic CDM'!$C$64,0,(ROW()-ROW(F$2))/12)/12</f>
        <v>166752.34519664638</v>
      </c>
      <c r="G23" s="90">
        <f t="shared" ca="1" si="3"/>
        <v>17208459.015448716</v>
      </c>
      <c r="H23" s="91">
        <v>26166</v>
      </c>
      <c r="I23" s="90">
        <v>5195062.2213637773</v>
      </c>
      <c r="J23" s="90">
        <f ca="1">OFFSET('Historic CDM'!$C$76,0,(ROW()-ROW(F$2))/12)/12</f>
        <v>60094.695249036537</v>
      </c>
      <c r="K23" s="90">
        <f t="shared" ca="1" si="4"/>
        <v>5255156.9166128142</v>
      </c>
      <c r="L23" s="85">
        <v>1911</v>
      </c>
      <c r="M23" s="90">
        <f>13664471.1908002-R23</f>
        <v>13616308.371800199</v>
      </c>
      <c r="N23" s="92">
        <f ca="1">OFFSET('Historic CDM'!$C$88,0,(ROW()-ROW(F$2))/12)/12</f>
        <v>112211.7587009819</v>
      </c>
      <c r="O23" s="1">
        <f t="shared" ca="1" si="0"/>
        <v>13680357.311501181</v>
      </c>
      <c r="P23" s="3">
        <f>35299.37-S23</f>
        <v>34736.870000000003</v>
      </c>
      <c r="Q23" s="2">
        <f>217-T23</f>
        <v>216</v>
      </c>
      <c r="R23" s="90">
        <v>48162.819000000003</v>
      </c>
      <c r="S23" s="92">
        <v>562.5</v>
      </c>
      <c r="T23" s="91">
        <v>1</v>
      </c>
      <c r="U23" s="90">
        <v>530914.87935483875</v>
      </c>
      <c r="V23" s="93">
        <v>1438.8</v>
      </c>
      <c r="W23" s="94">
        <f>342+3029+577+1633</f>
        <v>5581</v>
      </c>
      <c r="X23" s="90">
        <v>29947.08</v>
      </c>
      <c r="Y23" s="96">
        <v>73.575999999999993</v>
      </c>
      <c r="Z23" s="85">
        <v>174</v>
      </c>
      <c r="AA23" s="90">
        <v>129846</v>
      </c>
      <c r="AB23" s="85">
        <v>141</v>
      </c>
      <c r="AC23" s="90">
        <v>6000758</v>
      </c>
      <c r="AD23" s="91">
        <v>12</v>
      </c>
      <c r="AE23" s="90">
        <v>3338217.166731182</v>
      </c>
      <c r="AF23" s="92">
        <v>9398.09</v>
      </c>
      <c r="AG23" s="91">
        <v>7</v>
      </c>
      <c r="AH23" s="87">
        <f>Weather!B191</f>
        <v>157.6</v>
      </c>
      <c r="AI23" s="87">
        <f>Weather!C191</f>
        <v>1.4000000000000001</v>
      </c>
      <c r="AJ23" s="87">
        <f>Employment!B23</f>
        <v>6587.1</v>
      </c>
      <c r="AK23" s="87">
        <f>Employment!C23</f>
        <v>149.6</v>
      </c>
      <c r="AL23" s="114">
        <v>555907.5</v>
      </c>
      <c r="AM23" s="95">
        <f t="shared" si="8"/>
        <v>31</v>
      </c>
      <c r="AN23" s="87">
        <v>20</v>
      </c>
      <c r="AO23" s="87">
        <v>22</v>
      </c>
      <c r="AP23" s="87">
        <f t="shared" ref="AP23:BD23" si="16">AP11</f>
        <v>0</v>
      </c>
      <c r="AQ23" s="87">
        <f t="shared" si="16"/>
        <v>0</v>
      </c>
      <c r="AR23" s="87">
        <f t="shared" si="16"/>
        <v>0</v>
      </c>
      <c r="AS23" s="87">
        <f t="shared" si="16"/>
        <v>0</v>
      </c>
      <c r="AT23" s="87">
        <f t="shared" si="16"/>
        <v>0</v>
      </c>
      <c r="AU23" s="87">
        <f t="shared" si="16"/>
        <v>0</v>
      </c>
      <c r="AV23" s="87">
        <f t="shared" si="16"/>
        <v>0</v>
      </c>
      <c r="AW23" s="87">
        <f t="shared" si="16"/>
        <v>0</v>
      </c>
      <c r="AX23" s="87">
        <f t="shared" si="16"/>
        <v>0</v>
      </c>
      <c r="AY23" s="87">
        <f t="shared" si="16"/>
        <v>1</v>
      </c>
      <c r="AZ23" s="87">
        <f t="shared" si="16"/>
        <v>0</v>
      </c>
      <c r="BA23" s="87">
        <f t="shared" si="16"/>
        <v>0</v>
      </c>
      <c r="BB23" s="87">
        <f t="shared" si="16"/>
        <v>0</v>
      </c>
      <c r="BC23" s="87">
        <f t="shared" si="16"/>
        <v>1</v>
      </c>
      <c r="BD23" s="87">
        <f t="shared" si="16"/>
        <v>1</v>
      </c>
    </row>
    <row r="24" spans="1:56">
      <c r="A24" s="88">
        <v>40483</v>
      </c>
      <c r="B24" s="122">
        <f t="shared" si="1"/>
        <v>11</v>
      </c>
      <c r="C24" s="89">
        <f t="shared" si="2"/>
        <v>2010</v>
      </c>
      <c r="D24" s="90">
        <v>35875503.25000003</v>
      </c>
      <c r="E24" s="90">
        <v>17817977.680912178</v>
      </c>
      <c r="F24" s="90">
        <f ca="1">OFFSET('Historic CDM'!$C$64,0,(ROW()-ROW(F$2))/12)/12</f>
        <v>166752.34519664638</v>
      </c>
      <c r="G24" s="90">
        <f t="shared" ca="1" si="3"/>
        <v>17984730.026108824</v>
      </c>
      <c r="H24" s="91">
        <v>26109</v>
      </c>
      <c r="I24" s="90">
        <v>5191431.2842909098</v>
      </c>
      <c r="J24" s="90">
        <f ca="1">OFFSET('Historic CDM'!$C$76,0,(ROW()-ROW(F$2))/12)/12</f>
        <v>60094.695249036537</v>
      </c>
      <c r="K24" s="90">
        <f t="shared" ca="1" si="4"/>
        <v>5251525.9795399467</v>
      </c>
      <c r="L24" s="85">
        <v>1904</v>
      </c>
      <c r="M24" s="90">
        <f>13832330.638668-R24</f>
        <v>13831941.880668001</v>
      </c>
      <c r="N24" s="92">
        <f ca="1">OFFSET('Historic CDM'!$C$88,0,(ROW()-ROW(F$2))/12)/12</f>
        <v>112211.7587009819</v>
      </c>
      <c r="O24" s="1">
        <f t="shared" ca="1" si="0"/>
        <v>13943764.881368984</v>
      </c>
      <c r="P24" s="3">
        <f>34324.84-S24</f>
        <v>34108.129999999997</v>
      </c>
      <c r="Q24" s="2">
        <f>216-T24</f>
        <v>215</v>
      </c>
      <c r="R24" s="90">
        <v>388.75799999999998</v>
      </c>
      <c r="S24" s="92">
        <v>216.71</v>
      </c>
      <c r="T24" s="91">
        <v>1</v>
      </c>
      <c r="U24" s="90">
        <v>558232.74064516125</v>
      </c>
      <c r="V24" s="93">
        <v>1438.8</v>
      </c>
      <c r="W24" s="94">
        <f>342+3029+577+1633</f>
        <v>5581</v>
      </c>
      <c r="X24" s="90">
        <v>34572.42</v>
      </c>
      <c r="Y24" s="96">
        <v>73.381</v>
      </c>
      <c r="Z24" s="85">
        <v>173</v>
      </c>
      <c r="AA24" s="90">
        <v>129846</v>
      </c>
      <c r="AB24" s="85">
        <v>141</v>
      </c>
      <c r="AC24" s="90">
        <v>6628502</v>
      </c>
      <c r="AD24" s="91">
        <v>12</v>
      </c>
      <c r="AE24" s="90">
        <v>3501660.6422688155</v>
      </c>
      <c r="AF24" s="92">
        <v>8304.34</v>
      </c>
      <c r="AG24" s="91">
        <v>7</v>
      </c>
      <c r="AH24" s="87">
        <f>Weather!B192</f>
        <v>376.59999999999991</v>
      </c>
      <c r="AI24" s="87">
        <f>Weather!C192</f>
        <v>0</v>
      </c>
      <c r="AJ24" s="87">
        <f>Employment!B24</f>
        <v>6566.6</v>
      </c>
      <c r="AK24" s="87">
        <f>Employment!C24</f>
        <v>148.9</v>
      </c>
      <c r="AL24" s="114">
        <v>555907.5</v>
      </c>
      <c r="AM24" s="95">
        <f t="shared" si="8"/>
        <v>30</v>
      </c>
      <c r="AN24" s="87">
        <v>22</v>
      </c>
      <c r="AO24" s="87">
        <v>23</v>
      </c>
      <c r="AP24" s="87">
        <f t="shared" ref="AP24:BD24" si="17">AP12</f>
        <v>0</v>
      </c>
      <c r="AQ24" s="87">
        <f t="shared" si="17"/>
        <v>0</v>
      </c>
      <c r="AR24" s="87">
        <f t="shared" si="17"/>
        <v>0</v>
      </c>
      <c r="AS24" s="87">
        <f t="shared" si="17"/>
        <v>0</v>
      </c>
      <c r="AT24" s="87">
        <f t="shared" si="17"/>
        <v>0</v>
      </c>
      <c r="AU24" s="87">
        <f t="shared" si="17"/>
        <v>0</v>
      </c>
      <c r="AV24" s="87">
        <f t="shared" si="17"/>
        <v>0</v>
      </c>
      <c r="AW24" s="87">
        <f t="shared" si="17"/>
        <v>0</v>
      </c>
      <c r="AX24" s="87">
        <f t="shared" si="17"/>
        <v>0</v>
      </c>
      <c r="AY24" s="87">
        <f t="shared" si="17"/>
        <v>0</v>
      </c>
      <c r="AZ24" s="87">
        <f t="shared" si="17"/>
        <v>1</v>
      </c>
      <c r="BA24" s="87">
        <f t="shared" si="17"/>
        <v>0</v>
      </c>
      <c r="BB24" s="87">
        <f t="shared" si="17"/>
        <v>0</v>
      </c>
      <c r="BC24" s="87">
        <f t="shared" si="17"/>
        <v>1</v>
      </c>
      <c r="BD24" s="87">
        <f t="shared" si="17"/>
        <v>1</v>
      </c>
    </row>
    <row r="25" spans="1:56">
      <c r="A25" s="88">
        <v>40513</v>
      </c>
      <c r="B25" s="122">
        <f t="shared" si="1"/>
        <v>12</v>
      </c>
      <c r="C25" s="89">
        <f t="shared" si="2"/>
        <v>2010</v>
      </c>
      <c r="D25" s="90">
        <v>40162022.824999973</v>
      </c>
      <c r="E25" s="90">
        <v>21599750.119087789</v>
      </c>
      <c r="F25" s="90">
        <f ca="1">OFFSET('Historic CDM'!$C$64,0,(ROW()-ROW(F$2))/12)/12</f>
        <v>166752.34519664638</v>
      </c>
      <c r="G25" s="90">
        <f t="shared" ca="1" si="3"/>
        <v>21766502.464284435</v>
      </c>
      <c r="H25" s="91">
        <v>26107</v>
      </c>
      <c r="I25" s="90">
        <v>5784810.6940108137</v>
      </c>
      <c r="J25" s="90">
        <f ca="1">OFFSET('Historic CDM'!$C$76,0,(ROW()-ROW(F$2))/12)/12</f>
        <v>60094.695249036537</v>
      </c>
      <c r="K25" s="90">
        <f t="shared" ca="1" si="4"/>
        <v>5844905.3892598506</v>
      </c>
      <c r="L25" s="85">
        <v>1915</v>
      </c>
      <c r="M25" s="90">
        <f>13703958.7830311-R25</f>
        <v>13703945.671031101</v>
      </c>
      <c r="N25" s="92">
        <f ca="1">OFFSET('Historic CDM'!$C$88,0,(ROW()-ROW(F$2))/12)/12</f>
        <v>112211.7587009819</v>
      </c>
      <c r="O25" s="1">
        <f t="shared" ca="1" si="0"/>
        <v>13816144.317732083</v>
      </c>
      <c r="P25" s="3">
        <f>34445.49-S25</f>
        <v>34445.49</v>
      </c>
      <c r="Q25" s="2">
        <f>215-T25</f>
        <v>214</v>
      </c>
      <c r="R25" s="90">
        <v>13.112</v>
      </c>
      <c r="S25" s="98">
        <v>0</v>
      </c>
      <c r="T25" s="91">
        <v>1</v>
      </c>
      <c r="U25" s="90">
        <v>611117.14967741934</v>
      </c>
      <c r="V25" s="93">
        <v>1438.8</v>
      </c>
      <c r="W25" s="94">
        <f>342+3029+577+1633</f>
        <v>5581</v>
      </c>
      <c r="X25" s="90">
        <v>30088.5</v>
      </c>
      <c r="Y25" s="96">
        <v>73.186000000000007</v>
      </c>
      <c r="Z25" s="85">
        <v>173</v>
      </c>
      <c r="AA25" s="90">
        <v>129846</v>
      </c>
      <c r="AB25" s="85">
        <v>141</v>
      </c>
      <c r="AC25" s="90">
        <v>8553494</v>
      </c>
      <c r="AD25" s="91">
        <v>13</v>
      </c>
      <c r="AE25" s="90">
        <v>3745630.697731182</v>
      </c>
      <c r="AF25" s="92">
        <v>9167.3100000000013</v>
      </c>
      <c r="AG25" s="91">
        <v>7</v>
      </c>
      <c r="AH25" s="87">
        <f>Weather!B193</f>
        <v>645.59999999999991</v>
      </c>
      <c r="AI25" s="87">
        <f>Weather!C193</f>
        <v>0</v>
      </c>
      <c r="AJ25" s="87">
        <f>Employment!B25</f>
        <v>6584.1</v>
      </c>
      <c r="AK25" s="87">
        <f>Employment!C25</f>
        <v>148.1</v>
      </c>
      <c r="AL25" s="114">
        <v>555907.5</v>
      </c>
      <c r="AM25" s="95">
        <f t="shared" si="8"/>
        <v>31</v>
      </c>
      <c r="AN25" s="87">
        <v>21</v>
      </c>
      <c r="AO25" s="87">
        <v>24</v>
      </c>
      <c r="AP25" s="87">
        <f t="shared" ref="AP25:BD25" si="18">AP13</f>
        <v>0</v>
      </c>
      <c r="AQ25" s="87">
        <f t="shared" si="18"/>
        <v>0</v>
      </c>
      <c r="AR25" s="87">
        <f t="shared" si="18"/>
        <v>0</v>
      </c>
      <c r="AS25" s="87">
        <f t="shared" si="18"/>
        <v>0</v>
      </c>
      <c r="AT25" s="87">
        <f t="shared" si="18"/>
        <v>0</v>
      </c>
      <c r="AU25" s="87">
        <f t="shared" si="18"/>
        <v>0</v>
      </c>
      <c r="AV25" s="87">
        <f t="shared" si="18"/>
        <v>0</v>
      </c>
      <c r="AW25" s="87">
        <f t="shared" si="18"/>
        <v>0</v>
      </c>
      <c r="AX25" s="87">
        <f t="shared" si="18"/>
        <v>0</v>
      </c>
      <c r="AY25" s="87">
        <f t="shared" si="18"/>
        <v>0</v>
      </c>
      <c r="AZ25" s="87">
        <f t="shared" si="18"/>
        <v>0</v>
      </c>
      <c r="BA25" s="87">
        <f t="shared" si="18"/>
        <v>1</v>
      </c>
      <c r="BB25" s="87">
        <f t="shared" si="18"/>
        <v>0</v>
      </c>
      <c r="BC25" s="87">
        <f t="shared" si="18"/>
        <v>0</v>
      </c>
      <c r="BD25" s="87">
        <f t="shared" si="18"/>
        <v>0</v>
      </c>
    </row>
    <row r="26" spans="1:56">
      <c r="A26" s="88">
        <v>40544</v>
      </c>
      <c r="B26" s="122">
        <f t="shared" si="1"/>
        <v>1</v>
      </c>
      <c r="C26" s="89">
        <f t="shared" si="2"/>
        <v>2011</v>
      </c>
      <c r="D26" s="90">
        <v>40687722.750000075</v>
      </c>
      <c r="E26" s="90">
        <v>21967473.690274052</v>
      </c>
      <c r="F26" s="90">
        <f ca="1">OFFSET('Historic CDM'!$C$64,0,(ROW()-ROW(F$2))/12)/12</f>
        <v>210840.46827130773</v>
      </c>
      <c r="G26" s="90">
        <f t="shared" ca="1" si="3"/>
        <v>22178314.15854536</v>
      </c>
      <c r="H26" s="91">
        <v>26070</v>
      </c>
      <c r="I26" s="90">
        <v>5941401.3905487824</v>
      </c>
      <c r="J26" s="90">
        <f ca="1">OFFSET('Historic CDM'!$C$76,0,(ROW()-ROW(F$2))/12)/12</f>
        <v>85186.973011121721</v>
      </c>
      <c r="K26" s="90">
        <f t="shared" ca="1" si="4"/>
        <v>6026588.3635599045</v>
      </c>
      <c r="L26" s="85">
        <v>1923</v>
      </c>
      <c r="M26" s="90">
        <f>14138537.2899139-R26</f>
        <v>14138537.2899139</v>
      </c>
      <c r="N26" s="92">
        <f ca="1">OFFSET('Historic CDM'!$C$88,0,(ROW()-ROW(F$2))/12)/12</f>
        <v>161583.24168736048</v>
      </c>
      <c r="O26" s="1">
        <f t="shared" ca="1" si="0"/>
        <v>14300120.531601261</v>
      </c>
      <c r="P26" s="3">
        <f>32128.55-S26</f>
        <v>32128.55</v>
      </c>
      <c r="Q26" s="2">
        <f>220-T26</f>
        <v>219</v>
      </c>
      <c r="R26" s="90">
        <v>0</v>
      </c>
      <c r="S26" s="92">
        <v>0</v>
      </c>
      <c r="T26" s="91">
        <v>1</v>
      </c>
      <c r="U26" s="90">
        <v>603394.49032258068</v>
      </c>
      <c r="V26" s="93">
        <v>1441.1</v>
      </c>
      <c r="W26" s="94">
        <f>342+3029+577+1633</f>
        <v>5581</v>
      </c>
      <c r="X26" s="90">
        <v>32730.2</v>
      </c>
      <c r="Y26" s="96">
        <v>73.771000000000001</v>
      </c>
      <c r="Z26" s="85">
        <v>175</v>
      </c>
      <c r="AA26" s="90">
        <v>129846</v>
      </c>
      <c r="AB26" s="85">
        <v>141</v>
      </c>
      <c r="AC26" s="90">
        <v>7350247</v>
      </c>
      <c r="AD26" s="91">
        <v>14</v>
      </c>
      <c r="AE26" s="90">
        <v>3929246.8658064529</v>
      </c>
      <c r="AF26" s="92">
        <v>8447.74</v>
      </c>
      <c r="AG26" s="91">
        <v>7</v>
      </c>
      <c r="AH26" s="87">
        <f>Weather!B194</f>
        <v>703.59999999999991</v>
      </c>
      <c r="AI26" s="87">
        <f>Weather!C194</f>
        <v>0</v>
      </c>
      <c r="AJ26" s="87">
        <f>Employment!B26</f>
        <v>6571.2</v>
      </c>
      <c r="AK26" s="87">
        <f>Employment!C26</f>
        <v>148.69999999999999</v>
      </c>
      <c r="AL26" s="114">
        <v>570633.30000000005</v>
      </c>
      <c r="AM26" s="95">
        <f t="shared" si="8"/>
        <v>31</v>
      </c>
      <c r="AN26" s="87">
        <v>20</v>
      </c>
      <c r="AO26" s="87">
        <v>25</v>
      </c>
      <c r="AP26" s="87">
        <f t="shared" ref="AP26:BD26" si="19">AP14</f>
        <v>1</v>
      </c>
      <c r="AQ26" s="87">
        <f t="shared" si="19"/>
        <v>0</v>
      </c>
      <c r="AR26" s="87">
        <f t="shared" si="19"/>
        <v>0</v>
      </c>
      <c r="AS26" s="87">
        <f t="shared" si="19"/>
        <v>0</v>
      </c>
      <c r="AT26" s="87">
        <f t="shared" si="19"/>
        <v>0</v>
      </c>
      <c r="AU26" s="87">
        <f t="shared" si="19"/>
        <v>0</v>
      </c>
      <c r="AV26" s="87">
        <f t="shared" si="19"/>
        <v>0</v>
      </c>
      <c r="AW26" s="87">
        <f t="shared" si="19"/>
        <v>0</v>
      </c>
      <c r="AX26" s="87">
        <f t="shared" si="19"/>
        <v>0</v>
      </c>
      <c r="AY26" s="87">
        <f t="shared" si="19"/>
        <v>0</v>
      </c>
      <c r="AZ26" s="87">
        <f t="shared" si="19"/>
        <v>0</v>
      </c>
      <c r="BA26" s="87">
        <f t="shared" si="19"/>
        <v>0</v>
      </c>
      <c r="BB26" s="87">
        <f t="shared" si="19"/>
        <v>0</v>
      </c>
      <c r="BC26" s="87">
        <f t="shared" si="19"/>
        <v>0</v>
      </c>
      <c r="BD26" s="87">
        <f t="shared" si="19"/>
        <v>0</v>
      </c>
    </row>
    <row r="27" spans="1:56">
      <c r="A27" s="88">
        <v>40575</v>
      </c>
      <c r="B27" s="122">
        <f t="shared" si="1"/>
        <v>2</v>
      </c>
      <c r="C27" s="89">
        <f t="shared" si="2"/>
        <v>2011</v>
      </c>
      <c r="D27" s="90">
        <v>33708364.824999988</v>
      </c>
      <c r="E27" s="90">
        <v>18744690.584864158</v>
      </c>
      <c r="F27" s="90">
        <f ca="1">OFFSET('Historic CDM'!$C$64,0,(ROW()-ROW(F$2))/12)/12</f>
        <v>210840.46827130773</v>
      </c>
      <c r="G27" s="90">
        <f t="shared" ca="1" si="3"/>
        <v>18955531.053135466</v>
      </c>
      <c r="H27" s="91">
        <v>26066</v>
      </c>
      <c r="I27" s="90">
        <v>5277783.5714566214</v>
      </c>
      <c r="J27" s="90">
        <f ca="1">OFFSET('Historic CDM'!$C$76,0,(ROW()-ROW(F$2))/12)/12</f>
        <v>85186.973011121721</v>
      </c>
      <c r="K27" s="90">
        <f t="shared" ca="1" si="4"/>
        <v>5362970.5444677435</v>
      </c>
      <c r="L27" s="85">
        <v>1914</v>
      </c>
      <c r="M27" s="90">
        <f>12662403.6591726-R27</f>
        <v>12662403.6591726</v>
      </c>
      <c r="N27" s="92">
        <f ca="1">OFFSET('Historic CDM'!$C$88,0,(ROW()-ROW(F$2))/12)/12</f>
        <v>161583.24168736048</v>
      </c>
      <c r="O27" s="1">
        <f t="shared" ca="1" si="0"/>
        <v>12823986.900859961</v>
      </c>
      <c r="P27" s="3">
        <f>31979.37-S27</f>
        <v>31979.37</v>
      </c>
      <c r="Q27" s="2">
        <f>221-T27</f>
        <v>220</v>
      </c>
      <c r="R27" s="90">
        <v>0</v>
      </c>
      <c r="S27" s="92">
        <v>0</v>
      </c>
      <c r="T27" s="91">
        <v>1</v>
      </c>
      <c r="U27" s="90">
        <v>567364.7799999998</v>
      </c>
      <c r="V27" s="93">
        <v>1503.1799999999998</v>
      </c>
      <c r="W27" s="99">
        <f t="shared" ref="W27:W33" si="20">342+1133+595+579</f>
        <v>2649</v>
      </c>
      <c r="X27" s="90">
        <v>35667.9</v>
      </c>
      <c r="Y27" s="96">
        <v>73.771000000000001</v>
      </c>
      <c r="Z27" s="85">
        <v>175</v>
      </c>
      <c r="AA27" s="90">
        <v>129846</v>
      </c>
      <c r="AB27" s="85">
        <v>141</v>
      </c>
      <c r="AC27" s="90">
        <v>8551139</v>
      </c>
      <c r="AD27" s="91">
        <v>16</v>
      </c>
      <c r="AE27" s="90">
        <v>3505388.2979147481</v>
      </c>
      <c r="AF27" s="92">
        <v>8668.880000000001</v>
      </c>
      <c r="AG27" s="91">
        <v>7</v>
      </c>
      <c r="AH27" s="87">
        <f>Weather!B195</f>
        <v>583.20000000000005</v>
      </c>
      <c r="AI27" s="87">
        <f>Weather!C195</f>
        <v>0</v>
      </c>
      <c r="AJ27" s="87">
        <f>Employment!B27</f>
        <v>6548.1</v>
      </c>
      <c r="AK27" s="87">
        <f>Employment!C27</f>
        <v>146.69999999999999</v>
      </c>
      <c r="AL27" s="114">
        <v>570633.30000000005</v>
      </c>
      <c r="AM27" s="95">
        <f t="shared" si="8"/>
        <v>28</v>
      </c>
      <c r="AN27" s="87">
        <v>19</v>
      </c>
      <c r="AO27" s="87">
        <v>26</v>
      </c>
      <c r="AP27" s="87">
        <f t="shared" ref="AP27:BD27" si="21">AP15</f>
        <v>0</v>
      </c>
      <c r="AQ27" s="87">
        <f t="shared" si="21"/>
        <v>1</v>
      </c>
      <c r="AR27" s="87">
        <f t="shared" si="21"/>
        <v>0</v>
      </c>
      <c r="AS27" s="87">
        <f t="shared" si="21"/>
        <v>0</v>
      </c>
      <c r="AT27" s="87">
        <f t="shared" si="21"/>
        <v>0</v>
      </c>
      <c r="AU27" s="87">
        <f t="shared" si="21"/>
        <v>0</v>
      </c>
      <c r="AV27" s="87">
        <f t="shared" si="21"/>
        <v>0</v>
      </c>
      <c r="AW27" s="87">
        <f t="shared" si="21"/>
        <v>0</v>
      </c>
      <c r="AX27" s="87">
        <f t="shared" si="21"/>
        <v>0</v>
      </c>
      <c r="AY27" s="87">
        <f t="shared" si="21"/>
        <v>0</v>
      </c>
      <c r="AZ27" s="87">
        <f t="shared" si="21"/>
        <v>0</v>
      </c>
      <c r="BA27" s="87">
        <f t="shared" si="21"/>
        <v>0</v>
      </c>
      <c r="BB27" s="87">
        <f t="shared" si="21"/>
        <v>0</v>
      </c>
      <c r="BC27" s="87">
        <f t="shared" si="21"/>
        <v>0</v>
      </c>
      <c r="BD27" s="87">
        <f t="shared" si="21"/>
        <v>0</v>
      </c>
    </row>
    <row r="28" spans="1:56">
      <c r="A28" s="88">
        <v>40603</v>
      </c>
      <c r="B28" s="122">
        <f t="shared" si="1"/>
        <v>3</v>
      </c>
      <c r="C28" s="89">
        <f t="shared" si="2"/>
        <v>2011</v>
      </c>
      <c r="D28" s="90">
        <v>36420878.524999969</v>
      </c>
      <c r="E28" s="90">
        <v>18809256.135771442</v>
      </c>
      <c r="F28" s="90">
        <f ca="1">OFFSET('Historic CDM'!$C$64,0,(ROW()-ROW(F$2))/12)/12</f>
        <v>210840.46827130773</v>
      </c>
      <c r="G28" s="90">
        <f t="shared" ca="1" si="3"/>
        <v>19020096.60404275</v>
      </c>
      <c r="H28" s="91">
        <v>26095</v>
      </c>
      <c r="I28" s="100">
        <f>5539147.75182897+6565.714</f>
        <v>5545713.4658289701</v>
      </c>
      <c r="J28" s="90">
        <f ca="1">OFFSET('Historic CDM'!$C$76,0,(ROW()-ROW(F$2))/12)/12</f>
        <v>85186.973011121721</v>
      </c>
      <c r="K28" s="90">
        <f t="shared" ca="1" si="4"/>
        <v>5630900.4388400922</v>
      </c>
      <c r="L28" s="99">
        <f>1921+1</f>
        <v>1922</v>
      </c>
      <c r="M28" s="90">
        <f>13568069.683389-R28</f>
        <v>13568069.683389001</v>
      </c>
      <c r="N28" s="92">
        <f ca="1">OFFSET('Historic CDM'!$C$88,0,(ROW()-ROW(F$2))/12)/12</f>
        <v>161583.24168736048</v>
      </c>
      <c r="O28" s="1">
        <f t="shared" ca="1" si="0"/>
        <v>13729652.925076362</v>
      </c>
      <c r="P28" s="3">
        <f>32046.73-S28</f>
        <v>32046.73</v>
      </c>
      <c r="Q28" s="2">
        <f>222-T28</f>
        <v>221</v>
      </c>
      <c r="R28" s="90">
        <v>0</v>
      </c>
      <c r="S28" s="92">
        <v>0</v>
      </c>
      <c r="T28" s="91">
        <v>1</v>
      </c>
      <c r="U28" s="90">
        <v>529435.30838709685</v>
      </c>
      <c r="V28" s="93">
        <v>1503.1799999999998</v>
      </c>
      <c r="W28" s="99">
        <f t="shared" si="20"/>
        <v>2649</v>
      </c>
      <c r="X28" s="90">
        <v>32688.07</v>
      </c>
      <c r="Y28" s="96">
        <v>73.771000000000001</v>
      </c>
      <c r="Z28" s="85">
        <v>175</v>
      </c>
      <c r="AA28" s="90">
        <v>129846</v>
      </c>
      <c r="AB28" s="85">
        <v>141</v>
      </c>
      <c r="AC28" s="90">
        <v>7630739</v>
      </c>
      <c r="AD28" s="91">
        <v>17</v>
      </c>
      <c r="AE28" s="90">
        <v>3765208.991762673</v>
      </c>
      <c r="AF28" s="92">
        <v>8493.43</v>
      </c>
      <c r="AG28" s="91">
        <v>7</v>
      </c>
      <c r="AH28" s="87">
        <f>Weather!B196</f>
        <v>514.30000000000007</v>
      </c>
      <c r="AI28" s="87">
        <f>Weather!C196</f>
        <v>0</v>
      </c>
      <c r="AJ28" s="87">
        <f>Employment!B28</f>
        <v>6523.7</v>
      </c>
      <c r="AK28" s="87">
        <f>Employment!C28</f>
        <v>145.4</v>
      </c>
      <c r="AL28" s="114">
        <v>570633.30000000005</v>
      </c>
      <c r="AM28" s="95">
        <f t="shared" si="8"/>
        <v>31</v>
      </c>
      <c r="AN28" s="87">
        <v>23</v>
      </c>
      <c r="AO28" s="87">
        <v>27</v>
      </c>
      <c r="AP28" s="87">
        <f t="shared" ref="AP28:BD28" si="22">AP16</f>
        <v>0</v>
      </c>
      <c r="AQ28" s="87">
        <f t="shared" si="22"/>
        <v>0</v>
      </c>
      <c r="AR28" s="87">
        <f t="shared" si="22"/>
        <v>1</v>
      </c>
      <c r="AS28" s="87">
        <f t="shared" si="22"/>
        <v>0</v>
      </c>
      <c r="AT28" s="87">
        <f t="shared" si="22"/>
        <v>0</v>
      </c>
      <c r="AU28" s="87">
        <f t="shared" si="22"/>
        <v>0</v>
      </c>
      <c r="AV28" s="87">
        <f t="shared" si="22"/>
        <v>0</v>
      </c>
      <c r="AW28" s="87">
        <f t="shared" si="22"/>
        <v>0</v>
      </c>
      <c r="AX28" s="87">
        <f t="shared" si="22"/>
        <v>0</v>
      </c>
      <c r="AY28" s="87">
        <f t="shared" si="22"/>
        <v>0</v>
      </c>
      <c r="AZ28" s="87">
        <f t="shared" si="22"/>
        <v>0</v>
      </c>
      <c r="BA28" s="87">
        <f t="shared" si="22"/>
        <v>0</v>
      </c>
      <c r="BB28" s="87">
        <f t="shared" si="22"/>
        <v>1</v>
      </c>
      <c r="BC28" s="87">
        <f t="shared" si="22"/>
        <v>0</v>
      </c>
      <c r="BD28" s="87">
        <f t="shared" si="22"/>
        <v>1</v>
      </c>
    </row>
    <row r="29" spans="1:56">
      <c r="A29" s="88">
        <v>40634</v>
      </c>
      <c r="B29" s="122">
        <f t="shared" si="1"/>
        <v>4</v>
      </c>
      <c r="C29" s="89">
        <f t="shared" si="2"/>
        <v>2011</v>
      </c>
      <c r="D29" s="90">
        <v>31091487.899999991</v>
      </c>
      <c r="E29" s="90">
        <v>16914581.584801115</v>
      </c>
      <c r="F29" s="90">
        <f ca="1">OFFSET('Historic CDM'!$C$64,0,(ROW()-ROW(F$2))/12)/12</f>
        <v>210840.46827130773</v>
      </c>
      <c r="G29" s="90">
        <f t="shared" ca="1" si="3"/>
        <v>17125422.053072423</v>
      </c>
      <c r="H29" s="91">
        <v>26233</v>
      </c>
      <c r="I29" s="100">
        <f>5080114.20285242+9780.952</f>
        <v>5089895.1548524192</v>
      </c>
      <c r="J29" s="90">
        <f ca="1">OFFSET('Historic CDM'!$C$76,0,(ROW()-ROW(F$2))/12)/12</f>
        <v>85186.973011121721</v>
      </c>
      <c r="K29" s="90">
        <f t="shared" ca="1" si="4"/>
        <v>5175082.1278635412</v>
      </c>
      <c r="L29" s="99">
        <f>1925+1</f>
        <v>1926</v>
      </c>
      <c r="M29" s="90">
        <f>12210909.8772775-R29</f>
        <v>12210909.877277501</v>
      </c>
      <c r="N29" s="92">
        <f ca="1">OFFSET('Historic CDM'!$C$88,0,(ROW()-ROW(F$2))/12)/12</f>
        <v>161583.24168736048</v>
      </c>
      <c r="O29" s="1">
        <f t="shared" ca="1" si="0"/>
        <v>12372493.118964862</v>
      </c>
      <c r="P29" s="3">
        <f>11621.31-S29</f>
        <v>11621.31</v>
      </c>
      <c r="Q29" s="2">
        <f>223-T29</f>
        <v>222</v>
      </c>
      <c r="R29" s="90">
        <v>0</v>
      </c>
      <c r="S29" s="92">
        <v>0</v>
      </c>
      <c r="T29" s="91">
        <v>1</v>
      </c>
      <c r="U29" s="90">
        <v>444596.22827956988</v>
      </c>
      <c r="V29" s="97">
        <f>AVERAGE(V28,V30)</f>
        <v>1503.9199999999998</v>
      </c>
      <c r="W29" s="99">
        <f t="shared" si="20"/>
        <v>2649</v>
      </c>
      <c r="X29" s="90">
        <v>32631</v>
      </c>
      <c r="Y29" s="96">
        <v>73.575999999999993</v>
      </c>
      <c r="Z29" s="85">
        <v>174</v>
      </c>
      <c r="AA29" s="90">
        <v>129846</v>
      </c>
      <c r="AB29" s="85">
        <v>141</v>
      </c>
      <c r="AC29" s="90">
        <v>8436772</v>
      </c>
      <c r="AD29" s="91">
        <v>17</v>
      </c>
      <c r="AE29" s="90">
        <v>3392080.2437849455</v>
      </c>
      <c r="AF29" s="92">
        <v>652.83000000000004</v>
      </c>
      <c r="AG29" s="91">
        <v>7</v>
      </c>
      <c r="AH29" s="87">
        <f>Weather!B197</f>
        <v>278.59999999999985</v>
      </c>
      <c r="AI29" s="87">
        <f>Weather!C197</f>
        <v>0.5</v>
      </c>
      <c r="AJ29" s="87">
        <f>Employment!B29</f>
        <v>6550</v>
      </c>
      <c r="AK29" s="87">
        <f>Employment!C29</f>
        <v>144</v>
      </c>
      <c r="AL29" s="114">
        <v>570633.30000000005</v>
      </c>
      <c r="AM29" s="95">
        <f t="shared" si="8"/>
        <v>30</v>
      </c>
      <c r="AN29" s="87">
        <v>19</v>
      </c>
      <c r="AO29" s="87">
        <v>28</v>
      </c>
      <c r="AP29" s="87">
        <f t="shared" ref="AP29:BD29" si="23">AP17</f>
        <v>0</v>
      </c>
      <c r="AQ29" s="87">
        <f t="shared" si="23"/>
        <v>0</v>
      </c>
      <c r="AR29" s="87">
        <f t="shared" si="23"/>
        <v>0</v>
      </c>
      <c r="AS29" s="87">
        <f t="shared" si="23"/>
        <v>1</v>
      </c>
      <c r="AT29" s="87">
        <f t="shared" si="23"/>
        <v>0</v>
      </c>
      <c r="AU29" s="87">
        <f t="shared" si="23"/>
        <v>0</v>
      </c>
      <c r="AV29" s="87">
        <f t="shared" si="23"/>
        <v>0</v>
      </c>
      <c r="AW29" s="87">
        <f t="shared" si="23"/>
        <v>0</v>
      </c>
      <c r="AX29" s="87">
        <f t="shared" si="23"/>
        <v>0</v>
      </c>
      <c r="AY29" s="87">
        <f t="shared" si="23"/>
        <v>0</v>
      </c>
      <c r="AZ29" s="87">
        <f t="shared" si="23"/>
        <v>0</v>
      </c>
      <c r="BA29" s="87">
        <f t="shared" si="23"/>
        <v>0</v>
      </c>
      <c r="BB29" s="87">
        <f t="shared" si="23"/>
        <v>1</v>
      </c>
      <c r="BC29" s="87">
        <f t="shared" si="23"/>
        <v>0</v>
      </c>
      <c r="BD29" s="87">
        <f t="shared" si="23"/>
        <v>1</v>
      </c>
    </row>
    <row r="30" spans="1:56">
      <c r="A30" s="88">
        <v>40664</v>
      </c>
      <c r="B30" s="122">
        <f t="shared" si="1"/>
        <v>5</v>
      </c>
      <c r="C30" s="89">
        <f t="shared" si="2"/>
        <v>2011</v>
      </c>
      <c r="D30" s="90">
        <v>35808882.625000037</v>
      </c>
      <c r="E30" s="90">
        <v>18380460.04490171</v>
      </c>
      <c r="F30" s="90">
        <f ca="1">OFFSET('Historic CDM'!$C$64,0,(ROW()-ROW(F$2))/12)/12</f>
        <v>210840.46827130773</v>
      </c>
      <c r="G30" s="90">
        <f t="shared" ca="1" si="3"/>
        <v>18591300.513173018</v>
      </c>
      <c r="H30" s="91">
        <f>26137+14</f>
        <v>26151</v>
      </c>
      <c r="I30" s="100">
        <f>5365841.08596737+12105.747</f>
        <v>5377946.8329673707</v>
      </c>
      <c r="J30" s="90">
        <f ca="1">OFFSET('Historic CDM'!$C$76,0,(ROW()-ROW(F$2))/12)/12</f>
        <v>85186.973011121721</v>
      </c>
      <c r="K30" s="90">
        <f t="shared" ca="1" si="4"/>
        <v>5463133.8059784928</v>
      </c>
      <c r="L30" s="99">
        <f>1918+1</f>
        <v>1919</v>
      </c>
      <c r="M30" s="90">
        <f>12797589.134195-R30</f>
        <v>12794014.644195</v>
      </c>
      <c r="N30" s="92">
        <f ca="1">OFFSET('Historic CDM'!$C$88,0,(ROW()-ROW(F$2))/12)/12</f>
        <v>161583.24168736048</v>
      </c>
      <c r="O30" s="1">
        <f t="shared" ca="1" si="0"/>
        <v>12952023.395882361</v>
      </c>
      <c r="P30" s="3">
        <f>36970.89-S30</f>
        <v>36239.409999999996</v>
      </c>
      <c r="Q30" s="2">
        <f>223-T30</f>
        <v>222</v>
      </c>
      <c r="R30" s="90">
        <v>3574.49</v>
      </c>
      <c r="S30" s="92">
        <v>731.48</v>
      </c>
      <c r="T30" s="91">
        <v>1</v>
      </c>
      <c r="U30" s="90">
        <v>400254.44139784947</v>
      </c>
      <c r="V30" s="93">
        <v>1504.6599999999999</v>
      </c>
      <c r="W30" s="99">
        <f t="shared" si="20"/>
        <v>2649</v>
      </c>
      <c r="X30" s="90">
        <v>32621.09</v>
      </c>
      <c r="Y30" s="96">
        <v>73.575999999999993</v>
      </c>
      <c r="Z30" s="85">
        <v>174</v>
      </c>
      <c r="AA30" s="90">
        <v>129846</v>
      </c>
      <c r="AB30" s="85">
        <v>141</v>
      </c>
      <c r="AC30" s="90">
        <v>5569338.3399999999</v>
      </c>
      <c r="AD30" s="91">
        <v>19</v>
      </c>
      <c r="AE30" s="90">
        <v>3418202.6987956986</v>
      </c>
      <c r="AF30" s="92">
        <v>9609.41</v>
      </c>
      <c r="AG30" s="91">
        <v>7</v>
      </c>
      <c r="AH30" s="87">
        <f>Weather!B198</f>
        <v>105.20000000000003</v>
      </c>
      <c r="AI30" s="87">
        <f>Weather!C198</f>
        <v>37.200000000000003</v>
      </c>
      <c r="AJ30" s="87">
        <f>Employment!B30</f>
        <v>6612</v>
      </c>
      <c r="AK30" s="87">
        <f>Employment!C30</f>
        <v>144.6</v>
      </c>
      <c r="AL30" s="114">
        <v>570633.30000000005</v>
      </c>
      <c r="AM30" s="95">
        <f t="shared" si="8"/>
        <v>31</v>
      </c>
      <c r="AN30" s="87">
        <v>21</v>
      </c>
      <c r="AO30" s="87">
        <v>29</v>
      </c>
      <c r="AP30" s="87">
        <f t="shared" ref="AP30:BD30" si="24">AP18</f>
        <v>0</v>
      </c>
      <c r="AQ30" s="87">
        <f t="shared" si="24"/>
        <v>0</v>
      </c>
      <c r="AR30" s="87">
        <f t="shared" si="24"/>
        <v>0</v>
      </c>
      <c r="AS30" s="87">
        <f t="shared" si="24"/>
        <v>0</v>
      </c>
      <c r="AT30" s="87">
        <f t="shared" si="24"/>
        <v>1</v>
      </c>
      <c r="AU30" s="87">
        <f t="shared" si="24"/>
        <v>0</v>
      </c>
      <c r="AV30" s="87">
        <f t="shared" si="24"/>
        <v>0</v>
      </c>
      <c r="AW30" s="87">
        <f t="shared" si="24"/>
        <v>0</v>
      </c>
      <c r="AX30" s="87">
        <f t="shared" si="24"/>
        <v>0</v>
      </c>
      <c r="AY30" s="87">
        <f t="shared" si="24"/>
        <v>0</v>
      </c>
      <c r="AZ30" s="87">
        <f t="shared" si="24"/>
        <v>0</v>
      </c>
      <c r="BA30" s="87">
        <f t="shared" si="24"/>
        <v>0</v>
      </c>
      <c r="BB30" s="87">
        <f t="shared" si="24"/>
        <v>1</v>
      </c>
      <c r="BC30" s="87">
        <f t="shared" si="24"/>
        <v>0</v>
      </c>
      <c r="BD30" s="87">
        <f t="shared" si="24"/>
        <v>1</v>
      </c>
    </row>
    <row r="31" spans="1:56">
      <c r="A31" s="88">
        <v>40695</v>
      </c>
      <c r="B31" s="122">
        <f t="shared" si="1"/>
        <v>6</v>
      </c>
      <c r="C31" s="89">
        <f t="shared" si="2"/>
        <v>2011</v>
      </c>
      <c r="D31" s="90">
        <v>43955206.625000015</v>
      </c>
      <c r="E31" s="90">
        <v>24677831.744210847</v>
      </c>
      <c r="F31" s="90">
        <f ca="1">OFFSET('Historic CDM'!$C$64,0,(ROW()-ROW(F$2))/12)/12</f>
        <v>210840.46827130773</v>
      </c>
      <c r="G31" s="90">
        <f t="shared" ca="1" si="3"/>
        <v>24888672.212482154</v>
      </c>
      <c r="H31" s="91">
        <f>26249+14</f>
        <v>26263</v>
      </c>
      <c r="I31" s="100">
        <f>5882800.24177981+8140.086</f>
        <v>5890940.3277798099</v>
      </c>
      <c r="J31" s="90">
        <f ca="1">OFFSET('Historic CDM'!$C$76,0,(ROW()-ROW(F$2))/12)/12</f>
        <v>85186.973011121721</v>
      </c>
      <c r="K31" s="90">
        <f t="shared" ca="1" si="4"/>
        <v>5976127.300790932</v>
      </c>
      <c r="L31" s="99">
        <f>1924+1</f>
        <v>1925</v>
      </c>
      <c r="M31" s="90">
        <f>13652963.4874413-R31</f>
        <v>13616976.587441299</v>
      </c>
      <c r="N31" s="92">
        <f ca="1">OFFSET('Historic CDM'!$C$88,0,(ROW()-ROW(F$2))/12)/12</f>
        <v>161583.24168736048</v>
      </c>
      <c r="O31" s="1">
        <f t="shared" ca="1" si="0"/>
        <v>13742572.92912866</v>
      </c>
      <c r="P31" s="3">
        <f>39964.88-S31</f>
        <v>38256.759999999995</v>
      </c>
      <c r="Q31" s="2">
        <f>224-T31</f>
        <v>223</v>
      </c>
      <c r="R31" s="90">
        <v>35986.9</v>
      </c>
      <c r="S31" s="92">
        <v>1708.12</v>
      </c>
      <c r="T31" s="91">
        <v>1</v>
      </c>
      <c r="U31" s="90">
        <v>352113.93560215057</v>
      </c>
      <c r="V31" s="93">
        <v>1504.6599999999999</v>
      </c>
      <c r="W31" s="99">
        <f t="shared" si="20"/>
        <v>2649</v>
      </c>
      <c r="X31" s="90">
        <v>32449.919999999998</v>
      </c>
      <c r="Y31" s="96">
        <v>73.575999999999993</v>
      </c>
      <c r="Z31" s="85">
        <v>174</v>
      </c>
      <c r="AA31" s="90">
        <v>129846</v>
      </c>
      <c r="AB31" s="85">
        <v>141</v>
      </c>
      <c r="AC31" s="90">
        <v>5814352</v>
      </c>
      <c r="AD31" s="91">
        <v>24</v>
      </c>
      <c r="AE31" s="90">
        <v>3393709.5192043027</v>
      </c>
      <c r="AF31" s="92">
        <v>9875.84</v>
      </c>
      <c r="AG31" s="91">
        <v>7</v>
      </c>
      <c r="AH31" s="87">
        <f>Weather!B199</f>
        <v>7.6000000000000005</v>
      </c>
      <c r="AI31" s="87">
        <f>Weather!C199</f>
        <v>115.89999999999998</v>
      </c>
      <c r="AJ31" s="87">
        <f>Employment!B31</f>
        <v>6706.8</v>
      </c>
      <c r="AK31" s="87">
        <f>Employment!C31</f>
        <v>146</v>
      </c>
      <c r="AL31" s="114">
        <v>570633.30000000005</v>
      </c>
      <c r="AM31" s="95">
        <f t="shared" si="8"/>
        <v>30</v>
      </c>
      <c r="AN31" s="87">
        <v>22</v>
      </c>
      <c r="AO31" s="87">
        <v>30</v>
      </c>
      <c r="AP31" s="87">
        <f t="shared" ref="AP31:BD31" si="25">AP19</f>
        <v>0</v>
      </c>
      <c r="AQ31" s="87">
        <f t="shared" si="25"/>
        <v>0</v>
      </c>
      <c r="AR31" s="87">
        <f t="shared" si="25"/>
        <v>0</v>
      </c>
      <c r="AS31" s="87">
        <f t="shared" si="25"/>
        <v>0</v>
      </c>
      <c r="AT31" s="87">
        <f t="shared" si="25"/>
        <v>0</v>
      </c>
      <c r="AU31" s="87">
        <f t="shared" si="25"/>
        <v>1</v>
      </c>
      <c r="AV31" s="87">
        <f t="shared" si="25"/>
        <v>0</v>
      </c>
      <c r="AW31" s="87">
        <f t="shared" si="25"/>
        <v>0</v>
      </c>
      <c r="AX31" s="87">
        <f t="shared" si="25"/>
        <v>0</v>
      </c>
      <c r="AY31" s="87">
        <f t="shared" si="25"/>
        <v>0</v>
      </c>
      <c r="AZ31" s="87">
        <f t="shared" si="25"/>
        <v>0</v>
      </c>
      <c r="BA31" s="87">
        <f t="shared" si="25"/>
        <v>0</v>
      </c>
      <c r="BB31" s="87">
        <f t="shared" si="25"/>
        <v>0</v>
      </c>
      <c r="BC31" s="87">
        <f t="shared" si="25"/>
        <v>0</v>
      </c>
      <c r="BD31" s="87">
        <f t="shared" si="25"/>
        <v>0</v>
      </c>
    </row>
    <row r="32" spans="1:56">
      <c r="A32" s="88">
        <v>40725</v>
      </c>
      <c r="B32" s="122">
        <f t="shared" si="1"/>
        <v>7</v>
      </c>
      <c r="C32" s="89">
        <f t="shared" si="2"/>
        <v>2011</v>
      </c>
      <c r="D32" s="101">
        <v>56153296.800000004</v>
      </c>
      <c r="E32" s="90">
        <v>33147848.630280968</v>
      </c>
      <c r="F32" s="90">
        <f ca="1">OFFSET('Historic CDM'!$C$64,0,(ROW()-ROW(F$2))/12)/12</f>
        <v>210840.46827130773</v>
      </c>
      <c r="G32" s="90">
        <f t="shared" ca="1" si="3"/>
        <v>33358689.098552275</v>
      </c>
      <c r="H32" s="91">
        <f>26253+21</f>
        <v>26274</v>
      </c>
      <c r="I32" s="100">
        <f>6785049.06376826+7304.029</f>
        <v>6792353.0927682603</v>
      </c>
      <c r="J32" s="90">
        <f ca="1">OFFSET('Historic CDM'!$C$76,0,(ROW()-ROW(F$2))/12)/12</f>
        <v>85186.973011121721</v>
      </c>
      <c r="K32" s="90">
        <f t="shared" ca="1" si="4"/>
        <v>6877540.0657793824</v>
      </c>
      <c r="L32" s="99">
        <f>1921+4</f>
        <v>1925</v>
      </c>
      <c r="M32" s="90">
        <f>16448699.4446524-R32</f>
        <v>15785267.641752401</v>
      </c>
      <c r="N32" s="92">
        <f ca="1">OFFSET('Historic CDM'!$C$88,0,(ROW()-ROW(F$2))/12)/12</f>
        <v>161583.24168736048</v>
      </c>
      <c r="O32" s="1">
        <f t="shared" ca="1" si="0"/>
        <v>15283419.080539763</v>
      </c>
      <c r="P32" s="3">
        <f>43278.25-S32</f>
        <v>40365.279999999999</v>
      </c>
      <c r="Q32" s="2">
        <f>228-T32</f>
        <v>227</v>
      </c>
      <c r="R32" s="90">
        <v>663431.80290000001</v>
      </c>
      <c r="S32" s="92">
        <v>2912.97</v>
      </c>
      <c r="T32" s="91">
        <v>1</v>
      </c>
      <c r="U32" s="90">
        <v>372453.71084946243</v>
      </c>
      <c r="V32" s="93">
        <v>1504.6599999999999</v>
      </c>
      <c r="W32" s="99">
        <f t="shared" si="20"/>
        <v>2649</v>
      </c>
      <c r="X32" s="90">
        <v>29033.360000000001</v>
      </c>
      <c r="Y32" s="96">
        <v>73.575999999999993</v>
      </c>
      <c r="Z32" s="85">
        <v>174</v>
      </c>
      <c r="AA32" s="90">
        <v>129846</v>
      </c>
      <c r="AB32" s="85">
        <v>141</v>
      </c>
      <c r="AC32" s="90">
        <v>5794937</v>
      </c>
      <c r="AD32" s="91">
        <v>25</v>
      </c>
      <c r="AE32" s="90">
        <v>4348161.1798279565</v>
      </c>
      <c r="AF32" s="92">
        <v>12954.060000000001</v>
      </c>
      <c r="AG32" s="91">
        <v>7</v>
      </c>
      <c r="AH32" s="87">
        <f>Weather!B200</f>
        <v>0</v>
      </c>
      <c r="AI32" s="87">
        <f>Weather!C200</f>
        <v>255.50000000000006</v>
      </c>
      <c r="AJ32" s="87">
        <f>Employment!B32</f>
        <v>6755.3</v>
      </c>
      <c r="AK32" s="87">
        <f>Employment!C32</f>
        <v>147.6</v>
      </c>
      <c r="AL32" s="114">
        <v>570633.30000000005</v>
      </c>
      <c r="AM32" s="95">
        <f t="shared" si="8"/>
        <v>31</v>
      </c>
      <c r="AN32" s="87">
        <v>20</v>
      </c>
      <c r="AO32" s="87">
        <v>31</v>
      </c>
      <c r="AP32" s="87">
        <f t="shared" ref="AP32:BD32" si="26">AP20</f>
        <v>0</v>
      </c>
      <c r="AQ32" s="87">
        <f t="shared" si="26"/>
        <v>0</v>
      </c>
      <c r="AR32" s="87">
        <f t="shared" si="26"/>
        <v>0</v>
      </c>
      <c r="AS32" s="87">
        <f t="shared" si="26"/>
        <v>0</v>
      </c>
      <c r="AT32" s="87">
        <f t="shared" si="26"/>
        <v>0</v>
      </c>
      <c r="AU32" s="87">
        <f t="shared" si="26"/>
        <v>0</v>
      </c>
      <c r="AV32" s="87">
        <f t="shared" si="26"/>
        <v>1</v>
      </c>
      <c r="AW32" s="87">
        <f t="shared" si="26"/>
        <v>0</v>
      </c>
      <c r="AX32" s="87">
        <f t="shared" si="26"/>
        <v>0</v>
      </c>
      <c r="AY32" s="87">
        <f t="shared" si="26"/>
        <v>0</v>
      </c>
      <c r="AZ32" s="87">
        <f t="shared" si="26"/>
        <v>0</v>
      </c>
      <c r="BA32" s="87">
        <f t="shared" si="26"/>
        <v>0</v>
      </c>
      <c r="BB32" s="87">
        <f t="shared" si="26"/>
        <v>0</v>
      </c>
      <c r="BC32" s="87">
        <f t="shared" si="26"/>
        <v>0</v>
      </c>
      <c r="BD32" s="87">
        <f t="shared" si="26"/>
        <v>0</v>
      </c>
    </row>
    <row r="33" spans="1:56">
      <c r="A33" s="88">
        <v>40756</v>
      </c>
      <c r="B33" s="122">
        <f t="shared" si="1"/>
        <v>8</v>
      </c>
      <c r="C33" s="89">
        <f t="shared" si="2"/>
        <v>2011</v>
      </c>
      <c r="D33" s="101">
        <v>47811633.199999943</v>
      </c>
      <c r="E33" s="90">
        <v>30203972.024772722</v>
      </c>
      <c r="F33" s="90">
        <f ca="1">OFFSET('Historic CDM'!$C$64,0,(ROW()-ROW(F$2))/12)/12</f>
        <v>210840.46827130773</v>
      </c>
      <c r="G33" s="90">
        <f t="shared" ca="1" si="3"/>
        <v>30414812.49304403</v>
      </c>
      <c r="H33" s="91">
        <f>26283+22</f>
        <v>26305</v>
      </c>
      <c r="I33" s="100">
        <f>6512151.58402288+6290.325</f>
        <v>6518441.9090228798</v>
      </c>
      <c r="J33" s="90">
        <f ca="1">OFFSET('Historic CDM'!$C$76,0,(ROW()-ROW(F$2))/12)/12</f>
        <v>85186.973011121721</v>
      </c>
      <c r="K33" s="90">
        <f t="shared" ca="1" si="4"/>
        <v>6603628.8820340019</v>
      </c>
      <c r="L33" s="99">
        <f>1909+6</f>
        <v>1915</v>
      </c>
      <c r="M33" s="90">
        <f>16773832.4413717-R33</f>
        <v>16367969.4590717</v>
      </c>
      <c r="N33" s="92">
        <f ca="1">OFFSET('Historic CDM'!$C$88,0,(ROW()-ROW(F$2))/12)/12</f>
        <v>161583.24168736048</v>
      </c>
      <c r="O33" s="1">
        <f t="shared" ca="1" si="0"/>
        <v>16123689.71845906</v>
      </c>
      <c r="P33" s="3">
        <f>46085.2-S33</f>
        <v>42476.539999999994</v>
      </c>
      <c r="Q33" s="2">
        <f>228-T33</f>
        <v>227</v>
      </c>
      <c r="R33" s="90">
        <v>405862.98229999997</v>
      </c>
      <c r="S33" s="92">
        <v>3608.66</v>
      </c>
      <c r="T33" s="91">
        <v>1</v>
      </c>
      <c r="U33" s="90">
        <v>416827.80419354828</v>
      </c>
      <c r="V33" s="93">
        <v>1504.6599999999999</v>
      </c>
      <c r="W33" s="99">
        <f t="shared" si="20"/>
        <v>2649</v>
      </c>
      <c r="X33" s="90">
        <v>32588.85</v>
      </c>
      <c r="Y33" s="96">
        <v>73.381</v>
      </c>
      <c r="Z33" s="85">
        <v>173</v>
      </c>
      <c r="AA33" s="90">
        <v>129846</v>
      </c>
      <c r="AB33" s="85">
        <v>141</v>
      </c>
      <c r="AC33" s="90">
        <v>8251688</v>
      </c>
      <c r="AD33" s="91">
        <v>27</v>
      </c>
      <c r="AE33" s="90">
        <v>3865736.37032258</v>
      </c>
      <c r="AF33" s="92">
        <v>9251.06</v>
      </c>
      <c r="AG33" s="91">
        <v>7</v>
      </c>
      <c r="AH33" s="87">
        <f>Weather!B201</f>
        <v>0</v>
      </c>
      <c r="AI33" s="87">
        <f>Weather!C201</f>
        <v>159.50000000000003</v>
      </c>
      <c r="AJ33" s="87">
        <f>Employment!B33</f>
        <v>6778</v>
      </c>
      <c r="AK33" s="87">
        <f>Employment!C33</f>
        <v>148.69999999999999</v>
      </c>
      <c r="AL33" s="114">
        <v>570633.30000000005</v>
      </c>
      <c r="AM33" s="95">
        <f t="shared" si="8"/>
        <v>31</v>
      </c>
      <c r="AN33" s="87">
        <v>22</v>
      </c>
      <c r="AO33" s="87">
        <v>32</v>
      </c>
      <c r="AP33" s="87">
        <f t="shared" ref="AP33:BD33" si="27">AP21</f>
        <v>0</v>
      </c>
      <c r="AQ33" s="87">
        <f t="shared" si="27"/>
        <v>0</v>
      </c>
      <c r="AR33" s="87">
        <f t="shared" si="27"/>
        <v>0</v>
      </c>
      <c r="AS33" s="87">
        <f t="shared" si="27"/>
        <v>0</v>
      </c>
      <c r="AT33" s="87">
        <f t="shared" si="27"/>
        <v>0</v>
      </c>
      <c r="AU33" s="87">
        <f t="shared" si="27"/>
        <v>0</v>
      </c>
      <c r="AV33" s="87">
        <f t="shared" si="27"/>
        <v>0</v>
      </c>
      <c r="AW33" s="87">
        <f t="shared" si="27"/>
        <v>1</v>
      </c>
      <c r="AX33" s="87">
        <f t="shared" si="27"/>
        <v>0</v>
      </c>
      <c r="AY33" s="87">
        <f t="shared" si="27"/>
        <v>0</v>
      </c>
      <c r="AZ33" s="87">
        <f t="shared" si="27"/>
        <v>0</v>
      </c>
      <c r="BA33" s="87">
        <f t="shared" si="27"/>
        <v>0</v>
      </c>
      <c r="BB33" s="87">
        <f t="shared" si="27"/>
        <v>0</v>
      </c>
      <c r="BC33" s="87">
        <f t="shared" si="27"/>
        <v>0</v>
      </c>
      <c r="BD33" s="87">
        <f t="shared" si="27"/>
        <v>0</v>
      </c>
    </row>
    <row r="34" spans="1:56">
      <c r="A34" s="88">
        <v>40787</v>
      </c>
      <c r="B34" s="122">
        <f t="shared" si="1"/>
        <v>9</v>
      </c>
      <c r="C34" s="89">
        <f t="shared" si="2"/>
        <v>2011</v>
      </c>
      <c r="D34" s="101">
        <v>39594619.474999987</v>
      </c>
      <c r="E34" s="90">
        <v>20719035.263188612</v>
      </c>
      <c r="F34" s="90">
        <f ca="1">OFFSET('Historic CDM'!$C$64,0,(ROW()-ROW(F$2))/12)/12</f>
        <v>210840.46827130773</v>
      </c>
      <c r="G34" s="90">
        <f t="shared" ca="1" si="3"/>
        <v>20929875.731459919</v>
      </c>
      <c r="H34" s="102">
        <f>AVERAGE(H33,H35)</f>
        <v>26278</v>
      </c>
      <c r="I34" s="100">
        <f>5163657.3175045+369462.307</f>
        <v>5533119.6245045001</v>
      </c>
      <c r="J34" s="90">
        <f ca="1">OFFSET('Historic CDM'!$C$76,0,(ROW()-ROW(F$2))/12)/12</f>
        <v>85186.973011121721</v>
      </c>
      <c r="K34" s="90">
        <f t="shared" ca="1" si="4"/>
        <v>5618306.5975156222</v>
      </c>
      <c r="L34" s="94">
        <f>1888+622</f>
        <v>2510</v>
      </c>
      <c r="M34" s="90">
        <f>16460735.8453699-R34</f>
        <v>15676072.965369899</v>
      </c>
      <c r="N34" s="92">
        <f ca="1">OFFSET('Historic CDM'!$C$88,0,(ROW()-ROW(F$2))/12)/12</f>
        <v>161583.24168736048</v>
      </c>
      <c r="O34" s="1">
        <f t="shared" ref="O34:O65" ca="1" si="28">M34+N34-R34</f>
        <v>15052993.327057259</v>
      </c>
      <c r="P34" s="3">
        <f>44579.94-S34</f>
        <v>41271.560000000005</v>
      </c>
      <c r="Q34" s="2">
        <f>227-T34</f>
        <v>226</v>
      </c>
      <c r="R34" s="90">
        <v>784662.88</v>
      </c>
      <c r="S34" s="92">
        <v>3308.38</v>
      </c>
      <c r="T34" s="91">
        <v>1</v>
      </c>
      <c r="U34" s="90">
        <v>472659.50795698934</v>
      </c>
      <c r="V34" s="93">
        <v>1515.1499999999999</v>
      </c>
      <c r="W34" s="99">
        <f>342+1140+597+579</f>
        <v>2658</v>
      </c>
      <c r="X34" s="90">
        <v>35655.449999999997</v>
      </c>
      <c r="Y34" s="96">
        <v>73.381</v>
      </c>
      <c r="Z34" s="85">
        <v>173</v>
      </c>
      <c r="AA34" s="90">
        <v>129846</v>
      </c>
      <c r="AB34" s="85">
        <v>141</v>
      </c>
      <c r="AC34" s="90">
        <v>8149775</v>
      </c>
      <c r="AD34" s="91">
        <v>28</v>
      </c>
      <c r="AE34" s="90">
        <v>4925029.652849461</v>
      </c>
      <c r="AF34" s="92">
        <v>25467.040000000001</v>
      </c>
      <c r="AG34" s="91">
        <v>7</v>
      </c>
      <c r="AH34" s="87">
        <f>Weather!B202</f>
        <v>51.4</v>
      </c>
      <c r="AI34" s="87">
        <f>Weather!C202</f>
        <v>60.199999999999989</v>
      </c>
      <c r="AJ34" s="87">
        <f>Employment!B34</f>
        <v>6734.6</v>
      </c>
      <c r="AK34" s="87">
        <f>Employment!C34</f>
        <v>148.1</v>
      </c>
      <c r="AL34" s="114">
        <v>570633.30000000005</v>
      </c>
      <c r="AM34" s="95">
        <f t="shared" si="8"/>
        <v>30</v>
      </c>
      <c r="AN34" s="87">
        <v>21</v>
      </c>
      <c r="AO34" s="87">
        <v>33</v>
      </c>
      <c r="AP34" s="87">
        <f t="shared" ref="AP34:BD34" si="29">AP22</f>
        <v>0</v>
      </c>
      <c r="AQ34" s="87">
        <f t="shared" si="29"/>
        <v>0</v>
      </c>
      <c r="AR34" s="87">
        <f t="shared" si="29"/>
        <v>0</v>
      </c>
      <c r="AS34" s="87">
        <f t="shared" si="29"/>
        <v>0</v>
      </c>
      <c r="AT34" s="87">
        <f t="shared" si="29"/>
        <v>0</v>
      </c>
      <c r="AU34" s="87">
        <f t="shared" si="29"/>
        <v>0</v>
      </c>
      <c r="AV34" s="87">
        <f t="shared" si="29"/>
        <v>0</v>
      </c>
      <c r="AW34" s="87">
        <f t="shared" si="29"/>
        <v>0</v>
      </c>
      <c r="AX34" s="87">
        <f t="shared" si="29"/>
        <v>1</v>
      </c>
      <c r="AY34" s="87">
        <f t="shared" si="29"/>
        <v>0</v>
      </c>
      <c r="AZ34" s="87">
        <f t="shared" si="29"/>
        <v>0</v>
      </c>
      <c r="BA34" s="87">
        <f t="shared" si="29"/>
        <v>0</v>
      </c>
      <c r="BB34" s="87">
        <f t="shared" si="29"/>
        <v>0</v>
      </c>
      <c r="BC34" s="87">
        <f t="shared" si="29"/>
        <v>0</v>
      </c>
      <c r="BD34" s="87">
        <f t="shared" si="29"/>
        <v>0</v>
      </c>
    </row>
    <row r="35" spans="1:56">
      <c r="A35" s="88">
        <v>40817</v>
      </c>
      <c r="B35" s="122">
        <f t="shared" si="1"/>
        <v>10</v>
      </c>
      <c r="C35" s="89">
        <f t="shared" si="2"/>
        <v>2011</v>
      </c>
      <c r="D35" s="101">
        <v>32483068.775000017</v>
      </c>
      <c r="E35" s="90">
        <v>16906747.268162545</v>
      </c>
      <c r="F35" s="90">
        <f ca="1">OFFSET('Historic CDM'!$C$64,0,(ROW()-ROW(F$2))/12)/12</f>
        <v>210840.46827130773</v>
      </c>
      <c r="G35" s="90">
        <f t="shared" ca="1" si="3"/>
        <v>17117587.736433852</v>
      </c>
      <c r="H35" s="102">
        <f>AVERAGE(H33,H37)</f>
        <v>26251</v>
      </c>
      <c r="I35" s="100">
        <f>3116965.99829685+1911404.16</f>
        <v>5028370.1582968496</v>
      </c>
      <c r="J35" s="90">
        <f ca="1">OFFSET('Historic CDM'!$C$76,0,(ROW()-ROW(F$2))/12)/12</f>
        <v>85186.973011121721</v>
      </c>
      <c r="K35" s="90">
        <f t="shared" ca="1" si="4"/>
        <v>5113557.1313079717</v>
      </c>
      <c r="L35" s="94">
        <f>1192+782</f>
        <v>1974</v>
      </c>
      <c r="M35" s="90">
        <f>14595774.9306882-R35</f>
        <v>14463016.956688201</v>
      </c>
      <c r="N35" s="92">
        <f ca="1">OFFSET('Historic CDM'!$C$88,0,(ROW()-ROW(F$2))/12)/12</f>
        <v>161583.24168736048</v>
      </c>
      <c r="O35" s="1">
        <f t="shared" ca="1" si="28"/>
        <v>14491842.224375563</v>
      </c>
      <c r="P35" s="3">
        <f>38428.34-S35</f>
        <v>36647.479999999996</v>
      </c>
      <c r="Q35" s="2">
        <f>223-T35</f>
        <v>222</v>
      </c>
      <c r="R35" s="90">
        <v>132757.97399999999</v>
      </c>
      <c r="S35" s="92">
        <v>1780.86</v>
      </c>
      <c r="T35" s="91">
        <v>1</v>
      </c>
      <c r="U35" s="90">
        <v>559087.60688172025</v>
      </c>
      <c r="V35" s="93">
        <v>1515.1499999999999</v>
      </c>
      <c r="W35" s="99">
        <f>342+1140+597+579</f>
        <v>2658</v>
      </c>
      <c r="X35" s="90">
        <v>32106.35</v>
      </c>
      <c r="Y35" s="96">
        <v>73.381</v>
      </c>
      <c r="Z35" s="85">
        <v>173</v>
      </c>
      <c r="AA35" s="90">
        <v>129846</v>
      </c>
      <c r="AB35" s="85">
        <v>141</v>
      </c>
      <c r="AC35" s="90">
        <v>9424413</v>
      </c>
      <c r="AD35" s="91">
        <v>30</v>
      </c>
      <c r="AE35" s="90">
        <v>4252152.4658602141</v>
      </c>
      <c r="AF35" s="92">
        <v>16935.21</v>
      </c>
      <c r="AG35" s="91">
        <v>7</v>
      </c>
      <c r="AH35" s="87">
        <f>Weather!B203</f>
        <v>185.29999999999998</v>
      </c>
      <c r="AI35" s="87">
        <f>Weather!C203</f>
        <v>2.6999999999999997</v>
      </c>
      <c r="AJ35" s="87">
        <f>Employment!B35</f>
        <v>6702.2</v>
      </c>
      <c r="AK35" s="87">
        <f>Employment!C35</f>
        <v>149.1</v>
      </c>
      <c r="AL35" s="114">
        <v>570633.30000000005</v>
      </c>
      <c r="AM35" s="95">
        <f t="shared" si="8"/>
        <v>31</v>
      </c>
      <c r="AN35" s="87">
        <v>20</v>
      </c>
      <c r="AO35" s="87">
        <v>34</v>
      </c>
      <c r="AP35" s="87">
        <f t="shared" ref="AP35:BD35" si="30">AP23</f>
        <v>0</v>
      </c>
      <c r="AQ35" s="87">
        <f t="shared" si="30"/>
        <v>0</v>
      </c>
      <c r="AR35" s="87">
        <f t="shared" si="30"/>
        <v>0</v>
      </c>
      <c r="AS35" s="87">
        <f t="shared" si="30"/>
        <v>0</v>
      </c>
      <c r="AT35" s="87">
        <f t="shared" si="30"/>
        <v>0</v>
      </c>
      <c r="AU35" s="87">
        <f t="shared" si="30"/>
        <v>0</v>
      </c>
      <c r="AV35" s="87">
        <f t="shared" si="30"/>
        <v>0</v>
      </c>
      <c r="AW35" s="87">
        <f t="shared" si="30"/>
        <v>0</v>
      </c>
      <c r="AX35" s="87">
        <f t="shared" si="30"/>
        <v>0</v>
      </c>
      <c r="AY35" s="87">
        <f t="shared" si="30"/>
        <v>1</v>
      </c>
      <c r="AZ35" s="87">
        <f t="shared" si="30"/>
        <v>0</v>
      </c>
      <c r="BA35" s="87">
        <f t="shared" si="30"/>
        <v>0</v>
      </c>
      <c r="BB35" s="87">
        <f t="shared" si="30"/>
        <v>0</v>
      </c>
      <c r="BC35" s="87">
        <f t="shared" si="30"/>
        <v>1</v>
      </c>
      <c r="BD35" s="87">
        <f t="shared" si="30"/>
        <v>1</v>
      </c>
    </row>
    <row r="36" spans="1:56">
      <c r="A36" s="88">
        <v>40848</v>
      </c>
      <c r="B36" s="122">
        <f t="shared" si="1"/>
        <v>11</v>
      </c>
      <c r="C36" s="89">
        <f t="shared" si="2"/>
        <v>2011</v>
      </c>
      <c r="D36" s="101">
        <v>27713798.100000009</v>
      </c>
      <c r="E36" s="90">
        <v>17311755.952712607</v>
      </c>
      <c r="F36" s="90">
        <f ca="1">OFFSET('Historic CDM'!$C$64,0,(ROW()-ROW(F$2))/12)/12</f>
        <v>210840.46827130773</v>
      </c>
      <c r="G36" s="90">
        <f t="shared" ca="1" si="3"/>
        <v>17522596.420983914</v>
      </c>
      <c r="H36" s="102">
        <f>AVERAGE(H35,H37)</f>
        <v>26224</v>
      </c>
      <c r="I36" s="100">
        <f>1969154.71741024+3058066.051</f>
        <v>5027220.7684102403</v>
      </c>
      <c r="J36" s="90">
        <f ca="1">OFFSET('Historic CDM'!$C$76,0,(ROW()-ROW(F$2))/12)/12</f>
        <v>85186.973011121721</v>
      </c>
      <c r="K36" s="90">
        <f t="shared" ca="1" si="4"/>
        <v>5112407.7414213624</v>
      </c>
      <c r="L36" s="94">
        <f>1096+1605</f>
        <v>2701</v>
      </c>
      <c r="M36" s="90">
        <f>14156582.5158859-R36</f>
        <v>14036825.139885901</v>
      </c>
      <c r="N36" s="92">
        <f ca="1">OFFSET('Historic CDM'!$C$88,0,(ROW()-ROW(F$2))/12)/12</f>
        <v>161583.24168736048</v>
      </c>
      <c r="O36" s="1">
        <f t="shared" ca="1" si="28"/>
        <v>14078651.005573262</v>
      </c>
      <c r="P36" s="3">
        <f>35545.63-S36</f>
        <v>34329.54</v>
      </c>
      <c r="Q36" s="2">
        <f>218-T36</f>
        <v>217</v>
      </c>
      <c r="R36" s="90">
        <v>119757.376</v>
      </c>
      <c r="S36" s="92">
        <v>1216.0899999999999</v>
      </c>
      <c r="T36" s="91">
        <v>1</v>
      </c>
      <c r="U36" s="90">
        <v>597113.33178494626</v>
      </c>
      <c r="V36" s="93">
        <v>1539.77</v>
      </c>
      <c r="W36" s="99">
        <f>342+1140+597+579</f>
        <v>2658</v>
      </c>
      <c r="X36" s="90">
        <v>28457.72</v>
      </c>
      <c r="Y36" s="96">
        <v>73.186000000000007</v>
      </c>
      <c r="Z36" s="85">
        <v>172</v>
      </c>
      <c r="AA36" s="90">
        <v>129846</v>
      </c>
      <c r="AB36" s="85">
        <v>141</v>
      </c>
      <c r="AC36" s="90">
        <v>10625844.970000001</v>
      </c>
      <c r="AD36" s="91">
        <v>30</v>
      </c>
      <c r="AE36" s="90">
        <v>1064462.4511397849</v>
      </c>
      <c r="AF36" s="92">
        <v>7612.8399999999992</v>
      </c>
      <c r="AG36" s="91">
        <v>7</v>
      </c>
      <c r="AH36" s="87">
        <f>Weather!B204</f>
        <v>297.2999999999999</v>
      </c>
      <c r="AI36" s="87">
        <f>Weather!C204</f>
        <v>0</v>
      </c>
      <c r="AJ36" s="87">
        <f>Employment!B36</f>
        <v>6669.4</v>
      </c>
      <c r="AK36" s="87">
        <f>Employment!C36</f>
        <v>150.80000000000001</v>
      </c>
      <c r="AL36" s="114">
        <v>570633.30000000005</v>
      </c>
      <c r="AM36" s="95">
        <f t="shared" si="8"/>
        <v>30</v>
      </c>
      <c r="AN36" s="87">
        <v>22</v>
      </c>
      <c r="AO36" s="87">
        <v>35</v>
      </c>
      <c r="AP36" s="87">
        <f t="shared" ref="AP36:BD36" si="31">AP24</f>
        <v>0</v>
      </c>
      <c r="AQ36" s="87">
        <f t="shared" si="31"/>
        <v>0</v>
      </c>
      <c r="AR36" s="87">
        <f t="shared" si="31"/>
        <v>0</v>
      </c>
      <c r="AS36" s="87">
        <f t="shared" si="31"/>
        <v>0</v>
      </c>
      <c r="AT36" s="87">
        <f t="shared" si="31"/>
        <v>0</v>
      </c>
      <c r="AU36" s="87">
        <f t="shared" si="31"/>
        <v>0</v>
      </c>
      <c r="AV36" s="87">
        <f t="shared" si="31"/>
        <v>0</v>
      </c>
      <c r="AW36" s="87">
        <f t="shared" si="31"/>
        <v>0</v>
      </c>
      <c r="AX36" s="87">
        <f t="shared" si="31"/>
        <v>0</v>
      </c>
      <c r="AY36" s="87">
        <f t="shared" si="31"/>
        <v>0</v>
      </c>
      <c r="AZ36" s="87">
        <f t="shared" si="31"/>
        <v>1</v>
      </c>
      <c r="BA36" s="87">
        <f t="shared" si="31"/>
        <v>0</v>
      </c>
      <c r="BB36" s="87">
        <f t="shared" si="31"/>
        <v>0</v>
      </c>
      <c r="BC36" s="87">
        <f t="shared" si="31"/>
        <v>1</v>
      </c>
      <c r="BD36" s="87">
        <f t="shared" si="31"/>
        <v>1</v>
      </c>
    </row>
    <row r="37" spans="1:56">
      <c r="A37" s="88">
        <v>40878</v>
      </c>
      <c r="B37" s="122">
        <f t="shared" si="1"/>
        <v>12</v>
      </c>
      <c r="C37" s="89">
        <f t="shared" si="2"/>
        <v>2011</v>
      </c>
      <c r="D37" s="101">
        <v>36880192.350000009</v>
      </c>
      <c r="E37" s="90">
        <v>20626073.03881105</v>
      </c>
      <c r="F37" s="90">
        <f ca="1">OFFSET('Historic CDM'!$C$64,0,(ROW()-ROW(F$2))/12)/12</f>
        <v>210840.46827130773</v>
      </c>
      <c r="G37" s="90">
        <f t="shared" ca="1" si="3"/>
        <v>20836913.507082358</v>
      </c>
      <c r="H37" s="91">
        <v>26197</v>
      </c>
      <c r="I37" s="100">
        <f>718867.905510144+4816088.466</f>
        <v>5534956.3715101443</v>
      </c>
      <c r="J37" s="90">
        <f ca="1">OFFSET('Historic CDM'!$C$76,0,(ROW()-ROW(F$2))/12)/12</f>
        <v>85186.973011121721</v>
      </c>
      <c r="K37" s="90">
        <f t="shared" ca="1" si="4"/>
        <v>5620143.3445212664</v>
      </c>
      <c r="L37" s="94">
        <f>286+1829</f>
        <v>2115</v>
      </c>
      <c r="M37" s="90">
        <f>13879898.1893951-R37</f>
        <v>13278370.194495101</v>
      </c>
      <c r="N37" s="92">
        <f ca="1">OFFSET('Historic CDM'!$C$88,0,(ROW()-ROW(F$2))/12)/12</f>
        <v>161583.24168736048</v>
      </c>
      <c r="O37" s="1">
        <f t="shared" ca="1" si="28"/>
        <v>12838425.441282462</v>
      </c>
      <c r="P37" s="3">
        <f>35640.46-S37</f>
        <v>33681.01</v>
      </c>
      <c r="Q37" s="2">
        <f>221-T37</f>
        <v>220</v>
      </c>
      <c r="R37" s="90">
        <v>601527.99490000005</v>
      </c>
      <c r="S37" s="92">
        <v>1959.45</v>
      </c>
      <c r="T37" s="91">
        <v>1</v>
      </c>
      <c r="U37" s="90">
        <v>654003.0169247312</v>
      </c>
      <c r="V37" s="93">
        <v>1539.77</v>
      </c>
      <c r="W37" s="99">
        <f>342+1140+595+579</f>
        <v>2656</v>
      </c>
      <c r="X37" s="90">
        <v>26183.89</v>
      </c>
      <c r="Y37" s="96">
        <v>73.186000000000007</v>
      </c>
      <c r="Z37" s="85">
        <v>172</v>
      </c>
      <c r="AA37" s="90">
        <v>129846</v>
      </c>
      <c r="AB37" s="85">
        <v>141</v>
      </c>
      <c r="AC37" s="90">
        <v>7547730.5999999996</v>
      </c>
      <c r="AD37" s="91">
        <v>34</v>
      </c>
      <c r="AE37" s="90">
        <v>2961142.0836989228</v>
      </c>
      <c r="AF37" s="92">
        <v>7742.4</v>
      </c>
      <c r="AG37" s="91">
        <v>7</v>
      </c>
      <c r="AH37" s="87">
        <f>Weather!B205</f>
        <v>485.4</v>
      </c>
      <c r="AI37" s="87">
        <f>Weather!C205</f>
        <v>0</v>
      </c>
      <c r="AJ37" s="87">
        <f>Employment!B37</f>
        <v>6668.3</v>
      </c>
      <c r="AK37" s="87">
        <f>Employment!C37</f>
        <v>152.1</v>
      </c>
      <c r="AL37" s="114">
        <v>570633.30000000005</v>
      </c>
      <c r="AM37" s="95">
        <f t="shared" si="8"/>
        <v>31</v>
      </c>
      <c r="AN37" s="87">
        <v>20</v>
      </c>
      <c r="AO37" s="87">
        <v>36</v>
      </c>
      <c r="AP37" s="87">
        <f t="shared" ref="AP37:BD37" si="32">AP25</f>
        <v>0</v>
      </c>
      <c r="AQ37" s="87">
        <f t="shared" si="32"/>
        <v>0</v>
      </c>
      <c r="AR37" s="87">
        <f t="shared" si="32"/>
        <v>0</v>
      </c>
      <c r="AS37" s="87">
        <f t="shared" si="32"/>
        <v>0</v>
      </c>
      <c r="AT37" s="87">
        <f t="shared" si="32"/>
        <v>0</v>
      </c>
      <c r="AU37" s="87">
        <f t="shared" si="32"/>
        <v>0</v>
      </c>
      <c r="AV37" s="87">
        <f t="shared" si="32"/>
        <v>0</v>
      </c>
      <c r="AW37" s="87">
        <f t="shared" si="32"/>
        <v>0</v>
      </c>
      <c r="AX37" s="87">
        <f t="shared" si="32"/>
        <v>0</v>
      </c>
      <c r="AY37" s="87">
        <f t="shared" si="32"/>
        <v>0</v>
      </c>
      <c r="AZ37" s="87">
        <f t="shared" si="32"/>
        <v>0</v>
      </c>
      <c r="BA37" s="87">
        <f t="shared" si="32"/>
        <v>1</v>
      </c>
      <c r="BB37" s="87">
        <f t="shared" si="32"/>
        <v>0</v>
      </c>
      <c r="BC37" s="87">
        <f t="shared" si="32"/>
        <v>0</v>
      </c>
      <c r="BD37" s="87">
        <f t="shared" si="32"/>
        <v>0</v>
      </c>
    </row>
    <row r="38" spans="1:56">
      <c r="A38" s="88">
        <v>40909</v>
      </c>
      <c r="B38" s="122">
        <f t="shared" si="1"/>
        <v>1</v>
      </c>
      <c r="C38" s="89">
        <f t="shared" si="2"/>
        <v>2012</v>
      </c>
      <c r="D38" s="101">
        <v>34142975.475000016</v>
      </c>
      <c r="E38" s="90">
        <v>20556067.136547696</v>
      </c>
      <c r="F38" s="90">
        <f ca="1">OFFSET('Historic CDM'!$C$64,0,(ROW()-ROW(F$2))/12)/12</f>
        <v>270482.04808388877</v>
      </c>
      <c r="G38" s="90">
        <f t="shared" ca="1" si="3"/>
        <v>20826549.184631586</v>
      </c>
      <c r="H38" s="91">
        <v>26250</v>
      </c>
      <c r="I38" s="100">
        <f>401546.182195078+5156490.919</f>
        <v>5558037.1011950774</v>
      </c>
      <c r="J38" s="90">
        <f ca="1">OFFSET('Historic CDM'!$C$76,0,(ROW()-ROW(F$2))/12)/12</f>
        <v>120436.63811573823</v>
      </c>
      <c r="K38" s="90">
        <f t="shared" ca="1" si="4"/>
        <v>5678473.7393108159</v>
      </c>
      <c r="L38" s="85">
        <f>69+1858</f>
        <v>1927</v>
      </c>
      <c r="M38" s="90">
        <f>13576451.6142229-R38</f>
        <v>13556312.218222899</v>
      </c>
      <c r="N38" s="92">
        <f ca="1">OFFSET('Historic CDM'!$C$88,0,(ROW()-ROW(F$2))/12)/12</f>
        <v>251692.57091425898</v>
      </c>
      <c r="O38" s="1">
        <f t="shared" ca="1" si="28"/>
        <v>13787865.393137159</v>
      </c>
      <c r="P38" s="3">
        <f>33327.67-S38</f>
        <v>33209.799999999996</v>
      </c>
      <c r="Q38" s="2">
        <f>219-T38</f>
        <v>218</v>
      </c>
      <c r="R38" s="90">
        <v>20139.396000000001</v>
      </c>
      <c r="S38" s="92">
        <v>117.87</v>
      </c>
      <c r="T38" s="91">
        <v>1</v>
      </c>
      <c r="U38" s="90">
        <v>644740.22290322557</v>
      </c>
      <c r="V38" s="93">
        <v>1539.77</v>
      </c>
      <c r="W38" s="99">
        <f>342+1140+595+579</f>
        <v>2656</v>
      </c>
      <c r="X38" s="90">
        <v>34705.75</v>
      </c>
      <c r="Y38" s="96">
        <v>73.771000000000001</v>
      </c>
      <c r="Z38" s="85">
        <v>175</v>
      </c>
      <c r="AA38" s="90">
        <v>129846</v>
      </c>
      <c r="AB38" s="85">
        <v>141</v>
      </c>
      <c r="AC38" s="90">
        <v>9513187.6400000006</v>
      </c>
      <c r="AD38" s="91">
        <v>42</v>
      </c>
      <c r="AE38" s="90">
        <v>3282076.455483872</v>
      </c>
      <c r="AF38" s="92">
        <v>7683.1200000000008</v>
      </c>
      <c r="AG38" s="91">
        <v>7</v>
      </c>
      <c r="AH38" s="87">
        <f>Weather!B206</f>
        <v>559.59999999999991</v>
      </c>
      <c r="AI38" s="87">
        <f>Weather!C206</f>
        <v>0</v>
      </c>
      <c r="AJ38" s="87">
        <f>Employment!B38</f>
        <v>6635.9</v>
      </c>
      <c r="AK38" s="87">
        <f>Employment!C38</f>
        <v>149.5</v>
      </c>
      <c r="AL38" s="114">
        <v>578793.9</v>
      </c>
      <c r="AM38" s="95">
        <f t="shared" si="8"/>
        <v>31</v>
      </c>
      <c r="AN38" s="103">
        <v>21</v>
      </c>
      <c r="AO38" s="87">
        <v>37</v>
      </c>
      <c r="AP38" s="87">
        <f t="shared" ref="AP38:BD38" si="33">AP26</f>
        <v>1</v>
      </c>
      <c r="AQ38" s="87">
        <f t="shared" si="33"/>
        <v>0</v>
      </c>
      <c r="AR38" s="87">
        <f t="shared" si="33"/>
        <v>0</v>
      </c>
      <c r="AS38" s="87">
        <f t="shared" si="33"/>
        <v>0</v>
      </c>
      <c r="AT38" s="87">
        <f t="shared" si="33"/>
        <v>0</v>
      </c>
      <c r="AU38" s="87">
        <f t="shared" si="33"/>
        <v>0</v>
      </c>
      <c r="AV38" s="87">
        <f t="shared" si="33"/>
        <v>0</v>
      </c>
      <c r="AW38" s="87">
        <f t="shared" si="33"/>
        <v>0</v>
      </c>
      <c r="AX38" s="87">
        <f t="shared" si="33"/>
        <v>0</v>
      </c>
      <c r="AY38" s="87">
        <f t="shared" si="33"/>
        <v>0</v>
      </c>
      <c r="AZ38" s="87">
        <f t="shared" si="33"/>
        <v>0</v>
      </c>
      <c r="BA38" s="87">
        <f t="shared" si="33"/>
        <v>0</v>
      </c>
      <c r="BB38" s="87">
        <f t="shared" si="33"/>
        <v>0</v>
      </c>
      <c r="BC38" s="87">
        <f t="shared" si="33"/>
        <v>0</v>
      </c>
      <c r="BD38" s="87">
        <f t="shared" si="33"/>
        <v>0</v>
      </c>
    </row>
    <row r="39" spans="1:56">
      <c r="A39" s="88">
        <v>40940</v>
      </c>
      <c r="B39" s="122">
        <f t="shared" si="1"/>
        <v>2</v>
      </c>
      <c r="C39" s="89">
        <f t="shared" si="2"/>
        <v>2012</v>
      </c>
      <c r="D39" s="101">
        <v>30970592.624999955</v>
      </c>
      <c r="E39" s="90">
        <v>18125661.215195015</v>
      </c>
      <c r="F39" s="90">
        <f ca="1">OFFSET('Historic CDM'!$C$64,0,(ROW()-ROW(F$2))/12)/12</f>
        <v>270482.04808388877</v>
      </c>
      <c r="G39" s="90">
        <f t="shared" ca="1" si="3"/>
        <v>18396143.263278905</v>
      </c>
      <c r="H39" s="91">
        <v>26243</v>
      </c>
      <c r="I39" s="100">
        <f>375566.216284513+4883268.753</f>
        <v>5258834.9692845121</v>
      </c>
      <c r="J39" s="90">
        <f ca="1">OFFSET('Historic CDM'!$C$76,0,(ROW()-ROW(F$2))/12)/12</f>
        <v>120436.63811573823</v>
      </c>
      <c r="K39" s="90">
        <f t="shared" ca="1" si="4"/>
        <v>5379271.6074002506</v>
      </c>
      <c r="L39" s="85">
        <f>66+1876</f>
        <v>1942</v>
      </c>
      <c r="M39" s="90">
        <f>12423681.3239627-R39</f>
        <v>12423673.922962699</v>
      </c>
      <c r="N39" s="92">
        <f ca="1">OFFSET('Historic CDM'!$C$88,0,(ROW()-ROW(F$2))/12)/12</f>
        <v>251692.57091425898</v>
      </c>
      <c r="O39" s="1">
        <f t="shared" ca="1" si="28"/>
        <v>12675359.092876958</v>
      </c>
      <c r="P39" s="3">
        <f>30981.62-S39</f>
        <v>30981.62</v>
      </c>
      <c r="Q39" s="2">
        <f>220-T39</f>
        <v>219</v>
      </c>
      <c r="R39" s="90">
        <v>7.4009999999999998</v>
      </c>
      <c r="S39" s="98">
        <v>0</v>
      </c>
      <c r="T39" s="91">
        <v>1</v>
      </c>
      <c r="U39" s="90">
        <v>609747.81483870978</v>
      </c>
      <c r="V39" s="93">
        <v>1558.1000000000001</v>
      </c>
      <c r="W39" s="99">
        <f>342+1139+595+377</f>
        <v>2453</v>
      </c>
      <c r="X39" s="90">
        <v>37437.4</v>
      </c>
      <c r="Y39" s="96">
        <v>73.771000000000001</v>
      </c>
      <c r="Z39" s="85">
        <v>175</v>
      </c>
      <c r="AA39" s="90">
        <v>129846</v>
      </c>
      <c r="AB39" s="85">
        <v>141</v>
      </c>
      <c r="AC39" s="90">
        <v>8568090</v>
      </c>
      <c r="AD39" s="91">
        <v>44</v>
      </c>
      <c r="AE39" s="90">
        <v>3038305.2037597341</v>
      </c>
      <c r="AF39" s="92">
        <v>7258.67</v>
      </c>
      <c r="AG39" s="91">
        <v>7</v>
      </c>
      <c r="AH39" s="87">
        <f>Weather!B207</f>
        <v>492.40000000000003</v>
      </c>
      <c r="AI39" s="87">
        <f>Weather!C207</f>
        <v>0</v>
      </c>
      <c r="AJ39" s="87">
        <f>Employment!B39</f>
        <v>6598</v>
      </c>
      <c r="AK39" s="87">
        <f>Employment!C39</f>
        <v>148.4</v>
      </c>
      <c r="AL39" s="114">
        <v>578793.9</v>
      </c>
      <c r="AM39" s="95">
        <v>29</v>
      </c>
      <c r="AN39" s="103">
        <v>20</v>
      </c>
      <c r="AO39" s="87">
        <v>38</v>
      </c>
      <c r="AP39" s="87">
        <f t="shared" ref="AP39:BD39" si="34">AP27</f>
        <v>0</v>
      </c>
      <c r="AQ39" s="87">
        <f t="shared" si="34"/>
        <v>1</v>
      </c>
      <c r="AR39" s="87">
        <f t="shared" si="34"/>
        <v>0</v>
      </c>
      <c r="AS39" s="87">
        <f t="shared" si="34"/>
        <v>0</v>
      </c>
      <c r="AT39" s="87">
        <f t="shared" si="34"/>
        <v>0</v>
      </c>
      <c r="AU39" s="87">
        <f t="shared" si="34"/>
        <v>0</v>
      </c>
      <c r="AV39" s="87">
        <f t="shared" si="34"/>
        <v>0</v>
      </c>
      <c r="AW39" s="87">
        <f t="shared" si="34"/>
        <v>0</v>
      </c>
      <c r="AX39" s="87">
        <f t="shared" si="34"/>
        <v>0</v>
      </c>
      <c r="AY39" s="87">
        <f t="shared" si="34"/>
        <v>0</v>
      </c>
      <c r="AZ39" s="87">
        <f t="shared" si="34"/>
        <v>0</v>
      </c>
      <c r="BA39" s="87">
        <f t="shared" si="34"/>
        <v>0</v>
      </c>
      <c r="BB39" s="87">
        <f t="shared" si="34"/>
        <v>0</v>
      </c>
      <c r="BC39" s="87">
        <f t="shared" si="34"/>
        <v>0</v>
      </c>
      <c r="BD39" s="87">
        <f t="shared" si="34"/>
        <v>0</v>
      </c>
    </row>
    <row r="40" spans="1:56">
      <c r="A40" s="88">
        <v>40969</v>
      </c>
      <c r="B40" s="122">
        <f t="shared" si="1"/>
        <v>3</v>
      </c>
      <c r="C40" s="89">
        <f t="shared" si="2"/>
        <v>2012</v>
      </c>
      <c r="D40" s="101">
        <v>28090888.774999969</v>
      </c>
      <c r="E40" s="90">
        <v>17194171.019519329</v>
      </c>
      <c r="F40" s="90">
        <f ca="1">OFFSET('Historic CDM'!$C$64,0,(ROW()-ROW(F$2))/12)/12</f>
        <v>270482.04808388877</v>
      </c>
      <c r="G40" s="90">
        <f t="shared" ca="1" si="3"/>
        <v>17464653.067603219</v>
      </c>
      <c r="H40" s="91">
        <v>26287</v>
      </c>
      <c r="I40" s="100">
        <f>326426.027495003+4984776.168</f>
        <v>5311202.1954950029</v>
      </c>
      <c r="J40" s="90">
        <f ca="1">OFFSET('Historic CDM'!$C$76,0,(ROW()-ROW(F$2))/12)/12</f>
        <v>120436.63811573823</v>
      </c>
      <c r="K40" s="90">
        <f t="shared" ca="1" si="4"/>
        <v>5431638.8336107414</v>
      </c>
      <c r="L40" s="85">
        <f>48+1868</f>
        <v>1916</v>
      </c>
      <c r="M40" s="90">
        <f>12530135.2032575-R40</f>
        <v>12530135.203257499</v>
      </c>
      <c r="N40" s="92">
        <f ca="1">OFFSET('Historic CDM'!$C$88,0,(ROW()-ROW(F$2))/12)/12</f>
        <v>251692.57091425898</v>
      </c>
      <c r="O40" s="1">
        <f t="shared" ca="1" si="28"/>
        <v>12781827.774171758</v>
      </c>
      <c r="P40" s="3">
        <f>32354.21-S40</f>
        <v>32354.21</v>
      </c>
      <c r="Q40" s="2">
        <f>209-T40</f>
        <v>208</v>
      </c>
      <c r="R40" s="90">
        <v>0</v>
      </c>
      <c r="S40" s="92">
        <v>0</v>
      </c>
      <c r="T40" s="91">
        <v>1</v>
      </c>
      <c r="U40" s="90">
        <v>550539.00387096754</v>
      </c>
      <c r="V40" s="93">
        <v>1563.3000000000002</v>
      </c>
      <c r="W40" s="99">
        <f>342+1143+595+377</f>
        <v>2457</v>
      </c>
      <c r="X40" s="90">
        <v>28452.82</v>
      </c>
      <c r="Y40" s="96">
        <v>73.771000000000001</v>
      </c>
      <c r="Z40" s="85">
        <v>175</v>
      </c>
      <c r="AA40" s="90">
        <v>129846</v>
      </c>
      <c r="AB40" s="85">
        <v>141</v>
      </c>
      <c r="AC40" s="90">
        <v>10242849</v>
      </c>
      <c r="AD40" s="91">
        <v>46</v>
      </c>
      <c r="AE40" s="90">
        <v>2978707.1468854276</v>
      </c>
      <c r="AF40" s="92">
        <v>7073.1</v>
      </c>
      <c r="AG40" s="91">
        <v>7</v>
      </c>
      <c r="AH40" s="87">
        <f>Weather!B208</f>
        <v>250.79999999999995</v>
      </c>
      <c r="AI40" s="87">
        <f>Weather!C208</f>
        <v>4.8</v>
      </c>
      <c r="AJ40" s="87">
        <f>Employment!B40</f>
        <v>6569.8</v>
      </c>
      <c r="AK40" s="87">
        <f>Employment!C40</f>
        <v>148.5</v>
      </c>
      <c r="AL40" s="114">
        <v>578793.9</v>
      </c>
      <c r="AM40" s="95">
        <f t="shared" si="8"/>
        <v>31</v>
      </c>
      <c r="AN40" s="103">
        <v>22</v>
      </c>
      <c r="AO40" s="87">
        <v>39</v>
      </c>
      <c r="AP40" s="87">
        <f t="shared" ref="AP40:BD40" si="35">AP28</f>
        <v>0</v>
      </c>
      <c r="AQ40" s="87">
        <f t="shared" si="35"/>
        <v>0</v>
      </c>
      <c r="AR40" s="87">
        <f t="shared" si="35"/>
        <v>1</v>
      </c>
      <c r="AS40" s="87">
        <f t="shared" si="35"/>
        <v>0</v>
      </c>
      <c r="AT40" s="87">
        <f t="shared" si="35"/>
        <v>0</v>
      </c>
      <c r="AU40" s="87">
        <f t="shared" si="35"/>
        <v>0</v>
      </c>
      <c r="AV40" s="87">
        <f t="shared" si="35"/>
        <v>0</v>
      </c>
      <c r="AW40" s="87">
        <f t="shared" si="35"/>
        <v>0</v>
      </c>
      <c r="AX40" s="87">
        <f t="shared" si="35"/>
        <v>0</v>
      </c>
      <c r="AY40" s="87">
        <f t="shared" si="35"/>
        <v>0</v>
      </c>
      <c r="AZ40" s="87">
        <f t="shared" si="35"/>
        <v>0</v>
      </c>
      <c r="BA40" s="87">
        <f t="shared" si="35"/>
        <v>0</v>
      </c>
      <c r="BB40" s="87">
        <f t="shared" si="35"/>
        <v>1</v>
      </c>
      <c r="BC40" s="87">
        <f t="shared" si="35"/>
        <v>0</v>
      </c>
      <c r="BD40" s="87">
        <f t="shared" si="35"/>
        <v>1</v>
      </c>
    </row>
    <row r="41" spans="1:56">
      <c r="A41" s="88">
        <v>41000</v>
      </c>
      <c r="B41" s="122">
        <f t="shared" si="1"/>
        <v>4</v>
      </c>
      <c r="C41" s="89">
        <f t="shared" si="2"/>
        <v>2012</v>
      </c>
      <c r="D41" s="101">
        <v>23410386.450000003</v>
      </c>
      <c r="E41" s="90">
        <v>15832667.364440929</v>
      </c>
      <c r="F41" s="90">
        <f ca="1">OFFSET('Historic CDM'!$C$64,0,(ROW()-ROW(F$2))/12)/12</f>
        <v>270482.04808388877</v>
      </c>
      <c r="G41" s="90">
        <f t="shared" ca="1" si="3"/>
        <v>16103149.412524818</v>
      </c>
      <c r="H41" s="91">
        <v>26301</v>
      </c>
      <c r="I41" s="100">
        <f>265616.876401747+4610229.784</f>
        <v>4875846.6604017466</v>
      </c>
      <c r="J41" s="90">
        <f ca="1">OFFSET('Historic CDM'!$C$76,0,(ROW()-ROW(F$2))/12)/12</f>
        <v>120436.63811573823</v>
      </c>
      <c r="K41" s="90">
        <f t="shared" ca="1" si="4"/>
        <v>4996283.2985174851</v>
      </c>
      <c r="L41" s="85">
        <f>35+1867</f>
        <v>1902</v>
      </c>
      <c r="M41" s="90">
        <f>11148661.6030887-R41</f>
        <v>11148661.603088699</v>
      </c>
      <c r="N41" s="92">
        <f ca="1">OFFSET('Historic CDM'!$C$88,0,(ROW()-ROW(F$2))/12)/12</f>
        <v>251692.57091425898</v>
      </c>
      <c r="O41" s="1">
        <f t="shared" ca="1" si="28"/>
        <v>11400354.174002958</v>
      </c>
      <c r="P41" s="3">
        <f>29909.79-S41</f>
        <v>29909.79</v>
      </c>
      <c r="Q41" s="2">
        <f>207-T41</f>
        <v>206</v>
      </c>
      <c r="R41" s="90">
        <v>0</v>
      </c>
      <c r="S41" s="92">
        <v>0</v>
      </c>
      <c r="T41" s="91">
        <v>1</v>
      </c>
      <c r="U41" s="90">
        <v>461939.87112903217</v>
      </c>
      <c r="V41" s="93">
        <v>1563.3000000000002</v>
      </c>
      <c r="W41" s="99">
        <f>342+1143+595+377</f>
        <v>2457</v>
      </c>
      <c r="X41" s="90">
        <v>26266.59</v>
      </c>
      <c r="Y41" s="96">
        <v>73.771000000000001</v>
      </c>
      <c r="Z41" s="85">
        <v>175</v>
      </c>
      <c r="AA41" s="90">
        <v>129846</v>
      </c>
      <c r="AB41" s="85">
        <v>141</v>
      </c>
      <c r="AC41" s="90">
        <v>11368239</v>
      </c>
      <c r="AD41" s="91">
        <v>47</v>
      </c>
      <c r="AE41" s="90">
        <v>2368231.5418387093</v>
      </c>
      <c r="AF41" s="92">
        <v>7071.83</v>
      </c>
      <c r="AG41" s="91">
        <v>7</v>
      </c>
      <c r="AH41" s="87">
        <f>Weather!B209</f>
        <v>252.49999999999991</v>
      </c>
      <c r="AI41" s="87">
        <f>Weather!C209</f>
        <v>4.3</v>
      </c>
      <c r="AJ41" s="87">
        <f>Employment!B41</f>
        <v>6603.3</v>
      </c>
      <c r="AK41" s="87">
        <f>Employment!C41</f>
        <v>150.6</v>
      </c>
      <c r="AL41" s="114">
        <v>578793.9</v>
      </c>
      <c r="AM41" s="95">
        <f t="shared" si="8"/>
        <v>30</v>
      </c>
      <c r="AN41" s="103">
        <v>19</v>
      </c>
      <c r="AO41" s="87">
        <v>40</v>
      </c>
      <c r="AP41" s="87">
        <f t="shared" ref="AP41:BD41" si="36">AP29</f>
        <v>0</v>
      </c>
      <c r="AQ41" s="87">
        <f t="shared" si="36"/>
        <v>0</v>
      </c>
      <c r="AR41" s="87">
        <f t="shared" si="36"/>
        <v>0</v>
      </c>
      <c r="AS41" s="87">
        <f t="shared" si="36"/>
        <v>1</v>
      </c>
      <c r="AT41" s="87">
        <f t="shared" si="36"/>
        <v>0</v>
      </c>
      <c r="AU41" s="87">
        <f t="shared" si="36"/>
        <v>0</v>
      </c>
      <c r="AV41" s="87">
        <f t="shared" si="36"/>
        <v>0</v>
      </c>
      <c r="AW41" s="87">
        <f t="shared" si="36"/>
        <v>0</v>
      </c>
      <c r="AX41" s="87">
        <f t="shared" si="36"/>
        <v>0</v>
      </c>
      <c r="AY41" s="87">
        <f t="shared" si="36"/>
        <v>0</v>
      </c>
      <c r="AZ41" s="87">
        <f t="shared" si="36"/>
        <v>0</v>
      </c>
      <c r="BA41" s="87">
        <f t="shared" si="36"/>
        <v>0</v>
      </c>
      <c r="BB41" s="87">
        <f t="shared" si="36"/>
        <v>1</v>
      </c>
      <c r="BC41" s="87">
        <f t="shared" si="36"/>
        <v>0</v>
      </c>
      <c r="BD41" s="87">
        <f t="shared" si="36"/>
        <v>1</v>
      </c>
    </row>
    <row r="42" spans="1:56">
      <c r="A42" s="88">
        <v>41030</v>
      </c>
      <c r="B42" s="122">
        <f t="shared" si="1"/>
        <v>5</v>
      </c>
      <c r="C42" s="89">
        <f t="shared" si="2"/>
        <v>2012</v>
      </c>
      <c r="D42" s="101">
        <v>30222964.625000026</v>
      </c>
      <c r="E42" s="90">
        <v>19162131.097858593</v>
      </c>
      <c r="F42" s="90">
        <f ca="1">OFFSET('Historic CDM'!$C$64,0,(ROW()-ROW(F$2))/12)/12</f>
        <v>270482.04808388877</v>
      </c>
      <c r="G42" s="90">
        <f t="shared" ca="1" si="3"/>
        <v>19432613.145942483</v>
      </c>
      <c r="H42" s="91">
        <v>26315</v>
      </c>
      <c r="I42" s="100">
        <f>283790.786278459+5242272.555</f>
        <v>5526063.3412784589</v>
      </c>
      <c r="J42" s="90">
        <f ca="1">OFFSET('Historic CDM'!$C$76,0,(ROW()-ROW(F$2))/12)/12</f>
        <v>120436.63811573823</v>
      </c>
      <c r="K42" s="90">
        <f t="shared" ca="1" si="4"/>
        <v>5646499.9793941975</v>
      </c>
      <c r="L42" s="85">
        <f>36+1869</f>
        <v>1905</v>
      </c>
      <c r="M42" s="90">
        <f>12633799.6911175-R42</f>
        <v>12631118.988117501</v>
      </c>
      <c r="N42" s="92">
        <f ca="1">OFFSET('Historic CDM'!$C$88,0,(ROW()-ROW(F$2))/12)/12</f>
        <v>251692.57091425898</v>
      </c>
      <c r="O42" s="1">
        <f t="shared" ca="1" si="28"/>
        <v>12880130.856031761</v>
      </c>
      <c r="P42" s="3">
        <f>37385.7-S42</f>
        <v>35208.649999999994</v>
      </c>
      <c r="Q42" s="2">
        <f>209-T42</f>
        <v>208</v>
      </c>
      <c r="R42" s="90">
        <v>2680.703</v>
      </c>
      <c r="S42" s="92">
        <v>2177.0500000000002</v>
      </c>
      <c r="T42" s="91">
        <v>1</v>
      </c>
      <c r="U42" s="90">
        <v>415852.91887096775</v>
      </c>
      <c r="V42" s="93">
        <v>1563.3000000000002</v>
      </c>
      <c r="W42" s="99">
        <f>342+1143+595+377</f>
        <v>2457</v>
      </c>
      <c r="X42" s="90">
        <v>39915.79</v>
      </c>
      <c r="Y42" s="96">
        <v>73.771000000000001</v>
      </c>
      <c r="Z42" s="85">
        <v>175</v>
      </c>
      <c r="AA42" s="90">
        <v>129846</v>
      </c>
      <c r="AB42" s="85">
        <v>141</v>
      </c>
      <c r="AC42" s="90">
        <v>10962951</v>
      </c>
      <c r="AD42" s="91">
        <v>47</v>
      </c>
      <c r="AE42" s="90">
        <v>3061300.793967742</v>
      </c>
      <c r="AF42" s="92">
        <v>8423.19</v>
      </c>
      <c r="AG42" s="91">
        <v>7</v>
      </c>
      <c r="AH42" s="87">
        <f>Weather!B210</f>
        <v>48.2</v>
      </c>
      <c r="AI42" s="87">
        <f>Weather!C210</f>
        <v>59.3</v>
      </c>
      <c r="AJ42" s="87">
        <f>Employment!B42</f>
        <v>6658.1</v>
      </c>
      <c r="AK42" s="87">
        <f>Employment!C42</f>
        <v>151.1</v>
      </c>
      <c r="AL42" s="114">
        <v>578793.9</v>
      </c>
      <c r="AM42" s="95">
        <f t="shared" si="8"/>
        <v>31</v>
      </c>
      <c r="AN42" s="103">
        <v>22</v>
      </c>
      <c r="AO42" s="87">
        <v>41</v>
      </c>
      <c r="AP42" s="87">
        <f t="shared" ref="AP42:BD42" si="37">AP30</f>
        <v>0</v>
      </c>
      <c r="AQ42" s="87">
        <f t="shared" si="37"/>
        <v>0</v>
      </c>
      <c r="AR42" s="87">
        <f t="shared" si="37"/>
        <v>0</v>
      </c>
      <c r="AS42" s="87">
        <f t="shared" si="37"/>
        <v>0</v>
      </c>
      <c r="AT42" s="87">
        <f t="shared" si="37"/>
        <v>1</v>
      </c>
      <c r="AU42" s="87">
        <f t="shared" si="37"/>
        <v>0</v>
      </c>
      <c r="AV42" s="87">
        <f t="shared" si="37"/>
        <v>0</v>
      </c>
      <c r="AW42" s="87">
        <f t="shared" si="37"/>
        <v>0</v>
      </c>
      <c r="AX42" s="87">
        <f t="shared" si="37"/>
        <v>0</v>
      </c>
      <c r="AY42" s="87">
        <f t="shared" si="37"/>
        <v>0</v>
      </c>
      <c r="AZ42" s="87">
        <f t="shared" si="37"/>
        <v>0</v>
      </c>
      <c r="BA42" s="87">
        <f t="shared" si="37"/>
        <v>0</v>
      </c>
      <c r="BB42" s="87">
        <f t="shared" si="37"/>
        <v>1</v>
      </c>
      <c r="BC42" s="87">
        <f t="shared" si="37"/>
        <v>0</v>
      </c>
      <c r="BD42" s="87">
        <f t="shared" si="37"/>
        <v>1</v>
      </c>
    </row>
    <row r="43" spans="1:56">
      <c r="A43" s="88">
        <v>41061</v>
      </c>
      <c r="B43" s="122">
        <f t="shared" si="1"/>
        <v>6</v>
      </c>
      <c r="C43" s="89">
        <f t="shared" si="2"/>
        <v>2012</v>
      </c>
      <c r="D43" s="101">
        <v>40472441.374999985</v>
      </c>
      <c r="E43" s="90">
        <v>26907908.5812876</v>
      </c>
      <c r="F43" s="90">
        <f ca="1">OFFSET('Historic CDM'!$C$64,0,(ROW()-ROW(F$2))/12)/12</f>
        <v>270482.04808388877</v>
      </c>
      <c r="G43" s="90">
        <f t="shared" ca="1" si="3"/>
        <v>27178390.62937149</v>
      </c>
      <c r="H43" s="91">
        <v>26446</v>
      </c>
      <c r="I43" s="100">
        <f>361015.011711336+5901384.308</f>
        <v>6262399.3197113359</v>
      </c>
      <c r="J43" s="90">
        <f ca="1">OFFSET('Historic CDM'!$C$76,0,(ROW()-ROW(F$2))/12)/12</f>
        <v>120436.63811573823</v>
      </c>
      <c r="K43" s="90">
        <f t="shared" ca="1" si="4"/>
        <v>6382835.9578270745</v>
      </c>
      <c r="L43" s="85">
        <f>34+1878</f>
        <v>1912</v>
      </c>
      <c r="M43" s="90">
        <f>14491751.5203736-R43</f>
        <v>14491662.164373599</v>
      </c>
      <c r="N43" s="92">
        <f ca="1">OFFSET('Historic CDM'!$C$88,0,(ROW()-ROW(F$2))/12)/12</f>
        <v>251692.57091425898</v>
      </c>
      <c r="O43" s="1">
        <f t="shared" ca="1" si="28"/>
        <v>14743265.379287858</v>
      </c>
      <c r="P43" s="3">
        <f>42230.76-S43</f>
        <v>42230.76</v>
      </c>
      <c r="Q43" s="2">
        <f>207-T43</f>
        <v>206</v>
      </c>
      <c r="R43" s="90">
        <v>89.355999999999995</v>
      </c>
      <c r="S43" s="98">
        <v>0</v>
      </c>
      <c r="T43" s="91">
        <v>1</v>
      </c>
      <c r="U43" s="90">
        <v>365836.01346236555</v>
      </c>
      <c r="V43" s="93">
        <v>1563.3000000000002</v>
      </c>
      <c r="W43" s="99">
        <f>342+1143+595+377</f>
        <v>2457</v>
      </c>
      <c r="X43" s="90">
        <v>28586.77</v>
      </c>
      <c r="Y43" s="96">
        <v>73.771000000000001</v>
      </c>
      <c r="Z43" s="85">
        <v>175</v>
      </c>
      <c r="AA43" s="90">
        <v>129846</v>
      </c>
      <c r="AB43" s="85">
        <v>141</v>
      </c>
      <c r="AC43" s="90">
        <v>11159787</v>
      </c>
      <c r="AD43" s="91">
        <v>47</v>
      </c>
      <c r="AE43" s="90">
        <v>3707452.5843655928</v>
      </c>
      <c r="AF43" s="92">
        <v>20971.22</v>
      </c>
      <c r="AG43" s="91">
        <v>7</v>
      </c>
      <c r="AH43" s="87">
        <f>Weather!B211</f>
        <v>10.3</v>
      </c>
      <c r="AI43" s="87">
        <f>Weather!C211</f>
        <v>147.09999999999997</v>
      </c>
      <c r="AJ43" s="87">
        <f>Employment!B43</f>
        <v>6737.2</v>
      </c>
      <c r="AK43" s="87">
        <f>Employment!C43</f>
        <v>152.19999999999999</v>
      </c>
      <c r="AL43" s="114">
        <v>578793.9</v>
      </c>
      <c r="AM43" s="95">
        <f t="shared" si="8"/>
        <v>30</v>
      </c>
      <c r="AN43" s="103">
        <v>21</v>
      </c>
      <c r="AO43" s="87">
        <v>42</v>
      </c>
      <c r="AP43" s="87">
        <f t="shared" ref="AP43:BD43" si="38">AP31</f>
        <v>0</v>
      </c>
      <c r="AQ43" s="87">
        <f t="shared" si="38"/>
        <v>0</v>
      </c>
      <c r="AR43" s="87">
        <f t="shared" si="38"/>
        <v>0</v>
      </c>
      <c r="AS43" s="87">
        <f t="shared" si="38"/>
        <v>0</v>
      </c>
      <c r="AT43" s="87">
        <f t="shared" si="38"/>
        <v>0</v>
      </c>
      <c r="AU43" s="87">
        <f t="shared" si="38"/>
        <v>1</v>
      </c>
      <c r="AV43" s="87">
        <f t="shared" si="38"/>
        <v>0</v>
      </c>
      <c r="AW43" s="87">
        <f t="shared" si="38"/>
        <v>0</v>
      </c>
      <c r="AX43" s="87">
        <f t="shared" si="38"/>
        <v>0</v>
      </c>
      <c r="AY43" s="87">
        <f t="shared" si="38"/>
        <v>0</v>
      </c>
      <c r="AZ43" s="87">
        <f t="shared" si="38"/>
        <v>0</v>
      </c>
      <c r="BA43" s="87">
        <f t="shared" si="38"/>
        <v>0</v>
      </c>
      <c r="BB43" s="87">
        <f t="shared" si="38"/>
        <v>0</v>
      </c>
      <c r="BC43" s="87">
        <f t="shared" si="38"/>
        <v>0</v>
      </c>
      <c r="BD43" s="87">
        <f t="shared" si="38"/>
        <v>0</v>
      </c>
    </row>
    <row r="44" spans="1:56">
      <c r="A44" s="88">
        <v>41091</v>
      </c>
      <c r="B44" s="122">
        <f t="shared" si="1"/>
        <v>7</v>
      </c>
      <c r="C44" s="89">
        <f t="shared" si="2"/>
        <v>2012</v>
      </c>
      <c r="D44" s="101">
        <v>52742118.400000036</v>
      </c>
      <c r="E44" s="90">
        <v>33852449.685425185</v>
      </c>
      <c r="F44" s="90">
        <f ca="1">OFFSET('Historic CDM'!$C$64,0,(ROW()-ROW(F$2))/12)/12</f>
        <v>270482.04808388877</v>
      </c>
      <c r="G44" s="90">
        <f t="shared" ca="1" si="3"/>
        <v>34122931.733509071</v>
      </c>
      <c r="H44" s="91">
        <v>26481</v>
      </c>
      <c r="I44" s="100">
        <f>344089.594736825+6653522.887</f>
        <v>6997612.4817368248</v>
      </c>
      <c r="J44" s="90">
        <f ca="1">OFFSET('Historic CDM'!$C$76,0,(ROW()-ROW(F$2))/12)/12</f>
        <v>120436.63811573823</v>
      </c>
      <c r="K44" s="90">
        <f t="shared" ca="1" si="4"/>
        <v>7118049.1198525634</v>
      </c>
      <c r="L44" s="85">
        <f>32+1872</f>
        <v>1904</v>
      </c>
      <c r="M44" s="90">
        <f>16501644.7766326-R44</f>
        <v>15604624.5516326</v>
      </c>
      <c r="N44" s="92">
        <f ca="1">OFFSET('Historic CDM'!$C$88,0,(ROW()-ROW(F$2))/12)/12</f>
        <v>251692.57091425898</v>
      </c>
      <c r="O44" s="1">
        <f t="shared" ca="1" si="28"/>
        <v>14959296.897546859</v>
      </c>
      <c r="P44" s="3">
        <f>36912.1-S44</f>
        <v>36912.1</v>
      </c>
      <c r="Q44" s="2">
        <f>209-T44</f>
        <v>208</v>
      </c>
      <c r="R44" s="90">
        <v>897020.22499999998</v>
      </c>
      <c r="S44" s="98">
        <v>0</v>
      </c>
      <c r="T44" s="91">
        <v>1</v>
      </c>
      <c r="U44" s="90">
        <v>387550.74944086024</v>
      </c>
      <c r="V44" s="93">
        <v>1565.73</v>
      </c>
      <c r="W44" s="99">
        <f>342+1146+595+377</f>
        <v>2460</v>
      </c>
      <c r="X44" s="90">
        <v>32371.599999999999</v>
      </c>
      <c r="Y44" s="96">
        <v>73.771000000000001</v>
      </c>
      <c r="Z44" s="85">
        <v>175</v>
      </c>
      <c r="AA44" s="90">
        <v>129846</v>
      </c>
      <c r="AB44" s="85">
        <v>141</v>
      </c>
      <c r="AC44" s="90">
        <v>10065005</v>
      </c>
      <c r="AD44" s="91">
        <v>47</v>
      </c>
      <c r="AE44" s="90">
        <v>3835132.3117634398</v>
      </c>
      <c r="AF44" s="92">
        <v>11236.77</v>
      </c>
      <c r="AG44" s="91">
        <v>7</v>
      </c>
      <c r="AH44" s="87">
        <f>Weather!B212</f>
        <v>0</v>
      </c>
      <c r="AI44" s="87">
        <f>Weather!C212</f>
        <v>235.50000000000009</v>
      </c>
      <c r="AJ44" s="87">
        <f>Employment!B44</f>
        <v>6778.6</v>
      </c>
      <c r="AK44" s="87">
        <f>Employment!C44</f>
        <v>153.4</v>
      </c>
      <c r="AL44" s="114">
        <v>578793.9</v>
      </c>
      <c r="AM44" s="95">
        <f t="shared" si="8"/>
        <v>31</v>
      </c>
      <c r="AN44" s="103">
        <v>21</v>
      </c>
      <c r="AO44" s="87">
        <v>43</v>
      </c>
      <c r="AP44" s="87">
        <f t="shared" ref="AP44:BD44" si="39">AP32</f>
        <v>0</v>
      </c>
      <c r="AQ44" s="87">
        <f t="shared" si="39"/>
        <v>0</v>
      </c>
      <c r="AR44" s="87">
        <f t="shared" si="39"/>
        <v>0</v>
      </c>
      <c r="AS44" s="87">
        <f t="shared" si="39"/>
        <v>0</v>
      </c>
      <c r="AT44" s="87">
        <f t="shared" si="39"/>
        <v>0</v>
      </c>
      <c r="AU44" s="87">
        <f t="shared" si="39"/>
        <v>0</v>
      </c>
      <c r="AV44" s="87">
        <f t="shared" si="39"/>
        <v>1</v>
      </c>
      <c r="AW44" s="87">
        <f t="shared" si="39"/>
        <v>0</v>
      </c>
      <c r="AX44" s="87">
        <f t="shared" si="39"/>
        <v>0</v>
      </c>
      <c r="AY44" s="87">
        <f t="shared" si="39"/>
        <v>0</v>
      </c>
      <c r="AZ44" s="87">
        <f t="shared" si="39"/>
        <v>0</v>
      </c>
      <c r="BA44" s="87">
        <f t="shared" si="39"/>
        <v>0</v>
      </c>
      <c r="BB44" s="87">
        <f t="shared" si="39"/>
        <v>0</v>
      </c>
      <c r="BC44" s="87">
        <f t="shared" si="39"/>
        <v>0</v>
      </c>
      <c r="BD44" s="87">
        <f t="shared" si="39"/>
        <v>0</v>
      </c>
    </row>
    <row r="45" spans="1:56">
      <c r="A45" s="88">
        <v>41122</v>
      </c>
      <c r="B45" s="122">
        <f t="shared" si="1"/>
        <v>8</v>
      </c>
      <c r="C45" s="89">
        <f t="shared" si="2"/>
        <v>2012</v>
      </c>
      <c r="D45" s="101">
        <f>42014865.225+1098472</f>
        <v>43113337.225000001</v>
      </c>
      <c r="E45" s="90">
        <v>28503561.942538325</v>
      </c>
      <c r="F45" s="90">
        <f ca="1">OFFSET('Historic CDM'!$C$64,0,(ROW()-ROW(F$2))/12)/12</f>
        <v>270482.04808388877</v>
      </c>
      <c r="G45" s="90">
        <f t="shared" ca="1" si="3"/>
        <v>28774043.990622215</v>
      </c>
      <c r="H45" s="91">
        <f>26436+11</f>
        <v>26447</v>
      </c>
      <c r="I45" s="100">
        <f>277879.833814803+6161019.615</f>
        <v>6438899.4488148028</v>
      </c>
      <c r="J45" s="90">
        <f ca="1">OFFSET('Historic CDM'!$C$76,0,(ROW()-ROW(F$2))/12)/12</f>
        <v>120436.63811573823</v>
      </c>
      <c r="K45" s="90">
        <f t="shared" ca="1" si="4"/>
        <v>6559336.0869305413</v>
      </c>
      <c r="L45" s="85">
        <f>30+1872</f>
        <v>1902</v>
      </c>
      <c r="M45" s="90">
        <f>16544906.1232912-R45</f>
        <v>15860338.8302912</v>
      </c>
      <c r="N45" s="92">
        <f ca="1">OFFSET('Historic CDM'!$C$88,0,(ROW()-ROW(F$2))/12)/12</f>
        <v>251692.57091425898</v>
      </c>
      <c r="O45" s="1">
        <f t="shared" ca="1" si="28"/>
        <v>15427464.10820546</v>
      </c>
      <c r="P45" s="3">
        <f>41306.76-S45</f>
        <v>37857.86</v>
      </c>
      <c r="Q45" s="2">
        <f>208-T45</f>
        <v>207</v>
      </c>
      <c r="R45" s="90">
        <v>684567.29299999995</v>
      </c>
      <c r="S45" s="92">
        <v>3448.9</v>
      </c>
      <c r="T45" s="91">
        <v>1</v>
      </c>
      <c r="U45" s="90">
        <v>433744.78064516129</v>
      </c>
      <c r="V45" s="93">
        <v>1565.73</v>
      </c>
      <c r="W45" s="99">
        <f>342+1146+595+377</f>
        <v>2460</v>
      </c>
      <c r="X45" s="90">
        <v>31102.97</v>
      </c>
      <c r="Y45" s="96">
        <v>73.771000000000001</v>
      </c>
      <c r="Z45" s="85">
        <v>175</v>
      </c>
      <c r="AA45" s="90">
        <v>129846</v>
      </c>
      <c r="AB45" s="85">
        <v>141</v>
      </c>
      <c r="AC45" s="90">
        <v>9286113</v>
      </c>
      <c r="AD45" s="91">
        <v>48</v>
      </c>
      <c r="AE45" s="90">
        <v>1448100.6993548393</v>
      </c>
      <c r="AF45" s="92">
        <v>9755.99</v>
      </c>
      <c r="AG45" s="91">
        <v>7</v>
      </c>
      <c r="AH45" s="87">
        <f>Weather!B213</f>
        <v>0.7</v>
      </c>
      <c r="AI45" s="87">
        <f>Weather!C213</f>
        <v>143.69999999999999</v>
      </c>
      <c r="AJ45" s="87">
        <f>Employment!B45</f>
        <v>6797.9</v>
      </c>
      <c r="AK45" s="87">
        <f>Employment!C45</f>
        <v>155</v>
      </c>
      <c r="AL45" s="114">
        <v>578793.9</v>
      </c>
      <c r="AM45" s="95">
        <f t="shared" si="8"/>
        <v>31</v>
      </c>
      <c r="AN45" s="103">
        <v>22</v>
      </c>
      <c r="AO45" s="87">
        <v>44</v>
      </c>
      <c r="AP45" s="87">
        <f t="shared" ref="AP45:BD45" si="40">AP33</f>
        <v>0</v>
      </c>
      <c r="AQ45" s="87">
        <f t="shared" si="40"/>
        <v>0</v>
      </c>
      <c r="AR45" s="87">
        <f t="shared" si="40"/>
        <v>0</v>
      </c>
      <c r="AS45" s="87">
        <f t="shared" si="40"/>
        <v>0</v>
      </c>
      <c r="AT45" s="87">
        <f t="shared" si="40"/>
        <v>0</v>
      </c>
      <c r="AU45" s="87">
        <f t="shared" si="40"/>
        <v>0</v>
      </c>
      <c r="AV45" s="87">
        <f t="shared" si="40"/>
        <v>0</v>
      </c>
      <c r="AW45" s="87">
        <f t="shared" si="40"/>
        <v>1</v>
      </c>
      <c r="AX45" s="87">
        <f t="shared" si="40"/>
        <v>0</v>
      </c>
      <c r="AY45" s="87">
        <f t="shared" si="40"/>
        <v>0</v>
      </c>
      <c r="AZ45" s="87">
        <f t="shared" si="40"/>
        <v>0</v>
      </c>
      <c r="BA45" s="87">
        <f t="shared" si="40"/>
        <v>0</v>
      </c>
      <c r="BB45" s="87">
        <f t="shared" si="40"/>
        <v>0</v>
      </c>
      <c r="BC45" s="87">
        <f t="shared" si="40"/>
        <v>0</v>
      </c>
      <c r="BD45" s="87">
        <f t="shared" si="40"/>
        <v>0</v>
      </c>
    </row>
    <row r="46" spans="1:56">
      <c r="A46" s="88">
        <v>41153</v>
      </c>
      <c r="B46" s="122">
        <f t="shared" si="1"/>
        <v>9</v>
      </c>
      <c r="C46" s="89">
        <f t="shared" si="2"/>
        <v>2012</v>
      </c>
      <c r="D46" s="101">
        <f>35750611.025+1004439</f>
        <v>36755050.024999999</v>
      </c>
      <c r="E46" s="90">
        <v>20857543.726392075</v>
      </c>
      <c r="F46" s="90">
        <f ca="1">OFFSET('Historic CDM'!$C$64,0,(ROW()-ROW(F$2))/12)/12</f>
        <v>270482.04808388877</v>
      </c>
      <c r="G46" s="90">
        <f t="shared" ca="1" si="3"/>
        <v>21128025.774475966</v>
      </c>
      <c r="H46" s="91">
        <v>26348</v>
      </c>
      <c r="I46" s="100">
        <f>255102.623480663+5203422.769</f>
        <v>5458525.392480663</v>
      </c>
      <c r="J46" s="90">
        <f ca="1">OFFSET('Historic CDM'!$C$76,0,(ROW()-ROW(F$2))/12)/12</f>
        <v>120436.63811573823</v>
      </c>
      <c r="K46" s="90">
        <f t="shared" ca="1" si="4"/>
        <v>5578962.0305964015</v>
      </c>
      <c r="L46" s="85">
        <f>30+1861</f>
        <v>1891</v>
      </c>
      <c r="M46" s="90">
        <f>16314627.4402656-R46</f>
        <v>15026126.515265599</v>
      </c>
      <c r="N46" s="92">
        <f ca="1">OFFSET('Historic CDM'!$C$88,0,(ROW()-ROW(F$2))/12)/12</f>
        <v>251692.57091425898</v>
      </c>
      <c r="O46" s="1">
        <f t="shared" ca="1" si="28"/>
        <v>13989318.161179857</v>
      </c>
      <c r="P46" s="3">
        <f>41707.15-S46</f>
        <v>37681.800000000003</v>
      </c>
      <c r="Q46" s="2">
        <f>206-T46</f>
        <v>205</v>
      </c>
      <c r="R46" s="90">
        <v>1288500.925</v>
      </c>
      <c r="S46" s="92">
        <v>4025.35</v>
      </c>
      <c r="T46" s="91">
        <v>1</v>
      </c>
      <c r="U46" s="90">
        <v>488653.70891397854</v>
      </c>
      <c r="V46" s="93">
        <v>1566.1200000000001</v>
      </c>
      <c r="W46" s="99">
        <f>342+1147+595+377</f>
        <v>2461</v>
      </c>
      <c r="X46" s="90">
        <v>30705.46</v>
      </c>
      <c r="Y46" s="96">
        <v>73.575999999999993</v>
      </c>
      <c r="Z46" s="85">
        <v>175</v>
      </c>
      <c r="AA46" s="90">
        <v>129846</v>
      </c>
      <c r="AB46" s="85">
        <v>141</v>
      </c>
      <c r="AC46" s="90">
        <v>8605619</v>
      </c>
      <c r="AD46" s="91">
        <v>48</v>
      </c>
      <c r="AE46" s="90">
        <v>2961190.1295483885</v>
      </c>
      <c r="AF46" s="92">
        <v>8598.94</v>
      </c>
      <c r="AG46" s="91">
        <v>7</v>
      </c>
      <c r="AH46" s="87">
        <f>Weather!B214</f>
        <v>53.2</v>
      </c>
      <c r="AI46" s="87">
        <f>Weather!C214</f>
        <v>50.29999999999999</v>
      </c>
      <c r="AJ46" s="87">
        <f>Employment!B46</f>
        <v>6763.1</v>
      </c>
      <c r="AK46" s="87">
        <f>Employment!C46</f>
        <v>156.9</v>
      </c>
      <c r="AL46" s="114">
        <v>578793.9</v>
      </c>
      <c r="AM46" s="95">
        <f t="shared" si="8"/>
        <v>30</v>
      </c>
      <c r="AN46" s="103">
        <v>19</v>
      </c>
      <c r="AO46" s="87">
        <v>45</v>
      </c>
      <c r="AP46" s="87">
        <f t="shared" ref="AP46:BD46" si="41">AP34</f>
        <v>0</v>
      </c>
      <c r="AQ46" s="87">
        <f t="shared" si="41"/>
        <v>0</v>
      </c>
      <c r="AR46" s="87">
        <f t="shared" si="41"/>
        <v>0</v>
      </c>
      <c r="AS46" s="87">
        <f t="shared" si="41"/>
        <v>0</v>
      </c>
      <c r="AT46" s="87">
        <f t="shared" si="41"/>
        <v>0</v>
      </c>
      <c r="AU46" s="87">
        <f t="shared" si="41"/>
        <v>0</v>
      </c>
      <c r="AV46" s="87">
        <f t="shared" si="41"/>
        <v>0</v>
      </c>
      <c r="AW46" s="87">
        <f t="shared" si="41"/>
        <v>0</v>
      </c>
      <c r="AX46" s="87">
        <f t="shared" si="41"/>
        <v>1</v>
      </c>
      <c r="AY46" s="87">
        <f t="shared" si="41"/>
        <v>0</v>
      </c>
      <c r="AZ46" s="87">
        <f t="shared" si="41"/>
        <v>0</v>
      </c>
      <c r="BA46" s="87">
        <f t="shared" si="41"/>
        <v>0</v>
      </c>
      <c r="BB46" s="87">
        <f t="shared" si="41"/>
        <v>0</v>
      </c>
      <c r="BC46" s="87">
        <f t="shared" si="41"/>
        <v>0</v>
      </c>
      <c r="BD46" s="87">
        <f t="shared" si="41"/>
        <v>0</v>
      </c>
    </row>
    <row r="47" spans="1:56">
      <c r="A47" s="88">
        <v>41183</v>
      </c>
      <c r="B47" s="122">
        <f t="shared" si="1"/>
        <v>10</v>
      </c>
      <c r="C47" s="89">
        <f t="shared" si="2"/>
        <v>2012</v>
      </c>
      <c r="D47" s="101">
        <f>27546878.7+959247</f>
        <v>28506125.699999999</v>
      </c>
      <c r="E47" s="90">
        <v>16824906.609342769</v>
      </c>
      <c r="F47" s="90">
        <f ca="1">OFFSET('Historic CDM'!$C$64,0,(ROW()-ROW(F$2))/12)/12</f>
        <v>270482.04808388877</v>
      </c>
      <c r="G47" s="90">
        <f t="shared" ca="1" si="3"/>
        <v>17095388.657426659</v>
      </c>
      <c r="H47" s="91">
        <v>26356</v>
      </c>
      <c r="I47" s="90">
        <f>238917.041125501+4794061.477</f>
        <v>5032978.5181255005</v>
      </c>
      <c r="J47" s="90">
        <f ca="1">OFFSET('Historic CDM'!$C$76,0,(ROW()-ROW(F$2))/12)/12</f>
        <v>120436.63811573823</v>
      </c>
      <c r="K47" s="90">
        <f t="shared" ca="1" si="4"/>
        <v>5153415.156241239</v>
      </c>
      <c r="L47" s="85">
        <f>30+1865</f>
        <v>1895</v>
      </c>
      <c r="M47" s="90">
        <f>14010240.8544423-R47</f>
        <v>13966562.278442301</v>
      </c>
      <c r="N47" s="92">
        <f ca="1">OFFSET('Historic CDM'!$C$88,0,(ROW()-ROW(F$2))/12)/12</f>
        <v>251692.57091425898</v>
      </c>
      <c r="O47" s="1">
        <f t="shared" ca="1" si="28"/>
        <v>14174576.273356561</v>
      </c>
      <c r="P47" s="3">
        <f>34817.34-S47</f>
        <v>34817.339999999997</v>
      </c>
      <c r="Q47" s="2">
        <f>205-T47</f>
        <v>204</v>
      </c>
      <c r="R47" s="90">
        <v>43678.576000000001</v>
      </c>
      <c r="S47" s="98">
        <v>0</v>
      </c>
      <c r="T47" s="91">
        <v>1</v>
      </c>
      <c r="U47" s="90">
        <v>578110.88269892451</v>
      </c>
      <c r="V47" s="93">
        <v>1566.72</v>
      </c>
      <c r="W47" s="99">
        <f>342+1149+595+377</f>
        <v>2463</v>
      </c>
      <c r="X47" s="90">
        <v>26791.5</v>
      </c>
      <c r="Y47" s="96">
        <v>73.575999999999993</v>
      </c>
      <c r="Z47" s="85">
        <v>175</v>
      </c>
      <c r="AA47" s="90">
        <v>129846</v>
      </c>
      <c r="AB47" s="85">
        <v>141</v>
      </c>
      <c r="AC47" s="90">
        <v>10680442</v>
      </c>
      <c r="AD47" s="91">
        <v>48</v>
      </c>
      <c r="AE47" s="90">
        <v>2758352.8423870979</v>
      </c>
      <c r="AF47" s="92">
        <v>6730.54</v>
      </c>
      <c r="AG47" s="91">
        <v>7</v>
      </c>
      <c r="AH47" s="87">
        <f>Weather!B215</f>
        <v>207.19999999999996</v>
      </c>
      <c r="AI47" s="87">
        <f>Weather!C215</f>
        <v>5.6</v>
      </c>
      <c r="AJ47" s="87">
        <f>Employment!B47</f>
        <v>6740.9</v>
      </c>
      <c r="AK47" s="87">
        <f>Employment!C47</f>
        <v>157.5</v>
      </c>
      <c r="AL47" s="114">
        <v>578793.9</v>
      </c>
      <c r="AM47" s="95">
        <f t="shared" si="8"/>
        <v>31</v>
      </c>
      <c r="AN47" s="103">
        <v>22</v>
      </c>
      <c r="AO47" s="87">
        <v>46</v>
      </c>
      <c r="AP47" s="87">
        <f t="shared" ref="AP47:BD47" si="42">AP35</f>
        <v>0</v>
      </c>
      <c r="AQ47" s="87">
        <f t="shared" si="42"/>
        <v>0</v>
      </c>
      <c r="AR47" s="87">
        <f t="shared" si="42"/>
        <v>0</v>
      </c>
      <c r="AS47" s="87">
        <f t="shared" si="42"/>
        <v>0</v>
      </c>
      <c r="AT47" s="87">
        <f t="shared" si="42"/>
        <v>0</v>
      </c>
      <c r="AU47" s="87">
        <f t="shared" si="42"/>
        <v>0</v>
      </c>
      <c r="AV47" s="87">
        <f t="shared" si="42"/>
        <v>0</v>
      </c>
      <c r="AW47" s="87">
        <f t="shared" si="42"/>
        <v>0</v>
      </c>
      <c r="AX47" s="87">
        <f t="shared" si="42"/>
        <v>0</v>
      </c>
      <c r="AY47" s="87">
        <f t="shared" si="42"/>
        <v>1</v>
      </c>
      <c r="AZ47" s="87">
        <f t="shared" si="42"/>
        <v>0</v>
      </c>
      <c r="BA47" s="87">
        <f t="shared" si="42"/>
        <v>0</v>
      </c>
      <c r="BB47" s="87">
        <f t="shared" si="42"/>
        <v>0</v>
      </c>
      <c r="BC47" s="87">
        <f t="shared" si="42"/>
        <v>1</v>
      </c>
      <c r="BD47" s="87">
        <f t="shared" si="42"/>
        <v>1</v>
      </c>
    </row>
    <row r="48" spans="1:56">
      <c r="A48" s="88">
        <v>41214</v>
      </c>
      <c r="B48" s="122">
        <f t="shared" si="1"/>
        <v>11</v>
      </c>
      <c r="C48" s="89">
        <f t="shared" si="2"/>
        <v>2012</v>
      </c>
      <c r="D48" s="90">
        <f>33438813.9+883221</f>
        <v>34322034.899999999</v>
      </c>
      <c r="E48" s="90">
        <v>17732501.647984169</v>
      </c>
      <c r="F48" s="90">
        <f ca="1">OFFSET('Historic CDM'!$C$64,0,(ROW()-ROW(F$2))/12)/12</f>
        <v>270482.04808388877</v>
      </c>
      <c r="G48" s="90">
        <f t="shared" ca="1" si="3"/>
        <v>18002983.69606806</v>
      </c>
      <c r="H48" s="91">
        <v>26332</v>
      </c>
      <c r="I48" s="90">
        <f>222191.726637214+4798211.506</f>
        <v>5020403.2326372145</v>
      </c>
      <c r="J48" s="90">
        <f ca="1">OFFSET('Historic CDM'!$C$76,0,(ROW()-ROW(F$2))/12)/12</f>
        <v>120436.63811573823</v>
      </c>
      <c r="K48" s="90">
        <f t="shared" ca="1" si="4"/>
        <v>5140839.870752953</v>
      </c>
      <c r="L48" s="85">
        <f>28+1865</f>
        <v>1893</v>
      </c>
      <c r="M48" s="90">
        <f>13924131.4296918-R48</f>
        <v>13923386.487691801</v>
      </c>
      <c r="N48" s="92">
        <f ca="1">OFFSET('Historic CDM'!$C$88,0,(ROW()-ROW(F$2))/12)/12</f>
        <v>251692.57091425898</v>
      </c>
      <c r="O48" s="1">
        <f t="shared" ca="1" si="28"/>
        <v>14174334.11660606</v>
      </c>
      <c r="P48" s="3">
        <f>33602.89-S48</f>
        <v>33368.400000000001</v>
      </c>
      <c r="Q48" s="2">
        <f>207-T48</f>
        <v>206</v>
      </c>
      <c r="R48" s="90">
        <v>744.94200000000001</v>
      </c>
      <c r="S48" s="92">
        <v>234.49</v>
      </c>
      <c r="T48" s="91">
        <v>1</v>
      </c>
      <c r="U48" s="90">
        <v>605833.19496774173</v>
      </c>
      <c r="V48" s="93">
        <v>1565.3700000000001</v>
      </c>
      <c r="W48" s="99">
        <f>342+1142+595+377</f>
        <v>2456</v>
      </c>
      <c r="X48" s="90">
        <v>34340.019999999997</v>
      </c>
      <c r="Y48" s="96">
        <v>73.575999999999993</v>
      </c>
      <c r="Z48" s="85">
        <v>175</v>
      </c>
      <c r="AA48" s="90">
        <v>129846</v>
      </c>
      <c r="AB48" s="85">
        <v>141</v>
      </c>
      <c r="AC48" s="90">
        <v>7113072</v>
      </c>
      <c r="AD48" s="91">
        <v>48</v>
      </c>
      <c r="AE48" s="90">
        <v>2992763.5606129039</v>
      </c>
      <c r="AF48" s="92">
        <v>7146.02</v>
      </c>
      <c r="AG48" s="91">
        <v>7</v>
      </c>
      <c r="AH48" s="87">
        <f>Weather!B216</f>
        <v>405.49999999999994</v>
      </c>
      <c r="AI48" s="87">
        <f>Weather!C216</f>
        <v>0</v>
      </c>
      <c r="AJ48" s="87">
        <f>Employment!B48</f>
        <v>6727.4</v>
      </c>
      <c r="AK48" s="87">
        <f>Employment!C48</f>
        <v>157.6</v>
      </c>
      <c r="AL48" s="114">
        <v>578793.9</v>
      </c>
      <c r="AM48" s="95">
        <f t="shared" si="8"/>
        <v>30</v>
      </c>
      <c r="AN48" s="103">
        <v>22</v>
      </c>
      <c r="AO48" s="87">
        <v>47</v>
      </c>
      <c r="AP48" s="87">
        <f t="shared" ref="AP48:BD48" si="43">AP36</f>
        <v>0</v>
      </c>
      <c r="AQ48" s="87">
        <f t="shared" si="43"/>
        <v>0</v>
      </c>
      <c r="AR48" s="87">
        <f t="shared" si="43"/>
        <v>0</v>
      </c>
      <c r="AS48" s="87">
        <f t="shared" si="43"/>
        <v>0</v>
      </c>
      <c r="AT48" s="87">
        <f t="shared" si="43"/>
        <v>0</v>
      </c>
      <c r="AU48" s="87">
        <f t="shared" si="43"/>
        <v>0</v>
      </c>
      <c r="AV48" s="87">
        <f t="shared" si="43"/>
        <v>0</v>
      </c>
      <c r="AW48" s="87">
        <f t="shared" si="43"/>
        <v>0</v>
      </c>
      <c r="AX48" s="87">
        <f t="shared" si="43"/>
        <v>0</v>
      </c>
      <c r="AY48" s="87">
        <f t="shared" si="43"/>
        <v>0</v>
      </c>
      <c r="AZ48" s="87">
        <f t="shared" si="43"/>
        <v>1</v>
      </c>
      <c r="BA48" s="87">
        <f t="shared" si="43"/>
        <v>0</v>
      </c>
      <c r="BB48" s="87">
        <f t="shared" si="43"/>
        <v>0</v>
      </c>
      <c r="BC48" s="87">
        <f t="shared" si="43"/>
        <v>1</v>
      </c>
      <c r="BD48" s="87">
        <f t="shared" si="43"/>
        <v>1</v>
      </c>
    </row>
    <row r="49" spans="1:56">
      <c r="A49" s="88">
        <v>41244</v>
      </c>
      <c r="B49" s="122">
        <f t="shared" si="1"/>
        <v>12</v>
      </c>
      <c r="C49" s="89">
        <f t="shared" si="2"/>
        <v>2012</v>
      </c>
      <c r="D49" s="90">
        <f>35829719.875+918942</f>
        <v>36748661.875</v>
      </c>
      <c r="E49" s="90">
        <v>20454409.408742324</v>
      </c>
      <c r="F49" s="90">
        <f ca="1">OFFSET('Historic CDM'!$C$64,0,(ROW()-ROW(F$2))/12)/12</f>
        <v>270482.04808388877</v>
      </c>
      <c r="G49" s="90">
        <f t="shared" ca="1" si="3"/>
        <v>20724891.456826214</v>
      </c>
      <c r="H49" s="91">
        <v>26238</v>
      </c>
      <c r="I49" s="90">
        <f>236419.82564777+5079055.134</f>
        <v>5315474.95964777</v>
      </c>
      <c r="J49" s="90">
        <f ca="1">OFFSET('Historic CDM'!$C$76,0,(ROW()-ROW(F$2))/12)/12</f>
        <v>120436.63811573823</v>
      </c>
      <c r="K49" s="90">
        <f t="shared" ca="1" si="4"/>
        <v>5435911.5977635086</v>
      </c>
      <c r="L49" s="85">
        <f>27+1858</f>
        <v>1885</v>
      </c>
      <c r="M49" s="90">
        <f>12672600.2864349-R49</f>
        <v>12665619.0124349</v>
      </c>
      <c r="N49" s="92">
        <f ca="1">OFFSET('Historic CDM'!$C$88,0,(ROW()-ROW(F$2))/12)/12</f>
        <v>251692.57091425898</v>
      </c>
      <c r="O49" s="1">
        <f t="shared" ca="1" si="28"/>
        <v>12910330.309349159</v>
      </c>
      <c r="P49" s="3">
        <f>32671.17-S49</f>
        <v>31824.55</v>
      </c>
      <c r="Q49" s="2">
        <f>205-T49</f>
        <v>204</v>
      </c>
      <c r="R49" s="90">
        <v>6981.2740000000003</v>
      </c>
      <c r="S49" s="92">
        <v>846.62</v>
      </c>
      <c r="T49" s="91">
        <v>1</v>
      </c>
      <c r="U49" s="90">
        <v>663156.10954838712</v>
      </c>
      <c r="V49" s="93">
        <v>1561.3200000000002</v>
      </c>
      <c r="W49" s="99">
        <f>342+1142+595+377</f>
        <v>2456</v>
      </c>
      <c r="X49" s="90">
        <v>33317.26</v>
      </c>
      <c r="Y49" s="96">
        <v>73.575999999999993</v>
      </c>
      <c r="Z49" s="85">
        <v>175</v>
      </c>
      <c r="AA49" s="90">
        <v>129846</v>
      </c>
      <c r="AB49" s="85">
        <v>141</v>
      </c>
      <c r="AC49" s="90">
        <v>7028061</v>
      </c>
      <c r="AD49" s="91">
        <v>48</v>
      </c>
      <c r="AE49" s="90">
        <v>2997921.1829354819</v>
      </c>
      <c r="AF49" s="92">
        <v>7354.9400000000005</v>
      </c>
      <c r="AG49" s="91">
        <v>7</v>
      </c>
      <c r="AH49" s="87">
        <f>Weather!B217</f>
        <v>484.20000000000005</v>
      </c>
      <c r="AI49" s="87">
        <f>Weather!C217</f>
        <v>0</v>
      </c>
      <c r="AJ49" s="87">
        <f>Employment!B49</f>
        <v>6740.2</v>
      </c>
      <c r="AK49" s="87">
        <f>Employment!C49</f>
        <v>155.5</v>
      </c>
      <c r="AL49" s="114">
        <v>578793.9</v>
      </c>
      <c r="AM49" s="95">
        <f t="shared" si="8"/>
        <v>31</v>
      </c>
      <c r="AN49" s="103">
        <v>19</v>
      </c>
      <c r="AO49" s="87">
        <v>48</v>
      </c>
      <c r="AP49" s="87">
        <f t="shared" ref="AP49:BD49" si="44">AP37</f>
        <v>0</v>
      </c>
      <c r="AQ49" s="87">
        <f t="shared" si="44"/>
        <v>0</v>
      </c>
      <c r="AR49" s="87">
        <f t="shared" si="44"/>
        <v>0</v>
      </c>
      <c r="AS49" s="87">
        <f t="shared" si="44"/>
        <v>0</v>
      </c>
      <c r="AT49" s="87">
        <f t="shared" si="44"/>
        <v>0</v>
      </c>
      <c r="AU49" s="87">
        <f t="shared" si="44"/>
        <v>0</v>
      </c>
      <c r="AV49" s="87">
        <f t="shared" si="44"/>
        <v>0</v>
      </c>
      <c r="AW49" s="87">
        <f t="shared" si="44"/>
        <v>0</v>
      </c>
      <c r="AX49" s="87">
        <f t="shared" si="44"/>
        <v>0</v>
      </c>
      <c r="AY49" s="87">
        <f t="shared" si="44"/>
        <v>0</v>
      </c>
      <c r="AZ49" s="87">
        <f t="shared" si="44"/>
        <v>0</v>
      </c>
      <c r="BA49" s="87">
        <f t="shared" si="44"/>
        <v>1</v>
      </c>
      <c r="BB49" s="87">
        <f t="shared" si="44"/>
        <v>0</v>
      </c>
      <c r="BC49" s="87">
        <f t="shared" si="44"/>
        <v>0</v>
      </c>
      <c r="BD49" s="87">
        <f t="shared" si="44"/>
        <v>0</v>
      </c>
    </row>
    <row r="50" spans="1:56">
      <c r="A50" s="88">
        <v>41275</v>
      </c>
      <c r="B50" s="122">
        <f t="shared" si="1"/>
        <v>1</v>
      </c>
      <c r="C50" s="89">
        <f t="shared" si="2"/>
        <v>2013</v>
      </c>
      <c r="D50" s="90">
        <f>35119044+892753</f>
        <v>36011797</v>
      </c>
      <c r="E50" s="90">
        <v>20851198.742671832</v>
      </c>
      <c r="F50" s="90">
        <f ca="1">OFFSET('Historic CDM'!$C$64,0,(ROW()-ROW(F$2))/12)/12</f>
        <v>323841.11291644699</v>
      </c>
      <c r="G50" s="90">
        <f t="shared" ca="1" si="3"/>
        <v>21175039.85558828</v>
      </c>
      <c r="H50" s="91">
        <v>26309</v>
      </c>
      <c r="I50" s="90">
        <f>252593.588482646+5320880.728</f>
        <v>5573474.3164826464</v>
      </c>
      <c r="J50" s="90">
        <f ca="1">OFFSET('Historic CDM'!$C$76,0,(ROW()-ROW(F$2))/12)/12</f>
        <v>158465.127741128</v>
      </c>
      <c r="K50" s="90">
        <f t="shared" ca="1" si="4"/>
        <v>5731939.4442237746</v>
      </c>
      <c r="L50" s="85">
        <f>29+1869</f>
        <v>1898</v>
      </c>
      <c r="M50" s="90">
        <f>13500816.1915585-R50</f>
        <v>13500584.341558501</v>
      </c>
      <c r="N50" s="92">
        <f ca="1">OFFSET('Historic CDM'!$C$88,0,(ROW()-ROW(F$2))/12)/12</f>
        <v>348739.50644870795</v>
      </c>
      <c r="O50" s="1">
        <f t="shared" ca="1" si="28"/>
        <v>13849091.99800721</v>
      </c>
      <c r="P50" s="3">
        <f>32333.37-S50</f>
        <v>32333.37</v>
      </c>
      <c r="Q50" s="2">
        <f>204-T50</f>
        <v>203</v>
      </c>
      <c r="R50" s="90">
        <v>231.85</v>
      </c>
      <c r="S50" s="98">
        <v>0</v>
      </c>
      <c r="T50" s="91">
        <v>1</v>
      </c>
      <c r="U50" s="90">
        <v>653825.80091107241</v>
      </c>
      <c r="V50" s="93">
        <v>1561.3200000000002</v>
      </c>
      <c r="W50" s="99">
        <f>342+1142+595+377</f>
        <v>2456</v>
      </c>
      <c r="X50" s="90">
        <v>22430.62</v>
      </c>
      <c r="Y50" s="96">
        <v>73.771000000000001</v>
      </c>
      <c r="Z50" s="85">
        <v>175</v>
      </c>
      <c r="AA50" s="90">
        <v>129846</v>
      </c>
      <c r="AB50" s="85">
        <v>141</v>
      </c>
      <c r="AC50" s="90">
        <v>9144114.1499999966</v>
      </c>
      <c r="AD50" s="91">
        <v>48</v>
      </c>
      <c r="AE50" s="90">
        <v>3347272.1425806442</v>
      </c>
      <c r="AF50" s="92">
        <v>7603.4400000000005</v>
      </c>
      <c r="AG50" s="91">
        <v>7</v>
      </c>
      <c r="AH50" s="87">
        <f>Weather!B218</f>
        <v>598.19999999999993</v>
      </c>
      <c r="AI50" s="87">
        <f>Weather!C218</f>
        <v>0</v>
      </c>
      <c r="AJ50" s="87">
        <f>Employment!B50</f>
        <v>6721.7</v>
      </c>
      <c r="AK50" s="87">
        <f>Employment!C50</f>
        <v>151.1</v>
      </c>
      <c r="AL50" s="114">
        <v>586913</v>
      </c>
      <c r="AM50" s="95">
        <f>AM2</f>
        <v>31</v>
      </c>
      <c r="AN50" s="103">
        <v>22</v>
      </c>
      <c r="AO50" s="87">
        <v>49</v>
      </c>
      <c r="AP50" s="87">
        <f t="shared" ref="AP50:BD50" si="45">AP38</f>
        <v>1</v>
      </c>
      <c r="AQ50" s="87">
        <f t="shared" si="45"/>
        <v>0</v>
      </c>
      <c r="AR50" s="87">
        <f t="shared" si="45"/>
        <v>0</v>
      </c>
      <c r="AS50" s="87">
        <f t="shared" si="45"/>
        <v>0</v>
      </c>
      <c r="AT50" s="87">
        <f t="shared" si="45"/>
        <v>0</v>
      </c>
      <c r="AU50" s="87">
        <f t="shared" si="45"/>
        <v>0</v>
      </c>
      <c r="AV50" s="87">
        <f t="shared" si="45"/>
        <v>0</v>
      </c>
      <c r="AW50" s="87">
        <f t="shared" si="45"/>
        <v>0</v>
      </c>
      <c r="AX50" s="87">
        <f t="shared" si="45"/>
        <v>0</v>
      </c>
      <c r="AY50" s="87">
        <f t="shared" si="45"/>
        <v>0</v>
      </c>
      <c r="AZ50" s="87">
        <f t="shared" si="45"/>
        <v>0</v>
      </c>
      <c r="BA50" s="87">
        <f t="shared" si="45"/>
        <v>0</v>
      </c>
      <c r="BB50" s="87">
        <f t="shared" si="45"/>
        <v>0</v>
      </c>
      <c r="BC50" s="87">
        <f t="shared" si="45"/>
        <v>0</v>
      </c>
      <c r="BD50" s="87">
        <f t="shared" si="45"/>
        <v>0</v>
      </c>
    </row>
    <row r="51" spans="1:56">
      <c r="A51" s="88">
        <v>41306</v>
      </c>
      <c r="B51" s="122">
        <f t="shared" si="1"/>
        <v>2</v>
      </c>
      <c r="C51" s="89">
        <f t="shared" si="2"/>
        <v>2013</v>
      </c>
      <c r="D51" s="90">
        <f>32543879.325+804200</f>
        <v>33348079.324999999</v>
      </c>
      <c r="E51" s="90">
        <v>18315848.509687781</v>
      </c>
      <c r="F51" s="90">
        <f ca="1">OFFSET('Historic CDM'!$C$64,0,(ROW()-ROW(F$2))/12)/12</f>
        <v>323841.11291644699</v>
      </c>
      <c r="G51" s="90">
        <f t="shared" ca="1" si="3"/>
        <v>18639689.622604229</v>
      </c>
      <c r="H51" s="91">
        <v>26330</v>
      </c>
      <c r="I51" s="90">
        <f>223511.559313887+4906838.175</f>
        <v>5130349.7343138866</v>
      </c>
      <c r="J51" s="90">
        <f ca="1">OFFSET('Historic CDM'!$C$76,0,(ROW()-ROW(F$2))/12)/12</f>
        <v>158465.127741128</v>
      </c>
      <c r="K51" s="90">
        <f t="shared" ca="1" si="4"/>
        <v>5288814.8620550148</v>
      </c>
      <c r="L51" s="85">
        <f>29+1867</f>
        <v>1896</v>
      </c>
      <c r="M51" s="90">
        <f>12564797.1593525-R51</f>
        <v>12564797.1593525</v>
      </c>
      <c r="N51" s="92">
        <f ca="1">OFFSET('Historic CDM'!$C$88,0,(ROW()-ROW(F$2))/12)/12</f>
        <v>348739.50644870795</v>
      </c>
      <c r="O51" s="1">
        <f t="shared" ca="1" si="28"/>
        <v>12913536.665801208</v>
      </c>
      <c r="P51" s="3">
        <f>31325.02-S51</f>
        <v>31325.02</v>
      </c>
      <c r="Q51" s="2">
        <f>205-T51</f>
        <v>204</v>
      </c>
      <c r="R51" s="90">
        <v>0</v>
      </c>
      <c r="S51" s="92">
        <v>0</v>
      </c>
      <c r="T51" s="91">
        <v>1</v>
      </c>
      <c r="U51" s="90">
        <v>594527.96918918926</v>
      </c>
      <c r="V51" s="93">
        <v>1573.2400000000002</v>
      </c>
      <c r="W51" s="99">
        <f>342+1170+590+377</f>
        <v>2479</v>
      </c>
      <c r="X51" s="90">
        <v>28974.75</v>
      </c>
      <c r="Y51" s="96">
        <v>73.771000000000001</v>
      </c>
      <c r="Z51" s="85">
        <v>175</v>
      </c>
      <c r="AA51" s="90">
        <v>129846</v>
      </c>
      <c r="AB51" s="85">
        <v>141</v>
      </c>
      <c r="AC51" s="90">
        <v>7743114</v>
      </c>
      <c r="AD51" s="91">
        <v>49</v>
      </c>
      <c r="AE51" s="90">
        <v>3098518.8911981578</v>
      </c>
      <c r="AF51" s="92">
        <v>7562.1500000000005</v>
      </c>
      <c r="AG51" s="91">
        <v>7</v>
      </c>
      <c r="AH51" s="87">
        <f>Weather!B219</f>
        <v>574.80000000000007</v>
      </c>
      <c r="AI51" s="87">
        <f>Weather!C219</f>
        <v>0</v>
      </c>
      <c r="AJ51" s="87">
        <f>Employment!B51</f>
        <v>6702</v>
      </c>
      <c r="AK51" s="87">
        <f>Employment!C51</f>
        <v>150.19999999999999</v>
      </c>
      <c r="AL51" s="114">
        <v>586913</v>
      </c>
      <c r="AM51" s="95">
        <f>AM3</f>
        <v>28</v>
      </c>
      <c r="AN51" s="103">
        <v>19</v>
      </c>
      <c r="AO51" s="87">
        <v>50</v>
      </c>
      <c r="AP51" s="87">
        <f t="shared" ref="AP51:BD51" si="46">AP39</f>
        <v>0</v>
      </c>
      <c r="AQ51" s="87">
        <f t="shared" si="46"/>
        <v>1</v>
      </c>
      <c r="AR51" s="87">
        <f t="shared" si="46"/>
        <v>0</v>
      </c>
      <c r="AS51" s="87">
        <f t="shared" si="46"/>
        <v>0</v>
      </c>
      <c r="AT51" s="87">
        <f t="shared" si="46"/>
        <v>0</v>
      </c>
      <c r="AU51" s="87">
        <f t="shared" si="46"/>
        <v>0</v>
      </c>
      <c r="AV51" s="87">
        <f t="shared" si="46"/>
        <v>0</v>
      </c>
      <c r="AW51" s="87">
        <f t="shared" si="46"/>
        <v>0</v>
      </c>
      <c r="AX51" s="87">
        <f t="shared" si="46"/>
        <v>0</v>
      </c>
      <c r="AY51" s="87">
        <f t="shared" si="46"/>
        <v>0</v>
      </c>
      <c r="AZ51" s="87">
        <f t="shared" si="46"/>
        <v>0</v>
      </c>
      <c r="BA51" s="87">
        <f t="shared" si="46"/>
        <v>0</v>
      </c>
      <c r="BB51" s="87">
        <f t="shared" si="46"/>
        <v>0</v>
      </c>
      <c r="BC51" s="87">
        <f t="shared" si="46"/>
        <v>0</v>
      </c>
      <c r="BD51" s="87">
        <f t="shared" si="46"/>
        <v>0</v>
      </c>
    </row>
    <row r="52" spans="1:56">
      <c r="A52" s="88">
        <v>41334</v>
      </c>
      <c r="B52" s="122">
        <f t="shared" si="1"/>
        <v>3</v>
      </c>
      <c r="C52" s="89">
        <f t="shared" si="2"/>
        <v>2013</v>
      </c>
      <c r="D52" s="90">
        <f>31893436.25+892822</f>
        <v>32786258.25</v>
      </c>
      <c r="E52" s="90">
        <v>18879448.018869173</v>
      </c>
      <c r="F52" s="90">
        <f ca="1">OFFSET('Historic CDM'!$C$64,0,(ROW()-ROW(F$2))/12)/12</f>
        <v>323841.11291644699</v>
      </c>
      <c r="G52" s="90">
        <f t="shared" ca="1" si="3"/>
        <v>19203289.13178562</v>
      </c>
      <c r="H52" s="91">
        <v>26404</v>
      </c>
      <c r="I52" s="90">
        <f>240588.398019879+5178954.776</f>
        <v>5419543.1740198787</v>
      </c>
      <c r="J52" s="90">
        <f ca="1">OFFSET('Historic CDM'!$C$76,0,(ROW()-ROW(F$2))/12)/12</f>
        <v>158465.127741128</v>
      </c>
      <c r="K52" s="90">
        <f t="shared" ca="1" si="4"/>
        <v>5578008.3017610069</v>
      </c>
      <c r="L52" s="85">
        <f>32+1880</f>
        <v>1912</v>
      </c>
      <c r="M52" s="90">
        <f>13296190.6307926-R52</f>
        <v>13296190.630792599</v>
      </c>
      <c r="N52" s="92">
        <f ca="1">OFFSET('Historic CDM'!$C$88,0,(ROW()-ROW(F$2))/12)/12</f>
        <v>348739.50644870795</v>
      </c>
      <c r="O52" s="1">
        <f t="shared" ca="1" si="28"/>
        <v>13644930.137241308</v>
      </c>
      <c r="P52" s="3">
        <f>12039.58-S52</f>
        <v>12039.58</v>
      </c>
      <c r="Q52" s="2">
        <f>206-T52</f>
        <v>205</v>
      </c>
      <c r="R52" s="90">
        <v>0</v>
      </c>
      <c r="S52" s="92">
        <v>0</v>
      </c>
      <c r="T52" s="91">
        <v>1</v>
      </c>
      <c r="U52" s="90">
        <v>554144.150789015</v>
      </c>
      <c r="V52" s="93">
        <v>1573.3400000000001</v>
      </c>
      <c r="W52" s="99">
        <f>342+1170+591+377</f>
        <v>2480</v>
      </c>
      <c r="X52" s="90">
        <v>29326.3</v>
      </c>
      <c r="Y52" s="96">
        <v>73.771000000000001</v>
      </c>
      <c r="Z52" s="85">
        <v>175</v>
      </c>
      <c r="AA52" s="90">
        <v>129846</v>
      </c>
      <c r="AB52" s="85">
        <v>141</v>
      </c>
      <c r="AC52" s="90">
        <v>10486947.600000009</v>
      </c>
      <c r="AD52" s="91">
        <v>49</v>
      </c>
      <c r="AE52" s="90">
        <v>3132705.9517050702</v>
      </c>
      <c r="AF52" s="92">
        <v>7019.7</v>
      </c>
      <c r="AG52" s="91">
        <v>7</v>
      </c>
      <c r="AH52" s="87">
        <f>Weather!B220</f>
        <v>505.20000000000005</v>
      </c>
      <c r="AI52" s="87">
        <f>Weather!C220</f>
        <v>0</v>
      </c>
      <c r="AJ52" s="87">
        <f>Employment!B52</f>
        <v>6675.8</v>
      </c>
      <c r="AK52" s="87">
        <f>Employment!C52</f>
        <v>149.4</v>
      </c>
      <c r="AL52" s="114">
        <v>586913</v>
      </c>
      <c r="AM52" s="95">
        <f t="shared" ref="AM52:AM97" si="47">AM4</f>
        <v>31</v>
      </c>
      <c r="AN52" s="103">
        <v>19</v>
      </c>
      <c r="AO52" s="87">
        <v>51</v>
      </c>
      <c r="AP52" s="87">
        <f t="shared" ref="AP52:BD52" si="48">AP40</f>
        <v>0</v>
      </c>
      <c r="AQ52" s="87">
        <f t="shared" si="48"/>
        <v>0</v>
      </c>
      <c r="AR52" s="87">
        <f t="shared" si="48"/>
        <v>1</v>
      </c>
      <c r="AS52" s="87">
        <f t="shared" si="48"/>
        <v>0</v>
      </c>
      <c r="AT52" s="87">
        <f t="shared" si="48"/>
        <v>0</v>
      </c>
      <c r="AU52" s="87">
        <f t="shared" si="48"/>
        <v>0</v>
      </c>
      <c r="AV52" s="87">
        <f t="shared" si="48"/>
        <v>0</v>
      </c>
      <c r="AW52" s="87">
        <f t="shared" si="48"/>
        <v>0</v>
      </c>
      <c r="AX52" s="87">
        <f t="shared" si="48"/>
        <v>0</v>
      </c>
      <c r="AY52" s="87">
        <f t="shared" si="48"/>
        <v>0</v>
      </c>
      <c r="AZ52" s="87">
        <f t="shared" si="48"/>
        <v>0</v>
      </c>
      <c r="BA52" s="87">
        <f t="shared" si="48"/>
        <v>0</v>
      </c>
      <c r="BB52" s="87">
        <f t="shared" si="48"/>
        <v>1</v>
      </c>
      <c r="BC52" s="87">
        <f t="shared" si="48"/>
        <v>0</v>
      </c>
      <c r="BD52" s="87">
        <f t="shared" si="48"/>
        <v>1</v>
      </c>
    </row>
    <row r="53" spans="1:56">
      <c r="A53" s="88">
        <v>41365</v>
      </c>
      <c r="B53" s="122">
        <f t="shared" si="1"/>
        <v>4</v>
      </c>
      <c r="C53" s="89">
        <f t="shared" si="2"/>
        <v>2013</v>
      </c>
      <c r="D53" s="90">
        <f>27384163.225+899834</f>
        <v>28283997.225000001</v>
      </c>
      <c r="E53" s="90">
        <v>16753143.206319932</v>
      </c>
      <c r="F53" s="90">
        <f ca="1">OFFSET('Historic CDM'!$C$64,0,(ROW()-ROW(F$2))/12)/12</f>
        <v>323841.11291644699</v>
      </c>
      <c r="G53" s="90">
        <f t="shared" ca="1" si="3"/>
        <v>17076984.319236379</v>
      </c>
      <c r="H53" s="91">
        <v>26407</v>
      </c>
      <c r="I53" s="90">
        <f>213933.491834288+4778722.155</f>
        <v>4992655.6468342878</v>
      </c>
      <c r="J53" s="90">
        <f ca="1">OFFSET('Historic CDM'!$C$76,0,(ROW()-ROW(F$2))/12)/12</f>
        <v>158465.127741128</v>
      </c>
      <c r="K53" s="90">
        <f t="shared" ca="1" si="4"/>
        <v>5151120.774575416</v>
      </c>
      <c r="L53" s="85">
        <f>31+1870</f>
        <v>1901</v>
      </c>
      <c r="M53" s="90">
        <f>12168277.2682033-R53</f>
        <v>12168277.268203299</v>
      </c>
      <c r="N53" s="92">
        <f ca="1">OFFSET('Historic CDM'!$C$88,0,(ROW()-ROW(F$2))/12)/12</f>
        <v>348739.50644870795</v>
      </c>
      <c r="O53" s="1">
        <f t="shared" ca="1" si="28"/>
        <v>12517016.774652008</v>
      </c>
      <c r="P53" s="3">
        <f>31105.96-S53</f>
        <v>31105.96</v>
      </c>
      <c r="Q53" s="2">
        <f>210-T53</f>
        <v>209</v>
      </c>
      <c r="R53" s="90">
        <v>0</v>
      </c>
      <c r="S53" s="92">
        <v>0</v>
      </c>
      <c r="T53" s="91">
        <v>1</v>
      </c>
      <c r="U53" s="90">
        <v>465609.0029677421</v>
      </c>
      <c r="V53" s="93">
        <v>1575.8100000000002</v>
      </c>
      <c r="W53" s="99">
        <f>342+1172+591+377</f>
        <v>2482</v>
      </c>
      <c r="X53" s="90">
        <v>29552.63</v>
      </c>
      <c r="Y53" s="96">
        <v>73.771000000000001</v>
      </c>
      <c r="Z53" s="85">
        <v>175</v>
      </c>
      <c r="AA53" s="90">
        <v>129846</v>
      </c>
      <c r="AB53" s="85">
        <v>141</v>
      </c>
      <c r="AC53" s="90">
        <v>11511485.525000004</v>
      </c>
      <c r="AD53" s="91">
        <v>95</v>
      </c>
      <c r="AE53" s="90">
        <v>2895410.6425806438</v>
      </c>
      <c r="AF53" s="92">
        <v>7173.99</v>
      </c>
      <c r="AG53" s="91">
        <v>7</v>
      </c>
      <c r="AH53" s="87">
        <f>Weather!B221</f>
        <v>300.19999999999993</v>
      </c>
      <c r="AI53" s="87">
        <f>Weather!C221</f>
        <v>0</v>
      </c>
      <c r="AJ53" s="87">
        <f>Employment!B53</f>
        <v>6703.7</v>
      </c>
      <c r="AK53" s="87">
        <f>Employment!C53</f>
        <v>152.6</v>
      </c>
      <c r="AL53" s="114">
        <v>586913</v>
      </c>
      <c r="AM53" s="95">
        <f t="shared" si="47"/>
        <v>30</v>
      </c>
      <c r="AN53" s="103">
        <v>22</v>
      </c>
      <c r="AO53" s="87">
        <v>52</v>
      </c>
      <c r="AP53" s="87">
        <f t="shared" ref="AP53:BD53" si="49">AP41</f>
        <v>0</v>
      </c>
      <c r="AQ53" s="87">
        <f t="shared" si="49"/>
        <v>0</v>
      </c>
      <c r="AR53" s="87">
        <f t="shared" si="49"/>
        <v>0</v>
      </c>
      <c r="AS53" s="87">
        <f t="shared" si="49"/>
        <v>1</v>
      </c>
      <c r="AT53" s="87">
        <f t="shared" si="49"/>
        <v>0</v>
      </c>
      <c r="AU53" s="87">
        <f t="shared" si="49"/>
        <v>0</v>
      </c>
      <c r="AV53" s="87">
        <f t="shared" si="49"/>
        <v>0</v>
      </c>
      <c r="AW53" s="87">
        <f t="shared" si="49"/>
        <v>0</v>
      </c>
      <c r="AX53" s="87">
        <f t="shared" si="49"/>
        <v>0</v>
      </c>
      <c r="AY53" s="87">
        <f t="shared" si="49"/>
        <v>0</v>
      </c>
      <c r="AZ53" s="87">
        <f t="shared" si="49"/>
        <v>0</v>
      </c>
      <c r="BA53" s="87">
        <f t="shared" si="49"/>
        <v>0</v>
      </c>
      <c r="BB53" s="87">
        <f t="shared" si="49"/>
        <v>1</v>
      </c>
      <c r="BC53" s="87">
        <f t="shared" si="49"/>
        <v>0</v>
      </c>
      <c r="BD53" s="87">
        <f t="shared" si="49"/>
        <v>1</v>
      </c>
    </row>
    <row r="54" spans="1:56">
      <c r="A54" s="88">
        <v>41395</v>
      </c>
      <c r="B54" s="122">
        <f t="shared" si="1"/>
        <v>5</v>
      </c>
      <c r="C54" s="89">
        <f t="shared" si="2"/>
        <v>2013</v>
      </c>
      <c r="D54" s="90">
        <f>24823957.825+1029590</f>
        <v>25853547.824999999</v>
      </c>
      <c r="E54" s="90">
        <v>18133298.179032214</v>
      </c>
      <c r="F54" s="90">
        <f ca="1">OFFSET('Historic CDM'!$C$64,0,(ROW()-ROW(F$2))/12)/12</f>
        <v>323841.11291644699</v>
      </c>
      <c r="G54" s="90">
        <f t="shared" ca="1" si="3"/>
        <v>18457139.291948661</v>
      </c>
      <c r="H54" s="91">
        <v>26455</v>
      </c>
      <c r="I54" s="90">
        <f>224094.424714786+5041236.162</f>
        <v>5265330.5867147855</v>
      </c>
      <c r="J54" s="90">
        <f ca="1">OFFSET('Historic CDM'!$C$76,0,(ROW()-ROW(F$2))/12)/12</f>
        <v>158465.127741128</v>
      </c>
      <c r="K54" s="90">
        <f t="shared" ca="1" si="4"/>
        <v>5423795.7144559138</v>
      </c>
      <c r="L54" s="85">
        <f>29+1879</f>
        <v>1908</v>
      </c>
      <c r="M54" s="90">
        <f>12774227.831177-R54</f>
        <v>12774227.831177</v>
      </c>
      <c r="N54" s="92">
        <f ca="1">OFFSET('Historic CDM'!$C$88,0,(ROW()-ROW(F$2))/12)/12</f>
        <v>348739.50644870795</v>
      </c>
      <c r="O54" s="1">
        <f t="shared" ca="1" si="28"/>
        <v>13122967.337625708</v>
      </c>
      <c r="P54" s="3">
        <f>34038.53-S54</f>
        <v>34038.53</v>
      </c>
      <c r="Q54" s="2">
        <f>206-T54</f>
        <v>205</v>
      </c>
      <c r="R54" s="90">
        <v>0</v>
      </c>
      <c r="S54" s="92">
        <v>0</v>
      </c>
      <c r="T54" s="91">
        <v>1</v>
      </c>
      <c r="U54" s="90">
        <v>426718.55122580641</v>
      </c>
      <c r="V54" s="93">
        <v>1605.23</v>
      </c>
      <c r="W54" s="99">
        <f>342+1171+591+581</f>
        <v>2685</v>
      </c>
      <c r="X54" s="90">
        <v>29788.26</v>
      </c>
      <c r="Y54" s="96">
        <v>73.771000000000001</v>
      </c>
      <c r="Z54" s="85">
        <v>175</v>
      </c>
      <c r="AA54" s="90">
        <v>129846</v>
      </c>
      <c r="AB54" s="85">
        <v>141</v>
      </c>
      <c r="AC54" s="90">
        <v>14741244.92500001</v>
      </c>
      <c r="AD54" s="91">
        <v>95</v>
      </c>
      <c r="AE54" s="90">
        <v>2427962.046129033</v>
      </c>
      <c r="AF54" s="92">
        <v>7674.9299999999994</v>
      </c>
      <c r="AG54" s="91">
        <v>6</v>
      </c>
      <c r="AH54" s="87">
        <f>Weather!B222</f>
        <v>73.300000000000011</v>
      </c>
      <c r="AI54" s="87">
        <f>Weather!C222</f>
        <v>59.899999999999991</v>
      </c>
      <c r="AJ54" s="87">
        <f>Employment!B54</f>
        <v>6770.3</v>
      </c>
      <c r="AK54" s="87">
        <f>Employment!C54</f>
        <v>154</v>
      </c>
      <c r="AL54" s="114">
        <v>586913</v>
      </c>
      <c r="AM54" s="95">
        <f t="shared" si="47"/>
        <v>31</v>
      </c>
      <c r="AN54" s="103">
        <v>22</v>
      </c>
      <c r="AO54" s="87">
        <v>53</v>
      </c>
      <c r="AP54" s="87">
        <f t="shared" ref="AP54:BD54" si="50">AP42</f>
        <v>0</v>
      </c>
      <c r="AQ54" s="87">
        <f t="shared" si="50"/>
        <v>0</v>
      </c>
      <c r="AR54" s="87">
        <f t="shared" si="50"/>
        <v>0</v>
      </c>
      <c r="AS54" s="87">
        <f t="shared" si="50"/>
        <v>0</v>
      </c>
      <c r="AT54" s="87">
        <f t="shared" si="50"/>
        <v>1</v>
      </c>
      <c r="AU54" s="87">
        <f t="shared" si="50"/>
        <v>0</v>
      </c>
      <c r="AV54" s="87">
        <f t="shared" si="50"/>
        <v>0</v>
      </c>
      <c r="AW54" s="87">
        <f t="shared" si="50"/>
        <v>0</v>
      </c>
      <c r="AX54" s="87">
        <f t="shared" si="50"/>
        <v>0</v>
      </c>
      <c r="AY54" s="87">
        <f t="shared" si="50"/>
        <v>0</v>
      </c>
      <c r="AZ54" s="87">
        <f t="shared" si="50"/>
        <v>0</v>
      </c>
      <c r="BA54" s="87">
        <f t="shared" si="50"/>
        <v>0</v>
      </c>
      <c r="BB54" s="87">
        <f t="shared" si="50"/>
        <v>1</v>
      </c>
      <c r="BC54" s="87">
        <f t="shared" si="50"/>
        <v>0</v>
      </c>
      <c r="BD54" s="87">
        <f t="shared" si="50"/>
        <v>1</v>
      </c>
    </row>
    <row r="55" spans="1:56">
      <c r="A55" s="88">
        <v>41426</v>
      </c>
      <c r="B55" s="122">
        <f t="shared" si="1"/>
        <v>6</v>
      </c>
      <c r="C55" s="89">
        <f t="shared" si="2"/>
        <v>2013</v>
      </c>
      <c r="D55" s="90">
        <f>34947259.525+1052274</f>
        <v>35999533.524999999</v>
      </c>
      <c r="E55" s="90">
        <v>23414321.898316838</v>
      </c>
      <c r="F55" s="90">
        <f ca="1">OFFSET('Historic CDM'!$C$64,0,(ROW()-ROW(F$2))/12)/12</f>
        <v>323841.11291644699</v>
      </c>
      <c r="G55" s="90">
        <f t="shared" ca="1" si="3"/>
        <v>23738163.011233285</v>
      </c>
      <c r="H55" s="91">
        <v>26473</v>
      </c>
      <c r="I55" s="90">
        <f>228722.246937043+5431942.361</f>
        <v>5660664.6079370426</v>
      </c>
      <c r="J55" s="90">
        <f ca="1">OFFSET('Historic CDM'!$C$76,0,(ROW()-ROW(F$2))/12)/12</f>
        <v>158465.127741128</v>
      </c>
      <c r="K55" s="90">
        <f t="shared" ca="1" si="4"/>
        <v>5819129.7356781708</v>
      </c>
      <c r="L55" s="85">
        <f>33+1884</f>
        <v>1917</v>
      </c>
      <c r="M55" s="90">
        <f>13515266.503205-R55</f>
        <v>13436418.152205</v>
      </c>
      <c r="N55" s="92">
        <f ca="1">OFFSET('Historic CDM'!$C$88,0,(ROW()-ROW(F$2))/12)/12</f>
        <v>348739.50644870795</v>
      </c>
      <c r="O55" s="1">
        <f t="shared" ca="1" si="28"/>
        <v>13706309.307653708</v>
      </c>
      <c r="P55" s="3">
        <f>37751.3-S55</f>
        <v>36351.880000000005</v>
      </c>
      <c r="Q55" s="2">
        <f>209-T55</f>
        <v>208</v>
      </c>
      <c r="R55" s="90">
        <v>78848.350999999995</v>
      </c>
      <c r="S55" s="92">
        <v>1399.42</v>
      </c>
      <c r="T55" s="91">
        <v>1</v>
      </c>
      <c r="U55" s="90">
        <v>375648.34610752686</v>
      </c>
      <c r="V55" s="93">
        <v>1605.23</v>
      </c>
      <c r="W55" s="99">
        <f>342+1171+591+581</f>
        <v>2685</v>
      </c>
      <c r="X55" s="90">
        <v>29339.8</v>
      </c>
      <c r="Y55" s="96">
        <v>73.771000000000001</v>
      </c>
      <c r="Z55" s="85">
        <v>175</v>
      </c>
      <c r="AA55" s="90">
        <v>128680</v>
      </c>
      <c r="AB55" s="85">
        <v>140</v>
      </c>
      <c r="AC55" s="90">
        <v>11711998.700000003</v>
      </c>
      <c r="AD55" s="91">
        <v>95</v>
      </c>
      <c r="AE55" s="90">
        <v>3103998.1962043</v>
      </c>
      <c r="AF55" s="92">
        <v>8769.5499999999993</v>
      </c>
      <c r="AG55" s="91">
        <v>6</v>
      </c>
      <c r="AH55" s="87">
        <f>Weather!B223</f>
        <v>14.700000000000001</v>
      </c>
      <c r="AI55" s="87">
        <f>Weather!C223</f>
        <v>103.49999999999999</v>
      </c>
      <c r="AJ55" s="87">
        <f>Employment!B55</f>
        <v>6861.8</v>
      </c>
      <c r="AK55" s="87">
        <f>Employment!C55</f>
        <v>155.9</v>
      </c>
      <c r="AL55" s="114">
        <v>586913</v>
      </c>
      <c r="AM55" s="95">
        <f t="shared" si="47"/>
        <v>30</v>
      </c>
      <c r="AN55" s="103">
        <v>20</v>
      </c>
      <c r="AO55" s="87">
        <v>54</v>
      </c>
      <c r="AP55" s="87">
        <f t="shared" ref="AP55:BD55" si="51">AP43</f>
        <v>0</v>
      </c>
      <c r="AQ55" s="87">
        <f t="shared" si="51"/>
        <v>0</v>
      </c>
      <c r="AR55" s="87">
        <f t="shared" si="51"/>
        <v>0</v>
      </c>
      <c r="AS55" s="87">
        <f t="shared" si="51"/>
        <v>0</v>
      </c>
      <c r="AT55" s="87">
        <f t="shared" si="51"/>
        <v>0</v>
      </c>
      <c r="AU55" s="87">
        <f t="shared" si="51"/>
        <v>1</v>
      </c>
      <c r="AV55" s="87">
        <f t="shared" si="51"/>
        <v>0</v>
      </c>
      <c r="AW55" s="87">
        <f t="shared" si="51"/>
        <v>0</v>
      </c>
      <c r="AX55" s="87">
        <f t="shared" si="51"/>
        <v>0</v>
      </c>
      <c r="AY55" s="87">
        <f t="shared" si="51"/>
        <v>0</v>
      </c>
      <c r="AZ55" s="87">
        <f t="shared" si="51"/>
        <v>0</v>
      </c>
      <c r="BA55" s="87">
        <f t="shared" si="51"/>
        <v>0</v>
      </c>
      <c r="BB55" s="87">
        <f t="shared" si="51"/>
        <v>0</v>
      </c>
      <c r="BC55" s="87">
        <f t="shared" si="51"/>
        <v>0</v>
      </c>
      <c r="BD55" s="87">
        <f t="shared" si="51"/>
        <v>0</v>
      </c>
    </row>
    <row r="56" spans="1:56">
      <c r="A56" s="88">
        <v>41456</v>
      </c>
      <c r="B56" s="122">
        <f t="shared" si="1"/>
        <v>7</v>
      </c>
      <c r="C56" s="89">
        <f t="shared" si="2"/>
        <v>2013</v>
      </c>
      <c r="D56" s="90">
        <f>45319682.4+1137543</f>
        <v>46457225.399999999</v>
      </c>
      <c r="E56" s="90">
        <v>28668719.323727276</v>
      </c>
      <c r="F56" s="90">
        <f ca="1">OFFSET('Historic CDM'!$C$64,0,(ROW()-ROW(F$2))/12)/12</f>
        <v>323841.11291644699</v>
      </c>
      <c r="G56" s="90">
        <f t="shared" ca="1" si="3"/>
        <v>28992560.436643723</v>
      </c>
      <c r="H56" s="91">
        <v>26504</v>
      </c>
      <c r="I56" s="90">
        <f>239918.850804636+5967400.454</f>
        <v>6207319.3048046362</v>
      </c>
      <c r="J56" s="90">
        <f ca="1">OFFSET('Historic CDM'!$C$76,0,(ROW()-ROW(F$2))/12)/12</f>
        <v>158465.127741128</v>
      </c>
      <c r="K56" s="90">
        <f t="shared" ca="1" si="4"/>
        <v>6365784.4325457644</v>
      </c>
      <c r="L56" s="85">
        <f>28+1896</f>
        <v>1924</v>
      </c>
      <c r="M56" s="90">
        <f>15095501.7887255-R56</f>
        <v>14527549.609125501</v>
      </c>
      <c r="N56" s="92">
        <f ca="1">OFFSET('Historic CDM'!$C$88,0,(ROW()-ROW(F$2))/12)/12</f>
        <v>348739.50644870795</v>
      </c>
      <c r="O56" s="1">
        <f t="shared" ca="1" si="28"/>
        <v>14308336.935974209</v>
      </c>
      <c r="P56" s="3">
        <f>41709.06-S56</f>
        <v>39052.89</v>
      </c>
      <c r="Q56" s="2">
        <f>210-T56</f>
        <v>209</v>
      </c>
      <c r="R56" s="90">
        <v>567952.17960000003</v>
      </c>
      <c r="S56" s="92">
        <v>2656.17</v>
      </c>
      <c r="T56" s="91">
        <v>1</v>
      </c>
      <c r="U56" s="90">
        <v>390921.68969892472</v>
      </c>
      <c r="V56" s="93">
        <v>1598.83</v>
      </c>
      <c r="W56" s="99">
        <f>342+1170+591+581</f>
        <v>2684</v>
      </c>
      <c r="X56" s="90">
        <v>28701.75</v>
      </c>
      <c r="Y56" s="96">
        <v>73.771000000000001</v>
      </c>
      <c r="Z56" s="85">
        <v>175</v>
      </c>
      <c r="AA56" s="90">
        <v>128680</v>
      </c>
      <c r="AB56" s="85">
        <v>140</v>
      </c>
      <c r="AC56" s="90">
        <v>10697586.799999984</v>
      </c>
      <c r="AD56" s="91">
        <v>95</v>
      </c>
      <c r="AE56" s="90">
        <v>3661711.9728279565</v>
      </c>
      <c r="AF56" s="92">
        <v>10241.279999999999</v>
      </c>
      <c r="AG56" s="91">
        <v>6</v>
      </c>
      <c r="AH56" s="87">
        <f>Weather!B224</f>
        <v>1.5</v>
      </c>
      <c r="AI56" s="87">
        <f>Weather!C224</f>
        <v>174.80000000000004</v>
      </c>
      <c r="AJ56" s="87">
        <f>Employment!B56</f>
        <v>6917.1</v>
      </c>
      <c r="AK56" s="87">
        <f>Employment!C56</f>
        <v>156.6</v>
      </c>
      <c r="AL56" s="114">
        <v>586913</v>
      </c>
      <c r="AM56" s="95">
        <f t="shared" si="47"/>
        <v>31</v>
      </c>
      <c r="AN56" s="103">
        <v>22</v>
      </c>
      <c r="AO56" s="87">
        <v>55</v>
      </c>
      <c r="AP56" s="87">
        <f t="shared" ref="AP56:BD56" si="52">AP44</f>
        <v>0</v>
      </c>
      <c r="AQ56" s="87">
        <f t="shared" si="52"/>
        <v>0</v>
      </c>
      <c r="AR56" s="87">
        <f t="shared" si="52"/>
        <v>0</v>
      </c>
      <c r="AS56" s="87">
        <f t="shared" si="52"/>
        <v>0</v>
      </c>
      <c r="AT56" s="87">
        <f t="shared" si="52"/>
        <v>0</v>
      </c>
      <c r="AU56" s="87">
        <f t="shared" si="52"/>
        <v>0</v>
      </c>
      <c r="AV56" s="87">
        <f t="shared" si="52"/>
        <v>1</v>
      </c>
      <c r="AW56" s="87">
        <f t="shared" si="52"/>
        <v>0</v>
      </c>
      <c r="AX56" s="87">
        <f t="shared" si="52"/>
        <v>0</v>
      </c>
      <c r="AY56" s="87">
        <f t="shared" si="52"/>
        <v>0</v>
      </c>
      <c r="AZ56" s="87">
        <f t="shared" si="52"/>
        <v>0</v>
      </c>
      <c r="BA56" s="87">
        <f t="shared" si="52"/>
        <v>0</v>
      </c>
      <c r="BB56" s="87">
        <f t="shared" si="52"/>
        <v>0</v>
      </c>
      <c r="BC56" s="87">
        <f t="shared" si="52"/>
        <v>0</v>
      </c>
      <c r="BD56" s="87">
        <f t="shared" si="52"/>
        <v>0</v>
      </c>
    </row>
    <row r="57" spans="1:56">
      <c r="A57" s="88">
        <v>41487</v>
      </c>
      <c r="B57" s="122">
        <f t="shared" si="1"/>
        <v>8</v>
      </c>
      <c r="C57" s="89">
        <f t="shared" si="2"/>
        <v>2013</v>
      </c>
      <c r="D57" s="90">
        <f>42366722.475+1083780</f>
        <v>43450502.475000001</v>
      </c>
      <c r="E57" s="90">
        <v>26070665.623352516</v>
      </c>
      <c r="F57" s="90">
        <f ca="1">OFFSET('Historic CDM'!$C$64,0,(ROW()-ROW(F$2))/12)/12</f>
        <v>323841.11291644699</v>
      </c>
      <c r="G57" s="90">
        <f t="shared" ca="1" si="3"/>
        <v>26394506.736268964</v>
      </c>
      <c r="H57" s="91">
        <v>26591</v>
      </c>
      <c r="I57" s="90">
        <f>242600.762145824+5811919+15</f>
        <v>6054534.7621458238</v>
      </c>
      <c r="J57" s="90">
        <f ca="1">OFFSET('Historic CDM'!$C$76,0,(ROW()-ROW(F$2))/12)/12</f>
        <v>158465.127741128</v>
      </c>
      <c r="K57" s="90">
        <f t="shared" ca="1" si="4"/>
        <v>6212999.889886952</v>
      </c>
      <c r="L57" s="85">
        <f>28+1873</f>
        <v>1901</v>
      </c>
      <c r="M57" s="90">
        <f>15420557.7238291-R57</f>
        <v>14947581.8698291</v>
      </c>
      <c r="N57" s="92">
        <f ca="1">OFFSET('Historic CDM'!$C$88,0,(ROW()-ROW(F$2))/12)/12</f>
        <v>348739.50644870795</v>
      </c>
      <c r="O57" s="1">
        <f t="shared" ca="1" si="28"/>
        <v>14823345.522277808</v>
      </c>
      <c r="P57" s="3">
        <f>41873.36-S57</f>
        <v>37920.67</v>
      </c>
      <c r="Q57" s="2">
        <f>209-T57</f>
        <v>208</v>
      </c>
      <c r="R57" s="90">
        <v>472975.85399999999</v>
      </c>
      <c r="S57" s="92">
        <v>3952.69</v>
      </c>
      <c r="T57" s="91">
        <v>1</v>
      </c>
      <c r="U57" s="90">
        <v>437338.61709677434</v>
      </c>
      <c r="V57" s="93">
        <v>1579.44</v>
      </c>
      <c r="W57" s="99">
        <f>342+1170+590+581</f>
        <v>2683</v>
      </c>
      <c r="X57" s="90">
        <v>30245.3</v>
      </c>
      <c r="Y57" s="96">
        <v>73.771000000000001</v>
      </c>
      <c r="Z57" s="85">
        <v>175</v>
      </c>
      <c r="AA57" s="90">
        <v>128680</v>
      </c>
      <c r="AB57" s="85">
        <v>140</v>
      </c>
      <c r="AC57" s="90">
        <v>10904435.4</v>
      </c>
      <c r="AD57" s="91">
        <v>95</v>
      </c>
      <c r="AE57" s="90">
        <v>3280259.404193548</v>
      </c>
      <c r="AF57" s="92">
        <v>9294.64</v>
      </c>
      <c r="AG57" s="91">
        <v>6</v>
      </c>
      <c r="AH57" s="87">
        <f>Weather!B225</f>
        <v>1.2</v>
      </c>
      <c r="AI57" s="87">
        <f>Weather!C225</f>
        <v>134.29999999999998</v>
      </c>
      <c r="AJ57" s="87">
        <f>Employment!B57</f>
        <v>6934.7</v>
      </c>
      <c r="AK57" s="87">
        <f>Employment!C57</f>
        <v>156.5</v>
      </c>
      <c r="AL57" s="114">
        <v>586913</v>
      </c>
      <c r="AM57" s="95">
        <f t="shared" si="47"/>
        <v>31</v>
      </c>
      <c r="AN57" s="103">
        <v>21</v>
      </c>
      <c r="AO57" s="87">
        <v>56</v>
      </c>
      <c r="AP57" s="87">
        <f t="shared" ref="AP57:BD57" si="53">AP45</f>
        <v>0</v>
      </c>
      <c r="AQ57" s="87">
        <f t="shared" si="53"/>
        <v>0</v>
      </c>
      <c r="AR57" s="87">
        <f t="shared" si="53"/>
        <v>0</v>
      </c>
      <c r="AS57" s="87">
        <f t="shared" si="53"/>
        <v>0</v>
      </c>
      <c r="AT57" s="87">
        <f t="shared" si="53"/>
        <v>0</v>
      </c>
      <c r="AU57" s="87">
        <f t="shared" si="53"/>
        <v>0</v>
      </c>
      <c r="AV57" s="87">
        <f t="shared" si="53"/>
        <v>0</v>
      </c>
      <c r="AW57" s="87">
        <f t="shared" si="53"/>
        <v>1</v>
      </c>
      <c r="AX57" s="87">
        <f t="shared" si="53"/>
        <v>0</v>
      </c>
      <c r="AY57" s="87">
        <f t="shared" si="53"/>
        <v>0</v>
      </c>
      <c r="AZ57" s="87">
        <f t="shared" si="53"/>
        <v>0</v>
      </c>
      <c r="BA57" s="87">
        <f t="shared" si="53"/>
        <v>0</v>
      </c>
      <c r="BB57" s="87">
        <f t="shared" si="53"/>
        <v>0</v>
      </c>
      <c r="BC57" s="87">
        <f t="shared" si="53"/>
        <v>0</v>
      </c>
      <c r="BD57" s="87">
        <f t="shared" si="53"/>
        <v>0</v>
      </c>
    </row>
    <row r="58" spans="1:56">
      <c r="A58" s="88">
        <v>41518</v>
      </c>
      <c r="B58" s="122">
        <f t="shared" si="1"/>
        <v>9</v>
      </c>
      <c r="C58" s="89">
        <f t="shared" si="2"/>
        <v>2013</v>
      </c>
      <c r="D58" s="90">
        <f>35382416.825+1004865</f>
        <v>36387281.825000003</v>
      </c>
      <c r="E58" s="90">
        <v>21758980.590524763</v>
      </c>
      <c r="F58" s="90">
        <f ca="1">OFFSET('Historic CDM'!$C$64,0,(ROW()-ROW(F$2))/12)/12</f>
        <v>323841.11291644699</v>
      </c>
      <c r="G58" s="90">
        <f t="shared" ca="1" si="3"/>
        <v>22082821.70344121</v>
      </c>
      <c r="H58" s="91">
        <v>26486</v>
      </c>
      <c r="I58" s="90">
        <f>210461.387139002+5266307.307</f>
        <v>5476768.6941390019</v>
      </c>
      <c r="J58" s="90">
        <f ca="1">OFFSET('Historic CDM'!$C$76,0,(ROW()-ROW(F$2))/12)/12</f>
        <v>158465.127741128</v>
      </c>
      <c r="K58" s="90">
        <f t="shared" ca="1" si="4"/>
        <v>5635233.8218801301</v>
      </c>
      <c r="L58" s="85">
        <f>26+1866</f>
        <v>1892</v>
      </c>
      <c r="M58" s="90">
        <f>18628025.3114723-R58</f>
        <v>17843498.298272301</v>
      </c>
      <c r="N58" s="92">
        <f ca="1">OFFSET('Historic CDM'!$C$88,0,(ROW()-ROW(F$2))/12)/12</f>
        <v>348739.50644870795</v>
      </c>
      <c r="O58" s="1">
        <f t="shared" ca="1" si="28"/>
        <v>17407710.791521009</v>
      </c>
      <c r="P58" s="3">
        <f>43510.27-S58</f>
        <v>39557.089999999997</v>
      </c>
      <c r="Q58" s="2">
        <f>213-T58</f>
        <v>212</v>
      </c>
      <c r="R58" s="90">
        <v>784527.01320000004</v>
      </c>
      <c r="S58" s="92">
        <v>3953.18</v>
      </c>
      <c r="T58" s="91">
        <v>1</v>
      </c>
      <c r="U58" s="90">
        <v>492585.389204301</v>
      </c>
      <c r="V58" s="93">
        <v>1578.71</v>
      </c>
      <c r="W58" s="99">
        <f>342+1170+590+581</f>
        <v>2683</v>
      </c>
      <c r="X58" s="90">
        <v>29456.12</v>
      </c>
      <c r="Y58" s="96">
        <v>73.771000000000001</v>
      </c>
      <c r="Z58" s="85">
        <v>175</v>
      </c>
      <c r="AA58" s="90">
        <v>128680</v>
      </c>
      <c r="AB58" s="85">
        <v>140</v>
      </c>
      <c r="AC58" s="90">
        <v>10333299.249999994</v>
      </c>
      <c r="AD58" s="91">
        <v>98</v>
      </c>
      <c r="AE58" s="90">
        <v>3028725.0806451617</v>
      </c>
      <c r="AF58" s="92">
        <v>9273.84</v>
      </c>
      <c r="AG58" s="91">
        <v>6</v>
      </c>
      <c r="AH58" s="87">
        <f>Weather!B226</f>
        <v>41.2</v>
      </c>
      <c r="AI58" s="87">
        <f>Weather!C226</f>
        <v>65.3</v>
      </c>
      <c r="AJ58" s="87">
        <f>Employment!B58</f>
        <v>6906.9</v>
      </c>
      <c r="AK58" s="87">
        <f>Employment!C58</f>
        <v>154.6</v>
      </c>
      <c r="AL58" s="114">
        <v>586913</v>
      </c>
      <c r="AM58" s="95">
        <f t="shared" si="47"/>
        <v>30</v>
      </c>
      <c r="AN58" s="103">
        <v>20</v>
      </c>
      <c r="AO58" s="87">
        <v>57</v>
      </c>
      <c r="AP58" s="87">
        <f t="shared" ref="AP58:BD58" si="54">AP46</f>
        <v>0</v>
      </c>
      <c r="AQ58" s="87">
        <f t="shared" si="54"/>
        <v>0</v>
      </c>
      <c r="AR58" s="87">
        <f t="shared" si="54"/>
        <v>0</v>
      </c>
      <c r="AS58" s="87">
        <f t="shared" si="54"/>
        <v>0</v>
      </c>
      <c r="AT58" s="87">
        <f t="shared" si="54"/>
        <v>0</v>
      </c>
      <c r="AU58" s="87">
        <f t="shared" si="54"/>
        <v>0</v>
      </c>
      <c r="AV58" s="87">
        <f t="shared" si="54"/>
        <v>0</v>
      </c>
      <c r="AW58" s="87">
        <f t="shared" si="54"/>
        <v>0</v>
      </c>
      <c r="AX58" s="87">
        <f t="shared" si="54"/>
        <v>1</v>
      </c>
      <c r="AY58" s="87">
        <f t="shared" si="54"/>
        <v>0</v>
      </c>
      <c r="AZ58" s="87">
        <f t="shared" si="54"/>
        <v>0</v>
      </c>
      <c r="BA58" s="87">
        <f t="shared" si="54"/>
        <v>0</v>
      </c>
      <c r="BB58" s="87">
        <f t="shared" si="54"/>
        <v>0</v>
      </c>
      <c r="BC58" s="87">
        <f t="shared" si="54"/>
        <v>0</v>
      </c>
      <c r="BD58" s="87">
        <f t="shared" si="54"/>
        <v>0</v>
      </c>
    </row>
    <row r="59" spans="1:56">
      <c r="A59" s="88">
        <v>41548</v>
      </c>
      <c r="B59" s="122">
        <f t="shared" si="1"/>
        <v>10</v>
      </c>
      <c r="C59" s="89">
        <f t="shared" si="2"/>
        <v>2013</v>
      </c>
      <c r="D59" s="90">
        <f>30097506.775+966679</f>
        <v>31064185.774999999</v>
      </c>
      <c r="E59" s="90">
        <v>17428873.596375901</v>
      </c>
      <c r="F59" s="90">
        <f ca="1">OFFSET('Historic CDM'!$C$64,0,(ROW()-ROW(F$2))/12)/12</f>
        <v>323841.11291644699</v>
      </c>
      <c r="G59" s="90">
        <f t="shared" ca="1" si="3"/>
        <v>17752714.709292348</v>
      </c>
      <c r="H59" s="91">
        <v>26526</v>
      </c>
      <c r="I59" s="90">
        <f>221979.402307122+4863665.813</f>
        <v>5085645.2153071221</v>
      </c>
      <c r="J59" s="90">
        <f ca="1">OFFSET('Historic CDM'!$C$76,0,(ROW()-ROW(F$2))/12)/12</f>
        <v>158465.127741128</v>
      </c>
      <c r="K59" s="90">
        <f t="shared" ca="1" si="4"/>
        <v>5244110.3430482503</v>
      </c>
      <c r="L59" s="85">
        <f>25+1867</f>
        <v>1892</v>
      </c>
      <c r="M59" s="90">
        <f>14372185.3002037-R59</f>
        <v>14339183.6292037</v>
      </c>
      <c r="N59" s="92">
        <f ca="1">OFFSET('Historic CDM'!$C$88,0,(ROW()-ROW(F$2))/12)/12</f>
        <v>348739.50644870795</v>
      </c>
      <c r="O59" s="1">
        <f t="shared" ca="1" si="28"/>
        <v>14654921.464652408</v>
      </c>
      <c r="P59" s="3">
        <f>37374.56-S59</f>
        <v>37093.299999999996</v>
      </c>
      <c r="Q59" s="2">
        <f>210-T59</f>
        <v>209</v>
      </c>
      <c r="R59" s="90">
        <v>33001.671000000002</v>
      </c>
      <c r="S59" s="92">
        <v>281.26</v>
      </c>
      <c r="T59" s="91">
        <v>1</v>
      </c>
      <c r="U59" s="90">
        <v>586886.75015053782</v>
      </c>
      <c r="V59" s="93">
        <v>1590.83</v>
      </c>
      <c r="W59" s="99">
        <f>342+1173+616+579</f>
        <v>2710</v>
      </c>
      <c r="X59" s="90">
        <v>29542.880000000001</v>
      </c>
      <c r="Y59" s="96">
        <v>73.771000000000001</v>
      </c>
      <c r="Z59" s="85">
        <v>175</v>
      </c>
      <c r="AA59" s="90">
        <v>128680</v>
      </c>
      <c r="AB59" s="85">
        <v>140</v>
      </c>
      <c r="AC59" s="90">
        <v>10789127.525000006</v>
      </c>
      <c r="AD59" s="91">
        <v>98</v>
      </c>
      <c r="AE59" s="90">
        <v>2909405.2025806457</v>
      </c>
      <c r="AF59" s="92">
        <v>6893.84</v>
      </c>
      <c r="AG59" s="91">
        <v>6</v>
      </c>
      <c r="AH59" s="87">
        <f>Weather!B227</f>
        <v>170.49999999999997</v>
      </c>
      <c r="AI59" s="87">
        <f>Weather!C227</f>
        <v>19.899999999999999</v>
      </c>
      <c r="AJ59" s="87">
        <f>Employment!B59</f>
        <v>6889</v>
      </c>
      <c r="AK59" s="87">
        <f>Employment!C59</f>
        <v>155.80000000000001</v>
      </c>
      <c r="AL59" s="114">
        <v>586913</v>
      </c>
      <c r="AM59" s="95">
        <f t="shared" si="47"/>
        <v>31</v>
      </c>
      <c r="AN59" s="103">
        <v>22</v>
      </c>
      <c r="AO59" s="87">
        <v>58</v>
      </c>
      <c r="AP59" s="87">
        <f t="shared" ref="AP59:BD59" si="55">AP47</f>
        <v>0</v>
      </c>
      <c r="AQ59" s="87">
        <f t="shared" si="55"/>
        <v>0</v>
      </c>
      <c r="AR59" s="87">
        <f t="shared" si="55"/>
        <v>0</v>
      </c>
      <c r="AS59" s="87">
        <f t="shared" si="55"/>
        <v>0</v>
      </c>
      <c r="AT59" s="87">
        <f t="shared" si="55"/>
        <v>0</v>
      </c>
      <c r="AU59" s="87">
        <f t="shared" si="55"/>
        <v>0</v>
      </c>
      <c r="AV59" s="87">
        <f t="shared" si="55"/>
        <v>0</v>
      </c>
      <c r="AW59" s="87">
        <f t="shared" si="55"/>
        <v>0</v>
      </c>
      <c r="AX59" s="87">
        <f t="shared" si="55"/>
        <v>0</v>
      </c>
      <c r="AY59" s="87">
        <f t="shared" si="55"/>
        <v>1</v>
      </c>
      <c r="AZ59" s="87">
        <f t="shared" si="55"/>
        <v>0</v>
      </c>
      <c r="BA59" s="87">
        <f t="shared" si="55"/>
        <v>0</v>
      </c>
      <c r="BB59" s="87">
        <f t="shared" si="55"/>
        <v>0</v>
      </c>
      <c r="BC59" s="87">
        <f t="shared" si="55"/>
        <v>1</v>
      </c>
      <c r="BD59" s="87">
        <f t="shared" si="55"/>
        <v>1</v>
      </c>
    </row>
    <row r="60" spans="1:56">
      <c r="A60" s="88">
        <v>41579</v>
      </c>
      <c r="B60" s="122">
        <f t="shared" si="1"/>
        <v>11</v>
      </c>
      <c r="C60" s="89">
        <f t="shared" si="2"/>
        <v>2013</v>
      </c>
      <c r="D60" s="90">
        <f>30852157.525+877996</f>
        <v>31730153.524999999</v>
      </c>
      <c r="E60" s="90">
        <v>18265418.488098886</v>
      </c>
      <c r="F60" s="90">
        <f ca="1">OFFSET('Historic CDM'!$C$64,0,(ROW()-ROW(F$2))/12)/12</f>
        <v>323841.11291644699</v>
      </c>
      <c r="G60" s="90">
        <f t="shared" ca="1" si="3"/>
        <v>18589259.601015333</v>
      </c>
      <c r="H60" s="91">
        <v>26624</v>
      </c>
      <c r="I60" s="90">
        <f>241351.227710956+4878703.206</f>
        <v>5120054.433710956</v>
      </c>
      <c r="J60" s="90">
        <f ca="1">OFFSET('Historic CDM'!$C$76,0,(ROW()-ROW(F$2))/12)/12</f>
        <v>158465.127741128</v>
      </c>
      <c r="K60" s="90">
        <f t="shared" ca="1" si="4"/>
        <v>5278519.5614520842</v>
      </c>
      <c r="L60" s="85">
        <f>26+1881</f>
        <v>1907</v>
      </c>
      <c r="M60" s="90">
        <f>13705288.4698593-R60</f>
        <v>13705072.769859301</v>
      </c>
      <c r="N60" s="92">
        <f ca="1">OFFSET('Historic CDM'!$C$88,0,(ROW()-ROW(F$2))/12)/12</f>
        <v>348739.50644870795</v>
      </c>
      <c r="O60" s="1">
        <f t="shared" ca="1" si="28"/>
        <v>14053596.57630801</v>
      </c>
      <c r="P60" s="3">
        <f>33766.54-S60</f>
        <v>33766.54</v>
      </c>
      <c r="Q60" s="2">
        <f>212-T60</f>
        <v>211</v>
      </c>
      <c r="R60" s="90">
        <v>215.7</v>
      </c>
      <c r="S60" s="98">
        <v>0</v>
      </c>
      <c r="T60" s="91">
        <v>1</v>
      </c>
      <c r="U60" s="90">
        <v>617394.81784946215</v>
      </c>
      <c r="V60" s="93">
        <v>1592.1599999999999</v>
      </c>
      <c r="W60" s="99">
        <f>342+1175+616+579</f>
        <v>2712</v>
      </c>
      <c r="X60" s="90">
        <v>29374.19</v>
      </c>
      <c r="Y60" s="96">
        <v>73.575999999999993</v>
      </c>
      <c r="Z60" s="85">
        <v>175</v>
      </c>
      <c r="AA60" s="90">
        <v>128665</v>
      </c>
      <c r="AB60" s="85">
        <v>137</v>
      </c>
      <c r="AC60" s="90">
        <v>10602563.625000004</v>
      </c>
      <c r="AD60" s="91">
        <v>99</v>
      </c>
      <c r="AE60" s="90">
        <v>2898724.4000860201</v>
      </c>
      <c r="AF60" s="92">
        <v>7057.3000000000011</v>
      </c>
      <c r="AG60" s="91">
        <v>6</v>
      </c>
      <c r="AH60" s="87">
        <f>Weather!B228</f>
        <v>424.9</v>
      </c>
      <c r="AI60" s="87">
        <f>Weather!C228</f>
        <v>0</v>
      </c>
      <c r="AJ60" s="87">
        <f>Employment!B60</f>
        <v>6863.8</v>
      </c>
      <c r="AK60" s="87">
        <f>Employment!C60</f>
        <v>156.69999999999999</v>
      </c>
      <c r="AL60" s="114">
        <v>586913</v>
      </c>
      <c r="AM60" s="95">
        <f t="shared" si="47"/>
        <v>30</v>
      </c>
      <c r="AN60" s="103">
        <v>21</v>
      </c>
      <c r="AO60" s="87">
        <v>59</v>
      </c>
      <c r="AP60" s="87">
        <f t="shared" ref="AP60:BD60" si="56">AP48</f>
        <v>0</v>
      </c>
      <c r="AQ60" s="87">
        <f t="shared" si="56"/>
        <v>0</v>
      </c>
      <c r="AR60" s="87">
        <f t="shared" si="56"/>
        <v>0</v>
      </c>
      <c r="AS60" s="87">
        <f t="shared" si="56"/>
        <v>0</v>
      </c>
      <c r="AT60" s="87">
        <f t="shared" si="56"/>
        <v>0</v>
      </c>
      <c r="AU60" s="87">
        <f t="shared" si="56"/>
        <v>0</v>
      </c>
      <c r="AV60" s="87">
        <f t="shared" si="56"/>
        <v>0</v>
      </c>
      <c r="AW60" s="87">
        <f t="shared" si="56"/>
        <v>0</v>
      </c>
      <c r="AX60" s="87">
        <f t="shared" si="56"/>
        <v>0</v>
      </c>
      <c r="AY60" s="87">
        <f t="shared" si="56"/>
        <v>0</v>
      </c>
      <c r="AZ60" s="87">
        <f t="shared" si="56"/>
        <v>1</v>
      </c>
      <c r="BA60" s="87">
        <f t="shared" si="56"/>
        <v>0</v>
      </c>
      <c r="BB60" s="87">
        <f t="shared" si="56"/>
        <v>0</v>
      </c>
      <c r="BC60" s="87">
        <f t="shared" si="56"/>
        <v>1</v>
      </c>
      <c r="BD60" s="87">
        <f t="shared" si="56"/>
        <v>1</v>
      </c>
    </row>
    <row r="61" spans="1:56">
      <c r="A61" s="88">
        <v>41609</v>
      </c>
      <c r="B61" s="122">
        <f t="shared" si="1"/>
        <v>12</v>
      </c>
      <c r="C61" s="89">
        <f t="shared" si="2"/>
        <v>2013</v>
      </c>
      <c r="D61" s="90">
        <f>36147598.975+906603</f>
        <v>37054201.975000001</v>
      </c>
      <c r="E61" s="90">
        <v>21866188.589622945</v>
      </c>
      <c r="F61" s="90">
        <f ca="1">OFFSET('Historic CDM'!$C$64,0,(ROW()-ROW(F$2))/12)/12</f>
        <v>323841.11291644699</v>
      </c>
      <c r="G61" s="90">
        <f t="shared" ca="1" si="3"/>
        <v>22190029.702539392</v>
      </c>
      <c r="H61" s="91">
        <v>26488</v>
      </c>
      <c r="I61" s="90">
        <f>253612.171827936+5424037.032</f>
        <v>5677649.2038279353</v>
      </c>
      <c r="J61" s="90">
        <f ca="1">OFFSET('Historic CDM'!$C$76,0,(ROW()-ROW(F$2))/12)/12</f>
        <v>158465.127741128</v>
      </c>
      <c r="K61" s="90">
        <f t="shared" ca="1" si="4"/>
        <v>5836114.3315690635</v>
      </c>
      <c r="L61" s="85">
        <f>25+1878</f>
        <v>1903</v>
      </c>
      <c r="M61" s="90">
        <f>13856064.1683468-R61</f>
        <v>13789022.1683468</v>
      </c>
      <c r="N61" s="92">
        <f ca="1">OFFSET('Historic CDM'!$C$88,0,(ROW()-ROW(F$2))/12)/12</f>
        <v>348739.50644870795</v>
      </c>
      <c r="O61" s="1">
        <f t="shared" ca="1" si="28"/>
        <v>14070719.674795508</v>
      </c>
      <c r="P61" s="3">
        <f>37408.01-S61</f>
        <v>34631.810000000005</v>
      </c>
      <c r="Q61" s="2">
        <f>215-T61</f>
        <v>214</v>
      </c>
      <c r="R61" s="90">
        <v>67042</v>
      </c>
      <c r="S61" s="92">
        <v>2776.2</v>
      </c>
      <c r="T61" s="91">
        <v>1</v>
      </c>
      <c r="U61" s="90">
        <v>675890.27602150571</v>
      </c>
      <c r="V61" s="93">
        <v>1591.3</v>
      </c>
      <c r="W61" s="99">
        <f>342+1175+616+579</f>
        <v>2712</v>
      </c>
      <c r="X61" s="90">
        <v>26101.53</v>
      </c>
      <c r="Y61" s="96">
        <v>73.575999999999993</v>
      </c>
      <c r="Z61" s="85">
        <v>175</v>
      </c>
      <c r="AA61" s="90">
        <v>128665</v>
      </c>
      <c r="AB61" s="85">
        <v>137</v>
      </c>
      <c r="AC61" s="90">
        <v>8986542.4000000022</v>
      </c>
      <c r="AD61" s="91">
        <v>101</v>
      </c>
      <c r="AE61" s="90">
        <v>3146942.3470107522</v>
      </c>
      <c r="AF61" s="92">
        <v>7513.43</v>
      </c>
      <c r="AG61" s="91">
        <v>6</v>
      </c>
      <c r="AH61" s="87">
        <f>Weather!B229</f>
        <v>614.30000000000007</v>
      </c>
      <c r="AI61" s="87">
        <f>Weather!C229</f>
        <v>0</v>
      </c>
      <c r="AJ61" s="87">
        <f>Employment!B61</f>
        <v>6849.3</v>
      </c>
      <c r="AK61" s="87">
        <f>Employment!C61</f>
        <v>159.19999999999999</v>
      </c>
      <c r="AL61" s="114">
        <v>586913</v>
      </c>
      <c r="AM61" s="95">
        <f t="shared" si="47"/>
        <v>31</v>
      </c>
      <c r="AN61" s="103">
        <v>20</v>
      </c>
      <c r="AO61" s="87">
        <v>60</v>
      </c>
      <c r="AP61" s="87">
        <f t="shared" ref="AP61:BD61" si="57">AP49</f>
        <v>0</v>
      </c>
      <c r="AQ61" s="87">
        <f t="shared" si="57"/>
        <v>0</v>
      </c>
      <c r="AR61" s="87">
        <f t="shared" si="57"/>
        <v>0</v>
      </c>
      <c r="AS61" s="87">
        <f t="shared" si="57"/>
        <v>0</v>
      </c>
      <c r="AT61" s="87">
        <f t="shared" si="57"/>
        <v>0</v>
      </c>
      <c r="AU61" s="87">
        <f t="shared" si="57"/>
        <v>0</v>
      </c>
      <c r="AV61" s="87">
        <f t="shared" si="57"/>
        <v>0</v>
      </c>
      <c r="AW61" s="87">
        <f t="shared" si="57"/>
        <v>0</v>
      </c>
      <c r="AX61" s="87">
        <f t="shared" si="57"/>
        <v>0</v>
      </c>
      <c r="AY61" s="87">
        <f t="shared" si="57"/>
        <v>0</v>
      </c>
      <c r="AZ61" s="87">
        <f t="shared" si="57"/>
        <v>0</v>
      </c>
      <c r="BA61" s="87">
        <f t="shared" si="57"/>
        <v>1</v>
      </c>
      <c r="BB61" s="87">
        <f t="shared" si="57"/>
        <v>0</v>
      </c>
      <c r="BC61" s="87">
        <f t="shared" si="57"/>
        <v>0</v>
      </c>
      <c r="BD61" s="87">
        <f t="shared" si="57"/>
        <v>0</v>
      </c>
    </row>
    <row r="62" spans="1:56">
      <c r="A62" s="88">
        <v>41640</v>
      </c>
      <c r="B62" s="122">
        <f t="shared" si="1"/>
        <v>1</v>
      </c>
      <c r="C62" s="89">
        <f t="shared" si="2"/>
        <v>2014</v>
      </c>
      <c r="D62" s="90">
        <f>36911651.9416666+892709</f>
        <v>37804360.941666603</v>
      </c>
      <c r="E62" s="90">
        <v>22431856.165665917</v>
      </c>
      <c r="F62" s="90">
        <f ca="1">OFFSET('Historic CDM'!$C$64,0,(ROW()-ROW(F$2))/12)/12</f>
        <v>409691.26556814712</v>
      </c>
      <c r="G62" s="90">
        <f t="shared" ca="1" si="3"/>
        <v>22841547.431234065</v>
      </c>
      <c r="H62" s="91">
        <v>26476</v>
      </c>
      <c r="I62" s="90">
        <f>5734789.94472543+229974.898</f>
        <v>5964764.8427254297</v>
      </c>
      <c r="J62" s="90">
        <f ca="1">OFFSET('Historic CDM'!$C$76,0,(ROW()-ROW(F$2))/12)/12</f>
        <v>195312.06947167395</v>
      </c>
      <c r="K62" s="90">
        <f t="shared" ca="1" si="4"/>
        <v>6160076.9121971037</v>
      </c>
      <c r="L62" s="85">
        <f>1883+16</f>
        <v>1899</v>
      </c>
      <c r="M62" s="90">
        <f>14437294.4377778-R62</f>
        <v>14434682.7217778</v>
      </c>
      <c r="N62" s="92">
        <f ca="1">OFFSET('Historic CDM'!$C$88,0,(ROW()-ROW(F$2))/12)/12</f>
        <v>443574.7020507566</v>
      </c>
      <c r="O62" s="1">
        <f t="shared" ca="1" si="28"/>
        <v>14875645.707828557</v>
      </c>
      <c r="P62" s="3">
        <f>34456.54-S62</f>
        <v>34294.050000000003</v>
      </c>
      <c r="Q62" s="2">
        <f>212-T62</f>
        <v>211</v>
      </c>
      <c r="R62" s="90">
        <v>2611.7159999999999</v>
      </c>
      <c r="S62" s="92">
        <v>162.49</v>
      </c>
      <c r="T62" s="91">
        <v>1</v>
      </c>
      <c r="U62" s="90">
        <v>666318.68064516108</v>
      </c>
      <c r="V62" s="93">
        <v>1591.3</v>
      </c>
      <c r="W62" s="99">
        <f>342+1175+616+579</f>
        <v>2712</v>
      </c>
      <c r="X62" s="90">
        <v>32738.33</v>
      </c>
      <c r="Y62" s="96">
        <v>73.771000000000001</v>
      </c>
      <c r="Z62" s="85">
        <v>175</v>
      </c>
      <c r="AA62" s="90">
        <v>129846</v>
      </c>
      <c r="AB62" s="85">
        <v>141</v>
      </c>
      <c r="AC62" s="90">
        <v>11565941.599999988</v>
      </c>
      <c r="AD62" s="91">
        <v>102</v>
      </c>
      <c r="AE62" s="90">
        <v>3490024.4977419358</v>
      </c>
      <c r="AF62" s="92">
        <v>8019.36</v>
      </c>
      <c r="AG62" s="91">
        <v>6</v>
      </c>
      <c r="AH62" s="87">
        <f>Weather!B230</f>
        <v>784.99999999999977</v>
      </c>
      <c r="AI62" s="87">
        <f>Weather!C230</f>
        <v>0</v>
      </c>
      <c r="AJ62" s="87">
        <f>Employment!B62</f>
        <v>6806.1</v>
      </c>
      <c r="AK62" s="87">
        <f>Employment!C62</f>
        <v>157.1</v>
      </c>
      <c r="AL62" s="114">
        <v>602010.30000000005</v>
      </c>
      <c r="AM62" s="95">
        <f t="shared" si="47"/>
        <v>31</v>
      </c>
      <c r="AN62" s="103">
        <v>22</v>
      </c>
      <c r="AO62" s="87">
        <v>61</v>
      </c>
      <c r="AP62" s="87">
        <f t="shared" ref="AP62:BD62" si="58">AP50</f>
        <v>1</v>
      </c>
      <c r="AQ62" s="87">
        <f t="shared" si="58"/>
        <v>0</v>
      </c>
      <c r="AR62" s="87">
        <f t="shared" si="58"/>
        <v>0</v>
      </c>
      <c r="AS62" s="87">
        <f t="shared" si="58"/>
        <v>0</v>
      </c>
      <c r="AT62" s="87">
        <f t="shared" si="58"/>
        <v>0</v>
      </c>
      <c r="AU62" s="87">
        <f t="shared" si="58"/>
        <v>0</v>
      </c>
      <c r="AV62" s="87">
        <f t="shared" si="58"/>
        <v>0</v>
      </c>
      <c r="AW62" s="87">
        <f t="shared" si="58"/>
        <v>0</v>
      </c>
      <c r="AX62" s="87">
        <f t="shared" si="58"/>
        <v>0</v>
      </c>
      <c r="AY62" s="87">
        <f t="shared" si="58"/>
        <v>0</v>
      </c>
      <c r="AZ62" s="87">
        <f t="shared" si="58"/>
        <v>0</v>
      </c>
      <c r="BA62" s="87">
        <f t="shared" si="58"/>
        <v>0</v>
      </c>
      <c r="BB62" s="87">
        <f t="shared" si="58"/>
        <v>0</v>
      </c>
      <c r="BC62" s="87">
        <f t="shared" si="58"/>
        <v>0</v>
      </c>
      <c r="BD62" s="87">
        <f t="shared" si="58"/>
        <v>0</v>
      </c>
    </row>
    <row r="63" spans="1:56">
      <c r="A63" s="88">
        <v>41671</v>
      </c>
      <c r="B63" s="122">
        <f t="shared" si="1"/>
        <v>2</v>
      </c>
      <c r="C63" s="89">
        <f t="shared" si="2"/>
        <v>2014</v>
      </c>
      <c r="D63" s="90">
        <f>32201195.5833333+805244</f>
        <v>33006439.583333299</v>
      </c>
      <c r="E63" s="90">
        <v>19378318.747917414</v>
      </c>
      <c r="F63" s="90">
        <f ca="1">OFFSET('Historic CDM'!$C$64,0,(ROW()-ROW(F$2))/12)/12</f>
        <v>409691.26556814712</v>
      </c>
      <c r="G63" s="90">
        <f t="shared" ca="1" si="3"/>
        <v>19788010.013485562</v>
      </c>
      <c r="H63" s="91">
        <v>26426</v>
      </c>
      <c r="I63" s="90">
        <f>5184506.13249626+203709.208</f>
        <v>5388215.3404962597</v>
      </c>
      <c r="J63" s="90">
        <f ca="1">OFFSET('Historic CDM'!$C$76,0,(ROW()-ROW(F$2))/12)/12</f>
        <v>195312.06947167395</v>
      </c>
      <c r="K63" s="90">
        <f t="shared" ca="1" si="4"/>
        <v>5583527.4099679338</v>
      </c>
      <c r="L63" s="85">
        <f>1885+16</f>
        <v>1901</v>
      </c>
      <c r="M63" s="90">
        <f>13239013.0597132-R63</f>
        <v>13239000.4947132</v>
      </c>
      <c r="N63" s="92">
        <f ca="1">OFFSET('Historic CDM'!$C$88,0,(ROW()-ROW(F$2))/12)/12</f>
        <v>443574.7020507566</v>
      </c>
      <c r="O63" s="1">
        <f t="shared" ca="1" si="28"/>
        <v>13682562.631763957</v>
      </c>
      <c r="P63" s="3">
        <f>32265.23-S63</f>
        <v>32265.23</v>
      </c>
      <c r="Q63" s="2">
        <f>211-T63</f>
        <v>210</v>
      </c>
      <c r="R63" s="90">
        <v>12.565</v>
      </c>
      <c r="S63" s="98">
        <v>0</v>
      </c>
      <c r="T63" s="91">
        <v>1</v>
      </c>
      <c r="U63" s="90">
        <v>599874.93999999994</v>
      </c>
      <c r="V63" s="93">
        <v>1591.1799999999998</v>
      </c>
      <c r="W63" s="99">
        <f t="shared" ref="W63:W69" si="59">342+1177+615+579</f>
        <v>2713</v>
      </c>
      <c r="X63" s="90">
        <v>29375.63</v>
      </c>
      <c r="Y63" s="96">
        <v>73.186000000000007</v>
      </c>
      <c r="Z63" s="85">
        <v>173</v>
      </c>
      <c r="AA63" s="90">
        <v>129706</v>
      </c>
      <c r="AB63" s="85">
        <v>140</v>
      </c>
      <c r="AC63" s="90">
        <v>9995306.5249999966</v>
      </c>
      <c r="AD63" s="91">
        <v>102</v>
      </c>
      <c r="AE63" s="90">
        <v>3101237.7347235028</v>
      </c>
      <c r="AF63" s="92">
        <v>7578.6200000000008</v>
      </c>
      <c r="AG63" s="91">
        <v>6</v>
      </c>
      <c r="AH63" s="87">
        <f>Weather!B231</f>
        <v>674.19999999999982</v>
      </c>
      <c r="AI63" s="87">
        <f>Weather!C231</f>
        <v>0</v>
      </c>
      <c r="AJ63" s="87">
        <f>Employment!B63</f>
        <v>6772.3</v>
      </c>
      <c r="AK63" s="87">
        <f>Employment!C63</f>
        <v>154.69999999999999</v>
      </c>
      <c r="AL63" s="114">
        <v>602010.30000000005</v>
      </c>
      <c r="AM63" s="95">
        <f t="shared" si="47"/>
        <v>28</v>
      </c>
      <c r="AN63" s="103">
        <v>19</v>
      </c>
      <c r="AO63" s="87">
        <v>62</v>
      </c>
      <c r="AP63" s="87">
        <f t="shared" ref="AP63:BD63" si="60">AP51</f>
        <v>0</v>
      </c>
      <c r="AQ63" s="87">
        <f t="shared" si="60"/>
        <v>1</v>
      </c>
      <c r="AR63" s="87">
        <f t="shared" si="60"/>
        <v>0</v>
      </c>
      <c r="AS63" s="87">
        <f t="shared" si="60"/>
        <v>0</v>
      </c>
      <c r="AT63" s="87">
        <f t="shared" si="60"/>
        <v>0</v>
      </c>
      <c r="AU63" s="87">
        <f t="shared" si="60"/>
        <v>0</v>
      </c>
      <c r="AV63" s="87">
        <f t="shared" si="60"/>
        <v>0</v>
      </c>
      <c r="AW63" s="87">
        <f t="shared" si="60"/>
        <v>0</v>
      </c>
      <c r="AX63" s="87">
        <f t="shared" si="60"/>
        <v>0</v>
      </c>
      <c r="AY63" s="87">
        <f t="shared" si="60"/>
        <v>0</v>
      </c>
      <c r="AZ63" s="87">
        <f t="shared" si="60"/>
        <v>0</v>
      </c>
      <c r="BA63" s="87">
        <f t="shared" si="60"/>
        <v>0</v>
      </c>
      <c r="BB63" s="87">
        <f t="shared" si="60"/>
        <v>0</v>
      </c>
      <c r="BC63" s="87">
        <f t="shared" si="60"/>
        <v>0</v>
      </c>
      <c r="BD63" s="87">
        <f t="shared" si="60"/>
        <v>0</v>
      </c>
    </row>
    <row r="64" spans="1:56">
      <c r="A64" s="88">
        <v>41699</v>
      </c>
      <c r="B64" s="122">
        <f t="shared" si="1"/>
        <v>3</v>
      </c>
      <c r="C64" s="89">
        <f t="shared" si="2"/>
        <v>2014</v>
      </c>
      <c r="D64" s="90">
        <f>31012253.8833333+908382</f>
        <v>31920635.883333299</v>
      </c>
      <c r="E64" s="90">
        <v>19313954.998032402</v>
      </c>
      <c r="F64" s="90">
        <f ca="1">OFFSET('Historic CDM'!$C$64,0,(ROW()-ROW(F$2))/12)/12</f>
        <v>409691.26556814712</v>
      </c>
      <c r="G64" s="90">
        <f t="shared" ca="1" si="3"/>
        <v>19723646.263600551</v>
      </c>
      <c r="H64" s="91">
        <v>26488</v>
      </c>
      <c r="I64" s="90">
        <f>5357434.62787415+212255.442</f>
        <v>5569690.0698741497</v>
      </c>
      <c r="J64" s="90">
        <f ca="1">OFFSET('Historic CDM'!$C$76,0,(ROW()-ROW(F$2))/12)/12</f>
        <v>195312.06947167395</v>
      </c>
      <c r="K64" s="90">
        <f t="shared" ca="1" si="4"/>
        <v>5765002.1393458238</v>
      </c>
      <c r="L64" s="85">
        <f>1889+16</f>
        <v>1905</v>
      </c>
      <c r="M64" s="90">
        <f>13881707.6986385-R64</f>
        <v>13881701.188638501</v>
      </c>
      <c r="N64" s="92">
        <f ca="1">OFFSET('Historic CDM'!$C$88,0,(ROW()-ROW(F$2))/12)/12</f>
        <v>443574.7020507566</v>
      </c>
      <c r="O64" s="1">
        <f t="shared" ca="1" si="28"/>
        <v>14325269.380689258</v>
      </c>
      <c r="P64" s="3">
        <f>32022.14-S64</f>
        <v>32021.27</v>
      </c>
      <c r="Q64" s="2">
        <f>214-T64</f>
        <v>213</v>
      </c>
      <c r="R64" s="90">
        <v>6.51</v>
      </c>
      <c r="S64" s="92">
        <v>0.87</v>
      </c>
      <c r="T64" s="91">
        <v>1</v>
      </c>
      <c r="U64" s="90">
        <v>558889.76580645167</v>
      </c>
      <c r="V64" s="93">
        <v>1586.81</v>
      </c>
      <c r="W64" s="99">
        <f t="shared" si="59"/>
        <v>2713</v>
      </c>
      <c r="X64" s="90">
        <v>29040.82</v>
      </c>
      <c r="Y64" s="96">
        <v>72.991</v>
      </c>
      <c r="Z64" s="85">
        <v>172</v>
      </c>
      <c r="AA64" s="90">
        <v>129706</v>
      </c>
      <c r="AB64" s="85">
        <v>140</v>
      </c>
      <c r="AC64" s="90">
        <v>12424227.5</v>
      </c>
      <c r="AD64" s="91">
        <v>102</v>
      </c>
      <c r="AE64" s="90">
        <v>3182337.956244241</v>
      </c>
      <c r="AF64" s="92">
        <v>7398.630000000001</v>
      </c>
      <c r="AG64" s="91">
        <v>6</v>
      </c>
      <c r="AH64" s="87">
        <f>Weather!B232</f>
        <v>591.90000000000009</v>
      </c>
      <c r="AI64" s="87">
        <f>Weather!C232</f>
        <v>0</v>
      </c>
      <c r="AJ64" s="87">
        <f>Employment!B64</f>
        <v>6751.3</v>
      </c>
      <c r="AK64" s="87">
        <f>Employment!C64</f>
        <v>152.4</v>
      </c>
      <c r="AL64" s="114">
        <v>602010.30000000005</v>
      </c>
      <c r="AM64" s="95">
        <f t="shared" si="47"/>
        <v>31</v>
      </c>
      <c r="AN64" s="103">
        <v>21</v>
      </c>
      <c r="AO64" s="87">
        <v>63</v>
      </c>
      <c r="AP64" s="87">
        <f t="shared" ref="AP64:BD64" si="61">AP52</f>
        <v>0</v>
      </c>
      <c r="AQ64" s="87">
        <f t="shared" si="61"/>
        <v>0</v>
      </c>
      <c r="AR64" s="87">
        <f t="shared" si="61"/>
        <v>1</v>
      </c>
      <c r="AS64" s="87">
        <f t="shared" si="61"/>
        <v>0</v>
      </c>
      <c r="AT64" s="87">
        <f t="shared" si="61"/>
        <v>0</v>
      </c>
      <c r="AU64" s="87">
        <f t="shared" si="61"/>
        <v>0</v>
      </c>
      <c r="AV64" s="87">
        <f t="shared" si="61"/>
        <v>0</v>
      </c>
      <c r="AW64" s="87">
        <f t="shared" si="61"/>
        <v>0</v>
      </c>
      <c r="AX64" s="87">
        <f t="shared" si="61"/>
        <v>0</v>
      </c>
      <c r="AY64" s="87">
        <f t="shared" si="61"/>
        <v>0</v>
      </c>
      <c r="AZ64" s="87">
        <f t="shared" si="61"/>
        <v>0</v>
      </c>
      <c r="BA64" s="87">
        <f t="shared" si="61"/>
        <v>0</v>
      </c>
      <c r="BB64" s="87">
        <f t="shared" si="61"/>
        <v>1</v>
      </c>
      <c r="BC64" s="87">
        <f t="shared" si="61"/>
        <v>0</v>
      </c>
      <c r="BD64" s="87">
        <f t="shared" si="61"/>
        <v>1</v>
      </c>
    </row>
    <row r="65" spans="1:56">
      <c r="A65" s="88">
        <v>41730</v>
      </c>
      <c r="B65" s="122">
        <f t="shared" si="1"/>
        <v>4</v>
      </c>
      <c r="C65" s="89">
        <f t="shared" si="2"/>
        <v>2014</v>
      </c>
      <c r="D65" s="90">
        <f>22883426.1+913419</f>
        <v>23796845.100000001</v>
      </c>
      <c r="E65" s="90">
        <v>16231420.601271654</v>
      </c>
      <c r="F65" s="90">
        <f ca="1">OFFSET('Historic CDM'!$C$64,0,(ROW()-ROW(F$2))/12)/12</f>
        <v>409691.26556814712</v>
      </c>
      <c r="G65" s="90">
        <f t="shared" ca="1" si="3"/>
        <v>16641111.8668398</v>
      </c>
      <c r="H65" s="91">
        <v>26497</v>
      </c>
      <c r="I65" s="90">
        <f>4654522.80405306+197350.032</f>
        <v>4851872.8360530594</v>
      </c>
      <c r="J65" s="90">
        <f ca="1">OFFSET('Historic CDM'!$C$76,0,(ROW()-ROW(F$2))/12)/12</f>
        <v>195312.06947167395</v>
      </c>
      <c r="K65" s="90">
        <f t="shared" ca="1" si="4"/>
        <v>5047184.9055247335</v>
      </c>
      <c r="L65" s="85">
        <f>1884+17</f>
        <v>1901</v>
      </c>
      <c r="M65" s="90">
        <f>11903768.0616901-R65</f>
        <v>11903767.844690099</v>
      </c>
      <c r="N65" s="92">
        <f ca="1">OFFSET('Historic CDM'!$C$88,0,(ROW()-ROW(F$2))/12)/12</f>
        <v>443574.7020507566</v>
      </c>
      <c r="O65" s="1">
        <f t="shared" ca="1" si="28"/>
        <v>12347342.329740856</v>
      </c>
      <c r="P65" s="3">
        <f>30566.15-S65</f>
        <v>30566.15</v>
      </c>
      <c r="Q65" s="2">
        <f>212-T65</f>
        <v>211</v>
      </c>
      <c r="R65" s="90">
        <v>0.217</v>
      </c>
      <c r="S65" s="92">
        <v>0</v>
      </c>
      <c r="T65" s="91">
        <v>1</v>
      </c>
      <c r="U65" s="90">
        <v>468886.78352688177</v>
      </c>
      <c r="V65" s="93">
        <v>1586.81</v>
      </c>
      <c r="W65" s="99">
        <f t="shared" si="59"/>
        <v>2713</v>
      </c>
      <c r="X65" s="90">
        <v>29023</v>
      </c>
      <c r="Y65" s="96">
        <v>72.991</v>
      </c>
      <c r="Z65" s="85">
        <v>172</v>
      </c>
      <c r="AA65" s="90">
        <v>129706</v>
      </c>
      <c r="AB65" s="85">
        <v>140</v>
      </c>
      <c r="AC65" s="90">
        <v>13991157.975000007</v>
      </c>
      <c r="AD65" s="91">
        <v>102</v>
      </c>
      <c r="AE65" s="90">
        <v>2976480.5359462365</v>
      </c>
      <c r="AF65" s="92">
        <v>7173.25</v>
      </c>
      <c r="AG65" s="91">
        <v>6</v>
      </c>
      <c r="AH65" s="87">
        <f>Weather!B233</f>
        <v>253.7</v>
      </c>
      <c r="AI65" s="87">
        <f>Weather!C233</f>
        <v>0</v>
      </c>
      <c r="AJ65" s="87">
        <f>Employment!B65</f>
        <v>6785</v>
      </c>
      <c r="AK65" s="87">
        <f>Employment!C65</f>
        <v>151.1</v>
      </c>
      <c r="AL65" s="114">
        <v>602010.30000000005</v>
      </c>
      <c r="AM65" s="95">
        <f t="shared" si="47"/>
        <v>30</v>
      </c>
      <c r="AN65" s="103">
        <v>20</v>
      </c>
      <c r="AO65" s="87">
        <v>64</v>
      </c>
      <c r="AP65" s="87">
        <f t="shared" ref="AP65:BD65" si="62">AP53</f>
        <v>0</v>
      </c>
      <c r="AQ65" s="87">
        <f t="shared" si="62"/>
        <v>0</v>
      </c>
      <c r="AR65" s="87">
        <f t="shared" si="62"/>
        <v>0</v>
      </c>
      <c r="AS65" s="87">
        <f t="shared" si="62"/>
        <v>1</v>
      </c>
      <c r="AT65" s="87">
        <f t="shared" si="62"/>
        <v>0</v>
      </c>
      <c r="AU65" s="87">
        <f t="shared" si="62"/>
        <v>0</v>
      </c>
      <c r="AV65" s="87">
        <f t="shared" si="62"/>
        <v>0</v>
      </c>
      <c r="AW65" s="87">
        <f t="shared" si="62"/>
        <v>0</v>
      </c>
      <c r="AX65" s="87">
        <f t="shared" si="62"/>
        <v>0</v>
      </c>
      <c r="AY65" s="87">
        <f t="shared" si="62"/>
        <v>0</v>
      </c>
      <c r="AZ65" s="87">
        <f t="shared" si="62"/>
        <v>0</v>
      </c>
      <c r="BA65" s="87">
        <f t="shared" si="62"/>
        <v>0</v>
      </c>
      <c r="BB65" s="87">
        <f t="shared" si="62"/>
        <v>1</v>
      </c>
      <c r="BC65" s="87">
        <f t="shared" si="62"/>
        <v>0</v>
      </c>
      <c r="BD65" s="87">
        <f t="shared" si="62"/>
        <v>1</v>
      </c>
    </row>
    <row r="66" spans="1:56">
      <c r="A66" s="88">
        <v>41760</v>
      </c>
      <c r="B66" s="122">
        <f t="shared" si="1"/>
        <v>5</v>
      </c>
      <c r="C66" s="89">
        <f t="shared" si="2"/>
        <v>2014</v>
      </c>
      <c r="D66" s="90">
        <f>26430415.2916667+1001545</f>
        <v>27431960.291666701</v>
      </c>
      <c r="E66" s="90">
        <v>17420019.301335745</v>
      </c>
      <c r="F66" s="90">
        <f ca="1">OFFSET('Historic CDM'!$C$64,0,(ROW()-ROW(F$2))/12)/12</f>
        <v>409691.26556814712</v>
      </c>
      <c r="G66" s="90">
        <f t="shared" ca="1" si="3"/>
        <v>17829710.566903893</v>
      </c>
      <c r="H66" s="91">
        <v>26591</v>
      </c>
      <c r="I66" s="90">
        <f>4938919.27166763+207238.202</f>
        <v>5146157.47366763</v>
      </c>
      <c r="J66" s="90">
        <f ca="1">OFFSET('Historic CDM'!$C$76,0,(ROW()-ROW(F$2))/12)/12</f>
        <v>195312.06947167395</v>
      </c>
      <c r="K66" s="90">
        <f t="shared" ca="1" si="4"/>
        <v>5341469.543139304</v>
      </c>
      <c r="L66" s="85">
        <f>1889+17</f>
        <v>1906</v>
      </c>
      <c r="M66" s="90">
        <f>12583472.49549-R66</f>
        <v>12583472.49549</v>
      </c>
      <c r="N66" s="92">
        <f ca="1">OFFSET('Historic CDM'!$C$88,0,(ROW()-ROW(F$2))/12)/12</f>
        <v>443574.7020507566</v>
      </c>
      <c r="O66" s="1">
        <f t="shared" ref="O66:O97" ca="1" si="63">M66+N66-R66</f>
        <v>13027047.197540756</v>
      </c>
      <c r="P66" s="3">
        <f>34232.03-S66</f>
        <v>34232.03</v>
      </c>
      <c r="Q66" s="2">
        <f>214-T66</f>
        <v>213</v>
      </c>
      <c r="R66" s="90">
        <v>0</v>
      </c>
      <c r="S66" s="92">
        <v>0</v>
      </c>
      <c r="T66" s="91">
        <v>1</v>
      </c>
      <c r="U66" s="90">
        <v>421881.19195698906</v>
      </c>
      <c r="V66" s="93">
        <v>1586.5900000000001</v>
      </c>
      <c r="W66" s="99">
        <f t="shared" si="59"/>
        <v>2713</v>
      </c>
      <c r="X66" s="90">
        <v>28819.94</v>
      </c>
      <c r="Y66" s="96">
        <v>72.991</v>
      </c>
      <c r="Z66" s="85">
        <v>172</v>
      </c>
      <c r="AA66" s="90">
        <v>129706</v>
      </c>
      <c r="AB66" s="85">
        <v>140</v>
      </c>
      <c r="AC66" s="90">
        <v>12476483.799999988</v>
      </c>
      <c r="AD66" s="91">
        <v>102</v>
      </c>
      <c r="AE66" s="90">
        <v>3042347.9027634398</v>
      </c>
      <c r="AF66" s="92">
        <v>7125.02</v>
      </c>
      <c r="AG66" s="91">
        <v>6</v>
      </c>
      <c r="AH66" s="87">
        <f>Weather!B234</f>
        <v>90.600000000000009</v>
      </c>
      <c r="AI66" s="87">
        <f>Weather!C234</f>
        <v>36.4</v>
      </c>
      <c r="AJ66" s="87">
        <f>Employment!B66</f>
        <v>6842.6</v>
      </c>
      <c r="AK66" s="87">
        <f>Employment!C66</f>
        <v>151.19999999999999</v>
      </c>
      <c r="AL66" s="114">
        <v>602010.30000000005</v>
      </c>
      <c r="AM66" s="95">
        <f t="shared" si="47"/>
        <v>31</v>
      </c>
      <c r="AN66" s="103">
        <v>22</v>
      </c>
      <c r="AO66" s="87">
        <v>65</v>
      </c>
      <c r="AP66" s="87">
        <f t="shared" ref="AP66:BD66" si="64">AP54</f>
        <v>0</v>
      </c>
      <c r="AQ66" s="87">
        <f t="shared" si="64"/>
        <v>0</v>
      </c>
      <c r="AR66" s="87">
        <f t="shared" si="64"/>
        <v>0</v>
      </c>
      <c r="AS66" s="87">
        <f t="shared" si="64"/>
        <v>0</v>
      </c>
      <c r="AT66" s="87">
        <f t="shared" si="64"/>
        <v>1</v>
      </c>
      <c r="AU66" s="87">
        <f t="shared" si="64"/>
        <v>0</v>
      </c>
      <c r="AV66" s="87">
        <f t="shared" si="64"/>
        <v>0</v>
      </c>
      <c r="AW66" s="87">
        <f t="shared" si="64"/>
        <v>0</v>
      </c>
      <c r="AX66" s="87">
        <f t="shared" si="64"/>
        <v>0</v>
      </c>
      <c r="AY66" s="87">
        <f t="shared" si="64"/>
        <v>0</v>
      </c>
      <c r="AZ66" s="87">
        <f t="shared" si="64"/>
        <v>0</v>
      </c>
      <c r="BA66" s="87">
        <f t="shared" si="64"/>
        <v>0</v>
      </c>
      <c r="BB66" s="87">
        <f t="shared" si="64"/>
        <v>1</v>
      </c>
      <c r="BC66" s="87">
        <f t="shared" si="64"/>
        <v>0</v>
      </c>
      <c r="BD66" s="87">
        <f t="shared" si="64"/>
        <v>1</v>
      </c>
    </row>
    <row r="67" spans="1:56">
      <c r="A67" s="88">
        <v>41791</v>
      </c>
      <c r="B67" s="122">
        <f t="shared" ref="B67:B97" si="65">MONTH(A67)</f>
        <v>6</v>
      </c>
      <c r="C67" s="89">
        <f t="shared" ref="C67:C97" si="66">YEAR(A67)</f>
        <v>2014</v>
      </c>
      <c r="D67" s="90">
        <f>37688076.3833333+1065682</f>
        <v>38753758.383333303</v>
      </c>
      <c r="E67" s="90">
        <v>23223294.840498503</v>
      </c>
      <c r="F67" s="90">
        <f ca="1">OFFSET('Historic CDM'!$C$64,0,(ROW()-ROW(F$2))/12)/12</f>
        <v>409691.26556814712</v>
      </c>
      <c r="G67" s="90">
        <f t="shared" ref="G67:G97" ca="1" si="67">E67+F67</f>
        <v>23632986.106066652</v>
      </c>
      <c r="H67" s="91">
        <v>26581</v>
      </c>
      <c r="I67" s="90">
        <f>5461974.72628119+216490.659</f>
        <v>5678465.3852811903</v>
      </c>
      <c r="J67" s="90">
        <f ca="1">OFFSET('Historic CDM'!$C$76,0,(ROW()-ROW(F$2))/12)/12</f>
        <v>195312.06947167395</v>
      </c>
      <c r="K67" s="90">
        <f t="shared" ref="K67:K97" ca="1" si="68">I67+J67</f>
        <v>5873777.4547528643</v>
      </c>
      <c r="L67" s="85">
        <f>1892+17</f>
        <v>1909</v>
      </c>
      <c r="M67" s="90">
        <f>14331819.268066-R67</f>
        <v>14311232.920066001</v>
      </c>
      <c r="N67" s="92">
        <f ca="1">OFFSET('Historic CDM'!$C$88,0,(ROW()-ROW(F$2))/12)/12</f>
        <v>443574.7020507566</v>
      </c>
      <c r="O67" s="1">
        <f t="shared" ca="1" si="63"/>
        <v>14734221.274116758</v>
      </c>
      <c r="P67" s="3">
        <f>38654.5-S67</f>
        <v>38654.5</v>
      </c>
      <c r="Q67" s="2">
        <f>215-T67</f>
        <v>214</v>
      </c>
      <c r="R67" s="90">
        <v>20586.348000000002</v>
      </c>
      <c r="S67" s="98">
        <v>0</v>
      </c>
      <c r="T67" s="91">
        <v>1</v>
      </c>
      <c r="U67" s="90">
        <v>371131.98070967733</v>
      </c>
      <c r="V67" s="93">
        <v>1585.93</v>
      </c>
      <c r="W67" s="99">
        <f t="shared" si="59"/>
        <v>2713</v>
      </c>
      <c r="X67" s="90">
        <v>29152.15</v>
      </c>
      <c r="Y67" s="96">
        <v>72.991</v>
      </c>
      <c r="Z67" s="85">
        <v>172</v>
      </c>
      <c r="AA67" s="90">
        <v>129492</v>
      </c>
      <c r="AB67" s="85">
        <v>139</v>
      </c>
      <c r="AC67" s="90">
        <v>11597802.375000007</v>
      </c>
      <c r="AD67" s="91">
        <v>103</v>
      </c>
      <c r="AE67" s="90">
        <v>3409531.0815698914</v>
      </c>
      <c r="AF67" s="92">
        <v>8831.73</v>
      </c>
      <c r="AG67" s="91">
        <v>6</v>
      </c>
      <c r="AH67" s="87">
        <f>Weather!B235</f>
        <v>2.4000000000000004</v>
      </c>
      <c r="AI67" s="87">
        <f>Weather!C235</f>
        <v>123.29999999999997</v>
      </c>
      <c r="AJ67" s="87">
        <f>Employment!B67</f>
        <v>6912.9</v>
      </c>
      <c r="AK67" s="87">
        <f>Employment!C67</f>
        <v>150.9</v>
      </c>
      <c r="AL67" s="114">
        <v>602010.30000000005</v>
      </c>
      <c r="AM67" s="95">
        <f t="shared" si="47"/>
        <v>30</v>
      </c>
      <c r="AN67" s="103">
        <v>21</v>
      </c>
      <c r="AO67" s="87">
        <v>66</v>
      </c>
      <c r="AP67" s="87">
        <f t="shared" ref="AP67:BD67" si="69">AP55</f>
        <v>0</v>
      </c>
      <c r="AQ67" s="87">
        <f t="shared" si="69"/>
        <v>0</v>
      </c>
      <c r="AR67" s="87">
        <f t="shared" si="69"/>
        <v>0</v>
      </c>
      <c r="AS67" s="87">
        <f t="shared" si="69"/>
        <v>0</v>
      </c>
      <c r="AT67" s="87">
        <f t="shared" si="69"/>
        <v>0</v>
      </c>
      <c r="AU67" s="87">
        <f t="shared" si="69"/>
        <v>1</v>
      </c>
      <c r="AV67" s="87">
        <f t="shared" si="69"/>
        <v>0</v>
      </c>
      <c r="AW67" s="87">
        <f t="shared" si="69"/>
        <v>0</v>
      </c>
      <c r="AX67" s="87">
        <f t="shared" si="69"/>
        <v>0</v>
      </c>
      <c r="AY67" s="87">
        <f t="shared" si="69"/>
        <v>0</v>
      </c>
      <c r="AZ67" s="87">
        <f t="shared" si="69"/>
        <v>0</v>
      </c>
      <c r="BA67" s="87">
        <f t="shared" si="69"/>
        <v>0</v>
      </c>
      <c r="BB67" s="87">
        <f t="shared" si="69"/>
        <v>0</v>
      </c>
      <c r="BC67" s="87">
        <f t="shared" si="69"/>
        <v>0</v>
      </c>
      <c r="BD67" s="87">
        <f t="shared" si="69"/>
        <v>0</v>
      </c>
    </row>
    <row r="68" spans="1:56">
      <c r="A68" s="88">
        <v>41821</v>
      </c>
      <c r="B68" s="122">
        <f t="shared" si="65"/>
        <v>7</v>
      </c>
      <c r="C68" s="89">
        <f t="shared" si="66"/>
        <v>2014</v>
      </c>
      <c r="D68" s="90">
        <f>38601186.125+1072616</f>
        <v>39673802.125</v>
      </c>
      <c r="E68" s="90">
        <v>26224874.37755568</v>
      </c>
      <c r="F68" s="90">
        <f ca="1">OFFSET('Historic CDM'!$C$64,0,(ROW()-ROW(F$2))/12)/12</f>
        <v>409691.26556814712</v>
      </c>
      <c r="G68" s="90">
        <f t="shared" ca="1" si="67"/>
        <v>26634565.643123828</v>
      </c>
      <c r="H68" s="91">
        <v>26628</v>
      </c>
      <c r="I68" s="90">
        <f>5749955.0731766+221934.391</f>
        <v>5971889.4641765999</v>
      </c>
      <c r="J68" s="90">
        <f ca="1">OFFSET('Historic CDM'!$C$76,0,(ROW()-ROW(F$2))/12)/12</f>
        <v>195312.06947167395</v>
      </c>
      <c r="K68" s="90">
        <f t="shared" ca="1" si="68"/>
        <v>6167201.5336482739</v>
      </c>
      <c r="L68" s="85">
        <f>1888+16</f>
        <v>1904</v>
      </c>
      <c r="M68" s="90">
        <f>14525737.705909-R68</f>
        <v>14313012.108009001</v>
      </c>
      <c r="N68" s="92">
        <f ca="1">OFFSET('Historic CDM'!$C$88,0,(ROW()-ROW(F$2))/12)/12</f>
        <v>443574.7020507566</v>
      </c>
      <c r="O68" s="1">
        <f t="shared" ca="1" si="63"/>
        <v>14543861.212159758</v>
      </c>
      <c r="P68" s="3">
        <f>37475.7-S68</f>
        <v>37475.699999999997</v>
      </c>
      <c r="Q68" s="2">
        <f>215-T68</f>
        <v>214</v>
      </c>
      <c r="R68" s="90">
        <v>212725.59789999999</v>
      </c>
      <c r="S68" s="98">
        <v>0</v>
      </c>
      <c r="T68" s="91">
        <v>1</v>
      </c>
      <c r="U68" s="90">
        <v>392570.11767741916</v>
      </c>
      <c r="V68" s="93">
        <v>1585.93</v>
      </c>
      <c r="W68" s="99">
        <f t="shared" si="59"/>
        <v>2713</v>
      </c>
      <c r="X68" s="90">
        <v>28556.400000000001</v>
      </c>
      <c r="Y68" s="96">
        <v>72.991</v>
      </c>
      <c r="Z68" s="85">
        <v>172</v>
      </c>
      <c r="AA68" s="90">
        <v>129492</v>
      </c>
      <c r="AB68" s="85">
        <v>139</v>
      </c>
      <c r="AC68" s="90">
        <v>12198192.775000015</v>
      </c>
      <c r="AD68" s="91">
        <v>103</v>
      </c>
      <c r="AE68" s="90">
        <v>3573546.6335913986</v>
      </c>
      <c r="AF68" s="92">
        <v>9036.83</v>
      </c>
      <c r="AG68" s="91">
        <v>6</v>
      </c>
      <c r="AH68" s="87">
        <f>Weather!B236</f>
        <v>0.7</v>
      </c>
      <c r="AI68" s="87">
        <f>Weather!C236</f>
        <v>113.59999999999997</v>
      </c>
      <c r="AJ68" s="87">
        <f>Employment!B68</f>
        <v>6957.8</v>
      </c>
      <c r="AK68" s="87">
        <f>Employment!C68</f>
        <v>153.6</v>
      </c>
      <c r="AL68" s="114">
        <v>602010.30000000005</v>
      </c>
      <c r="AM68" s="95">
        <f t="shared" si="47"/>
        <v>31</v>
      </c>
      <c r="AN68" s="103">
        <v>22</v>
      </c>
      <c r="AO68" s="87">
        <v>67</v>
      </c>
      <c r="AP68" s="87">
        <f t="shared" ref="AP68:BD68" si="70">AP56</f>
        <v>0</v>
      </c>
      <c r="AQ68" s="87">
        <f t="shared" si="70"/>
        <v>0</v>
      </c>
      <c r="AR68" s="87">
        <f t="shared" si="70"/>
        <v>0</v>
      </c>
      <c r="AS68" s="87">
        <f t="shared" si="70"/>
        <v>0</v>
      </c>
      <c r="AT68" s="87">
        <f t="shared" si="70"/>
        <v>0</v>
      </c>
      <c r="AU68" s="87">
        <f t="shared" si="70"/>
        <v>0</v>
      </c>
      <c r="AV68" s="87">
        <f t="shared" si="70"/>
        <v>1</v>
      </c>
      <c r="AW68" s="87">
        <f t="shared" si="70"/>
        <v>0</v>
      </c>
      <c r="AX68" s="87">
        <f t="shared" si="70"/>
        <v>0</v>
      </c>
      <c r="AY68" s="87">
        <f t="shared" si="70"/>
        <v>0</v>
      </c>
      <c r="AZ68" s="87">
        <f t="shared" si="70"/>
        <v>0</v>
      </c>
      <c r="BA68" s="87">
        <f t="shared" si="70"/>
        <v>0</v>
      </c>
      <c r="BB68" s="87">
        <f t="shared" si="70"/>
        <v>0</v>
      </c>
      <c r="BC68" s="87">
        <f t="shared" si="70"/>
        <v>0</v>
      </c>
      <c r="BD68" s="87">
        <f t="shared" si="70"/>
        <v>0</v>
      </c>
    </row>
    <row r="69" spans="1:56">
      <c r="A69" s="88">
        <v>41852</v>
      </c>
      <c r="B69" s="122">
        <f t="shared" si="65"/>
        <v>8</v>
      </c>
      <c r="C69" s="89">
        <f t="shared" si="66"/>
        <v>2014</v>
      </c>
      <c r="D69" s="90">
        <f>40878364.8916667+1094139</f>
        <v>41972503.891666703</v>
      </c>
      <c r="E69" s="90">
        <v>25672215.715964895</v>
      </c>
      <c r="F69" s="90">
        <f ca="1">OFFSET('Historic CDM'!$C$64,0,(ROW()-ROW(F$2))/12)/12</f>
        <v>409691.26556814712</v>
      </c>
      <c r="G69" s="90">
        <f t="shared" ca="1" si="67"/>
        <v>26081906.981533043</v>
      </c>
      <c r="H69" s="91">
        <v>26757</v>
      </c>
      <c r="I69" s="90">
        <f>5771314.78666087+222745.43</f>
        <v>5994060.2166608693</v>
      </c>
      <c r="J69" s="90">
        <f ca="1">OFFSET('Historic CDM'!$C$76,0,(ROW()-ROW(F$2))/12)/12</f>
        <v>195312.06947167395</v>
      </c>
      <c r="K69" s="90">
        <f t="shared" ca="1" si="68"/>
        <v>6189372.2861325433</v>
      </c>
      <c r="L69" s="85">
        <f>1899+16</f>
        <v>1915</v>
      </c>
      <c r="M69" s="90">
        <f>15535531.21705-R69</f>
        <v>15322805.61915</v>
      </c>
      <c r="N69" s="92">
        <f ca="1">OFFSET('Historic CDM'!$C$88,0,(ROW()-ROW(F$2))/12)/12</f>
        <v>443574.7020507566</v>
      </c>
      <c r="O69" s="1">
        <f t="shared" ca="1" si="63"/>
        <v>15553654.723300757</v>
      </c>
      <c r="P69" s="3">
        <f>40484.61-S69</f>
        <v>38551.5</v>
      </c>
      <c r="Q69" s="2">
        <f>214-T69</f>
        <v>213</v>
      </c>
      <c r="R69" s="90">
        <v>212725.59789999999</v>
      </c>
      <c r="S69" s="92">
        <v>1933.11</v>
      </c>
      <c r="T69" s="91">
        <v>1</v>
      </c>
      <c r="U69" s="90">
        <v>439340.9793548389</v>
      </c>
      <c r="V69" s="93">
        <v>1585.93</v>
      </c>
      <c r="W69" s="99">
        <f t="shared" si="59"/>
        <v>2713</v>
      </c>
      <c r="X69" s="90">
        <v>28895.56</v>
      </c>
      <c r="Y69" s="96">
        <v>72.991</v>
      </c>
      <c r="Z69" s="85">
        <v>172</v>
      </c>
      <c r="AA69" s="90">
        <v>129492</v>
      </c>
      <c r="AB69" s="85">
        <v>139</v>
      </c>
      <c r="AC69" s="90">
        <v>10717726.725000005</v>
      </c>
      <c r="AD69" s="91">
        <v>105</v>
      </c>
      <c r="AE69" s="90">
        <v>2693258.5554838711</v>
      </c>
      <c r="AF69" s="92">
        <v>8234.61</v>
      </c>
      <c r="AG69" s="91">
        <v>6</v>
      </c>
      <c r="AH69" s="87">
        <f>Weather!B237</f>
        <v>0.7</v>
      </c>
      <c r="AI69" s="87">
        <f>Weather!C237</f>
        <v>130.19999999999996</v>
      </c>
      <c r="AJ69" s="87">
        <f>Employment!B69</f>
        <v>6969.7</v>
      </c>
      <c r="AK69" s="87">
        <f>Employment!C69</f>
        <v>154.5</v>
      </c>
      <c r="AL69" s="114">
        <v>602010.30000000005</v>
      </c>
      <c r="AM69" s="95">
        <f t="shared" si="47"/>
        <v>31</v>
      </c>
      <c r="AN69" s="103">
        <v>20</v>
      </c>
      <c r="AO69" s="87">
        <v>68</v>
      </c>
      <c r="AP69" s="87">
        <f t="shared" ref="AP69:BD69" si="71">AP57</f>
        <v>0</v>
      </c>
      <c r="AQ69" s="87">
        <f t="shared" si="71"/>
        <v>0</v>
      </c>
      <c r="AR69" s="87">
        <f t="shared" si="71"/>
        <v>0</v>
      </c>
      <c r="AS69" s="87">
        <f t="shared" si="71"/>
        <v>0</v>
      </c>
      <c r="AT69" s="87">
        <f t="shared" si="71"/>
        <v>0</v>
      </c>
      <c r="AU69" s="87">
        <f t="shared" si="71"/>
        <v>0</v>
      </c>
      <c r="AV69" s="87">
        <f t="shared" si="71"/>
        <v>0</v>
      </c>
      <c r="AW69" s="87">
        <f t="shared" si="71"/>
        <v>1</v>
      </c>
      <c r="AX69" s="87">
        <f t="shared" si="71"/>
        <v>0</v>
      </c>
      <c r="AY69" s="87">
        <f t="shared" si="71"/>
        <v>0</v>
      </c>
      <c r="AZ69" s="87">
        <f t="shared" si="71"/>
        <v>0</v>
      </c>
      <c r="BA69" s="87">
        <f t="shared" si="71"/>
        <v>0</v>
      </c>
      <c r="BB69" s="87">
        <f t="shared" si="71"/>
        <v>0</v>
      </c>
      <c r="BC69" s="87">
        <f t="shared" si="71"/>
        <v>0</v>
      </c>
      <c r="BD69" s="87">
        <f t="shared" si="71"/>
        <v>0</v>
      </c>
    </row>
    <row r="70" spans="1:56">
      <c r="A70" s="88">
        <v>41883</v>
      </c>
      <c r="B70" s="122">
        <f t="shared" si="65"/>
        <v>9</v>
      </c>
      <c r="C70" s="89">
        <f t="shared" si="66"/>
        <v>2014</v>
      </c>
      <c r="D70" s="90">
        <f>33868847.8333333+999252</f>
        <v>34868099.833333299</v>
      </c>
      <c r="E70" s="90">
        <v>20441256.87788403</v>
      </c>
      <c r="F70" s="90">
        <f ca="1">OFFSET('Historic CDM'!$C$64,0,(ROW()-ROW(F$2))/12)/12</f>
        <v>409691.26556814712</v>
      </c>
      <c r="G70" s="90">
        <f t="shared" ca="1" si="67"/>
        <v>20850948.143452179</v>
      </c>
      <c r="H70" s="91">
        <v>26650</v>
      </c>
      <c r="I70" s="90">
        <f>5060965.32300741+178003.877</f>
        <v>5238969.2000074107</v>
      </c>
      <c r="J70" s="90">
        <f ca="1">OFFSET('Historic CDM'!$C$76,0,(ROW()-ROW(F$2))/12)/12</f>
        <v>195312.06947167395</v>
      </c>
      <c r="K70" s="90">
        <f t="shared" ca="1" si="68"/>
        <v>5434281.2694790848</v>
      </c>
      <c r="L70" s="85">
        <f>1899+14</f>
        <v>1913</v>
      </c>
      <c r="M70" s="90">
        <f>15185804.3566373-R70</f>
        <v>15115116.478937302</v>
      </c>
      <c r="N70" s="92">
        <f ca="1">OFFSET('Historic CDM'!$C$88,0,(ROW()-ROW(F$2))/12)/12</f>
        <v>443574.7020507566</v>
      </c>
      <c r="O70" s="1">
        <f t="shared" ca="1" si="63"/>
        <v>15488003.303288059</v>
      </c>
      <c r="P70" s="3">
        <f>40805.79-S70</f>
        <v>39269.440000000002</v>
      </c>
      <c r="Q70" s="2">
        <f>215-T70</f>
        <v>214</v>
      </c>
      <c r="R70" s="90">
        <v>70687.877699999997</v>
      </c>
      <c r="S70" s="92">
        <v>1536.35</v>
      </c>
      <c r="T70" s="91">
        <v>1</v>
      </c>
      <c r="U70" s="90">
        <v>494492.97030107508</v>
      </c>
      <c r="V70" s="93">
        <v>1585.6399999999999</v>
      </c>
      <c r="W70" s="99">
        <f>342+1171+619+579</f>
        <v>2711</v>
      </c>
      <c r="X70" s="90">
        <v>28936.79</v>
      </c>
      <c r="Y70" s="96">
        <v>72.991</v>
      </c>
      <c r="Z70" s="85">
        <v>172</v>
      </c>
      <c r="AA70" s="90">
        <v>129492</v>
      </c>
      <c r="AB70" s="85">
        <v>139</v>
      </c>
      <c r="AC70" s="90">
        <v>10723381.049999997</v>
      </c>
      <c r="AD70" s="91">
        <v>105</v>
      </c>
      <c r="AE70" s="90">
        <v>3111798.5992580657</v>
      </c>
      <c r="AF70" s="92">
        <v>8751.16</v>
      </c>
      <c r="AG70" s="91">
        <v>6</v>
      </c>
      <c r="AH70" s="87">
        <f>Weather!B238</f>
        <v>57.20000000000001</v>
      </c>
      <c r="AI70" s="87">
        <f>Weather!C238</f>
        <v>50.499999999999979</v>
      </c>
      <c r="AJ70" s="87">
        <f>Employment!B70</f>
        <v>6944.1</v>
      </c>
      <c r="AK70" s="87">
        <f>Employment!C70</f>
        <v>156.6</v>
      </c>
      <c r="AL70" s="114">
        <v>602010.30000000005</v>
      </c>
      <c r="AM70" s="95">
        <f t="shared" si="47"/>
        <v>30</v>
      </c>
      <c r="AN70" s="103">
        <v>21</v>
      </c>
      <c r="AO70" s="87">
        <v>69</v>
      </c>
      <c r="AP70" s="87">
        <f t="shared" ref="AP70:BD70" si="72">AP58</f>
        <v>0</v>
      </c>
      <c r="AQ70" s="87">
        <f t="shared" si="72"/>
        <v>0</v>
      </c>
      <c r="AR70" s="87">
        <f t="shared" si="72"/>
        <v>0</v>
      </c>
      <c r="AS70" s="87">
        <f t="shared" si="72"/>
        <v>0</v>
      </c>
      <c r="AT70" s="87">
        <f t="shared" si="72"/>
        <v>0</v>
      </c>
      <c r="AU70" s="87">
        <f t="shared" si="72"/>
        <v>0</v>
      </c>
      <c r="AV70" s="87">
        <f t="shared" si="72"/>
        <v>0</v>
      </c>
      <c r="AW70" s="87">
        <f t="shared" si="72"/>
        <v>0</v>
      </c>
      <c r="AX70" s="87">
        <f t="shared" si="72"/>
        <v>1</v>
      </c>
      <c r="AY70" s="87">
        <f t="shared" si="72"/>
        <v>0</v>
      </c>
      <c r="AZ70" s="87">
        <f t="shared" si="72"/>
        <v>0</v>
      </c>
      <c r="BA70" s="87">
        <f t="shared" si="72"/>
        <v>0</v>
      </c>
      <c r="BB70" s="87">
        <f t="shared" si="72"/>
        <v>0</v>
      </c>
      <c r="BC70" s="87">
        <f t="shared" si="72"/>
        <v>0</v>
      </c>
      <c r="BD70" s="87">
        <f t="shared" si="72"/>
        <v>0</v>
      </c>
    </row>
    <row r="71" spans="1:56">
      <c r="A71" s="88">
        <v>41913</v>
      </c>
      <c r="B71" s="122">
        <f t="shared" si="65"/>
        <v>10</v>
      </c>
      <c r="C71" s="89">
        <f t="shared" si="66"/>
        <v>2014</v>
      </c>
      <c r="D71" s="90">
        <f>28497337.5916667+967335</f>
        <v>29464672.591666698</v>
      </c>
      <c r="E71" s="90">
        <v>16498969.223520724</v>
      </c>
      <c r="F71" s="90">
        <f ca="1">OFFSET('Historic CDM'!$C$64,0,(ROW()-ROW(F$2))/12)/12</f>
        <v>409691.26556814712</v>
      </c>
      <c r="G71" s="90">
        <f t="shared" ca="1" si="67"/>
        <v>16908660.489088871</v>
      </c>
      <c r="H71" s="91">
        <v>26699</v>
      </c>
      <c r="I71" s="90">
        <f>4704621.86975167+194607.034</f>
        <v>4899228.9037516704</v>
      </c>
      <c r="J71" s="90">
        <f ca="1">OFFSET('Historic CDM'!$C$76,0,(ROW()-ROW(F$2))/12)/12</f>
        <v>195312.06947167395</v>
      </c>
      <c r="K71" s="90">
        <f t="shared" ca="1" si="68"/>
        <v>5094540.9732233444</v>
      </c>
      <c r="L71" s="85">
        <f>1909+22</f>
        <v>1931</v>
      </c>
      <c r="M71" s="90">
        <f>13783867.2641386-R71</f>
        <v>13738402.941138599</v>
      </c>
      <c r="N71" s="92">
        <f ca="1">OFFSET('Historic CDM'!$C$88,0,(ROW()-ROW(F$2))/12)/12</f>
        <v>443574.7020507566</v>
      </c>
      <c r="O71" s="1">
        <f t="shared" ca="1" si="63"/>
        <v>14136513.320189355</v>
      </c>
      <c r="P71" s="4">
        <f>9474.09-S71</f>
        <v>9474.09</v>
      </c>
      <c r="Q71" s="2">
        <f>215-T71</f>
        <v>214</v>
      </c>
      <c r="R71" s="90">
        <v>45464.322999999997</v>
      </c>
      <c r="S71" s="98">
        <v>0</v>
      </c>
      <c r="T71" s="91">
        <v>1</v>
      </c>
      <c r="U71" s="90">
        <v>584978.8703440862</v>
      </c>
      <c r="V71" s="97">
        <v>0</v>
      </c>
      <c r="W71" s="99">
        <f>342+1173+620+579</f>
        <v>2714</v>
      </c>
      <c r="X71" s="90">
        <v>28805.119999999999</v>
      </c>
      <c r="Y71" s="96">
        <v>72.991</v>
      </c>
      <c r="Z71" s="85">
        <v>172</v>
      </c>
      <c r="AA71" s="90">
        <v>129492</v>
      </c>
      <c r="AB71" s="85">
        <v>139</v>
      </c>
      <c r="AC71" s="90">
        <v>10952960.624999994</v>
      </c>
      <c r="AD71" s="91">
        <v>107</v>
      </c>
      <c r="AE71" s="90">
        <v>2963385.0591290318</v>
      </c>
      <c r="AF71" s="98">
        <v>0</v>
      </c>
      <c r="AG71" s="91">
        <v>6</v>
      </c>
      <c r="AH71" s="87">
        <f>Weather!B239</f>
        <v>179.7</v>
      </c>
      <c r="AI71" s="87">
        <f>Weather!C239</f>
        <v>3.9</v>
      </c>
      <c r="AJ71" s="87">
        <f>Employment!B71</f>
        <v>6936.6</v>
      </c>
      <c r="AK71" s="87">
        <f>Employment!C71</f>
        <v>158.30000000000001</v>
      </c>
      <c r="AL71" s="114">
        <v>602010.30000000005</v>
      </c>
      <c r="AM71" s="95">
        <f t="shared" si="47"/>
        <v>31</v>
      </c>
      <c r="AN71" s="103">
        <v>22</v>
      </c>
      <c r="AO71" s="87">
        <v>70</v>
      </c>
      <c r="AP71" s="87">
        <f t="shared" ref="AP71:BD71" si="73">AP59</f>
        <v>0</v>
      </c>
      <c r="AQ71" s="87">
        <f t="shared" si="73"/>
        <v>0</v>
      </c>
      <c r="AR71" s="87">
        <f t="shared" si="73"/>
        <v>0</v>
      </c>
      <c r="AS71" s="87">
        <f t="shared" si="73"/>
        <v>0</v>
      </c>
      <c r="AT71" s="87">
        <f t="shared" si="73"/>
        <v>0</v>
      </c>
      <c r="AU71" s="87">
        <f t="shared" si="73"/>
        <v>0</v>
      </c>
      <c r="AV71" s="87">
        <f t="shared" si="73"/>
        <v>0</v>
      </c>
      <c r="AW71" s="87">
        <f t="shared" si="73"/>
        <v>0</v>
      </c>
      <c r="AX71" s="87">
        <f t="shared" si="73"/>
        <v>0</v>
      </c>
      <c r="AY71" s="87">
        <f t="shared" si="73"/>
        <v>1</v>
      </c>
      <c r="AZ71" s="87">
        <f t="shared" si="73"/>
        <v>0</v>
      </c>
      <c r="BA71" s="87">
        <f t="shared" si="73"/>
        <v>0</v>
      </c>
      <c r="BB71" s="87">
        <f t="shared" si="73"/>
        <v>0</v>
      </c>
      <c r="BC71" s="87">
        <f t="shared" si="73"/>
        <v>1</v>
      </c>
      <c r="BD71" s="87">
        <f t="shared" si="73"/>
        <v>1</v>
      </c>
    </row>
    <row r="72" spans="1:56">
      <c r="A72" s="88">
        <v>41944</v>
      </c>
      <c r="B72" s="122">
        <f t="shared" si="65"/>
        <v>11</v>
      </c>
      <c r="C72" s="89">
        <f t="shared" si="66"/>
        <v>2014</v>
      </c>
      <c r="D72" s="90">
        <f>31317652.3416666+878259</f>
        <v>32195911.341666602</v>
      </c>
      <c r="E72" s="90">
        <v>18153521.452626154</v>
      </c>
      <c r="F72" s="90">
        <f ca="1">OFFSET('Historic CDM'!$C$64,0,(ROW()-ROW(F$2))/12)/12</f>
        <v>409691.26556814712</v>
      </c>
      <c r="G72" s="90">
        <f t="shared" ca="1" si="67"/>
        <v>18563212.718194302</v>
      </c>
      <c r="H72" s="91">
        <v>26657</v>
      </c>
      <c r="I72" s="90">
        <f>4895209.19302415+231434.229</f>
        <v>5126643.4220241504</v>
      </c>
      <c r="J72" s="90">
        <f ca="1">OFFSET('Historic CDM'!$C$76,0,(ROW()-ROW(F$2))/12)/12</f>
        <v>195312.06947167395</v>
      </c>
      <c r="K72" s="90">
        <f t="shared" ca="1" si="68"/>
        <v>5321955.4914958244</v>
      </c>
      <c r="L72" s="85">
        <f>1894+22</f>
        <v>1916</v>
      </c>
      <c r="M72" s="90">
        <f>13875333.5419237-R72</f>
        <v>13873911.4279237</v>
      </c>
      <c r="N72" s="92">
        <f ca="1">OFFSET('Historic CDM'!$C$88,0,(ROW()-ROW(F$2))/12)/12</f>
        <v>443574.7020507566</v>
      </c>
      <c r="O72" s="1">
        <f t="shared" ca="1" si="63"/>
        <v>14316064.015974456</v>
      </c>
      <c r="P72" s="3">
        <f>33904.09-S72</f>
        <v>33904.089999999997</v>
      </c>
      <c r="Q72" s="2">
        <f>204-T72</f>
        <v>203</v>
      </c>
      <c r="R72" s="90">
        <v>1422.114</v>
      </c>
      <c r="S72" s="98">
        <v>0</v>
      </c>
      <c r="T72" s="91">
        <v>1</v>
      </c>
      <c r="U72" s="90">
        <v>615178.17365591379</v>
      </c>
      <c r="V72" s="93">
        <v>1586.1999999999998</v>
      </c>
      <c r="W72" s="99">
        <f>342+1173+620+579</f>
        <v>2714</v>
      </c>
      <c r="X72" s="90">
        <v>28450.35</v>
      </c>
      <c r="Y72" s="96">
        <v>72.991</v>
      </c>
      <c r="Z72" s="85">
        <v>172</v>
      </c>
      <c r="AA72" s="90">
        <v>129708</v>
      </c>
      <c r="AB72" s="85">
        <v>141</v>
      </c>
      <c r="AC72" s="90">
        <v>10511825.174999995</v>
      </c>
      <c r="AD72" s="91">
        <v>108</v>
      </c>
      <c r="AE72" s="90">
        <v>3181573.1145376354</v>
      </c>
      <c r="AF72" s="92">
        <v>12248.460000000001</v>
      </c>
      <c r="AG72" s="91">
        <v>6</v>
      </c>
      <c r="AH72" s="87">
        <f>Weather!B240</f>
        <v>442</v>
      </c>
      <c r="AI72" s="87">
        <f>Weather!C240</f>
        <v>0</v>
      </c>
      <c r="AJ72" s="87">
        <f>Employment!B72</f>
        <v>6914.3</v>
      </c>
      <c r="AK72" s="87">
        <f>Employment!C72</f>
        <v>159.30000000000001</v>
      </c>
      <c r="AL72" s="114">
        <v>602010.30000000005</v>
      </c>
      <c r="AM72" s="95">
        <f t="shared" si="47"/>
        <v>30</v>
      </c>
      <c r="AN72" s="103">
        <v>20</v>
      </c>
      <c r="AO72" s="87">
        <v>71</v>
      </c>
      <c r="AP72" s="87">
        <f t="shared" ref="AP72:BD72" si="74">AP60</f>
        <v>0</v>
      </c>
      <c r="AQ72" s="87">
        <f t="shared" si="74"/>
        <v>0</v>
      </c>
      <c r="AR72" s="87">
        <f t="shared" si="74"/>
        <v>0</v>
      </c>
      <c r="AS72" s="87">
        <f t="shared" si="74"/>
        <v>0</v>
      </c>
      <c r="AT72" s="87">
        <f t="shared" si="74"/>
        <v>0</v>
      </c>
      <c r="AU72" s="87">
        <f t="shared" si="74"/>
        <v>0</v>
      </c>
      <c r="AV72" s="87">
        <f t="shared" si="74"/>
        <v>0</v>
      </c>
      <c r="AW72" s="87">
        <f t="shared" si="74"/>
        <v>0</v>
      </c>
      <c r="AX72" s="87">
        <f t="shared" si="74"/>
        <v>0</v>
      </c>
      <c r="AY72" s="87">
        <f t="shared" si="74"/>
        <v>0</v>
      </c>
      <c r="AZ72" s="87">
        <f t="shared" si="74"/>
        <v>1</v>
      </c>
      <c r="BA72" s="87">
        <f t="shared" si="74"/>
        <v>0</v>
      </c>
      <c r="BB72" s="87">
        <f t="shared" si="74"/>
        <v>0</v>
      </c>
      <c r="BC72" s="87">
        <f t="shared" si="74"/>
        <v>1</v>
      </c>
      <c r="BD72" s="87">
        <f t="shared" si="74"/>
        <v>1</v>
      </c>
    </row>
    <row r="73" spans="1:56">
      <c r="A73" s="88">
        <v>41974</v>
      </c>
      <c r="B73" s="122">
        <f t="shared" si="65"/>
        <v>12</v>
      </c>
      <c r="C73" s="89">
        <f t="shared" si="66"/>
        <v>2014</v>
      </c>
      <c r="D73" s="90">
        <f>36550456.9916667+910827</f>
        <v>37461283.991666697</v>
      </c>
      <c r="E73" s="90">
        <v>20562250.661753833</v>
      </c>
      <c r="F73" s="90">
        <f ca="1">OFFSET('Historic CDM'!$C$64,0,(ROW()-ROW(F$2))/12)/12</f>
        <v>409691.26556814712</v>
      </c>
      <c r="G73" s="90">
        <f t="shared" ca="1" si="67"/>
        <v>20971941.927321982</v>
      </c>
      <c r="H73" s="91">
        <v>26632</v>
      </c>
      <c r="I73" s="90">
        <f>5136380.61464962+275673.084</f>
        <v>5412053.6986496197</v>
      </c>
      <c r="J73" s="90">
        <f ca="1">OFFSET('Historic CDM'!$C$76,0,(ROW()-ROW(F$2))/12)/12</f>
        <v>195312.06947167395</v>
      </c>
      <c r="K73" s="90">
        <f t="shared" ca="1" si="68"/>
        <v>5607365.7681212937</v>
      </c>
      <c r="L73" s="85">
        <f>1895+22</f>
        <v>1917</v>
      </c>
      <c r="M73" s="90">
        <f>13953578.9020394-R73</f>
        <v>13951664.273039399</v>
      </c>
      <c r="N73" s="92">
        <f ca="1">OFFSET('Historic CDM'!$C$88,0,(ROW()-ROW(F$2))/12)/12</f>
        <v>443574.7020507566</v>
      </c>
      <c r="O73" s="1">
        <f t="shared" ca="1" si="63"/>
        <v>14393324.346090155</v>
      </c>
      <c r="P73" s="3">
        <f>35802.44-S73</f>
        <v>33906.19</v>
      </c>
      <c r="Q73" s="2">
        <f>208-T73</f>
        <v>207</v>
      </c>
      <c r="R73" s="90">
        <v>1914.6289999999999</v>
      </c>
      <c r="S73" s="92">
        <v>1896.25</v>
      </c>
      <c r="T73" s="91">
        <v>1</v>
      </c>
      <c r="U73" s="90">
        <v>673213.40279569884</v>
      </c>
      <c r="V73" s="97">
        <v>0</v>
      </c>
      <c r="W73" s="99">
        <f>342+1171+620+579</f>
        <v>2712</v>
      </c>
      <c r="X73" s="90">
        <v>28723.64</v>
      </c>
      <c r="Y73" s="96">
        <v>72.465999999999994</v>
      </c>
      <c r="Z73" s="85">
        <v>172</v>
      </c>
      <c r="AA73" s="90">
        <v>129708</v>
      </c>
      <c r="AB73" s="85">
        <v>141</v>
      </c>
      <c r="AC73" s="90">
        <v>7350885.3750000065</v>
      </c>
      <c r="AD73" s="91">
        <v>108</v>
      </c>
      <c r="AE73" s="90">
        <v>3333306.3464301089</v>
      </c>
      <c r="AF73" s="98">
        <v>54.88</v>
      </c>
      <c r="AG73" s="91">
        <v>6</v>
      </c>
      <c r="AH73" s="87">
        <f>Weather!B241</f>
        <v>513.9</v>
      </c>
      <c r="AI73" s="87">
        <f>Weather!C241</f>
        <v>0</v>
      </c>
      <c r="AJ73" s="87">
        <f>Employment!B73</f>
        <v>6903.2</v>
      </c>
      <c r="AK73" s="87">
        <f>Employment!C73</f>
        <v>161.1</v>
      </c>
      <c r="AL73" s="114">
        <v>602010.30000000005</v>
      </c>
      <c r="AM73" s="95">
        <f t="shared" si="47"/>
        <v>31</v>
      </c>
      <c r="AN73" s="103">
        <v>21</v>
      </c>
      <c r="AO73" s="87">
        <v>72</v>
      </c>
      <c r="AP73" s="87">
        <f t="shared" ref="AP73:BD73" si="75">AP61</f>
        <v>0</v>
      </c>
      <c r="AQ73" s="87">
        <f t="shared" si="75"/>
        <v>0</v>
      </c>
      <c r="AR73" s="87">
        <f t="shared" si="75"/>
        <v>0</v>
      </c>
      <c r="AS73" s="87">
        <f t="shared" si="75"/>
        <v>0</v>
      </c>
      <c r="AT73" s="87">
        <f t="shared" si="75"/>
        <v>0</v>
      </c>
      <c r="AU73" s="87">
        <f t="shared" si="75"/>
        <v>0</v>
      </c>
      <c r="AV73" s="87">
        <f t="shared" si="75"/>
        <v>0</v>
      </c>
      <c r="AW73" s="87">
        <f t="shared" si="75"/>
        <v>0</v>
      </c>
      <c r="AX73" s="87">
        <f t="shared" si="75"/>
        <v>0</v>
      </c>
      <c r="AY73" s="87">
        <f t="shared" si="75"/>
        <v>0</v>
      </c>
      <c r="AZ73" s="87">
        <f t="shared" si="75"/>
        <v>0</v>
      </c>
      <c r="BA73" s="87">
        <f t="shared" si="75"/>
        <v>1</v>
      </c>
      <c r="BB73" s="87">
        <f t="shared" si="75"/>
        <v>0</v>
      </c>
      <c r="BC73" s="87">
        <f t="shared" si="75"/>
        <v>0</v>
      </c>
      <c r="BD73" s="87">
        <f t="shared" si="75"/>
        <v>0</v>
      </c>
    </row>
    <row r="74" spans="1:56">
      <c r="A74" s="88">
        <v>42005</v>
      </c>
      <c r="B74" s="122">
        <f t="shared" si="65"/>
        <v>1</v>
      </c>
      <c r="C74" s="89">
        <f t="shared" si="66"/>
        <v>2015</v>
      </c>
      <c r="D74" s="90">
        <f>37101139.8333333+885078</f>
        <v>37986217.833333299</v>
      </c>
      <c r="E74" s="90">
        <v>21144902.536918789</v>
      </c>
      <c r="F74" s="90">
        <f ca="1">OFFSET('Historic CDM'!$C$64,0,(ROW()-ROW(F$2))/12)/12</f>
        <v>505087.22268422303</v>
      </c>
      <c r="G74" s="90">
        <f t="shared" ca="1" si="67"/>
        <v>21649989.759603012</v>
      </c>
      <c r="H74" s="91">
        <v>26696</v>
      </c>
      <c r="I74" s="90">
        <f>5493441.55321127+294355.614</f>
        <v>5787797.16721127</v>
      </c>
      <c r="J74" s="90">
        <f ca="1">OFFSET('Historic CDM'!$C$76,0,(ROW()-ROW(F$2))/12)/12</f>
        <v>296353.51802956476</v>
      </c>
      <c r="K74" s="90">
        <f t="shared" ca="1" si="68"/>
        <v>6084150.685240835</v>
      </c>
      <c r="L74" s="85">
        <f>1911+22</f>
        <v>1933</v>
      </c>
      <c r="M74" s="90">
        <f>14432946.4439258-R74</f>
        <v>14382674.0819258</v>
      </c>
      <c r="N74" s="92">
        <f ca="1">OFFSET('Historic CDM'!$C$88,0,(ROW()-ROW(F$2))/12)/12</f>
        <v>960577.722951898</v>
      </c>
      <c r="O74" s="1">
        <f t="shared" ca="1" si="63"/>
        <v>15292979.442877699</v>
      </c>
      <c r="P74" s="3">
        <f>34483.97-S74</f>
        <v>32214.21</v>
      </c>
      <c r="Q74" s="2">
        <f>211-T74</f>
        <v>210</v>
      </c>
      <c r="R74" s="90">
        <v>50272.362000000001</v>
      </c>
      <c r="S74" s="92">
        <v>2269.7600000000002</v>
      </c>
      <c r="T74" s="91">
        <v>1</v>
      </c>
      <c r="U74" s="90">
        <v>663671.72387096775</v>
      </c>
      <c r="V74" s="93">
        <v>1584.98</v>
      </c>
      <c r="W74" s="99">
        <f>342+1171+620+579</f>
        <v>2712</v>
      </c>
      <c r="X74" s="90">
        <v>28562.35</v>
      </c>
      <c r="Y74" s="96">
        <v>73.771000000000001</v>
      </c>
      <c r="Z74" s="85">
        <v>175</v>
      </c>
      <c r="AA74" s="90">
        <v>129846</v>
      </c>
      <c r="AB74" s="85">
        <v>141</v>
      </c>
      <c r="AC74" s="90">
        <v>9518965.0249999929</v>
      </c>
      <c r="AD74" s="91">
        <v>110</v>
      </c>
      <c r="AE74" s="90">
        <v>3747991.6729032253</v>
      </c>
      <c r="AF74" s="92">
        <v>8216.33</v>
      </c>
      <c r="AG74" s="91">
        <v>6</v>
      </c>
      <c r="AH74" s="87">
        <f>Weather!B242</f>
        <v>724.69999999999982</v>
      </c>
      <c r="AI74" s="87">
        <f>Weather!C242</f>
        <v>0</v>
      </c>
      <c r="AJ74" s="87">
        <f>Employment!B74</f>
        <v>6845.1</v>
      </c>
      <c r="AK74" s="87">
        <f>Employment!C74</f>
        <v>159.30000000000001</v>
      </c>
      <c r="AL74" s="114">
        <v>617456.5</v>
      </c>
      <c r="AM74" s="95">
        <f t="shared" si="47"/>
        <v>31</v>
      </c>
      <c r="AN74" s="103">
        <v>21</v>
      </c>
      <c r="AO74" s="87">
        <v>73</v>
      </c>
      <c r="AP74" s="87">
        <f t="shared" ref="AP74:BD74" si="76">AP62</f>
        <v>1</v>
      </c>
      <c r="AQ74" s="87">
        <f t="shared" si="76"/>
        <v>0</v>
      </c>
      <c r="AR74" s="87">
        <f t="shared" si="76"/>
        <v>0</v>
      </c>
      <c r="AS74" s="87">
        <f t="shared" si="76"/>
        <v>0</v>
      </c>
      <c r="AT74" s="87">
        <f t="shared" si="76"/>
        <v>0</v>
      </c>
      <c r="AU74" s="87">
        <f t="shared" si="76"/>
        <v>0</v>
      </c>
      <c r="AV74" s="87">
        <f t="shared" si="76"/>
        <v>0</v>
      </c>
      <c r="AW74" s="87">
        <f t="shared" si="76"/>
        <v>0</v>
      </c>
      <c r="AX74" s="87">
        <f t="shared" si="76"/>
        <v>0</v>
      </c>
      <c r="AY74" s="87">
        <f t="shared" si="76"/>
        <v>0</v>
      </c>
      <c r="AZ74" s="87">
        <f t="shared" si="76"/>
        <v>0</v>
      </c>
      <c r="BA74" s="87">
        <f t="shared" si="76"/>
        <v>0</v>
      </c>
      <c r="BB74" s="87">
        <f t="shared" si="76"/>
        <v>0</v>
      </c>
      <c r="BC74" s="87">
        <f t="shared" si="76"/>
        <v>0</v>
      </c>
      <c r="BD74" s="87">
        <f t="shared" si="76"/>
        <v>0</v>
      </c>
    </row>
    <row r="75" spans="1:56">
      <c r="A75" s="88">
        <v>42036</v>
      </c>
      <c r="B75" s="122">
        <f t="shared" si="65"/>
        <v>2</v>
      </c>
      <c r="C75" s="89">
        <f t="shared" si="66"/>
        <v>2015</v>
      </c>
      <c r="D75" s="90">
        <f>32855830.2583334+786287</f>
        <v>33642117.2583334</v>
      </c>
      <c r="E75" s="90">
        <v>18981596.480313338</v>
      </c>
      <c r="F75" s="90">
        <f ca="1">OFFSET('Historic CDM'!$C$64,0,(ROW()-ROW(F$2))/12)/12</f>
        <v>505087.22268422303</v>
      </c>
      <c r="G75" s="90">
        <f t="shared" ca="1" si="67"/>
        <v>19486683.702997562</v>
      </c>
      <c r="H75" s="91">
        <v>26689</v>
      </c>
      <c r="I75" s="90">
        <f>5124600.0122406+289490.352</f>
        <v>5414090.3642405998</v>
      </c>
      <c r="J75" s="90">
        <f ca="1">OFFSET('Historic CDM'!$C$76,0,(ROW()-ROW(F$2))/12)/12</f>
        <v>296353.51802956476</v>
      </c>
      <c r="K75" s="90">
        <f t="shared" ca="1" si="68"/>
        <v>5710443.8822701648</v>
      </c>
      <c r="L75" s="85">
        <f>1914+22</f>
        <v>1936</v>
      </c>
      <c r="M75" s="90">
        <f>12761674.9236474-R75</f>
        <v>12760001.305647399</v>
      </c>
      <c r="N75" s="92">
        <f ca="1">OFFSET('Historic CDM'!$C$88,0,(ROW()-ROW(F$2))/12)/12</f>
        <v>960577.722951898</v>
      </c>
      <c r="O75" s="1">
        <f t="shared" ca="1" si="63"/>
        <v>13718905.410599297</v>
      </c>
      <c r="P75" s="3">
        <f>36312.48-S75</f>
        <v>34206.710000000006</v>
      </c>
      <c r="Q75" s="2">
        <f>210-T75</f>
        <v>209</v>
      </c>
      <c r="R75" s="90">
        <v>1673.6179999999999</v>
      </c>
      <c r="S75" s="92">
        <v>2105.77</v>
      </c>
      <c r="T75" s="91">
        <v>1</v>
      </c>
      <c r="U75" s="90">
        <v>596898.43999999994</v>
      </c>
      <c r="V75" s="93">
        <v>1583.46</v>
      </c>
      <c r="W75" s="99">
        <f>342+1169+622+578</f>
        <v>2711</v>
      </c>
      <c r="X75" s="90">
        <v>25375.119999999999</v>
      </c>
      <c r="Y75" s="96">
        <v>73.575999999999993</v>
      </c>
      <c r="Z75" s="85">
        <v>175</v>
      </c>
      <c r="AA75" s="90">
        <v>129846</v>
      </c>
      <c r="AB75" s="85">
        <v>141</v>
      </c>
      <c r="AC75" s="90">
        <v>10020039.149999985</v>
      </c>
      <c r="AD75" s="91">
        <v>110</v>
      </c>
      <c r="AE75" s="90">
        <v>3564671.3903571423</v>
      </c>
      <c r="AF75" s="92">
        <v>8552.2599999999984</v>
      </c>
      <c r="AG75" s="91">
        <v>6</v>
      </c>
      <c r="AH75" s="87">
        <f>Weather!B243</f>
        <v>757.39999999999986</v>
      </c>
      <c r="AI75" s="87">
        <f>Weather!C243</f>
        <v>0</v>
      </c>
      <c r="AJ75" s="87">
        <f>Employment!B75</f>
        <v>6810.3</v>
      </c>
      <c r="AK75" s="87">
        <f>Employment!C75</f>
        <v>159.1</v>
      </c>
      <c r="AL75" s="114">
        <v>617456.5</v>
      </c>
      <c r="AM75" s="95">
        <f t="shared" si="47"/>
        <v>28</v>
      </c>
      <c r="AN75" s="103">
        <v>19</v>
      </c>
      <c r="AO75" s="87">
        <v>74</v>
      </c>
      <c r="AP75" s="87">
        <f t="shared" ref="AP75:BD75" si="77">AP63</f>
        <v>0</v>
      </c>
      <c r="AQ75" s="87">
        <f t="shared" si="77"/>
        <v>1</v>
      </c>
      <c r="AR75" s="87">
        <f t="shared" si="77"/>
        <v>0</v>
      </c>
      <c r="AS75" s="87">
        <f t="shared" si="77"/>
        <v>0</v>
      </c>
      <c r="AT75" s="87">
        <f t="shared" si="77"/>
        <v>0</v>
      </c>
      <c r="AU75" s="87">
        <f t="shared" si="77"/>
        <v>0</v>
      </c>
      <c r="AV75" s="87">
        <f t="shared" si="77"/>
        <v>0</v>
      </c>
      <c r="AW75" s="87">
        <f t="shared" si="77"/>
        <v>0</v>
      </c>
      <c r="AX75" s="87">
        <f t="shared" si="77"/>
        <v>0</v>
      </c>
      <c r="AY75" s="87">
        <f t="shared" si="77"/>
        <v>0</v>
      </c>
      <c r="AZ75" s="87">
        <f t="shared" si="77"/>
        <v>0</v>
      </c>
      <c r="BA75" s="87">
        <f t="shared" si="77"/>
        <v>0</v>
      </c>
      <c r="BB75" s="87">
        <f t="shared" si="77"/>
        <v>0</v>
      </c>
      <c r="BC75" s="87">
        <f t="shared" si="77"/>
        <v>0</v>
      </c>
      <c r="BD75" s="87">
        <f t="shared" si="77"/>
        <v>0</v>
      </c>
    </row>
    <row r="76" spans="1:56">
      <c r="A76" s="88">
        <v>42064</v>
      </c>
      <c r="B76" s="122">
        <f t="shared" si="65"/>
        <v>3</v>
      </c>
      <c r="C76" s="89">
        <f t="shared" si="66"/>
        <v>2015</v>
      </c>
      <c r="D76" s="90">
        <f>29464934.025+890807</f>
        <v>30355741.024999999</v>
      </c>
      <c r="E76" s="90">
        <v>18468773.038460109</v>
      </c>
      <c r="F76" s="90">
        <f ca="1">OFFSET('Historic CDM'!$C$64,0,(ROW()-ROW(F$2))/12)/12</f>
        <v>505087.22268422303</v>
      </c>
      <c r="G76" s="90">
        <f t="shared" ca="1" si="67"/>
        <v>18973860.261144333</v>
      </c>
      <c r="H76" s="91">
        <v>26693</v>
      </c>
      <c r="I76" s="90">
        <f>5192414.16928117+334017.949</f>
        <v>5526432.1182811698</v>
      </c>
      <c r="J76" s="90">
        <f ca="1">OFFSET('Historic CDM'!$C$76,0,(ROW()-ROW(F$2))/12)/12</f>
        <v>296353.51802956476</v>
      </c>
      <c r="K76" s="90">
        <f t="shared" ca="1" si="68"/>
        <v>5822785.6363107348</v>
      </c>
      <c r="L76" s="85">
        <f>1898+24</f>
        <v>1922</v>
      </c>
      <c r="M76" s="90">
        <f>13288528.0041637-R76</f>
        <v>13288528.004163699</v>
      </c>
      <c r="N76" s="92">
        <f ca="1">OFFSET('Historic CDM'!$C$88,0,(ROW()-ROW(F$2))/12)/12</f>
        <v>960577.722951898</v>
      </c>
      <c r="O76" s="1">
        <f t="shared" ca="1" si="63"/>
        <v>14249105.727115598</v>
      </c>
      <c r="P76" s="3">
        <f>33050.21-S76</f>
        <v>33050.21</v>
      </c>
      <c r="Q76" s="2">
        <f>209-T76</f>
        <v>209</v>
      </c>
      <c r="R76" s="90">
        <v>0</v>
      </c>
      <c r="S76" s="92">
        <v>0</v>
      </c>
      <c r="T76" s="91">
        <v>0</v>
      </c>
      <c r="U76" s="90">
        <v>556096.50516129029</v>
      </c>
      <c r="V76" s="93">
        <v>1578.88</v>
      </c>
      <c r="W76" s="99">
        <f>342+1169+622+578</f>
        <v>2711</v>
      </c>
      <c r="X76" s="90">
        <v>31348.16</v>
      </c>
      <c r="Y76" s="96">
        <v>73.381</v>
      </c>
      <c r="Z76" s="85">
        <v>174</v>
      </c>
      <c r="AA76" s="90">
        <v>129846</v>
      </c>
      <c r="AB76" s="85">
        <v>141</v>
      </c>
      <c r="AC76" s="90">
        <v>12587058.849999994</v>
      </c>
      <c r="AD76" s="91">
        <v>111</v>
      </c>
      <c r="AE76" s="90">
        <v>3449912.4741589865</v>
      </c>
      <c r="AF76" s="92">
        <v>8104.84</v>
      </c>
      <c r="AG76" s="91">
        <v>6</v>
      </c>
      <c r="AH76" s="87">
        <f>Weather!B244</f>
        <v>508.7</v>
      </c>
      <c r="AI76" s="87">
        <f>Weather!C244</f>
        <v>0</v>
      </c>
      <c r="AJ76" s="87">
        <f>Employment!B76</f>
        <v>6783.7</v>
      </c>
      <c r="AK76" s="87">
        <f>Employment!C76</f>
        <v>156.1</v>
      </c>
      <c r="AL76" s="114">
        <v>617456.5</v>
      </c>
      <c r="AM76" s="95">
        <f t="shared" si="47"/>
        <v>31</v>
      </c>
      <c r="AN76" s="103">
        <v>22</v>
      </c>
      <c r="AO76" s="87">
        <v>75</v>
      </c>
      <c r="AP76" s="87">
        <f t="shared" ref="AP76:BD76" si="78">AP64</f>
        <v>0</v>
      </c>
      <c r="AQ76" s="87">
        <f t="shared" si="78"/>
        <v>0</v>
      </c>
      <c r="AR76" s="87">
        <f t="shared" si="78"/>
        <v>1</v>
      </c>
      <c r="AS76" s="87">
        <f t="shared" si="78"/>
        <v>0</v>
      </c>
      <c r="AT76" s="87">
        <f t="shared" si="78"/>
        <v>0</v>
      </c>
      <c r="AU76" s="87">
        <f t="shared" si="78"/>
        <v>0</v>
      </c>
      <c r="AV76" s="87">
        <f t="shared" si="78"/>
        <v>0</v>
      </c>
      <c r="AW76" s="87">
        <f t="shared" si="78"/>
        <v>0</v>
      </c>
      <c r="AX76" s="87">
        <f t="shared" si="78"/>
        <v>0</v>
      </c>
      <c r="AY76" s="87">
        <f t="shared" si="78"/>
        <v>0</v>
      </c>
      <c r="AZ76" s="87">
        <f t="shared" si="78"/>
        <v>0</v>
      </c>
      <c r="BA76" s="87">
        <f t="shared" si="78"/>
        <v>0</v>
      </c>
      <c r="BB76" s="87">
        <f t="shared" si="78"/>
        <v>1</v>
      </c>
      <c r="BC76" s="87">
        <f t="shared" si="78"/>
        <v>0</v>
      </c>
      <c r="BD76" s="87">
        <f t="shared" si="78"/>
        <v>1</v>
      </c>
    </row>
    <row r="77" spans="1:56">
      <c r="A77" s="88">
        <v>42095</v>
      </c>
      <c r="B77" s="122">
        <f t="shared" si="65"/>
        <v>4</v>
      </c>
      <c r="C77" s="89">
        <f t="shared" si="66"/>
        <v>2015</v>
      </c>
      <c r="D77" s="90">
        <f>26156212.9333333+895865</f>
        <v>27052077.9333333</v>
      </c>
      <c r="E77" s="90">
        <v>15860000.307653211</v>
      </c>
      <c r="F77" s="90">
        <f ca="1">OFFSET('Historic CDM'!$C$64,0,(ROW()-ROW(F$2))/12)/12</f>
        <v>505087.22268422303</v>
      </c>
      <c r="G77" s="90">
        <f t="shared" ca="1" si="67"/>
        <v>16365087.530337434</v>
      </c>
      <c r="H77" s="91">
        <v>26705</v>
      </c>
      <c r="I77" s="90">
        <f>4602737.43310704+303058.771</f>
        <v>4905796.2041070396</v>
      </c>
      <c r="J77" s="90">
        <f ca="1">OFFSET('Historic CDM'!$C$76,0,(ROW()-ROW(F$2))/12)/12</f>
        <v>296353.51802956476</v>
      </c>
      <c r="K77" s="90">
        <f t="shared" ca="1" si="68"/>
        <v>5202149.7221366046</v>
      </c>
      <c r="L77" s="85">
        <f>1908+25</f>
        <v>1933</v>
      </c>
      <c r="M77" s="90">
        <f>12590304.3127611-R77</f>
        <v>12590304.3127611</v>
      </c>
      <c r="N77" s="92">
        <f ca="1">OFFSET('Historic CDM'!$C$88,0,(ROW()-ROW(F$2))/12)/12</f>
        <v>960577.722951898</v>
      </c>
      <c r="O77" s="1">
        <f t="shared" ca="1" si="63"/>
        <v>13550882.035712998</v>
      </c>
      <c r="P77" s="3">
        <f>36905.54-S77</f>
        <v>36905.54</v>
      </c>
      <c r="Q77" s="2">
        <f>209-T77</f>
        <v>209</v>
      </c>
      <c r="R77" s="90">
        <v>0</v>
      </c>
      <c r="S77" s="92">
        <v>0</v>
      </c>
      <c r="T77" s="91">
        <v>0</v>
      </c>
      <c r="U77" s="90">
        <v>466543.74117204297</v>
      </c>
      <c r="V77" s="93">
        <v>1578.88</v>
      </c>
      <c r="W77" s="99">
        <f>342+1169+622+578</f>
        <v>2711</v>
      </c>
      <c r="X77" s="90">
        <v>28925.040000000001</v>
      </c>
      <c r="Y77" s="96">
        <v>73.381</v>
      </c>
      <c r="Z77" s="85">
        <v>174</v>
      </c>
      <c r="AA77" s="90">
        <v>129846</v>
      </c>
      <c r="AB77" s="85">
        <v>141</v>
      </c>
      <c r="AC77" s="90">
        <v>11348000.475000009</v>
      </c>
      <c r="AD77" s="91">
        <v>122</v>
      </c>
      <c r="AE77" s="90">
        <v>3013820.8871505372</v>
      </c>
      <c r="AF77" s="92">
        <v>7557.72</v>
      </c>
      <c r="AG77" s="91">
        <v>6</v>
      </c>
      <c r="AH77" s="87">
        <f>Weather!B245</f>
        <v>257.39999999999992</v>
      </c>
      <c r="AI77" s="87">
        <f>Weather!C245</f>
        <v>0</v>
      </c>
      <c r="AJ77" s="87">
        <f>Employment!B77</f>
        <v>6805.6</v>
      </c>
      <c r="AK77" s="87">
        <f>Employment!C77</f>
        <v>156.4</v>
      </c>
      <c r="AL77" s="114">
        <v>617456.5</v>
      </c>
      <c r="AM77" s="95">
        <f t="shared" si="47"/>
        <v>30</v>
      </c>
      <c r="AN77" s="103">
        <v>20</v>
      </c>
      <c r="AO77" s="87">
        <v>76</v>
      </c>
      <c r="AP77" s="87">
        <f t="shared" ref="AP77:BD77" si="79">AP65</f>
        <v>0</v>
      </c>
      <c r="AQ77" s="87">
        <f t="shared" si="79"/>
        <v>0</v>
      </c>
      <c r="AR77" s="87">
        <f t="shared" si="79"/>
        <v>0</v>
      </c>
      <c r="AS77" s="87">
        <f t="shared" si="79"/>
        <v>1</v>
      </c>
      <c r="AT77" s="87">
        <f t="shared" si="79"/>
        <v>0</v>
      </c>
      <c r="AU77" s="87">
        <f t="shared" si="79"/>
        <v>0</v>
      </c>
      <c r="AV77" s="87">
        <f t="shared" si="79"/>
        <v>0</v>
      </c>
      <c r="AW77" s="87">
        <f t="shared" si="79"/>
        <v>0</v>
      </c>
      <c r="AX77" s="87">
        <f t="shared" si="79"/>
        <v>0</v>
      </c>
      <c r="AY77" s="87">
        <f t="shared" si="79"/>
        <v>0</v>
      </c>
      <c r="AZ77" s="87">
        <f t="shared" si="79"/>
        <v>0</v>
      </c>
      <c r="BA77" s="87">
        <f t="shared" si="79"/>
        <v>0</v>
      </c>
      <c r="BB77" s="87">
        <f t="shared" si="79"/>
        <v>1</v>
      </c>
      <c r="BC77" s="87">
        <f t="shared" si="79"/>
        <v>0</v>
      </c>
      <c r="BD77" s="87">
        <f t="shared" si="79"/>
        <v>1</v>
      </c>
    </row>
    <row r="78" spans="1:56">
      <c r="A78" s="88">
        <v>42125</v>
      </c>
      <c r="B78" s="122">
        <f t="shared" si="65"/>
        <v>5</v>
      </c>
      <c r="C78" s="89">
        <f t="shared" si="66"/>
        <v>2015</v>
      </c>
      <c r="D78" s="90">
        <f>29234027.5166667+1032506</f>
        <v>30266533.516666699</v>
      </c>
      <c r="E78" s="90">
        <v>18146670.997808222</v>
      </c>
      <c r="F78" s="90">
        <f ca="1">OFFSET('Historic CDM'!$C$64,0,(ROW()-ROW(F$2))/12)/12</f>
        <v>505087.22268422303</v>
      </c>
      <c r="G78" s="90">
        <f t="shared" ca="1" si="67"/>
        <v>18651758.220492445</v>
      </c>
      <c r="H78" s="91">
        <v>26784</v>
      </c>
      <c r="I78" s="90">
        <f>4927693.58068249+245333.49</f>
        <v>5173027.0706824902</v>
      </c>
      <c r="J78" s="90">
        <f ca="1">OFFSET('Historic CDM'!$C$76,0,(ROW()-ROW(F$2))/12)/12</f>
        <v>296353.51802956476</v>
      </c>
      <c r="K78" s="90">
        <f t="shared" ca="1" si="68"/>
        <v>5469380.5887120552</v>
      </c>
      <c r="L78" s="85">
        <f>1914+24</f>
        <v>1938</v>
      </c>
      <c r="M78" s="90">
        <f>13166429.8753755-R78</f>
        <v>13166429.8753755</v>
      </c>
      <c r="N78" s="92">
        <f ca="1">OFFSET('Historic CDM'!$C$88,0,(ROW()-ROW(F$2))/12)/12</f>
        <v>960577.722951898</v>
      </c>
      <c r="O78" s="1">
        <f t="shared" ca="1" si="63"/>
        <v>14127007.598327398</v>
      </c>
      <c r="P78" s="3">
        <f>38440.32-S78</f>
        <v>38440.32</v>
      </c>
      <c r="Q78" s="2">
        <f>209-T78</f>
        <v>209</v>
      </c>
      <c r="R78" s="90">
        <v>0</v>
      </c>
      <c r="S78" s="92">
        <v>0</v>
      </c>
      <c r="T78" s="91">
        <v>0</v>
      </c>
      <c r="U78" s="90">
        <v>418301.06237634399</v>
      </c>
      <c r="V78" s="93">
        <v>1577.22</v>
      </c>
      <c r="W78" s="99">
        <f>342+1170+616+566</f>
        <v>2694</v>
      </c>
      <c r="X78" s="90">
        <v>28223.26</v>
      </c>
      <c r="Y78" s="96">
        <v>73.381</v>
      </c>
      <c r="Z78" s="85">
        <v>174</v>
      </c>
      <c r="AA78" s="90">
        <v>129846</v>
      </c>
      <c r="AB78" s="85">
        <v>141</v>
      </c>
      <c r="AC78" s="90">
        <v>10912242.225000003</v>
      </c>
      <c r="AD78" s="91">
        <v>122</v>
      </c>
      <c r="AE78" s="90">
        <v>2960403.2767204312</v>
      </c>
      <c r="AF78" s="92">
        <v>7989.75</v>
      </c>
      <c r="AG78" s="91">
        <v>6</v>
      </c>
      <c r="AH78" s="87">
        <f>Weather!B246</f>
        <v>68.7</v>
      </c>
      <c r="AI78" s="87">
        <f>Weather!C246</f>
        <v>64.099999999999994</v>
      </c>
      <c r="AJ78" s="87">
        <f>Employment!B78</f>
        <v>6870.9</v>
      </c>
      <c r="AK78" s="87">
        <f>Employment!C78</f>
        <v>159.1</v>
      </c>
      <c r="AL78" s="114">
        <v>617456.5</v>
      </c>
      <c r="AM78" s="95">
        <f t="shared" si="47"/>
        <v>31</v>
      </c>
      <c r="AN78" s="103">
        <v>20</v>
      </c>
      <c r="AO78" s="87">
        <v>77</v>
      </c>
      <c r="AP78" s="87">
        <f t="shared" ref="AP78:BD78" si="80">AP66</f>
        <v>0</v>
      </c>
      <c r="AQ78" s="87">
        <f t="shared" si="80"/>
        <v>0</v>
      </c>
      <c r="AR78" s="87">
        <f t="shared" si="80"/>
        <v>0</v>
      </c>
      <c r="AS78" s="87">
        <f t="shared" si="80"/>
        <v>0</v>
      </c>
      <c r="AT78" s="87">
        <f t="shared" si="80"/>
        <v>1</v>
      </c>
      <c r="AU78" s="87">
        <f t="shared" si="80"/>
        <v>0</v>
      </c>
      <c r="AV78" s="87">
        <f t="shared" si="80"/>
        <v>0</v>
      </c>
      <c r="AW78" s="87">
        <f t="shared" si="80"/>
        <v>0</v>
      </c>
      <c r="AX78" s="87">
        <f t="shared" si="80"/>
        <v>0</v>
      </c>
      <c r="AY78" s="87">
        <f t="shared" si="80"/>
        <v>0</v>
      </c>
      <c r="AZ78" s="87">
        <f t="shared" si="80"/>
        <v>0</v>
      </c>
      <c r="BA78" s="87">
        <f t="shared" si="80"/>
        <v>0</v>
      </c>
      <c r="BB78" s="87">
        <f t="shared" si="80"/>
        <v>1</v>
      </c>
      <c r="BC78" s="87">
        <f t="shared" si="80"/>
        <v>0</v>
      </c>
      <c r="BD78" s="87">
        <f t="shared" si="80"/>
        <v>1</v>
      </c>
    </row>
    <row r="79" spans="1:56">
      <c r="A79" s="88">
        <v>42156</v>
      </c>
      <c r="B79" s="122">
        <f t="shared" si="65"/>
        <v>6</v>
      </c>
      <c r="C79" s="89">
        <f t="shared" si="66"/>
        <v>2015</v>
      </c>
      <c r="D79" s="90">
        <f>36453831.3916667+1045403</f>
        <v>37499234.391666703</v>
      </c>
      <c r="E79" s="90">
        <v>21678045.174554426</v>
      </c>
      <c r="F79" s="90">
        <f ca="1">OFFSET('Historic CDM'!$C$64,0,(ROW()-ROW(F$2))/12)/12</f>
        <v>505087.22268422303</v>
      </c>
      <c r="G79" s="90">
        <f t="shared" ca="1" si="67"/>
        <v>22183132.397238649</v>
      </c>
      <c r="H79" s="91">
        <v>26847</v>
      </c>
      <c r="I79" s="90">
        <f>5197417.04087498+263188.794</f>
        <v>5460605.8348749802</v>
      </c>
      <c r="J79" s="90">
        <f ca="1">OFFSET('Historic CDM'!$C$76,0,(ROW()-ROW(F$2))/12)/12</f>
        <v>296353.51802956476</v>
      </c>
      <c r="K79" s="90">
        <f t="shared" ca="1" si="68"/>
        <v>5756959.3529045451</v>
      </c>
      <c r="L79" s="85">
        <f>1912+23</f>
        <v>1935</v>
      </c>
      <c r="M79" s="90">
        <f>13859094.1055026-R79</f>
        <v>13859094.1055026</v>
      </c>
      <c r="N79" s="92">
        <f ca="1">OFFSET('Historic CDM'!$C$88,0,(ROW()-ROW(F$2))/12)/12</f>
        <v>960577.722951898</v>
      </c>
      <c r="O79" s="1">
        <f t="shared" ca="1" si="63"/>
        <v>14819671.828454498</v>
      </c>
      <c r="P79" s="3">
        <f>41486.72-S79</f>
        <v>41486.720000000001</v>
      </c>
      <c r="Q79" s="2">
        <f>210-T79</f>
        <v>210</v>
      </c>
      <c r="R79" s="90">
        <v>0</v>
      </c>
      <c r="S79" s="92">
        <v>0</v>
      </c>
      <c r="T79" s="91">
        <v>0</v>
      </c>
      <c r="U79" s="90">
        <v>367932.77495698922</v>
      </c>
      <c r="V79" s="93">
        <v>1572.26</v>
      </c>
      <c r="W79" s="99">
        <f>342+1170+616+566</f>
        <v>2694</v>
      </c>
      <c r="X79" s="90">
        <v>28389.27</v>
      </c>
      <c r="Y79" s="96">
        <v>73.381</v>
      </c>
      <c r="Z79" s="85">
        <v>174</v>
      </c>
      <c r="AA79" s="90">
        <v>129846</v>
      </c>
      <c r="AB79" s="85">
        <v>141</v>
      </c>
      <c r="AC79" s="90">
        <v>9436155.7999999989</v>
      </c>
      <c r="AD79" s="91">
        <v>122</v>
      </c>
      <c r="AE79" s="90">
        <v>3221522.3712795703</v>
      </c>
      <c r="AF79" s="92">
        <v>8550.31</v>
      </c>
      <c r="AG79" s="91">
        <v>6</v>
      </c>
      <c r="AH79" s="87">
        <f>Weather!B247</f>
        <v>13.1</v>
      </c>
      <c r="AI79" s="87">
        <f>Weather!C247</f>
        <v>89.59999999999998</v>
      </c>
      <c r="AJ79" s="87">
        <f>Employment!B79</f>
        <v>6965.8</v>
      </c>
      <c r="AK79" s="87">
        <f>Employment!C79</f>
        <v>163.9</v>
      </c>
      <c r="AL79" s="114">
        <v>617456.5</v>
      </c>
      <c r="AM79" s="95">
        <f t="shared" si="47"/>
        <v>30</v>
      </c>
      <c r="AN79" s="103">
        <v>22</v>
      </c>
      <c r="AO79" s="87">
        <v>78</v>
      </c>
      <c r="AP79" s="87">
        <f t="shared" ref="AP79:BD79" si="81">AP67</f>
        <v>0</v>
      </c>
      <c r="AQ79" s="87">
        <f t="shared" si="81"/>
        <v>0</v>
      </c>
      <c r="AR79" s="87">
        <f t="shared" si="81"/>
        <v>0</v>
      </c>
      <c r="AS79" s="87">
        <f t="shared" si="81"/>
        <v>0</v>
      </c>
      <c r="AT79" s="87">
        <f t="shared" si="81"/>
        <v>0</v>
      </c>
      <c r="AU79" s="87">
        <f t="shared" si="81"/>
        <v>1</v>
      </c>
      <c r="AV79" s="87">
        <f t="shared" si="81"/>
        <v>0</v>
      </c>
      <c r="AW79" s="87">
        <f t="shared" si="81"/>
        <v>0</v>
      </c>
      <c r="AX79" s="87">
        <f t="shared" si="81"/>
        <v>0</v>
      </c>
      <c r="AY79" s="87">
        <f t="shared" si="81"/>
        <v>0</v>
      </c>
      <c r="AZ79" s="87">
        <f t="shared" si="81"/>
        <v>0</v>
      </c>
      <c r="BA79" s="87">
        <f t="shared" si="81"/>
        <v>0</v>
      </c>
      <c r="BB79" s="87">
        <f t="shared" si="81"/>
        <v>0</v>
      </c>
      <c r="BC79" s="87">
        <f t="shared" si="81"/>
        <v>0</v>
      </c>
      <c r="BD79" s="87">
        <f t="shared" si="81"/>
        <v>0</v>
      </c>
    </row>
    <row r="80" spans="1:56">
      <c r="A80" s="88">
        <v>42186</v>
      </c>
      <c r="B80" s="122">
        <f t="shared" si="65"/>
        <v>7</v>
      </c>
      <c r="C80" s="89">
        <f t="shared" si="66"/>
        <v>2015</v>
      </c>
      <c r="D80" s="90">
        <f>46760067.5583333+1127449</f>
        <v>47887516.5583333</v>
      </c>
      <c r="E80" s="90">
        <v>27487968.266794369</v>
      </c>
      <c r="F80" s="90">
        <f ca="1">OFFSET('Historic CDM'!$C$64,0,(ROW()-ROW(F$2))/12)/12</f>
        <v>505087.22268422303</v>
      </c>
      <c r="G80" s="90">
        <f t="shared" ca="1" si="67"/>
        <v>27993055.489478592</v>
      </c>
      <c r="H80" s="91">
        <v>26870</v>
      </c>
      <c r="I80" s="90">
        <f>5893906.46436799+319645.94</f>
        <v>6213552.4043679908</v>
      </c>
      <c r="J80" s="90">
        <f ca="1">OFFSET('Historic CDM'!$C$76,0,(ROW()-ROW(F$2))/12)/12</f>
        <v>296353.51802956476</v>
      </c>
      <c r="K80" s="90">
        <f t="shared" ca="1" si="68"/>
        <v>6509905.9223975558</v>
      </c>
      <c r="L80" s="85">
        <f>1929+23</f>
        <v>1952</v>
      </c>
      <c r="M80" s="90">
        <f>16203562.3543957-R80</f>
        <v>16203562.354395701</v>
      </c>
      <c r="N80" s="92">
        <f ca="1">OFFSET('Historic CDM'!$C$88,0,(ROW()-ROW(F$2))/12)/12</f>
        <v>960577.722951898</v>
      </c>
      <c r="O80" s="1">
        <f t="shared" ca="1" si="63"/>
        <v>17164140.077347599</v>
      </c>
      <c r="P80" s="3">
        <f>43488.02-S80</f>
        <v>43488.02</v>
      </c>
      <c r="Q80" s="2">
        <f>211-T80</f>
        <v>211</v>
      </c>
      <c r="R80" s="90">
        <v>0</v>
      </c>
      <c r="S80" s="92">
        <v>0</v>
      </c>
      <c r="T80" s="91">
        <v>0</v>
      </c>
      <c r="U80" s="90">
        <v>389186.03568817204</v>
      </c>
      <c r="V80" s="93">
        <v>1572.26</v>
      </c>
      <c r="W80" s="99">
        <f>342+1170+616+566</f>
        <v>2694</v>
      </c>
      <c r="X80" s="90">
        <v>28171.75</v>
      </c>
      <c r="Y80" s="96">
        <v>73.381</v>
      </c>
      <c r="Z80" s="85">
        <v>174</v>
      </c>
      <c r="AA80" s="90">
        <v>129846</v>
      </c>
      <c r="AB80" s="85">
        <v>141</v>
      </c>
      <c r="AC80" s="90">
        <v>9380512.1750000082</v>
      </c>
      <c r="AD80" s="91">
        <v>122</v>
      </c>
      <c r="AE80" s="90">
        <v>4072605.144849461</v>
      </c>
      <c r="AF80" s="92">
        <v>20428.809999999998</v>
      </c>
      <c r="AG80" s="91">
        <v>6</v>
      </c>
      <c r="AH80" s="87">
        <f>Weather!B248</f>
        <v>1.9</v>
      </c>
      <c r="AI80" s="87">
        <f>Weather!C248</f>
        <v>152.89999999999998</v>
      </c>
      <c r="AJ80" s="87">
        <f>Employment!B80</f>
        <v>7032.3</v>
      </c>
      <c r="AK80" s="87">
        <f>Employment!C80</f>
        <v>164.8</v>
      </c>
      <c r="AL80" s="114">
        <v>617456.5</v>
      </c>
      <c r="AM80" s="95">
        <f t="shared" si="47"/>
        <v>31</v>
      </c>
      <c r="AN80" s="103">
        <v>22</v>
      </c>
      <c r="AO80" s="87">
        <v>79</v>
      </c>
      <c r="AP80" s="87">
        <f t="shared" ref="AP80:BD80" si="82">AP68</f>
        <v>0</v>
      </c>
      <c r="AQ80" s="87">
        <f t="shared" si="82"/>
        <v>0</v>
      </c>
      <c r="AR80" s="87">
        <f t="shared" si="82"/>
        <v>0</v>
      </c>
      <c r="AS80" s="87">
        <f t="shared" si="82"/>
        <v>0</v>
      </c>
      <c r="AT80" s="87">
        <f t="shared" si="82"/>
        <v>0</v>
      </c>
      <c r="AU80" s="87">
        <f t="shared" si="82"/>
        <v>0</v>
      </c>
      <c r="AV80" s="87">
        <f t="shared" si="82"/>
        <v>1</v>
      </c>
      <c r="AW80" s="87">
        <f t="shared" si="82"/>
        <v>0</v>
      </c>
      <c r="AX80" s="87">
        <f t="shared" si="82"/>
        <v>0</v>
      </c>
      <c r="AY80" s="87">
        <f t="shared" si="82"/>
        <v>0</v>
      </c>
      <c r="AZ80" s="87">
        <f t="shared" si="82"/>
        <v>0</v>
      </c>
      <c r="BA80" s="87">
        <f t="shared" si="82"/>
        <v>0</v>
      </c>
      <c r="BB80" s="87">
        <f t="shared" si="82"/>
        <v>0</v>
      </c>
      <c r="BC80" s="87">
        <f t="shared" si="82"/>
        <v>0</v>
      </c>
      <c r="BD80" s="87">
        <f t="shared" si="82"/>
        <v>0</v>
      </c>
    </row>
    <row r="81" spans="1:56">
      <c r="A81" s="88">
        <v>42217</v>
      </c>
      <c r="B81" s="122">
        <f t="shared" si="65"/>
        <v>8</v>
      </c>
      <c r="C81" s="89">
        <f t="shared" si="66"/>
        <v>2015</v>
      </c>
      <c r="D81" s="90">
        <f>44995166.15+1125561</f>
        <v>46120727.149999999</v>
      </c>
      <c r="E81" s="90">
        <v>28198521.483793493</v>
      </c>
      <c r="F81" s="90">
        <f ca="1">OFFSET('Historic CDM'!$C$64,0,(ROW()-ROW(F$2))/12)/12</f>
        <v>505087.22268422303</v>
      </c>
      <c r="G81" s="90">
        <f t="shared" ca="1" si="67"/>
        <v>28703608.706477717</v>
      </c>
      <c r="H81" s="91">
        <v>26865</v>
      </c>
      <c r="I81" s="90">
        <f>5985562.89477421+280226.087</f>
        <v>6265788.98177421</v>
      </c>
      <c r="J81" s="90">
        <f ca="1">OFFSET('Historic CDM'!$C$76,0,(ROW()-ROW(F$2))/12)/12</f>
        <v>296353.51802956476</v>
      </c>
      <c r="K81" s="90">
        <f t="shared" ca="1" si="68"/>
        <v>6562142.499803775</v>
      </c>
      <c r="L81" s="85">
        <f>1904+23</f>
        <v>1927</v>
      </c>
      <c r="M81" s="90">
        <f>16257143.5963399-R81</f>
        <v>16257143.5963399</v>
      </c>
      <c r="N81" s="92">
        <f ca="1">OFFSET('Historic CDM'!$C$88,0,(ROW()-ROW(F$2))/12)/12</f>
        <v>960577.722951898</v>
      </c>
      <c r="O81" s="1">
        <f t="shared" ca="1" si="63"/>
        <v>17217721.319291797</v>
      </c>
      <c r="P81" s="3">
        <f>43026.24-S81</f>
        <v>43026.239999999998</v>
      </c>
      <c r="Q81" s="2">
        <f>213-T81</f>
        <v>213</v>
      </c>
      <c r="R81" s="90">
        <v>0</v>
      </c>
      <c r="S81" s="92">
        <v>0</v>
      </c>
      <c r="T81" s="91">
        <v>0</v>
      </c>
      <c r="U81" s="90">
        <v>424948.41967741953</v>
      </c>
      <c r="V81" s="93">
        <v>1572.26</v>
      </c>
      <c r="W81" s="99">
        <f>342+1170+616+566</f>
        <v>2694</v>
      </c>
      <c r="X81" s="90">
        <v>28439.15</v>
      </c>
      <c r="Y81" s="96">
        <v>73.381</v>
      </c>
      <c r="Z81" s="85">
        <v>174</v>
      </c>
      <c r="AA81" s="90">
        <v>129846</v>
      </c>
      <c r="AB81" s="85">
        <v>141</v>
      </c>
      <c r="AC81" s="90">
        <v>9578386.1999999955</v>
      </c>
      <c r="AD81" s="91">
        <v>123</v>
      </c>
      <c r="AE81" s="90">
        <v>3555685.4567741938</v>
      </c>
      <c r="AF81" s="92">
        <v>8965.11</v>
      </c>
      <c r="AG81" s="91">
        <v>6</v>
      </c>
      <c r="AH81" s="87">
        <f>Weather!B249</f>
        <v>3.2</v>
      </c>
      <c r="AI81" s="87">
        <f>Weather!C249</f>
        <v>138.69999999999999</v>
      </c>
      <c r="AJ81" s="87">
        <f>Employment!B81</f>
        <v>7045.7</v>
      </c>
      <c r="AK81" s="87">
        <f>Employment!C81</f>
        <v>160.80000000000001</v>
      </c>
      <c r="AL81" s="114">
        <v>617456.5</v>
      </c>
      <c r="AM81" s="95">
        <f t="shared" si="47"/>
        <v>31</v>
      </c>
      <c r="AN81" s="103">
        <v>20</v>
      </c>
      <c r="AO81" s="87">
        <v>80</v>
      </c>
      <c r="AP81" s="87">
        <f t="shared" ref="AP81:BD81" si="83">AP69</f>
        <v>0</v>
      </c>
      <c r="AQ81" s="87">
        <f t="shared" si="83"/>
        <v>0</v>
      </c>
      <c r="AR81" s="87">
        <f t="shared" si="83"/>
        <v>0</v>
      </c>
      <c r="AS81" s="87">
        <f t="shared" si="83"/>
        <v>0</v>
      </c>
      <c r="AT81" s="87">
        <f t="shared" si="83"/>
        <v>0</v>
      </c>
      <c r="AU81" s="87">
        <f t="shared" si="83"/>
        <v>0</v>
      </c>
      <c r="AV81" s="87">
        <f t="shared" si="83"/>
        <v>0</v>
      </c>
      <c r="AW81" s="87">
        <f t="shared" si="83"/>
        <v>1</v>
      </c>
      <c r="AX81" s="87">
        <f t="shared" si="83"/>
        <v>0</v>
      </c>
      <c r="AY81" s="87">
        <f t="shared" si="83"/>
        <v>0</v>
      </c>
      <c r="AZ81" s="87">
        <f t="shared" si="83"/>
        <v>0</v>
      </c>
      <c r="BA81" s="87">
        <f t="shared" si="83"/>
        <v>0</v>
      </c>
      <c r="BB81" s="87">
        <f t="shared" si="83"/>
        <v>0</v>
      </c>
      <c r="BC81" s="87">
        <f t="shared" si="83"/>
        <v>0</v>
      </c>
      <c r="BD81" s="87">
        <f t="shared" si="83"/>
        <v>0</v>
      </c>
    </row>
    <row r="82" spans="1:56">
      <c r="A82" s="88">
        <v>42248</v>
      </c>
      <c r="B82" s="122">
        <f t="shared" si="65"/>
        <v>9</v>
      </c>
      <c r="C82" s="89">
        <f t="shared" si="66"/>
        <v>2015</v>
      </c>
      <c r="D82" s="90">
        <f>41127603.4166667+1044219</f>
        <v>42171822.416666701</v>
      </c>
      <c r="E82" s="90">
        <v>22310368.243970346</v>
      </c>
      <c r="F82" s="90">
        <f ca="1">OFFSET('Historic CDM'!$C$64,0,(ROW()-ROW(F$2))/12)/12</f>
        <v>505087.22268422303</v>
      </c>
      <c r="G82" s="90">
        <f t="shared" ca="1" si="67"/>
        <v>22815455.466654569</v>
      </c>
      <c r="H82" s="91">
        <v>26902</v>
      </c>
      <c r="I82" s="90">
        <f>5360675.13793021+265974.507</f>
        <v>5626649.64493021</v>
      </c>
      <c r="J82" s="90">
        <f ca="1">OFFSET('Historic CDM'!$C$76,0,(ROW()-ROW(F$2))/12)/12</f>
        <v>296353.51802956476</v>
      </c>
      <c r="K82" s="90">
        <f t="shared" ca="1" si="68"/>
        <v>5923003.162959775</v>
      </c>
      <c r="L82" s="85">
        <f>1916+23</f>
        <v>1939</v>
      </c>
      <c r="M82" s="90">
        <f>16858791.7239787-R82</f>
        <v>16858791.723978698</v>
      </c>
      <c r="N82" s="92">
        <f ca="1">OFFSET('Historic CDM'!$C$88,0,(ROW()-ROW(F$2))/12)/12</f>
        <v>960577.722951898</v>
      </c>
      <c r="O82" s="1">
        <f t="shared" ca="1" si="63"/>
        <v>17819369.446930595</v>
      </c>
      <c r="P82" s="3">
        <f>45383.63-S82</f>
        <v>45383.63</v>
      </c>
      <c r="Q82" s="2">
        <f>221-T82</f>
        <v>221</v>
      </c>
      <c r="R82" s="90">
        <v>0</v>
      </c>
      <c r="S82" s="92">
        <v>0</v>
      </c>
      <c r="T82" s="91">
        <v>0</v>
      </c>
      <c r="U82" s="90">
        <v>491516.65430107515</v>
      </c>
      <c r="V82" s="93">
        <v>1576.54</v>
      </c>
      <c r="W82" s="99">
        <f>342+1173+616+564</f>
        <v>2695</v>
      </c>
      <c r="X82" s="90">
        <v>28945.87</v>
      </c>
      <c r="Y82" s="96">
        <v>73.381</v>
      </c>
      <c r="Z82" s="85">
        <v>174</v>
      </c>
      <c r="AA82" s="90">
        <v>129846</v>
      </c>
      <c r="AB82" s="85">
        <v>141</v>
      </c>
      <c r="AC82" s="90">
        <v>9386864.1999999899</v>
      </c>
      <c r="AD82" s="91">
        <v>123</v>
      </c>
      <c r="AE82" s="90">
        <v>3226818.3953763442</v>
      </c>
      <c r="AF82" s="92">
        <v>9208.8599999999988</v>
      </c>
      <c r="AG82" s="91">
        <v>6</v>
      </c>
      <c r="AH82" s="87">
        <f>Weather!B250</f>
        <v>10.8</v>
      </c>
      <c r="AI82" s="87">
        <f>Weather!C250</f>
        <v>109.19999999999997</v>
      </c>
      <c r="AJ82" s="87">
        <f>Employment!B82</f>
        <v>6994.9</v>
      </c>
      <c r="AK82" s="87">
        <f>Employment!C82</f>
        <v>156.69999999999999</v>
      </c>
      <c r="AL82" s="114">
        <v>617456.5</v>
      </c>
      <c r="AM82" s="95">
        <f t="shared" si="47"/>
        <v>30</v>
      </c>
      <c r="AN82" s="103">
        <v>21</v>
      </c>
      <c r="AO82" s="87">
        <v>81</v>
      </c>
      <c r="AP82" s="87">
        <f t="shared" ref="AP82:BD82" si="84">AP70</f>
        <v>0</v>
      </c>
      <c r="AQ82" s="87">
        <f t="shared" si="84"/>
        <v>0</v>
      </c>
      <c r="AR82" s="87">
        <f t="shared" si="84"/>
        <v>0</v>
      </c>
      <c r="AS82" s="87">
        <f t="shared" si="84"/>
        <v>0</v>
      </c>
      <c r="AT82" s="87">
        <f t="shared" si="84"/>
        <v>0</v>
      </c>
      <c r="AU82" s="87">
        <f t="shared" si="84"/>
        <v>0</v>
      </c>
      <c r="AV82" s="87">
        <f t="shared" si="84"/>
        <v>0</v>
      </c>
      <c r="AW82" s="87">
        <f t="shared" si="84"/>
        <v>0</v>
      </c>
      <c r="AX82" s="87">
        <f t="shared" si="84"/>
        <v>1</v>
      </c>
      <c r="AY82" s="87">
        <f t="shared" si="84"/>
        <v>0</v>
      </c>
      <c r="AZ82" s="87">
        <f t="shared" si="84"/>
        <v>0</v>
      </c>
      <c r="BA82" s="87">
        <f t="shared" si="84"/>
        <v>0</v>
      </c>
      <c r="BB82" s="87">
        <f t="shared" si="84"/>
        <v>0</v>
      </c>
      <c r="BC82" s="87">
        <f t="shared" si="84"/>
        <v>0</v>
      </c>
      <c r="BD82" s="87">
        <f t="shared" si="84"/>
        <v>0</v>
      </c>
    </row>
    <row r="83" spans="1:56">
      <c r="A83" s="88">
        <v>42278</v>
      </c>
      <c r="B83" s="122">
        <f t="shared" si="65"/>
        <v>10</v>
      </c>
      <c r="C83" s="89">
        <f t="shared" si="66"/>
        <v>2015</v>
      </c>
      <c r="D83" s="90">
        <f>29631966.0833333+931215</f>
        <v>30563181.083333299</v>
      </c>
      <c r="E83" s="90">
        <v>16809564.168180183</v>
      </c>
      <c r="F83" s="90">
        <f ca="1">OFFSET('Historic CDM'!$C$64,0,(ROW()-ROW(F$2))/12)/12</f>
        <v>505087.22268422303</v>
      </c>
      <c r="G83" s="90">
        <f t="shared" ca="1" si="67"/>
        <v>17314651.390864406</v>
      </c>
      <c r="H83" s="91">
        <v>27019</v>
      </c>
      <c r="I83" s="90">
        <f>4798850.69341669+224004.029</f>
        <v>5022854.7224166906</v>
      </c>
      <c r="J83" s="90">
        <f ca="1">OFFSET('Historic CDM'!$C$76,0,(ROW()-ROW(F$2))/12)/12</f>
        <v>296353.51802956476</v>
      </c>
      <c r="K83" s="90">
        <f t="shared" ca="1" si="68"/>
        <v>5319208.2404462555</v>
      </c>
      <c r="L83" s="85">
        <f>1924+23</f>
        <v>1947</v>
      </c>
      <c r="M83" s="90">
        <f>14885839.6033179-R83</f>
        <v>14885839.6033179</v>
      </c>
      <c r="N83" s="92">
        <f ca="1">OFFSET('Historic CDM'!$C$88,0,(ROW()-ROW(F$2))/12)/12</f>
        <v>960577.722951898</v>
      </c>
      <c r="O83" s="1">
        <f t="shared" ca="1" si="63"/>
        <v>15846417.326269798</v>
      </c>
      <c r="P83" s="3">
        <f>32315.7-S83</f>
        <v>32315.7</v>
      </c>
      <c r="Q83" s="2">
        <f>212-T83</f>
        <v>212</v>
      </c>
      <c r="R83" s="90">
        <v>0</v>
      </c>
      <c r="S83" s="92">
        <v>0</v>
      </c>
      <c r="T83" s="91">
        <v>0</v>
      </c>
      <c r="U83" s="90">
        <v>569456.54344086023</v>
      </c>
      <c r="V83" s="97">
        <v>668.19</v>
      </c>
      <c r="W83" s="99">
        <f>342+1173+616+564</f>
        <v>2695</v>
      </c>
      <c r="X83" s="90">
        <v>27826.31</v>
      </c>
      <c r="Y83" s="96">
        <v>73.381</v>
      </c>
      <c r="Z83" s="85">
        <v>174</v>
      </c>
      <c r="AA83" s="90">
        <v>129846</v>
      </c>
      <c r="AB83" s="85">
        <v>141</v>
      </c>
      <c r="AC83" s="90">
        <v>9422553.9749999922</v>
      </c>
      <c r="AD83" s="91">
        <v>123</v>
      </c>
      <c r="AE83" s="90">
        <v>2870640.9004301084</v>
      </c>
      <c r="AF83" s="92">
        <v>7009.0700000000006</v>
      </c>
      <c r="AG83" s="91">
        <v>6</v>
      </c>
      <c r="AH83" s="87">
        <f>Weather!B251</f>
        <v>157.80000000000001</v>
      </c>
      <c r="AI83" s="87">
        <f>Weather!C251</f>
        <v>2.6</v>
      </c>
      <c r="AJ83" s="87">
        <f>Employment!B83</f>
        <v>6969</v>
      </c>
      <c r="AK83" s="87">
        <f>Employment!C83</f>
        <v>155.1</v>
      </c>
      <c r="AL83" s="114">
        <v>617456.5</v>
      </c>
      <c r="AM83" s="95">
        <f t="shared" si="47"/>
        <v>31</v>
      </c>
      <c r="AN83" s="103">
        <v>21</v>
      </c>
      <c r="AO83" s="87">
        <v>82</v>
      </c>
      <c r="AP83" s="87">
        <f t="shared" ref="AP83:BD83" si="85">AP71</f>
        <v>0</v>
      </c>
      <c r="AQ83" s="87">
        <f t="shared" si="85"/>
        <v>0</v>
      </c>
      <c r="AR83" s="87">
        <f t="shared" si="85"/>
        <v>0</v>
      </c>
      <c r="AS83" s="87">
        <f t="shared" si="85"/>
        <v>0</v>
      </c>
      <c r="AT83" s="87">
        <f t="shared" si="85"/>
        <v>0</v>
      </c>
      <c r="AU83" s="87">
        <f t="shared" si="85"/>
        <v>0</v>
      </c>
      <c r="AV83" s="87">
        <f t="shared" si="85"/>
        <v>0</v>
      </c>
      <c r="AW83" s="87">
        <f t="shared" si="85"/>
        <v>0</v>
      </c>
      <c r="AX83" s="87">
        <f t="shared" si="85"/>
        <v>0</v>
      </c>
      <c r="AY83" s="87">
        <f t="shared" si="85"/>
        <v>1</v>
      </c>
      <c r="AZ83" s="87">
        <f t="shared" si="85"/>
        <v>0</v>
      </c>
      <c r="BA83" s="87">
        <f t="shared" si="85"/>
        <v>0</v>
      </c>
      <c r="BB83" s="87">
        <f t="shared" si="85"/>
        <v>0</v>
      </c>
      <c r="BC83" s="87">
        <f t="shared" si="85"/>
        <v>1</v>
      </c>
      <c r="BD83" s="87">
        <f t="shared" si="85"/>
        <v>1</v>
      </c>
    </row>
    <row r="84" spans="1:56">
      <c r="A84" s="88">
        <v>42309</v>
      </c>
      <c r="B84" s="122">
        <f t="shared" si="65"/>
        <v>11</v>
      </c>
      <c r="C84" s="89">
        <f t="shared" si="66"/>
        <v>2015</v>
      </c>
      <c r="D84" s="90">
        <f>29677720.5416667+875685</f>
        <v>30553405.541666701</v>
      </c>
      <c r="E84" s="90">
        <v>16511877.946045045</v>
      </c>
      <c r="F84" s="90">
        <f ca="1">OFFSET('Historic CDM'!$C$64,0,(ROW()-ROW(F$2))/12)/12</f>
        <v>505087.22268422303</v>
      </c>
      <c r="G84" s="90">
        <f t="shared" ca="1" si="67"/>
        <v>17016965.168729268</v>
      </c>
      <c r="H84" s="91">
        <v>26903</v>
      </c>
      <c r="I84" s="90">
        <f>4627444.69948454+219432.638</f>
        <v>4846877.3374845404</v>
      </c>
      <c r="J84" s="90">
        <f ca="1">OFFSET('Historic CDM'!$C$76,0,(ROW()-ROW(F$2))/12)/12</f>
        <v>296353.51802956476</v>
      </c>
      <c r="K84" s="90">
        <f t="shared" ca="1" si="68"/>
        <v>5143230.8555141054</v>
      </c>
      <c r="L84" s="85">
        <f>1914+23</f>
        <v>1937</v>
      </c>
      <c r="M84" s="90">
        <f>14269209.2316697-R84</f>
        <v>14269209.2316697</v>
      </c>
      <c r="N84" s="92">
        <f ca="1">OFFSET('Historic CDM'!$C$88,0,(ROW()-ROW(F$2))/12)/12</f>
        <v>960577.722951898</v>
      </c>
      <c r="O84" s="1">
        <f t="shared" ca="1" si="63"/>
        <v>15229786.954621598</v>
      </c>
      <c r="P84" s="3">
        <f>35927.85-S84</f>
        <v>35927.85</v>
      </c>
      <c r="Q84" s="2">
        <f>214-T84</f>
        <v>214</v>
      </c>
      <c r="R84" s="90">
        <v>0</v>
      </c>
      <c r="S84" s="92">
        <v>0</v>
      </c>
      <c r="T84" s="91">
        <v>0</v>
      </c>
      <c r="U84" s="90">
        <v>612027.67189247312</v>
      </c>
      <c r="V84" s="93">
        <v>1579.1799999999998</v>
      </c>
      <c r="W84" s="99">
        <f>343+1163+621+571</f>
        <v>2698</v>
      </c>
      <c r="X84" s="90">
        <v>26973.29</v>
      </c>
      <c r="Y84" s="96">
        <v>73.186000000000007</v>
      </c>
      <c r="Z84" s="85">
        <v>173</v>
      </c>
      <c r="AA84" s="90">
        <v>129846</v>
      </c>
      <c r="AB84" s="85">
        <v>141</v>
      </c>
      <c r="AC84" s="90">
        <v>8533754.4000000004</v>
      </c>
      <c r="AD84" s="91">
        <v>123</v>
      </c>
      <c r="AE84" s="90">
        <v>2607046.8809032259</v>
      </c>
      <c r="AF84" s="92">
        <v>6169.45</v>
      </c>
      <c r="AG84" s="91">
        <v>4</v>
      </c>
      <c r="AH84" s="87">
        <f>Weather!B252</f>
        <v>286.60000000000002</v>
      </c>
      <c r="AI84" s="87">
        <f>Weather!C252</f>
        <v>0.5</v>
      </c>
      <c r="AJ84" s="87">
        <f>Employment!B84</f>
        <v>6936.9</v>
      </c>
      <c r="AK84" s="87">
        <f>Employment!C84</f>
        <v>155.19999999999999</v>
      </c>
      <c r="AL84" s="114">
        <v>617456.5</v>
      </c>
      <c r="AM84" s="95">
        <f t="shared" si="47"/>
        <v>30</v>
      </c>
      <c r="AN84" s="103">
        <v>21</v>
      </c>
      <c r="AO84" s="87">
        <v>83</v>
      </c>
      <c r="AP84" s="87">
        <f t="shared" ref="AP84:BD84" si="86">AP72</f>
        <v>0</v>
      </c>
      <c r="AQ84" s="87">
        <f t="shared" si="86"/>
        <v>0</v>
      </c>
      <c r="AR84" s="87">
        <f t="shared" si="86"/>
        <v>0</v>
      </c>
      <c r="AS84" s="87">
        <f t="shared" si="86"/>
        <v>0</v>
      </c>
      <c r="AT84" s="87">
        <f t="shared" si="86"/>
        <v>0</v>
      </c>
      <c r="AU84" s="87">
        <f t="shared" si="86"/>
        <v>0</v>
      </c>
      <c r="AV84" s="87">
        <f t="shared" si="86"/>
        <v>0</v>
      </c>
      <c r="AW84" s="87">
        <f t="shared" si="86"/>
        <v>0</v>
      </c>
      <c r="AX84" s="87">
        <f t="shared" si="86"/>
        <v>0</v>
      </c>
      <c r="AY84" s="87">
        <f t="shared" si="86"/>
        <v>0</v>
      </c>
      <c r="AZ84" s="87">
        <f t="shared" si="86"/>
        <v>1</v>
      </c>
      <c r="BA84" s="87">
        <f t="shared" si="86"/>
        <v>0</v>
      </c>
      <c r="BB84" s="87">
        <f t="shared" si="86"/>
        <v>0</v>
      </c>
      <c r="BC84" s="87">
        <f t="shared" si="86"/>
        <v>1</v>
      </c>
      <c r="BD84" s="87">
        <f t="shared" si="86"/>
        <v>1</v>
      </c>
    </row>
    <row r="85" spans="1:56">
      <c r="A85" s="88">
        <v>42339</v>
      </c>
      <c r="B85" s="122">
        <f t="shared" si="65"/>
        <v>12</v>
      </c>
      <c r="C85" s="89">
        <f t="shared" si="66"/>
        <v>2015</v>
      </c>
      <c r="D85" s="90">
        <f>33645243.2666667+897127</f>
        <v>34542370.266666703</v>
      </c>
      <c r="E85" s="90">
        <v>19158950.834403008</v>
      </c>
      <c r="F85" s="90">
        <f ca="1">OFFSET('Historic CDM'!$C$64,0,(ROW()-ROW(F$2))/12)/12</f>
        <v>505087.22268422303</v>
      </c>
      <c r="G85" s="90">
        <f t="shared" ca="1" si="67"/>
        <v>19664038.057087231</v>
      </c>
      <c r="H85" s="91">
        <v>26808</v>
      </c>
      <c r="I85" s="90">
        <f>4848708.86073439+237398.564</f>
        <v>5086107.4247343903</v>
      </c>
      <c r="J85" s="90">
        <f ca="1">OFFSET('Historic CDM'!$C$76,0,(ROW()-ROW(F$2))/12)/12</f>
        <v>296353.51802956476</v>
      </c>
      <c r="K85" s="90">
        <f t="shared" ca="1" si="68"/>
        <v>5382460.9427639553</v>
      </c>
      <c r="L85" s="85">
        <f>1906+23</f>
        <v>1929</v>
      </c>
      <c r="M85" s="90">
        <f>13404433.2913804-R85</f>
        <v>13404433.2913804</v>
      </c>
      <c r="N85" s="92">
        <f ca="1">OFFSET('Historic CDM'!$C$88,0,(ROW()-ROW(F$2))/12)/12</f>
        <v>960577.722951898</v>
      </c>
      <c r="O85" s="1">
        <f t="shared" ca="1" si="63"/>
        <v>14365011.014332298</v>
      </c>
      <c r="P85" s="3">
        <f>42708.33-S85</f>
        <v>42708.33</v>
      </c>
      <c r="Q85" s="2">
        <f>216-T85</f>
        <v>216</v>
      </c>
      <c r="R85" s="90">
        <v>0</v>
      </c>
      <c r="S85" s="92">
        <v>0</v>
      </c>
      <c r="T85" s="91">
        <v>0</v>
      </c>
      <c r="U85" s="90">
        <v>670483.25262365583</v>
      </c>
      <c r="V85" s="93">
        <v>1578.57</v>
      </c>
      <c r="W85" s="99">
        <f>343+1163+621+571</f>
        <v>2698</v>
      </c>
      <c r="X85" s="90">
        <v>29956.05</v>
      </c>
      <c r="Y85" s="96">
        <v>73.186000000000007</v>
      </c>
      <c r="Z85" s="85">
        <v>173</v>
      </c>
      <c r="AA85" s="90">
        <v>129846</v>
      </c>
      <c r="AB85" s="85">
        <v>141</v>
      </c>
      <c r="AC85" s="90">
        <v>7068793.7749999939</v>
      </c>
      <c r="AD85" s="91">
        <v>123</v>
      </c>
      <c r="AE85" s="90">
        <v>2364501.2390967743</v>
      </c>
      <c r="AF85" s="92">
        <v>6045.3099999999995</v>
      </c>
      <c r="AG85" s="91">
        <v>4</v>
      </c>
      <c r="AH85" s="87">
        <f>Weather!B253</f>
        <v>392.2</v>
      </c>
      <c r="AI85" s="87">
        <f>Weather!C253</f>
        <v>0</v>
      </c>
      <c r="AJ85" s="87">
        <f>Employment!B85</f>
        <v>6948.2</v>
      </c>
      <c r="AK85" s="87">
        <f>Employment!C85</f>
        <v>155.19999999999999</v>
      </c>
      <c r="AL85" s="114">
        <v>617456.5</v>
      </c>
      <c r="AM85" s="95">
        <f t="shared" si="47"/>
        <v>31</v>
      </c>
      <c r="AN85" s="103">
        <v>21</v>
      </c>
      <c r="AO85" s="87">
        <v>84</v>
      </c>
      <c r="AP85" s="87">
        <f t="shared" ref="AP85:BD85" si="87">AP73</f>
        <v>0</v>
      </c>
      <c r="AQ85" s="87">
        <f t="shared" si="87"/>
        <v>0</v>
      </c>
      <c r="AR85" s="87">
        <f t="shared" si="87"/>
        <v>0</v>
      </c>
      <c r="AS85" s="87">
        <f t="shared" si="87"/>
        <v>0</v>
      </c>
      <c r="AT85" s="87">
        <f t="shared" si="87"/>
        <v>0</v>
      </c>
      <c r="AU85" s="87">
        <f t="shared" si="87"/>
        <v>0</v>
      </c>
      <c r="AV85" s="87">
        <f t="shared" si="87"/>
        <v>0</v>
      </c>
      <c r="AW85" s="87">
        <f t="shared" si="87"/>
        <v>0</v>
      </c>
      <c r="AX85" s="87">
        <f t="shared" si="87"/>
        <v>0</v>
      </c>
      <c r="AY85" s="87">
        <f t="shared" si="87"/>
        <v>0</v>
      </c>
      <c r="AZ85" s="87">
        <f t="shared" si="87"/>
        <v>0</v>
      </c>
      <c r="BA85" s="87">
        <f t="shared" si="87"/>
        <v>1</v>
      </c>
      <c r="BB85" s="87">
        <f t="shared" si="87"/>
        <v>0</v>
      </c>
      <c r="BC85" s="87">
        <f t="shared" si="87"/>
        <v>0</v>
      </c>
      <c r="BD85" s="87">
        <f t="shared" si="87"/>
        <v>0</v>
      </c>
    </row>
    <row r="86" spans="1:56">
      <c r="A86" s="88">
        <v>42370</v>
      </c>
      <c r="B86" s="122">
        <f t="shared" si="65"/>
        <v>1</v>
      </c>
      <c r="C86" s="89">
        <f t="shared" si="66"/>
        <v>2016</v>
      </c>
      <c r="D86" s="90">
        <f>33943259.875+858693</f>
        <v>34801952.875</v>
      </c>
      <c r="E86" s="90">
        <v>19916070.899167106</v>
      </c>
      <c r="F86" s="90">
        <f ca="1">OFFSET('Historic CDM'!$C$64,0,(ROW()-ROW(F$2))/12)/12</f>
        <v>685565.85908746358</v>
      </c>
      <c r="G86" s="90">
        <f t="shared" ca="1" si="67"/>
        <v>20601636.758254569</v>
      </c>
      <c r="H86" s="91">
        <v>26937</v>
      </c>
      <c r="I86" s="90">
        <f>5244952.23873981+256146.95</f>
        <v>5501099.1887398101</v>
      </c>
      <c r="J86" s="90">
        <f ca="1">OFFSET('Historic CDM'!$C$76,0,(ROW()-ROW(F$2))/12)/12</f>
        <v>404305.67955585261</v>
      </c>
      <c r="K86" s="90">
        <f t="shared" ca="1" si="68"/>
        <v>5905404.868295663</v>
      </c>
      <c r="L86" s="85">
        <f>1921+24</f>
        <v>1945</v>
      </c>
      <c r="M86" s="90">
        <f>13987491.5025047-R86</f>
        <v>13987491.502504701</v>
      </c>
      <c r="N86" s="92">
        <f ca="1">OFFSET('Historic CDM'!$C$88,0,(ROW()-ROW(F$2))/12)/12</f>
        <v>1443933.2360989219</v>
      </c>
      <c r="O86" s="1">
        <f t="shared" ca="1" si="63"/>
        <v>15431424.738603622</v>
      </c>
      <c r="P86" s="3">
        <f>35724.19-S86</f>
        <v>35724.19</v>
      </c>
      <c r="Q86" s="2">
        <f>213-T86</f>
        <v>213</v>
      </c>
      <c r="R86" s="90">
        <v>0</v>
      </c>
      <c r="S86" s="92">
        <v>0</v>
      </c>
      <c r="T86" s="91">
        <v>0</v>
      </c>
      <c r="U86" s="90">
        <v>660988.14870967774</v>
      </c>
      <c r="V86" s="93">
        <v>1578.57</v>
      </c>
      <c r="W86" s="99">
        <f>343+1163+621+571</f>
        <v>2698</v>
      </c>
      <c r="X86" s="90">
        <v>27634.7</v>
      </c>
      <c r="Y86" s="96">
        <v>73.381</v>
      </c>
      <c r="Z86" s="85">
        <v>174</v>
      </c>
      <c r="AA86" s="90">
        <v>129846</v>
      </c>
      <c r="AB86" s="85">
        <v>141</v>
      </c>
      <c r="AC86" s="90">
        <v>8815806.375</v>
      </c>
      <c r="AD86" s="91">
        <v>123</v>
      </c>
      <c r="AE86" s="90">
        <v>2580597.5019354834</v>
      </c>
      <c r="AF86" s="92">
        <v>6607.96</v>
      </c>
      <c r="AG86" s="91">
        <v>3</v>
      </c>
      <c r="AH86" s="87">
        <f>Weather!B254</f>
        <v>618.5</v>
      </c>
      <c r="AI86" s="87">
        <f>Weather!C254</f>
        <v>0</v>
      </c>
      <c r="AJ86" s="87">
        <f>Employment!B86</f>
        <v>6919.2</v>
      </c>
      <c r="AK86" s="87">
        <f>Employment!C86</f>
        <v>155</v>
      </c>
      <c r="AL86" s="114">
        <v>633508.5</v>
      </c>
      <c r="AM86" s="95">
        <f t="shared" si="47"/>
        <v>31</v>
      </c>
      <c r="AN86" s="103">
        <v>20</v>
      </c>
      <c r="AO86" s="87">
        <v>85</v>
      </c>
      <c r="AP86" s="87">
        <f t="shared" ref="AP86:BD86" si="88">AP74</f>
        <v>1</v>
      </c>
      <c r="AQ86" s="87">
        <f t="shared" si="88"/>
        <v>0</v>
      </c>
      <c r="AR86" s="87">
        <f t="shared" si="88"/>
        <v>0</v>
      </c>
      <c r="AS86" s="87">
        <f t="shared" si="88"/>
        <v>0</v>
      </c>
      <c r="AT86" s="87">
        <f t="shared" si="88"/>
        <v>0</v>
      </c>
      <c r="AU86" s="87">
        <f t="shared" si="88"/>
        <v>0</v>
      </c>
      <c r="AV86" s="87">
        <f t="shared" si="88"/>
        <v>0</v>
      </c>
      <c r="AW86" s="87">
        <f t="shared" si="88"/>
        <v>0</v>
      </c>
      <c r="AX86" s="87">
        <f t="shared" si="88"/>
        <v>0</v>
      </c>
      <c r="AY86" s="87">
        <f t="shared" si="88"/>
        <v>0</v>
      </c>
      <c r="AZ86" s="87">
        <f t="shared" si="88"/>
        <v>0</v>
      </c>
      <c r="BA86" s="87">
        <f t="shared" si="88"/>
        <v>0</v>
      </c>
      <c r="BB86" s="87">
        <f t="shared" si="88"/>
        <v>0</v>
      </c>
      <c r="BC86" s="87">
        <f t="shared" si="88"/>
        <v>0</v>
      </c>
      <c r="BD86" s="87">
        <f t="shared" si="88"/>
        <v>0</v>
      </c>
    </row>
    <row r="87" spans="1:56">
      <c r="A87" s="88">
        <v>42401</v>
      </c>
      <c r="B87" s="122">
        <f t="shared" si="65"/>
        <v>2</v>
      </c>
      <c r="C87" s="89">
        <f t="shared" si="66"/>
        <v>2016</v>
      </c>
      <c r="D87" s="90">
        <f>30885481.8+811250</f>
        <v>31696731.800000001</v>
      </c>
      <c r="E87" s="90">
        <v>17661312.888307393</v>
      </c>
      <c r="F87" s="90">
        <f ca="1">OFFSET('Historic CDM'!$C$64,0,(ROW()-ROW(F$2))/12)/12</f>
        <v>685565.85908746358</v>
      </c>
      <c r="G87" s="90">
        <f t="shared" ca="1" si="67"/>
        <v>18346878.747394856</v>
      </c>
      <c r="H87" s="91">
        <v>26929</v>
      </c>
      <c r="I87" s="90">
        <f>4948425.96864714+227629.772</f>
        <v>5176055.74064714</v>
      </c>
      <c r="J87" s="90">
        <f ca="1">OFFSET('Historic CDM'!$C$76,0,(ROW()-ROW(F$2))/12)/12</f>
        <v>404305.67955585261</v>
      </c>
      <c r="K87" s="90">
        <f t="shared" ca="1" si="68"/>
        <v>5580361.4202029929</v>
      </c>
      <c r="L87" s="85">
        <f>1929+23</f>
        <v>1952</v>
      </c>
      <c r="M87" s="90">
        <f>13586930.9108676-R87</f>
        <v>13586930.9108676</v>
      </c>
      <c r="N87" s="92">
        <f ca="1">OFFSET('Historic CDM'!$C$88,0,(ROW()-ROW(F$2))/12)/12</f>
        <v>1443933.2360989219</v>
      </c>
      <c r="O87" s="1">
        <f t="shared" ca="1" si="63"/>
        <v>15030864.146966521</v>
      </c>
      <c r="P87" s="3">
        <f>34535.39-S87</f>
        <v>34535.39</v>
      </c>
      <c r="Q87" s="2">
        <f>213-T87</f>
        <v>213</v>
      </c>
      <c r="R87" s="90">
        <v>0</v>
      </c>
      <c r="S87" s="92">
        <v>0</v>
      </c>
      <c r="T87" s="91">
        <v>0</v>
      </c>
      <c r="U87" s="90">
        <v>546957.50000000023</v>
      </c>
      <c r="V87" s="93">
        <v>1531.58</v>
      </c>
      <c r="W87" s="99">
        <f>343+1163+621+571</f>
        <v>2698</v>
      </c>
      <c r="X87" s="90">
        <v>27248.9</v>
      </c>
      <c r="Y87" s="96">
        <v>73.381</v>
      </c>
      <c r="Z87" s="85">
        <v>174</v>
      </c>
      <c r="AA87" s="90">
        <v>129846</v>
      </c>
      <c r="AB87" s="85">
        <v>141</v>
      </c>
      <c r="AC87" s="90">
        <v>8700347.5749999955</v>
      </c>
      <c r="AD87" s="91">
        <v>145</v>
      </c>
      <c r="AE87" s="90">
        <v>2518508.9251056714</v>
      </c>
      <c r="AF87" s="92">
        <v>6325.4</v>
      </c>
      <c r="AG87" s="91">
        <v>3</v>
      </c>
      <c r="AH87" s="87">
        <f>Weather!B255</f>
        <v>510.5</v>
      </c>
      <c r="AI87" s="87">
        <f>Weather!C255</f>
        <v>0</v>
      </c>
      <c r="AJ87" s="87">
        <f>Employment!B87</f>
        <v>6896.8</v>
      </c>
      <c r="AK87" s="87">
        <f>Employment!C87</f>
        <v>156</v>
      </c>
      <c r="AL87" s="114">
        <v>633508.5</v>
      </c>
      <c r="AM87" s="95">
        <f t="shared" si="47"/>
        <v>29</v>
      </c>
      <c r="AN87" s="103">
        <v>20</v>
      </c>
      <c r="AO87" s="87">
        <v>86</v>
      </c>
      <c r="AP87" s="87">
        <f t="shared" ref="AP87:BD87" si="89">AP75</f>
        <v>0</v>
      </c>
      <c r="AQ87" s="87">
        <f t="shared" si="89"/>
        <v>1</v>
      </c>
      <c r="AR87" s="87">
        <f t="shared" si="89"/>
        <v>0</v>
      </c>
      <c r="AS87" s="87">
        <f t="shared" si="89"/>
        <v>0</v>
      </c>
      <c r="AT87" s="87">
        <f t="shared" si="89"/>
        <v>0</v>
      </c>
      <c r="AU87" s="87">
        <f t="shared" si="89"/>
        <v>0</v>
      </c>
      <c r="AV87" s="87">
        <f t="shared" si="89"/>
        <v>0</v>
      </c>
      <c r="AW87" s="87">
        <f t="shared" si="89"/>
        <v>0</v>
      </c>
      <c r="AX87" s="87">
        <f t="shared" si="89"/>
        <v>0</v>
      </c>
      <c r="AY87" s="87">
        <f t="shared" si="89"/>
        <v>0</v>
      </c>
      <c r="AZ87" s="87">
        <f t="shared" si="89"/>
        <v>0</v>
      </c>
      <c r="BA87" s="87">
        <f t="shared" si="89"/>
        <v>0</v>
      </c>
      <c r="BB87" s="87">
        <f t="shared" si="89"/>
        <v>0</v>
      </c>
      <c r="BC87" s="87">
        <f t="shared" si="89"/>
        <v>0</v>
      </c>
      <c r="BD87" s="87">
        <f t="shared" si="89"/>
        <v>0</v>
      </c>
    </row>
    <row r="88" spans="1:56">
      <c r="A88" s="88">
        <v>42430</v>
      </c>
      <c r="B88" s="122">
        <f t="shared" si="65"/>
        <v>3</v>
      </c>
      <c r="C88" s="89">
        <f t="shared" si="66"/>
        <v>2016</v>
      </c>
      <c r="D88" s="90">
        <f>30332876.6083333+879136</f>
        <v>31212012.608333301</v>
      </c>
      <c r="E88" s="90">
        <v>17270435.85713068</v>
      </c>
      <c r="F88" s="90">
        <f ca="1">OFFSET('Historic CDM'!$C$64,0,(ROW()-ROW(F$2))/12)/12</f>
        <v>685565.85908746358</v>
      </c>
      <c r="G88" s="90">
        <f t="shared" ca="1" si="67"/>
        <v>17956001.716218144</v>
      </c>
      <c r="H88" s="91">
        <v>26948</v>
      </c>
      <c r="I88" s="90">
        <f>4970009.11817994+225829.587</f>
        <v>5195838.70517994</v>
      </c>
      <c r="J88" s="90">
        <f ca="1">OFFSET('Historic CDM'!$C$76,0,(ROW()-ROW(F$2))/12)/12</f>
        <v>404305.67955585261</v>
      </c>
      <c r="K88" s="90">
        <f t="shared" ca="1" si="68"/>
        <v>5600144.3847357929</v>
      </c>
      <c r="L88" s="85">
        <f>1927+23</f>
        <v>1950</v>
      </c>
      <c r="M88" s="90">
        <f>13678424.2857756-R88</f>
        <v>13678424.2857756</v>
      </c>
      <c r="N88" s="92">
        <f ca="1">OFFSET('Historic CDM'!$C$88,0,(ROW()-ROW(F$2))/12)/12</f>
        <v>1443933.2360989219</v>
      </c>
      <c r="O88" s="1">
        <f t="shared" ca="1" si="63"/>
        <v>15122357.521874521</v>
      </c>
      <c r="P88" s="3">
        <f>34565.51-S88</f>
        <v>34565.51</v>
      </c>
      <c r="Q88" s="2">
        <f>214-T88</f>
        <v>214</v>
      </c>
      <c r="R88" s="90">
        <v>0</v>
      </c>
      <c r="S88" s="92">
        <v>0</v>
      </c>
      <c r="T88" s="91">
        <v>0</v>
      </c>
      <c r="U88" s="90">
        <v>491920.11290322611</v>
      </c>
      <c r="V88" s="93">
        <v>1396.9099999999999</v>
      </c>
      <c r="W88" s="99">
        <f>343+1170+621+573</f>
        <v>2707</v>
      </c>
      <c r="X88" s="90">
        <v>28454.35</v>
      </c>
      <c r="Y88" s="96">
        <v>73.381</v>
      </c>
      <c r="Z88" s="85">
        <v>174</v>
      </c>
      <c r="AA88" s="90">
        <v>129846</v>
      </c>
      <c r="AB88" s="85">
        <v>141</v>
      </c>
      <c r="AC88" s="90">
        <v>9344317.1250000019</v>
      </c>
      <c r="AD88" s="91">
        <v>145</v>
      </c>
      <c r="AE88" s="90">
        <v>2565586.4310233588</v>
      </c>
      <c r="AF88" s="92">
        <v>6100.62</v>
      </c>
      <c r="AG88" s="91">
        <v>3</v>
      </c>
      <c r="AH88" s="87">
        <f>Weather!B256</f>
        <v>350.9</v>
      </c>
      <c r="AI88" s="87">
        <f>Weather!C256</f>
        <v>0</v>
      </c>
      <c r="AJ88" s="87">
        <f>Employment!B88</f>
        <v>6872.4</v>
      </c>
      <c r="AK88" s="87">
        <f>Employment!C88</f>
        <v>156.80000000000001</v>
      </c>
      <c r="AL88" s="114">
        <v>633508.5</v>
      </c>
      <c r="AM88" s="95">
        <f t="shared" si="47"/>
        <v>31</v>
      </c>
      <c r="AN88" s="103">
        <v>21</v>
      </c>
      <c r="AO88" s="87">
        <v>87</v>
      </c>
      <c r="AP88" s="87">
        <f t="shared" ref="AP88:BD88" si="90">AP76</f>
        <v>0</v>
      </c>
      <c r="AQ88" s="87">
        <f t="shared" si="90"/>
        <v>0</v>
      </c>
      <c r="AR88" s="87">
        <f t="shared" si="90"/>
        <v>1</v>
      </c>
      <c r="AS88" s="87">
        <f t="shared" si="90"/>
        <v>0</v>
      </c>
      <c r="AT88" s="87">
        <f t="shared" si="90"/>
        <v>0</v>
      </c>
      <c r="AU88" s="87">
        <f t="shared" si="90"/>
        <v>0</v>
      </c>
      <c r="AV88" s="87">
        <f t="shared" si="90"/>
        <v>0</v>
      </c>
      <c r="AW88" s="87">
        <f t="shared" si="90"/>
        <v>0</v>
      </c>
      <c r="AX88" s="87">
        <f t="shared" si="90"/>
        <v>0</v>
      </c>
      <c r="AY88" s="87">
        <f t="shared" si="90"/>
        <v>0</v>
      </c>
      <c r="AZ88" s="87">
        <f t="shared" si="90"/>
        <v>0</v>
      </c>
      <c r="BA88" s="87">
        <f t="shared" si="90"/>
        <v>0</v>
      </c>
      <c r="BB88" s="87">
        <f t="shared" si="90"/>
        <v>1</v>
      </c>
      <c r="BC88" s="87">
        <f t="shared" si="90"/>
        <v>0</v>
      </c>
      <c r="BD88" s="87">
        <f t="shared" si="90"/>
        <v>1</v>
      </c>
    </row>
    <row r="89" spans="1:56">
      <c r="A89" s="88">
        <v>42461</v>
      </c>
      <c r="B89" s="122">
        <f t="shared" si="65"/>
        <v>4</v>
      </c>
      <c r="C89" s="89">
        <f t="shared" si="66"/>
        <v>2016</v>
      </c>
      <c r="D89" s="90">
        <f>26908847.475+860319</f>
        <v>27769166.475000001</v>
      </c>
      <c r="E89" s="90">
        <v>15707415.17376422</v>
      </c>
      <c r="F89" s="90">
        <f ca="1">OFFSET('Historic CDM'!$C$64,0,(ROW()-ROW(F$2))/12)/12</f>
        <v>685565.85908746358</v>
      </c>
      <c r="G89" s="90">
        <f t="shared" ca="1" si="67"/>
        <v>16392981.032851683</v>
      </c>
      <c r="H89" s="91">
        <v>27055</v>
      </c>
      <c r="I89" s="90">
        <f>4677753.98462559+217875.526</f>
        <v>4895629.5106255896</v>
      </c>
      <c r="J89" s="90">
        <f ca="1">OFFSET('Historic CDM'!$C$76,0,(ROW()-ROW(F$2))/12)/12</f>
        <v>404305.67955585261</v>
      </c>
      <c r="K89" s="90">
        <f t="shared" ca="1" si="68"/>
        <v>5299935.1901814425</v>
      </c>
      <c r="L89" s="85">
        <f>1925+23</f>
        <v>1948</v>
      </c>
      <c r="M89" s="90">
        <f>13359719.279759-R89</f>
        <v>13359719.279758999</v>
      </c>
      <c r="N89" s="92">
        <f ca="1">OFFSET('Historic CDM'!$C$88,0,(ROW()-ROW(F$2))/12)/12</f>
        <v>1443933.2360989219</v>
      </c>
      <c r="O89" s="1">
        <f t="shared" ca="1" si="63"/>
        <v>14803652.51585792</v>
      </c>
      <c r="P89" s="3">
        <f>36731.4-S89</f>
        <v>36731.4</v>
      </c>
      <c r="Q89" s="2">
        <f>218-T89</f>
        <v>218</v>
      </c>
      <c r="R89" s="90">
        <v>0</v>
      </c>
      <c r="S89" s="92">
        <v>0</v>
      </c>
      <c r="T89" s="91">
        <v>0</v>
      </c>
      <c r="U89" s="90">
        <v>412773.60176344088</v>
      </c>
      <c r="V89" s="93">
        <v>1396.9099999999999</v>
      </c>
      <c r="W89" s="99">
        <f>343+1170+621+573</f>
        <v>2707</v>
      </c>
      <c r="X89" s="90">
        <v>29941.16</v>
      </c>
      <c r="Y89" s="96">
        <v>72.521000000000001</v>
      </c>
      <c r="Z89" s="85">
        <v>174</v>
      </c>
      <c r="AA89" s="90">
        <v>129846</v>
      </c>
      <c r="AB89" s="85">
        <v>141</v>
      </c>
      <c r="AC89" s="90">
        <v>10479646.275000006</v>
      </c>
      <c r="AD89" s="91">
        <v>156</v>
      </c>
      <c r="AE89" s="90">
        <v>2289773.1211720435</v>
      </c>
      <c r="AF89" s="92">
        <v>5997.91</v>
      </c>
      <c r="AG89" s="91">
        <v>3</v>
      </c>
      <c r="AH89" s="87">
        <f>Weather!B257</f>
        <v>315.20000000000005</v>
      </c>
      <c r="AI89" s="87">
        <f>Weather!C257</f>
        <v>0</v>
      </c>
      <c r="AJ89" s="87">
        <f>Employment!B89</f>
        <v>6890.3</v>
      </c>
      <c r="AK89" s="87">
        <f>Employment!C89</f>
        <v>159.30000000000001</v>
      </c>
      <c r="AL89" s="114">
        <v>633508.5</v>
      </c>
      <c r="AM89" s="95">
        <f t="shared" si="47"/>
        <v>30</v>
      </c>
      <c r="AN89" s="103">
        <v>21</v>
      </c>
      <c r="AO89" s="87">
        <v>88</v>
      </c>
      <c r="AP89" s="87">
        <f t="shared" ref="AP89:BD89" si="91">AP77</f>
        <v>0</v>
      </c>
      <c r="AQ89" s="87">
        <f t="shared" si="91"/>
        <v>0</v>
      </c>
      <c r="AR89" s="87">
        <f t="shared" si="91"/>
        <v>0</v>
      </c>
      <c r="AS89" s="87">
        <f t="shared" si="91"/>
        <v>1</v>
      </c>
      <c r="AT89" s="87">
        <f t="shared" si="91"/>
        <v>0</v>
      </c>
      <c r="AU89" s="87">
        <f t="shared" si="91"/>
        <v>0</v>
      </c>
      <c r="AV89" s="87">
        <f t="shared" si="91"/>
        <v>0</v>
      </c>
      <c r="AW89" s="87">
        <f t="shared" si="91"/>
        <v>0</v>
      </c>
      <c r="AX89" s="87">
        <f t="shared" si="91"/>
        <v>0</v>
      </c>
      <c r="AY89" s="87">
        <f t="shared" si="91"/>
        <v>0</v>
      </c>
      <c r="AZ89" s="87">
        <f t="shared" si="91"/>
        <v>0</v>
      </c>
      <c r="BA89" s="87">
        <f t="shared" si="91"/>
        <v>0</v>
      </c>
      <c r="BB89" s="87">
        <f t="shared" si="91"/>
        <v>1</v>
      </c>
      <c r="BC89" s="87">
        <f t="shared" si="91"/>
        <v>0</v>
      </c>
      <c r="BD89" s="87">
        <f t="shared" si="91"/>
        <v>1</v>
      </c>
    </row>
    <row r="90" spans="1:56">
      <c r="A90" s="88">
        <v>42491</v>
      </c>
      <c r="B90" s="122">
        <f t="shared" si="65"/>
        <v>5</v>
      </c>
      <c r="C90" s="89">
        <f t="shared" si="66"/>
        <v>2016</v>
      </c>
      <c r="D90" s="90">
        <f>29508900.95+969008</f>
        <v>30477908.949999999</v>
      </c>
      <c r="E90" s="90">
        <v>18225838.891279869</v>
      </c>
      <c r="F90" s="90">
        <f ca="1">OFFSET('Historic CDM'!$C$64,0,(ROW()-ROW(F$2))/12)/12</f>
        <v>685565.85908746358</v>
      </c>
      <c r="G90" s="90">
        <f t="shared" ca="1" si="67"/>
        <v>18911404.750367332</v>
      </c>
      <c r="H90" s="91">
        <v>27061</v>
      </c>
      <c r="I90" s="90">
        <f>5083511.50094294+237227.532</f>
        <v>5320739.0329429395</v>
      </c>
      <c r="J90" s="90">
        <f ca="1">OFFSET('Historic CDM'!$C$76,0,(ROW()-ROW(F$2))/12)/12</f>
        <v>404305.67955585261</v>
      </c>
      <c r="K90" s="90">
        <f t="shared" ca="1" si="68"/>
        <v>5725044.7124987924</v>
      </c>
      <c r="L90" s="85">
        <f>1934+23</f>
        <v>1957</v>
      </c>
      <c r="M90" s="90">
        <f>13839342.9755697-R90</f>
        <v>13839342.975569701</v>
      </c>
      <c r="N90" s="92">
        <f ca="1">OFFSET('Historic CDM'!$C$88,0,(ROW()-ROW(F$2))/12)/12</f>
        <v>1443933.2360989219</v>
      </c>
      <c r="O90" s="1">
        <f t="shared" ca="1" si="63"/>
        <v>15283276.211668622</v>
      </c>
      <c r="P90" s="3">
        <f>36425.59-S90</f>
        <v>36425.589999999997</v>
      </c>
      <c r="Q90" s="2">
        <f>220-T90</f>
        <v>220</v>
      </c>
      <c r="R90" s="90">
        <v>0</v>
      </c>
      <c r="S90" s="92">
        <v>0</v>
      </c>
      <c r="T90" s="91">
        <v>0</v>
      </c>
      <c r="U90" s="90">
        <v>371591.73823655897</v>
      </c>
      <c r="V90" s="93">
        <v>1396.9099999999999</v>
      </c>
      <c r="W90" s="99">
        <f>343+1170+621+573</f>
        <v>2707</v>
      </c>
      <c r="X90" s="90">
        <v>27698.32</v>
      </c>
      <c r="Y90" s="96">
        <v>72.251000000000005</v>
      </c>
      <c r="Z90" s="85">
        <v>174</v>
      </c>
      <c r="AA90" s="90">
        <v>129373</v>
      </c>
      <c r="AB90" s="85">
        <v>139</v>
      </c>
      <c r="AC90" s="90">
        <v>11016470.225000022</v>
      </c>
      <c r="AD90" s="91">
        <v>156</v>
      </c>
      <c r="AE90" s="90">
        <v>2326556.2939892458</v>
      </c>
      <c r="AF90" s="92">
        <v>7382.05</v>
      </c>
      <c r="AG90" s="91">
        <v>3</v>
      </c>
      <c r="AH90" s="87">
        <f>Weather!B258</f>
        <v>110.9</v>
      </c>
      <c r="AI90" s="87">
        <f>Weather!C258</f>
        <v>47</v>
      </c>
      <c r="AJ90" s="87">
        <f>Employment!B90</f>
        <v>6962.5</v>
      </c>
      <c r="AK90" s="87">
        <f>Employment!C90</f>
        <v>162.1</v>
      </c>
      <c r="AL90" s="114">
        <v>633508.5</v>
      </c>
      <c r="AM90" s="95">
        <f t="shared" si="47"/>
        <v>31</v>
      </c>
      <c r="AN90" s="103">
        <v>21</v>
      </c>
      <c r="AO90" s="87">
        <v>89</v>
      </c>
      <c r="AP90" s="87">
        <f t="shared" ref="AP90:BD90" si="92">AP78</f>
        <v>0</v>
      </c>
      <c r="AQ90" s="87">
        <f t="shared" si="92"/>
        <v>0</v>
      </c>
      <c r="AR90" s="87">
        <f t="shared" si="92"/>
        <v>0</v>
      </c>
      <c r="AS90" s="87">
        <f t="shared" si="92"/>
        <v>0</v>
      </c>
      <c r="AT90" s="87">
        <f t="shared" si="92"/>
        <v>1</v>
      </c>
      <c r="AU90" s="87">
        <f t="shared" si="92"/>
        <v>0</v>
      </c>
      <c r="AV90" s="87">
        <f t="shared" si="92"/>
        <v>0</v>
      </c>
      <c r="AW90" s="87">
        <f t="shared" si="92"/>
        <v>0</v>
      </c>
      <c r="AX90" s="87">
        <f t="shared" si="92"/>
        <v>0</v>
      </c>
      <c r="AY90" s="87">
        <f t="shared" si="92"/>
        <v>0</v>
      </c>
      <c r="AZ90" s="87">
        <f t="shared" si="92"/>
        <v>0</v>
      </c>
      <c r="BA90" s="87">
        <f t="shared" si="92"/>
        <v>0</v>
      </c>
      <c r="BB90" s="87">
        <f t="shared" si="92"/>
        <v>1</v>
      </c>
      <c r="BC90" s="87">
        <f t="shared" si="92"/>
        <v>0</v>
      </c>
      <c r="BD90" s="87">
        <f t="shared" si="92"/>
        <v>1</v>
      </c>
    </row>
    <row r="91" spans="1:56">
      <c r="A91" s="88">
        <v>42522</v>
      </c>
      <c r="B91" s="122">
        <f t="shared" si="65"/>
        <v>6</v>
      </c>
      <c r="C91" s="89">
        <f t="shared" si="66"/>
        <v>2016</v>
      </c>
      <c r="D91" s="90">
        <f>40159191.7333333+1030933</f>
        <v>41190124.733333297</v>
      </c>
      <c r="E91" s="90">
        <v>24856254.943765271</v>
      </c>
      <c r="F91" s="90">
        <f ca="1">OFFSET('Historic CDM'!$C$64,0,(ROW()-ROW(F$2))/12)/12</f>
        <v>685565.85908746358</v>
      </c>
      <c r="G91" s="90">
        <f t="shared" ca="1" si="67"/>
        <v>25541820.802852735</v>
      </c>
      <c r="H91" s="91">
        <v>27125</v>
      </c>
      <c r="I91" s="90">
        <f>5616894.50299955+253371.264</f>
        <v>5870265.7669995502</v>
      </c>
      <c r="J91" s="90">
        <f ca="1">OFFSET('Historic CDM'!$C$76,0,(ROW()-ROW(F$2))/12)/12</f>
        <v>404305.67955585261</v>
      </c>
      <c r="K91" s="90">
        <f t="shared" ca="1" si="68"/>
        <v>6274571.4465554031</v>
      </c>
      <c r="L91" s="85">
        <f>1929+23</f>
        <v>1952</v>
      </c>
      <c r="M91" s="90">
        <f>15570018.1302993-R91</f>
        <v>15570018.1302993</v>
      </c>
      <c r="N91" s="92">
        <f ca="1">OFFSET('Historic CDM'!$C$88,0,(ROW()-ROW(F$2))/12)/12</f>
        <v>1443933.2360989219</v>
      </c>
      <c r="O91" s="1">
        <f t="shared" ca="1" si="63"/>
        <v>17013951.366398223</v>
      </c>
      <c r="P91" s="3">
        <f>41425.05-S91</f>
        <v>41425.050000000003</v>
      </c>
      <c r="Q91" s="2">
        <f>221-T91</f>
        <v>221</v>
      </c>
      <c r="R91" s="90">
        <v>0</v>
      </c>
      <c r="S91" s="92">
        <v>0</v>
      </c>
      <c r="T91" s="91">
        <v>0</v>
      </c>
      <c r="U91" s="90">
        <v>220602.38976344079</v>
      </c>
      <c r="V91" s="93">
        <v>1279.05</v>
      </c>
      <c r="W91" s="99">
        <f>343+1184+621+573</f>
        <v>2721</v>
      </c>
      <c r="X91" s="90">
        <v>27718.04</v>
      </c>
      <c r="Y91" s="96">
        <v>72.251000000000005</v>
      </c>
      <c r="Z91" s="85">
        <v>174</v>
      </c>
      <c r="AA91" s="90">
        <v>129373</v>
      </c>
      <c r="AB91" s="85">
        <v>139</v>
      </c>
      <c r="AC91" s="90">
        <v>9931556.1249999944</v>
      </c>
      <c r="AD91" s="91">
        <v>156</v>
      </c>
      <c r="AE91" s="90">
        <v>2706682.6466774195</v>
      </c>
      <c r="AF91" s="92">
        <v>7567.06</v>
      </c>
      <c r="AG91" s="91">
        <v>3</v>
      </c>
      <c r="AH91" s="87">
        <f>Weather!B259</f>
        <v>5.6</v>
      </c>
      <c r="AI91" s="87">
        <f>Weather!C259</f>
        <v>127.2</v>
      </c>
      <c r="AJ91" s="87">
        <f>Employment!B91</f>
        <v>7047.3</v>
      </c>
      <c r="AK91" s="87">
        <f>Employment!C91</f>
        <v>166.7</v>
      </c>
      <c r="AL91" s="114">
        <v>633508.5</v>
      </c>
      <c r="AM91" s="95">
        <f t="shared" si="47"/>
        <v>30</v>
      </c>
      <c r="AN91" s="103">
        <v>22</v>
      </c>
      <c r="AO91" s="87">
        <v>90</v>
      </c>
      <c r="AP91" s="87">
        <f t="shared" ref="AP91:BD91" si="93">AP79</f>
        <v>0</v>
      </c>
      <c r="AQ91" s="87">
        <f t="shared" si="93"/>
        <v>0</v>
      </c>
      <c r="AR91" s="87">
        <f t="shared" si="93"/>
        <v>0</v>
      </c>
      <c r="AS91" s="87">
        <f t="shared" si="93"/>
        <v>0</v>
      </c>
      <c r="AT91" s="87">
        <f t="shared" si="93"/>
        <v>0</v>
      </c>
      <c r="AU91" s="87">
        <f t="shared" si="93"/>
        <v>1</v>
      </c>
      <c r="AV91" s="87">
        <f t="shared" si="93"/>
        <v>0</v>
      </c>
      <c r="AW91" s="87">
        <f t="shared" si="93"/>
        <v>0</v>
      </c>
      <c r="AX91" s="87">
        <f t="shared" si="93"/>
        <v>0</v>
      </c>
      <c r="AY91" s="87">
        <f t="shared" si="93"/>
        <v>0</v>
      </c>
      <c r="AZ91" s="87">
        <f t="shared" si="93"/>
        <v>0</v>
      </c>
      <c r="BA91" s="87">
        <f t="shared" si="93"/>
        <v>0</v>
      </c>
      <c r="BB91" s="87">
        <f t="shared" si="93"/>
        <v>0</v>
      </c>
      <c r="BC91" s="87">
        <f t="shared" si="93"/>
        <v>0</v>
      </c>
      <c r="BD91" s="87">
        <f t="shared" si="93"/>
        <v>0</v>
      </c>
    </row>
    <row r="92" spans="1:56">
      <c r="A92" s="88">
        <v>42552</v>
      </c>
      <c r="B92" s="122">
        <f t="shared" si="65"/>
        <v>7</v>
      </c>
      <c r="C92" s="89">
        <f t="shared" si="66"/>
        <v>2016</v>
      </c>
      <c r="D92" s="90">
        <f>51680528.9+1117581</f>
        <v>52798109.899999999</v>
      </c>
      <c r="E92" s="90">
        <v>32189892.979573473</v>
      </c>
      <c r="F92" s="90">
        <f ca="1">OFFSET('Historic CDM'!$C$64,0,(ROW()-ROW(F$2))/12)/12</f>
        <v>685565.85908746358</v>
      </c>
      <c r="G92" s="90">
        <f t="shared" ca="1" si="67"/>
        <v>32875458.838660937</v>
      </c>
      <c r="H92" s="91">
        <v>27189</v>
      </c>
      <c r="I92" s="90">
        <f>6462700.99741907+323944.521</f>
        <v>6786645.5184190702</v>
      </c>
      <c r="J92" s="90">
        <f ca="1">OFFSET('Historic CDM'!$C$76,0,(ROW()-ROW(F$2))/12)/12</f>
        <v>404305.67955585261</v>
      </c>
      <c r="K92" s="90">
        <f t="shared" ca="1" si="68"/>
        <v>7190951.1979749231</v>
      </c>
      <c r="L92" s="85">
        <f>1931+27</f>
        <v>1958</v>
      </c>
      <c r="M92" s="90">
        <f>17537484.8251299-R92</f>
        <v>17537484.8251299</v>
      </c>
      <c r="N92" s="92">
        <f ca="1">OFFSET('Historic CDM'!$C$88,0,(ROW()-ROW(F$2))/12)/12</f>
        <v>1443933.2360989219</v>
      </c>
      <c r="O92" s="1">
        <f t="shared" ca="1" si="63"/>
        <v>18981418.061228823</v>
      </c>
      <c r="P92" s="3">
        <f>47326.3200000001-S92</f>
        <v>47326.320000000102</v>
      </c>
      <c r="Q92" s="5">
        <f>247-T92</f>
        <v>247</v>
      </c>
      <c r="R92" s="90">
        <v>0</v>
      </c>
      <c r="S92" s="92">
        <v>0</v>
      </c>
      <c r="T92" s="91">
        <v>0</v>
      </c>
      <c r="U92" s="90">
        <v>227300.39088172046</v>
      </c>
      <c r="V92" s="93">
        <v>923.6099999999999</v>
      </c>
      <c r="W92" s="99">
        <f>343+1184+621+573</f>
        <v>2721</v>
      </c>
      <c r="X92" s="90">
        <v>27941.56</v>
      </c>
      <c r="Y92" s="96">
        <v>72.251000000000005</v>
      </c>
      <c r="Z92" s="85">
        <v>174</v>
      </c>
      <c r="AA92" s="90">
        <v>129373</v>
      </c>
      <c r="AB92" s="85">
        <v>139</v>
      </c>
      <c r="AC92" s="90">
        <v>9630350.9750000015</v>
      </c>
      <c r="AD92" s="91">
        <v>156</v>
      </c>
      <c r="AE92" s="90">
        <v>3094569.733967741</v>
      </c>
      <c r="AF92" s="92">
        <v>8803.42</v>
      </c>
      <c r="AG92" s="91">
        <v>3</v>
      </c>
      <c r="AH92" s="87">
        <f>Weather!B260</f>
        <v>0</v>
      </c>
      <c r="AI92" s="87">
        <f>Weather!C260</f>
        <v>213.1</v>
      </c>
      <c r="AJ92" s="87">
        <f>Employment!B92</f>
        <v>7090.8</v>
      </c>
      <c r="AK92" s="87">
        <f>Employment!C92</f>
        <v>169.9</v>
      </c>
      <c r="AL92" s="114">
        <v>633508.5</v>
      </c>
      <c r="AM92" s="95">
        <f t="shared" si="47"/>
        <v>31</v>
      </c>
      <c r="AN92" s="103">
        <v>20</v>
      </c>
      <c r="AO92" s="87">
        <v>91</v>
      </c>
      <c r="AP92" s="87">
        <f t="shared" ref="AP92:BD92" si="94">AP80</f>
        <v>0</v>
      </c>
      <c r="AQ92" s="87">
        <f t="shared" si="94"/>
        <v>0</v>
      </c>
      <c r="AR92" s="87">
        <f t="shared" si="94"/>
        <v>0</v>
      </c>
      <c r="AS92" s="87">
        <f t="shared" si="94"/>
        <v>0</v>
      </c>
      <c r="AT92" s="87">
        <f t="shared" si="94"/>
        <v>0</v>
      </c>
      <c r="AU92" s="87">
        <f t="shared" si="94"/>
        <v>0</v>
      </c>
      <c r="AV92" s="87">
        <f t="shared" si="94"/>
        <v>1</v>
      </c>
      <c r="AW92" s="87">
        <f t="shared" si="94"/>
        <v>0</v>
      </c>
      <c r="AX92" s="87">
        <f t="shared" si="94"/>
        <v>0</v>
      </c>
      <c r="AY92" s="87">
        <f t="shared" si="94"/>
        <v>0</v>
      </c>
      <c r="AZ92" s="87">
        <f t="shared" si="94"/>
        <v>0</v>
      </c>
      <c r="BA92" s="87">
        <f t="shared" si="94"/>
        <v>0</v>
      </c>
      <c r="BB92" s="87">
        <f t="shared" si="94"/>
        <v>0</v>
      </c>
      <c r="BC92" s="87">
        <f t="shared" si="94"/>
        <v>0</v>
      </c>
      <c r="BD92" s="87">
        <f t="shared" si="94"/>
        <v>0</v>
      </c>
    </row>
    <row r="93" spans="1:56">
      <c r="A93" s="88">
        <v>42583</v>
      </c>
      <c r="B93" s="122">
        <f t="shared" si="65"/>
        <v>8</v>
      </c>
      <c r="C93" s="89">
        <f t="shared" si="66"/>
        <v>2016</v>
      </c>
      <c r="D93" s="90">
        <f>55073503.9416667+1135588</f>
        <v>56209091.9416667</v>
      </c>
      <c r="E93" s="90">
        <v>32141058.683411758</v>
      </c>
      <c r="F93" s="90">
        <f ca="1">OFFSET('Historic CDM'!$C$64,0,(ROW()-ROW(F$2))/12)/12</f>
        <v>685565.85908746358</v>
      </c>
      <c r="G93" s="90">
        <f t="shared" ca="1" si="67"/>
        <v>32826624.542499222</v>
      </c>
      <c r="H93" s="91">
        <v>27273</v>
      </c>
      <c r="I93" s="90">
        <f>6455987.4677122+341554.9236</f>
        <v>6797542.3913122006</v>
      </c>
      <c r="J93" s="90">
        <f ca="1">OFFSET('Historic CDM'!$C$76,0,(ROW()-ROW(F$2))/12)/12</f>
        <v>404305.67955585261</v>
      </c>
      <c r="K93" s="90">
        <f t="shared" ca="1" si="68"/>
        <v>7201848.0708680535</v>
      </c>
      <c r="L93" s="85">
        <f>1930+26</f>
        <v>1956</v>
      </c>
      <c r="M93" s="90">
        <f>19715112.9230421-R93</f>
        <v>19715112.9230421</v>
      </c>
      <c r="N93" s="92">
        <f ca="1">OFFSET('Historic CDM'!$C$88,0,(ROW()-ROW(F$2))/12)/12</f>
        <v>1443933.2360989219</v>
      </c>
      <c r="O93" s="1">
        <f t="shared" ca="1" si="63"/>
        <v>21159046.159141023</v>
      </c>
      <c r="P93" s="3">
        <f>47548.46-S93</f>
        <v>47548.46</v>
      </c>
      <c r="Q93" s="2">
        <f>218-T93</f>
        <v>218</v>
      </c>
      <c r="R93" s="90">
        <v>0</v>
      </c>
      <c r="S93" s="92">
        <v>0</v>
      </c>
      <c r="T93" s="91">
        <v>0</v>
      </c>
      <c r="U93" s="90">
        <v>254316.21032258053</v>
      </c>
      <c r="V93" s="93">
        <v>918.03</v>
      </c>
      <c r="W93" s="99">
        <f>343+1184+621+573</f>
        <v>2721</v>
      </c>
      <c r="X93" s="90">
        <v>28264.09</v>
      </c>
      <c r="Y93" s="96">
        <v>72.055999999999997</v>
      </c>
      <c r="Z93" s="85">
        <v>173</v>
      </c>
      <c r="AA93" s="90">
        <v>129373</v>
      </c>
      <c r="AB93" s="85">
        <v>139</v>
      </c>
      <c r="AC93" s="90">
        <v>8759142.349999994</v>
      </c>
      <c r="AD93" s="91">
        <v>156</v>
      </c>
      <c r="AE93" s="90">
        <v>3564597.1351612899</v>
      </c>
      <c r="AF93" s="92">
        <v>9070.7199999999993</v>
      </c>
      <c r="AG93" s="91">
        <v>3</v>
      </c>
      <c r="AH93" s="87">
        <f>Weather!B261</f>
        <v>0</v>
      </c>
      <c r="AI93" s="87">
        <f>Weather!C261</f>
        <v>219</v>
      </c>
      <c r="AJ93" s="87">
        <f>Employment!B93</f>
        <v>7083.3</v>
      </c>
      <c r="AK93" s="87">
        <f>Employment!C93</f>
        <v>171.7</v>
      </c>
      <c r="AL93" s="114">
        <v>633508.5</v>
      </c>
      <c r="AM93" s="95">
        <f t="shared" si="47"/>
        <v>31</v>
      </c>
      <c r="AN93" s="103">
        <v>22</v>
      </c>
      <c r="AO93" s="87">
        <v>92</v>
      </c>
      <c r="AP93" s="87">
        <f t="shared" ref="AP93:BD93" si="95">AP81</f>
        <v>0</v>
      </c>
      <c r="AQ93" s="87">
        <f t="shared" si="95"/>
        <v>0</v>
      </c>
      <c r="AR93" s="87">
        <f t="shared" si="95"/>
        <v>0</v>
      </c>
      <c r="AS93" s="87">
        <f t="shared" si="95"/>
        <v>0</v>
      </c>
      <c r="AT93" s="87">
        <f t="shared" si="95"/>
        <v>0</v>
      </c>
      <c r="AU93" s="87">
        <f t="shared" si="95"/>
        <v>0</v>
      </c>
      <c r="AV93" s="87">
        <f t="shared" si="95"/>
        <v>0</v>
      </c>
      <c r="AW93" s="87">
        <f t="shared" si="95"/>
        <v>1</v>
      </c>
      <c r="AX93" s="87">
        <f t="shared" si="95"/>
        <v>0</v>
      </c>
      <c r="AY93" s="87">
        <f t="shared" si="95"/>
        <v>0</v>
      </c>
      <c r="AZ93" s="87">
        <f t="shared" si="95"/>
        <v>0</v>
      </c>
      <c r="BA93" s="87">
        <f t="shared" si="95"/>
        <v>0</v>
      </c>
      <c r="BB93" s="87">
        <f t="shared" si="95"/>
        <v>0</v>
      </c>
      <c r="BC93" s="87">
        <f t="shared" si="95"/>
        <v>0</v>
      </c>
      <c r="BD93" s="87">
        <f t="shared" si="95"/>
        <v>0</v>
      </c>
    </row>
    <row r="94" spans="1:56">
      <c r="A94" s="88">
        <v>42614</v>
      </c>
      <c r="B94" s="122">
        <f t="shared" si="65"/>
        <v>9</v>
      </c>
      <c r="C94" s="89">
        <f t="shared" si="66"/>
        <v>2016</v>
      </c>
      <c r="D94" s="90">
        <f>42155411.6416667+1019027</f>
        <v>43174438.641666703</v>
      </c>
      <c r="E94" s="90">
        <v>23328451.549340326</v>
      </c>
      <c r="F94" s="90">
        <f ca="1">OFFSET('Historic CDM'!$C$64,0,(ROW()-ROW(F$2))/12)/12</f>
        <v>685565.85908746358</v>
      </c>
      <c r="G94" s="90">
        <f t="shared" ca="1" si="67"/>
        <v>24014017.40842779</v>
      </c>
      <c r="H94" s="91">
        <v>27243</v>
      </c>
      <c r="I94" s="90">
        <f>5489634.24939702+293488.501</f>
        <v>5783122.75039702</v>
      </c>
      <c r="J94" s="90">
        <f ca="1">OFFSET('Historic CDM'!$C$76,0,(ROW()-ROW(F$2))/12)/12</f>
        <v>404305.67955585261</v>
      </c>
      <c r="K94" s="90">
        <f t="shared" ca="1" si="68"/>
        <v>6187428.4299528729</v>
      </c>
      <c r="L94" s="85">
        <f>1929+27</f>
        <v>1956</v>
      </c>
      <c r="M94" s="90">
        <f>18836553.6685622-R94</f>
        <v>18836553.6685622</v>
      </c>
      <c r="N94" s="92">
        <f ca="1">OFFSET('Historic CDM'!$C$88,0,(ROW()-ROW(F$2))/12)/12</f>
        <v>1443933.2360989219</v>
      </c>
      <c r="O94" s="1">
        <f t="shared" ca="1" si="63"/>
        <v>20280486.904661123</v>
      </c>
      <c r="P94" s="3">
        <f>48008.95-S94</f>
        <v>48008.95</v>
      </c>
      <c r="Q94" s="2">
        <f>218-T94</f>
        <v>218</v>
      </c>
      <c r="R94" s="90">
        <v>0</v>
      </c>
      <c r="S94" s="92">
        <v>0</v>
      </c>
      <c r="T94" s="91">
        <v>0</v>
      </c>
      <c r="U94" s="90">
        <v>226919.5871290323</v>
      </c>
      <c r="V94" s="93">
        <v>868.92</v>
      </c>
      <c r="W94" s="99">
        <f>343+1199+621+575</f>
        <v>2738</v>
      </c>
      <c r="X94" s="90">
        <v>27569.439999999999</v>
      </c>
      <c r="Y94" s="96">
        <v>72.055999999999997</v>
      </c>
      <c r="Z94" s="85">
        <v>173</v>
      </c>
      <c r="AA94" s="90">
        <v>129373</v>
      </c>
      <c r="AB94" s="85">
        <v>139</v>
      </c>
      <c r="AC94" s="90">
        <v>8171512.1000000006</v>
      </c>
      <c r="AD94" s="91">
        <v>156</v>
      </c>
      <c r="AE94" s="90">
        <v>2934361.3488709675</v>
      </c>
      <c r="AF94" s="92">
        <v>9179.65</v>
      </c>
      <c r="AG94" s="91">
        <v>3</v>
      </c>
      <c r="AH94" s="87">
        <f>Weather!B262</f>
        <v>8</v>
      </c>
      <c r="AI94" s="87">
        <f>Weather!C262</f>
        <v>90.1</v>
      </c>
      <c r="AJ94" s="87">
        <f>Employment!B94</f>
        <v>7037</v>
      </c>
      <c r="AK94" s="87">
        <f>Employment!C94</f>
        <v>170.5</v>
      </c>
      <c r="AL94" s="114">
        <v>633508.5</v>
      </c>
      <c r="AM94" s="95">
        <f t="shared" si="47"/>
        <v>30</v>
      </c>
      <c r="AN94" s="103">
        <v>21</v>
      </c>
      <c r="AO94" s="87">
        <v>93</v>
      </c>
      <c r="AP94" s="87">
        <f t="shared" ref="AP94:BD94" si="96">AP82</f>
        <v>0</v>
      </c>
      <c r="AQ94" s="87">
        <f t="shared" si="96"/>
        <v>0</v>
      </c>
      <c r="AR94" s="87">
        <f t="shared" si="96"/>
        <v>0</v>
      </c>
      <c r="AS94" s="87">
        <f t="shared" si="96"/>
        <v>0</v>
      </c>
      <c r="AT94" s="87">
        <f t="shared" si="96"/>
        <v>0</v>
      </c>
      <c r="AU94" s="87">
        <f t="shared" si="96"/>
        <v>0</v>
      </c>
      <c r="AV94" s="87">
        <f t="shared" si="96"/>
        <v>0</v>
      </c>
      <c r="AW94" s="87">
        <f t="shared" si="96"/>
        <v>0</v>
      </c>
      <c r="AX94" s="87">
        <f t="shared" si="96"/>
        <v>1</v>
      </c>
      <c r="AY94" s="87">
        <f t="shared" si="96"/>
        <v>0</v>
      </c>
      <c r="AZ94" s="87">
        <f t="shared" si="96"/>
        <v>0</v>
      </c>
      <c r="BA94" s="87">
        <f t="shared" si="96"/>
        <v>0</v>
      </c>
      <c r="BB94" s="87">
        <f t="shared" si="96"/>
        <v>0</v>
      </c>
      <c r="BC94" s="87">
        <f t="shared" si="96"/>
        <v>0</v>
      </c>
      <c r="BD94" s="87">
        <f t="shared" si="96"/>
        <v>0</v>
      </c>
    </row>
    <row r="95" spans="1:56">
      <c r="A95" s="88">
        <v>42644</v>
      </c>
      <c r="B95" s="122">
        <f t="shared" si="65"/>
        <v>10</v>
      </c>
      <c r="C95" s="89">
        <f t="shared" si="66"/>
        <v>2016</v>
      </c>
      <c r="D95" s="90">
        <f>31855410.7833333+935969</f>
        <v>32791379.783333302</v>
      </c>
      <c r="E95" s="90">
        <v>17590911.603077535</v>
      </c>
      <c r="F95" s="90">
        <f ca="1">OFFSET('Historic CDM'!$C$64,0,(ROW()-ROW(F$2))/12)/12</f>
        <v>685565.85908746358</v>
      </c>
      <c r="G95" s="90">
        <f t="shared" ca="1" si="67"/>
        <v>18276477.462164998</v>
      </c>
      <c r="H95" s="91">
        <v>27267</v>
      </c>
      <c r="I95" s="90">
        <f>4870054.51455307+254018.35</f>
        <v>5124072.8645530697</v>
      </c>
      <c r="J95" s="90">
        <f ca="1">OFFSET('Historic CDM'!$C$76,0,(ROW()-ROW(F$2))/12)/12</f>
        <v>404305.67955585261</v>
      </c>
      <c r="K95" s="90">
        <f t="shared" ca="1" si="68"/>
        <v>5528378.5441089226</v>
      </c>
      <c r="L95" s="85">
        <f>1924+26</f>
        <v>1950</v>
      </c>
      <c r="M95" s="90">
        <f>16422155.3190744-R95</f>
        <v>16422155.3190744</v>
      </c>
      <c r="N95" s="92">
        <f ca="1">OFFSET('Historic CDM'!$C$88,0,(ROW()-ROW(F$2))/12)/12</f>
        <v>1443933.2360989219</v>
      </c>
      <c r="O95" s="1">
        <f t="shared" ca="1" si="63"/>
        <v>17866088.555173323</v>
      </c>
      <c r="P95" s="3">
        <f>39909.88-S95</f>
        <v>39909.879999999997</v>
      </c>
      <c r="Q95" s="2">
        <f>217-T95</f>
        <v>217</v>
      </c>
      <c r="R95" s="90">
        <v>0</v>
      </c>
      <c r="S95" s="92">
        <v>0</v>
      </c>
      <c r="T95" s="91">
        <v>0</v>
      </c>
      <c r="U95" s="90">
        <v>266276.50964516128</v>
      </c>
      <c r="V95" s="93">
        <v>721.62</v>
      </c>
      <c r="W95" s="99">
        <f>343+1199+621+575</f>
        <v>2738</v>
      </c>
      <c r="X95" s="90">
        <v>22738.9</v>
      </c>
      <c r="Y95" s="96">
        <v>71.861000000000004</v>
      </c>
      <c r="Z95" s="85">
        <v>172</v>
      </c>
      <c r="AA95" s="90">
        <v>129373</v>
      </c>
      <c r="AB95" s="85">
        <v>139</v>
      </c>
      <c r="AC95" s="90">
        <v>9043156.0750000086</v>
      </c>
      <c r="AD95" s="91">
        <v>159</v>
      </c>
      <c r="AE95" s="90">
        <v>2701535.0766129042</v>
      </c>
      <c r="AF95" s="92">
        <v>7034.65</v>
      </c>
      <c r="AG95" s="91">
        <v>3</v>
      </c>
      <c r="AH95" s="87">
        <f>Weather!B263</f>
        <v>146</v>
      </c>
      <c r="AI95" s="87">
        <f>Weather!C263</f>
        <v>22.7</v>
      </c>
      <c r="AJ95" s="87">
        <f>Employment!B95</f>
        <v>7033.4</v>
      </c>
      <c r="AK95" s="87">
        <f>Employment!C95</f>
        <v>169.2</v>
      </c>
      <c r="AL95" s="114">
        <v>633508.5</v>
      </c>
      <c r="AM95" s="95">
        <f t="shared" si="47"/>
        <v>31</v>
      </c>
      <c r="AN95" s="103">
        <v>20</v>
      </c>
      <c r="AO95" s="87">
        <v>94</v>
      </c>
      <c r="AP95" s="87">
        <f t="shared" ref="AP95:BD95" si="97">AP83</f>
        <v>0</v>
      </c>
      <c r="AQ95" s="87">
        <f t="shared" si="97"/>
        <v>0</v>
      </c>
      <c r="AR95" s="87">
        <f t="shared" si="97"/>
        <v>0</v>
      </c>
      <c r="AS95" s="87">
        <f t="shared" si="97"/>
        <v>0</v>
      </c>
      <c r="AT95" s="87">
        <f t="shared" si="97"/>
        <v>0</v>
      </c>
      <c r="AU95" s="87">
        <f t="shared" si="97"/>
        <v>0</v>
      </c>
      <c r="AV95" s="87">
        <f t="shared" si="97"/>
        <v>0</v>
      </c>
      <c r="AW95" s="87">
        <f t="shared" si="97"/>
        <v>0</v>
      </c>
      <c r="AX95" s="87">
        <f t="shared" si="97"/>
        <v>0</v>
      </c>
      <c r="AY95" s="87">
        <f t="shared" si="97"/>
        <v>1</v>
      </c>
      <c r="AZ95" s="87">
        <f t="shared" si="97"/>
        <v>0</v>
      </c>
      <c r="BA95" s="87">
        <f t="shared" si="97"/>
        <v>0</v>
      </c>
      <c r="BB95" s="87">
        <f t="shared" si="97"/>
        <v>0</v>
      </c>
      <c r="BC95" s="87">
        <f t="shared" si="97"/>
        <v>1</v>
      </c>
      <c r="BD95" s="87">
        <f t="shared" si="97"/>
        <v>1</v>
      </c>
    </row>
    <row r="96" spans="1:56">
      <c r="A96" s="88">
        <v>42675</v>
      </c>
      <c r="B96" s="122">
        <f t="shared" si="65"/>
        <v>11</v>
      </c>
      <c r="C96" s="89">
        <f t="shared" si="66"/>
        <v>2016</v>
      </c>
      <c r="D96" s="90">
        <f>31540605.5083333+850519</f>
        <v>32391124.508333299</v>
      </c>
      <c r="E96" s="90">
        <v>16513479.691503597</v>
      </c>
      <c r="F96" s="90">
        <f ca="1">OFFSET('Historic CDM'!$C$64,0,(ROW()-ROW(F$2))/12)/12</f>
        <v>685565.85908746358</v>
      </c>
      <c r="G96" s="90">
        <f t="shared" ca="1" si="67"/>
        <v>17199045.550591063</v>
      </c>
      <c r="H96" s="91">
        <v>27306</v>
      </c>
      <c r="I96" s="90">
        <f>4658811.14040408+239036.663</f>
        <v>4897847.8034040798</v>
      </c>
      <c r="J96" s="90">
        <f ca="1">OFFSET('Historic CDM'!$C$76,0,(ROW()-ROW(F$2))/12)/12</f>
        <v>404305.67955585261</v>
      </c>
      <c r="K96" s="90">
        <f t="shared" ca="1" si="68"/>
        <v>5302153.4829599326</v>
      </c>
      <c r="L96" s="85">
        <f>1925+28</f>
        <v>1953</v>
      </c>
      <c r="M96" s="90">
        <f>15463618.8703551-R96</f>
        <v>15463618.870355099</v>
      </c>
      <c r="N96" s="92">
        <f ca="1">OFFSET('Historic CDM'!$C$88,0,(ROW()-ROW(F$2))/12)/12</f>
        <v>1443933.2360989219</v>
      </c>
      <c r="O96" s="1">
        <f t="shared" ca="1" si="63"/>
        <v>16907552.106454022</v>
      </c>
      <c r="P96" s="3">
        <f>36835.52-S96</f>
        <v>36835.519999999997</v>
      </c>
      <c r="Q96" s="2">
        <f>218-T96</f>
        <v>218</v>
      </c>
      <c r="R96" s="90">
        <v>0</v>
      </c>
      <c r="S96" s="92">
        <v>0</v>
      </c>
      <c r="T96" s="91">
        <v>0</v>
      </c>
      <c r="U96" s="90">
        <v>281181.00002150546</v>
      </c>
      <c r="V96" s="93">
        <v>753.08999999999992</v>
      </c>
      <c r="W96" s="99">
        <f>343+1200+621+576</f>
        <v>2740</v>
      </c>
      <c r="X96" s="90">
        <v>32811.839999999997</v>
      </c>
      <c r="Y96" s="96">
        <v>71.861000000000004</v>
      </c>
      <c r="Z96" s="85">
        <v>172</v>
      </c>
      <c r="AA96" s="90">
        <v>129373</v>
      </c>
      <c r="AB96" s="85">
        <v>139</v>
      </c>
      <c r="AC96" s="90">
        <v>8571276.424999997</v>
      </c>
      <c r="AD96" s="91">
        <v>164</v>
      </c>
      <c r="AE96" s="90">
        <v>2668913.378053763</v>
      </c>
      <c r="AF96" s="92">
        <v>7195.37</v>
      </c>
      <c r="AG96" s="91">
        <v>3</v>
      </c>
      <c r="AH96" s="87">
        <f>Weather!B264</f>
        <v>290.7</v>
      </c>
      <c r="AI96" s="87">
        <f>Weather!C264</f>
        <v>0</v>
      </c>
      <c r="AJ96" s="87">
        <f>Employment!B96</f>
        <v>7026.9</v>
      </c>
      <c r="AK96" s="87">
        <f>Employment!C96</f>
        <v>165.5</v>
      </c>
      <c r="AL96" s="114">
        <v>633508.5</v>
      </c>
      <c r="AM96" s="95">
        <f t="shared" si="47"/>
        <v>30</v>
      </c>
      <c r="AN96" s="103">
        <v>22</v>
      </c>
      <c r="AO96" s="87">
        <v>95</v>
      </c>
      <c r="AP96" s="87">
        <f t="shared" ref="AP96:BD96" si="98">AP84</f>
        <v>0</v>
      </c>
      <c r="AQ96" s="87">
        <f t="shared" si="98"/>
        <v>0</v>
      </c>
      <c r="AR96" s="87">
        <f t="shared" si="98"/>
        <v>0</v>
      </c>
      <c r="AS96" s="87">
        <f t="shared" si="98"/>
        <v>0</v>
      </c>
      <c r="AT96" s="87">
        <f t="shared" si="98"/>
        <v>0</v>
      </c>
      <c r="AU96" s="87">
        <f t="shared" si="98"/>
        <v>0</v>
      </c>
      <c r="AV96" s="87">
        <f t="shared" si="98"/>
        <v>0</v>
      </c>
      <c r="AW96" s="87">
        <f t="shared" si="98"/>
        <v>0</v>
      </c>
      <c r="AX96" s="87">
        <f t="shared" si="98"/>
        <v>0</v>
      </c>
      <c r="AY96" s="87">
        <f t="shared" si="98"/>
        <v>0</v>
      </c>
      <c r="AZ96" s="87">
        <f t="shared" si="98"/>
        <v>1</v>
      </c>
      <c r="BA96" s="87">
        <f t="shared" si="98"/>
        <v>0</v>
      </c>
      <c r="BB96" s="87">
        <f t="shared" si="98"/>
        <v>0</v>
      </c>
      <c r="BC96" s="87">
        <f t="shared" si="98"/>
        <v>1</v>
      </c>
      <c r="BD96" s="87">
        <f t="shared" si="98"/>
        <v>1</v>
      </c>
    </row>
    <row r="97" spans="1:56">
      <c r="A97" s="88">
        <v>42705</v>
      </c>
      <c r="B97" s="122">
        <f t="shared" si="65"/>
        <v>12</v>
      </c>
      <c r="C97" s="89">
        <f t="shared" si="66"/>
        <v>2016</v>
      </c>
      <c r="D97" s="90">
        <f>36410224.7916666+855632</f>
        <v>37265856.791666597</v>
      </c>
      <c r="E97" s="90">
        <v>19989298.418834101</v>
      </c>
      <c r="F97" s="90">
        <f ca="1">OFFSET('Historic CDM'!$C$64,0,(ROW()-ROW(F$2))/12)/12</f>
        <v>685565.85908746358</v>
      </c>
      <c r="G97" s="90">
        <f t="shared" ca="1" si="67"/>
        <v>20674864.277921565</v>
      </c>
      <c r="H97" s="91">
        <v>27309</v>
      </c>
      <c r="I97" s="90">
        <f>5192329.32117423+267804.022</f>
        <v>5460133.3431742303</v>
      </c>
      <c r="J97" s="90">
        <f ca="1">OFFSET('Historic CDM'!$C$76,0,(ROW()-ROW(F$2))/12)/12</f>
        <v>404305.67955585261</v>
      </c>
      <c r="K97" s="90">
        <f t="shared" ca="1" si="68"/>
        <v>5864439.0227300832</v>
      </c>
      <c r="L97" s="85">
        <f>1925+33</f>
        <v>1958</v>
      </c>
      <c r="M97" s="90">
        <f>15034753.014332-R97</f>
        <v>15034753.014332</v>
      </c>
      <c r="N97" s="92">
        <f ca="1">OFFSET('Historic CDM'!$C$88,0,(ROW()-ROW(F$2))/12)/12</f>
        <v>1443933.2360989219</v>
      </c>
      <c r="O97" s="1">
        <f t="shared" ca="1" si="63"/>
        <v>16478686.250430923</v>
      </c>
      <c r="P97" s="3">
        <f>37084.46-S97</f>
        <v>37084.46</v>
      </c>
      <c r="Q97" s="2">
        <f>218-T97</f>
        <v>218</v>
      </c>
      <c r="R97" s="90">
        <v>0</v>
      </c>
      <c r="S97" s="92">
        <v>0</v>
      </c>
      <c r="T97" s="91">
        <v>0</v>
      </c>
      <c r="U97" s="90">
        <v>307860.52513978508</v>
      </c>
      <c r="V97" s="93">
        <v>724.81999999999994</v>
      </c>
      <c r="W97" s="99">
        <f>343+1200+621+576</f>
        <v>2740</v>
      </c>
      <c r="X97" s="90">
        <v>27736.81</v>
      </c>
      <c r="Y97" s="96">
        <v>71.861000000000004</v>
      </c>
      <c r="Z97" s="85">
        <v>172</v>
      </c>
      <c r="AA97" s="90">
        <v>129373</v>
      </c>
      <c r="AB97" s="85">
        <v>139</v>
      </c>
      <c r="AC97" s="90">
        <v>8274423.8999999939</v>
      </c>
      <c r="AD97" s="91">
        <v>165</v>
      </c>
      <c r="AE97" s="90">
        <v>2635161.1200107536</v>
      </c>
      <c r="AF97" s="92">
        <v>6563.5999999999995</v>
      </c>
      <c r="AG97" s="91">
        <v>3</v>
      </c>
      <c r="AH97" s="87">
        <f>Weather!B265</f>
        <v>581.1</v>
      </c>
      <c r="AI97" s="87">
        <f>Weather!C265</f>
        <v>0</v>
      </c>
      <c r="AJ97" s="87">
        <f>Employment!B97</f>
        <v>7041.6</v>
      </c>
      <c r="AK97" s="87">
        <f>Employment!C97</f>
        <v>162.5</v>
      </c>
      <c r="AL97" s="114">
        <v>633508.5</v>
      </c>
      <c r="AM97" s="95">
        <f t="shared" si="47"/>
        <v>31</v>
      </c>
      <c r="AN97" s="103">
        <v>20</v>
      </c>
      <c r="AO97" s="87">
        <v>96</v>
      </c>
      <c r="AP97" s="87">
        <f t="shared" ref="AP97:BD97" si="99">AP85</f>
        <v>0</v>
      </c>
      <c r="AQ97" s="87">
        <f t="shared" si="99"/>
        <v>0</v>
      </c>
      <c r="AR97" s="87">
        <f t="shared" si="99"/>
        <v>0</v>
      </c>
      <c r="AS97" s="87">
        <f t="shared" si="99"/>
        <v>0</v>
      </c>
      <c r="AT97" s="87">
        <f t="shared" si="99"/>
        <v>0</v>
      </c>
      <c r="AU97" s="87">
        <f t="shared" si="99"/>
        <v>0</v>
      </c>
      <c r="AV97" s="87">
        <f t="shared" si="99"/>
        <v>0</v>
      </c>
      <c r="AW97" s="87">
        <f t="shared" si="99"/>
        <v>0</v>
      </c>
      <c r="AX97" s="87">
        <f t="shared" si="99"/>
        <v>0</v>
      </c>
      <c r="AY97" s="87">
        <f t="shared" si="99"/>
        <v>0</v>
      </c>
      <c r="AZ97" s="87">
        <f t="shared" si="99"/>
        <v>0</v>
      </c>
      <c r="BA97" s="87">
        <f t="shared" si="99"/>
        <v>1</v>
      </c>
      <c r="BB97" s="87">
        <f t="shared" si="99"/>
        <v>0</v>
      </c>
      <c r="BC97" s="87">
        <f t="shared" si="99"/>
        <v>0</v>
      </c>
      <c r="BD97" s="87">
        <f t="shared" si="99"/>
        <v>0</v>
      </c>
    </row>
    <row r="98" spans="1:56" ht="15.75" thickBot="1">
      <c r="A98" s="88">
        <v>42736</v>
      </c>
      <c r="B98" s="122">
        <f t="shared" ref="B98:B109" si="100">MONTH(A98)</f>
        <v>1</v>
      </c>
      <c r="C98" s="122">
        <f t="shared" ref="C98:C109" si="101">YEAR(A98)</f>
        <v>2017</v>
      </c>
      <c r="H98" s="129">
        <v>27334</v>
      </c>
      <c r="L98" s="130">
        <v>1974</v>
      </c>
      <c r="Q98" s="130">
        <v>213</v>
      </c>
      <c r="W98" s="129">
        <v>2740</v>
      </c>
      <c r="Z98" s="130">
        <v>173</v>
      </c>
      <c r="AB98" s="130">
        <v>142</v>
      </c>
      <c r="AG98" s="130">
        <v>3</v>
      </c>
      <c r="AK98" s="134">
        <f>Employment!C98</f>
        <v>160.69999999999999</v>
      </c>
    </row>
    <row r="99" spans="1:56" ht="15.75" thickBot="1">
      <c r="A99" s="88">
        <v>42767</v>
      </c>
      <c r="B99" s="122">
        <f t="shared" si="100"/>
        <v>2</v>
      </c>
      <c r="C99" s="122">
        <f t="shared" si="101"/>
        <v>2017</v>
      </c>
      <c r="H99" s="129">
        <v>27352</v>
      </c>
      <c r="I99" s="90"/>
      <c r="J99" s="90"/>
      <c r="K99" s="90"/>
      <c r="L99" s="130">
        <v>1977</v>
      </c>
      <c r="Q99" s="130">
        <v>213</v>
      </c>
      <c r="W99" s="129">
        <v>2746</v>
      </c>
      <c r="Z99" s="130">
        <v>173</v>
      </c>
      <c r="AB99" s="130">
        <v>141</v>
      </c>
      <c r="AG99" s="130">
        <v>3</v>
      </c>
      <c r="AK99" s="134">
        <f>Employment!C99</f>
        <v>158.80000000000001</v>
      </c>
    </row>
    <row r="100" spans="1:56" ht="15.75" thickBot="1">
      <c r="A100" s="88">
        <v>42795</v>
      </c>
      <c r="B100" s="122">
        <f t="shared" si="100"/>
        <v>3</v>
      </c>
      <c r="C100" s="122">
        <f t="shared" si="101"/>
        <v>2017</v>
      </c>
      <c r="H100" s="129">
        <v>27415</v>
      </c>
      <c r="I100" s="90"/>
      <c r="J100" s="90"/>
      <c r="K100" s="90"/>
      <c r="L100" s="130">
        <v>1988</v>
      </c>
      <c r="Q100" s="130">
        <v>213</v>
      </c>
      <c r="W100" s="129">
        <v>2746</v>
      </c>
      <c r="Z100" s="130">
        <v>173</v>
      </c>
      <c r="AB100" s="130">
        <v>141</v>
      </c>
      <c r="AG100" s="130">
        <v>3</v>
      </c>
      <c r="AK100" s="134">
        <f>Employment!C100</f>
        <v>157.6</v>
      </c>
    </row>
    <row r="101" spans="1:56" ht="15.75" thickBot="1">
      <c r="A101" s="88">
        <v>42826</v>
      </c>
      <c r="B101" s="122">
        <f t="shared" si="100"/>
        <v>4</v>
      </c>
      <c r="C101" s="122">
        <f t="shared" si="101"/>
        <v>2017</v>
      </c>
      <c r="H101" s="129">
        <v>27482</v>
      </c>
      <c r="I101" s="90"/>
      <c r="J101" s="90"/>
      <c r="K101" s="90"/>
      <c r="L101" s="130">
        <v>1977</v>
      </c>
      <c r="Q101" s="130">
        <v>213</v>
      </c>
      <c r="W101" s="129">
        <v>2746</v>
      </c>
      <c r="Z101" s="130">
        <v>173</v>
      </c>
      <c r="AB101" s="130">
        <v>141</v>
      </c>
      <c r="AG101" s="130">
        <v>3</v>
      </c>
      <c r="AK101" s="134">
        <f>Employment!C101</f>
        <v>156.80000000000001</v>
      </c>
    </row>
    <row r="102" spans="1:56" ht="15.75" thickBot="1">
      <c r="A102" s="88">
        <v>42856</v>
      </c>
      <c r="B102" s="122">
        <f t="shared" si="100"/>
        <v>5</v>
      </c>
      <c r="C102" s="122">
        <f t="shared" si="101"/>
        <v>2017</v>
      </c>
      <c r="H102" s="129">
        <v>27548</v>
      </c>
      <c r="I102" s="90"/>
      <c r="J102" s="90"/>
      <c r="K102" s="90"/>
      <c r="L102" s="130">
        <v>1979</v>
      </c>
      <c r="Q102" s="130">
        <v>215</v>
      </c>
      <c r="W102" s="129">
        <v>2757</v>
      </c>
      <c r="Z102" s="130">
        <v>173</v>
      </c>
      <c r="AB102" s="130">
        <v>141</v>
      </c>
      <c r="AG102" s="130">
        <v>3</v>
      </c>
      <c r="AK102" s="134">
        <f>Employment!C102</f>
        <v>157.69999999999999</v>
      </c>
    </row>
    <row r="103" spans="1:56" ht="15.75" thickBot="1">
      <c r="A103" s="88">
        <v>42887</v>
      </c>
      <c r="B103" s="122">
        <f t="shared" si="100"/>
        <v>6</v>
      </c>
      <c r="C103" s="122">
        <f t="shared" si="101"/>
        <v>2017</v>
      </c>
      <c r="H103" s="129">
        <v>27587</v>
      </c>
      <c r="I103" s="90"/>
      <c r="J103" s="90"/>
      <c r="K103" s="90"/>
      <c r="L103" s="130">
        <v>1969</v>
      </c>
      <c r="Q103" s="130">
        <v>216</v>
      </c>
      <c r="W103" s="129">
        <v>2757</v>
      </c>
      <c r="Z103" s="130">
        <v>172</v>
      </c>
      <c r="AB103" s="130">
        <v>141</v>
      </c>
      <c r="AG103" s="130">
        <v>3</v>
      </c>
      <c r="AK103" s="134">
        <f>Employment!C103</f>
        <v>161.19999999999999</v>
      </c>
    </row>
    <row r="104" spans="1:56" ht="15.75" thickBot="1">
      <c r="A104" s="88">
        <v>42917</v>
      </c>
      <c r="B104" s="122">
        <f t="shared" si="100"/>
        <v>7</v>
      </c>
      <c r="C104" s="122">
        <f t="shared" si="101"/>
        <v>2017</v>
      </c>
      <c r="H104" s="129">
        <v>27611</v>
      </c>
      <c r="I104" s="90"/>
      <c r="J104" s="90"/>
      <c r="K104" s="90"/>
      <c r="L104" s="130">
        <v>1973</v>
      </c>
      <c r="Q104" s="130">
        <v>217</v>
      </c>
      <c r="W104" s="129">
        <v>2757</v>
      </c>
      <c r="Z104" s="130">
        <v>172</v>
      </c>
      <c r="AB104" s="130">
        <v>141</v>
      </c>
      <c r="AG104" s="130">
        <v>3</v>
      </c>
      <c r="AK104" s="134">
        <f>Employment!C104</f>
        <v>163.19999999999999</v>
      </c>
    </row>
    <row r="105" spans="1:56" ht="15.75" thickBot="1">
      <c r="A105" s="88">
        <v>42948</v>
      </c>
      <c r="B105" s="122">
        <f t="shared" si="100"/>
        <v>8</v>
      </c>
      <c r="C105" s="122">
        <f t="shared" si="101"/>
        <v>2017</v>
      </c>
      <c r="H105" s="129">
        <v>27677</v>
      </c>
      <c r="I105" s="90"/>
      <c r="J105" s="90"/>
      <c r="K105" s="90"/>
      <c r="L105" s="130">
        <v>1990</v>
      </c>
      <c r="Q105" s="130">
        <v>220</v>
      </c>
      <c r="W105" s="129">
        <v>2757</v>
      </c>
      <c r="Z105" s="130">
        <v>172</v>
      </c>
      <c r="AB105" s="130">
        <v>141</v>
      </c>
      <c r="AG105" s="130">
        <v>3</v>
      </c>
      <c r="AK105" s="134">
        <f>Employment!C105</f>
        <v>167.5</v>
      </c>
    </row>
    <row r="106" spans="1:56" ht="15.75" thickBot="1">
      <c r="A106" s="88">
        <v>42979</v>
      </c>
      <c r="B106" s="122">
        <f t="shared" si="100"/>
        <v>9</v>
      </c>
      <c r="C106" s="122">
        <f t="shared" si="101"/>
        <v>2017</v>
      </c>
      <c r="H106" s="129">
        <v>27775</v>
      </c>
      <c r="I106" s="90"/>
      <c r="J106" s="90"/>
      <c r="K106" s="90"/>
      <c r="L106" s="130">
        <v>1989</v>
      </c>
      <c r="Q106" s="130">
        <v>218</v>
      </c>
      <c r="W106" s="129">
        <v>2757</v>
      </c>
      <c r="Z106" s="130">
        <v>172</v>
      </c>
      <c r="AB106" s="130">
        <v>141</v>
      </c>
      <c r="AG106" s="130">
        <v>3</v>
      </c>
      <c r="AK106" s="134">
        <f>Employment!C106</f>
        <v>168.1</v>
      </c>
    </row>
    <row r="107" spans="1:56" ht="15.75" thickBot="1">
      <c r="A107" s="88">
        <v>43009</v>
      </c>
      <c r="B107" s="122">
        <f t="shared" si="100"/>
        <v>10</v>
      </c>
      <c r="C107" s="122">
        <f t="shared" si="101"/>
        <v>2017</v>
      </c>
      <c r="H107" s="129">
        <v>27681</v>
      </c>
      <c r="I107" s="90"/>
      <c r="J107" s="90"/>
      <c r="K107" s="90"/>
      <c r="L107" s="130">
        <v>1982</v>
      </c>
      <c r="Q107" s="130">
        <v>218</v>
      </c>
      <c r="W107" s="129">
        <v>2757</v>
      </c>
      <c r="Z107" s="130">
        <v>171</v>
      </c>
      <c r="AB107" s="130">
        <v>141</v>
      </c>
      <c r="AG107" s="130">
        <v>3</v>
      </c>
      <c r="AK107" s="134">
        <f>Employment!C107</f>
        <v>165.1</v>
      </c>
    </row>
    <row r="108" spans="1:56" ht="15.75" thickBot="1">
      <c r="A108" s="88">
        <v>43040</v>
      </c>
      <c r="B108" s="122">
        <f t="shared" si="100"/>
        <v>11</v>
      </c>
      <c r="C108" s="122">
        <f t="shared" si="101"/>
        <v>2017</v>
      </c>
      <c r="H108" s="129">
        <v>27692</v>
      </c>
      <c r="L108" s="130">
        <v>1991</v>
      </c>
      <c r="Q108" s="130">
        <v>221</v>
      </c>
      <c r="W108" s="129">
        <v>2757</v>
      </c>
      <c r="Z108" s="130">
        <v>171</v>
      </c>
      <c r="AB108" s="130">
        <v>141</v>
      </c>
      <c r="AG108" s="130">
        <v>3</v>
      </c>
      <c r="AK108" s="134">
        <f>Employment!C108</f>
        <v>164.7</v>
      </c>
    </row>
    <row r="109" spans="1:56" ht="15.75" thickBot="1">
      <c r="A109" s="88">
        <v>43070</v>
      </c>
      <c r="B109" s="122">
        <f t="shared" si="100"/>
        <v>12</v>
      </c>
      <c r="C109" s="122">
        <f t="shared" si="101"/>
        <v>2017</v>
      </c>
      <c r="H109" s="129">
        <v>27746</v>
      </c>
      <c r="L109" s="130">
        <v>2000</v>
      </c>
      <c r="Q109" s="130">
        <v>222</v>
      </c>
      <c r="W109" s="129">
        <v>2758</v>
      </c>
      <c r="Z109" s="130">
        <v>173</v>
      </c>
      <c r="AB109" s="130">
        <v>141</v>
      </c>
      <c r="AG109" s="130">
        <v>3</v>
      </c>
      <c r="AK109" s="134">
        <f>Employment!C109</f>
        <v>164.3</v>
      </c>
    </row>
    <row r="110" spans="1:56" ht="15.75" thickBot="1">
      <c r="AG110" s="130"/>
      <c r="AK110" s="134"/>
    </row>
  </sheetData>
  <pageMargins left="0.7" right="0.7" top="0.75" bottom="0.75" header="0.3" footer="0.3"/>
  <legacy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A98"/>
  <sheetViews>
    <sheetView topLeftCell="J1" workbookViewId="0">
      <selection activeCell="J1" sqref="A1:XFD1048576"/>
    </sheetView>
  </sheetViews>
  <sheetFormatPr defaultColWidth="8.85546875" defaultRowHeight="12.75"/>
  <cols>
    <col min="1" max="1" width="10.28515625" style="6" bestFit="1" customWidth="1"/>
    <col min="2" max="2" width="5" style="6" bestFit="1" customWidth="1"/>
    <col min="3" max="3" width="13.42578125" style="6" bestFit="1" customWidth="1"/>
    <col min="4" max="4" width="17.7109375" style="6" bestFit="1" customWidth="1"/>
    <col min="5" max="6" width="6" style="6" bestFit="1" customWidth="1"/>
    <col min="7" max="7" width="11.7109375" style="6" bestFit="1" customWidth="1"/>
    <col min="8" max="8" width="10.7109375" style="6" bestFit="1" customWidth="1"/>
    <col min="9" max="9" width="9.140625" style="6" bestFit="1" customWidth="1"/>
    <col min="10" max="10" width="3.85546875" style="6" bestFit="1" customWidth="1"/>
    <col min="11" max="13" width="3.85546875" style="6" customWidth="1"/>
    <col min="14" max="14" width="8.85546875" style="6"/>
    <col min="15" max="15" width="11.5703125" style="6" bestFit="1" customWidth="1"/>
    <col min="16" max="16" width="17.7109375" style="6" bestFit="1" customWidth="1"/>
    <col min="17" max="18" width="10" style="6" bestFit="1" customWidth="1"/>
    <col min="19" max="19" width="12.7109375" style="6" bestFit="1" customWidth="1"/>
    <col min="20" max="20" width="12.42578125" style="6" bestFit="1" customWidth="1"/>
    <col min="21" max="21" width="10.85546875" style="6" bestFit="1" customWidth="1"/>
    <col min="22" max="22" width="12.5703125" style="6" customWidth="1"/>
    <col min="23" max="23" width="12.28515625" style="6" bestFit="1" customWidth="1"/>
    <col min="24" max="24" width="10.5703125" style="6" bestFit="1" customWidth="1"/>
    <col min="25" max="25" width="10" style="6" customWidth="1"/>
    <col min="26" max="26" width="14" style="6" bestFit="1" customWidth="1"/>
    <col min="27" max="27" width="10.5703125" style="6" bestFit="1" customWidth="1"/>
    <col min="28" max="16384" width="8.85546875" style="6"/>
  </cols>
  <sheetData>
    <row r="1" spans="1:27" ht="15">
      <c r="A1" s="6" t="str">
        <f>'Monthly Data'!A1</f>
        <v>Date</v>
      </c>
      <c r="B1" s="6" t="s">
        <v>83</v>
      </c>
      <c r="C1" s="20" t="str">
        <f>'Monthly Data'!O1</f>
        <v>Gross_GSgt50</v>
      </c>
      <c r="D1" s="20" t="str">
        <f>'Monthly Data'!Q1</f>
        <v>GSgt50_Customers</v>
      </c>
      <c r="E1" s="6" t="str">
        <f>'Monthly Data'!AH1</f>
        <v>HDD</v>
      </c>
      <c r="F1" s="6" t="str">
        <f>'Monthly Data'!AI1</f>
        <v>CDD</v>
      </c>
      <c r="G1" s="6" t="str">
        <f>'Monthly Data'!AK1</f>
        <v>Windsor_FTE</v>
      </c>
      <c r="H1" s="6" t="str">
        <f>'Monthly Data'!AO1</f>
        <v>Trend</v>
      </c>
      <c r="I1" s="6" t="str">
        <f>'Monthly Data'!AQ1</f>
        <v>February</v>
      </c>
      <c r="J1" s="6" t="str">
        <f>'Monthly Data'!AW1</f>
        <v>August</v>
      </c>
      <c r="K1" s="6" t="str">
        <f>'Monthly Data'!AX1</f>
        <v>September</v>
      </c>
      <c r="L1" s="6" t="str">
        <f>'Monthly Data'!AY1</f>
        <v>October</v>
      </c>
      <c r="M1" s="6" t="str">
        <f>'Monthly Data'!AZ1</f>
        <v>November</v>
      </c>
      <c r="O1" s="20" t="s">
        <v>67</v>
      </c>
      <c r="P1" s="20" t="str">
        <f t="shared" ref="P1:V1" si="0">D1</f>
        <v>GSgt50_Customers</v>
      </c>
      <c r="Q1" s="20" t="str">
        <f t="shared" si="0"/>
        <v>HDD</v>
      </c>
      <c r="R1" s="20" t="str">
        <f t="shared" si="0"/>
        <v>CDD</v>
      </c>
      <c r="S1" s="20" t="str">
        <f t="shared" si="0"/>
        <v>Windsor_FTE</v>
      </c>
      <c r="T1" s="20" t="str">
        <f t="shared" si="0"/>
        <v>Trend</v>
      </c>
      <c r="U1" s="20" t="str">
        <f t="shared" si="0"/>
        <v>February</v>
      </c>
      <c r="V1" s="20" t="str">
        <f t="shared" si="0"/>
        <v>August</v>
      </c>
      <c r="W1" s="20" t="str">
        <f>K1</f>
        <v>September</v>
      </c>
      <c r="X1" s="20" t="str">
        <f>L1</f>
        <v>October</v>
      </c>
      <c r="Y1" s="20" t="str">
        <f>M1</f>
        <v>November</v>
      </c>
      <c r="Z1" s="20" t="s">
        <v>84</v>
      </c>
      <c r="AA1" s="16" t="s">
        <v>85</v>
      </c>
    </row>
    <row r="2" spans="1:27" ht="15">
      <c r="A2" s="22">
        <f>'Monthly Data'!A2</f>
        <v>39814</v>
      </c>
      <c r="B2" s="6">
        <f>YEAR(A2)</f>
        <v>2009</v>
      </c>
      <c r="C2" s="20">
        <f ca="1">'Monthly Data'!O2</f>
        <v>14097033.012462217</v>
      </c>
      <c r="D2" s="20">
        <f>'Monthly Data'!Q2</f>
        <v>225</v>
      </c>
      <c r="E2" s="6">
        <f>'Monthly Data'!AH2</f>
        <v>768.79999999999973</v>
      </c>
      <c r="F2" s="6">
        <f>'Monthly Data'!AI2</f>
        <v>0</v>
      </c>
      <c r="G2" s="6">
        <f>'Monthly Data'!AK2</f>
        <v>151.5</v>
      </c>
      <c r="H2" s="6">
        <f>'Monthly Data'!AO2</f>
        <v>1</v>
      </c>
      <c r="I2" s="6">
        <f>'Monthly Data'!AQ2</f>
        <v>0</v>
      </c>
      <c r="J2" s="6">
        <f>'Monthly Data'!AW2</f>
        <v>0</v>
      </c>
      <c r="K2" s="6">
        <f>'Monthly Data'!AX2</f>
        <v>0</v>
      </c>
      <c r="L2" s="6">
        <f>'Monthly Data'!AY2</f>
        <v>0</v>
      </c>
      <c r="M2" s="6">
        <f>'Monthly Data'!AZ2</f>
        <v>0</v>
      </c>
      <c r="O2" s="20">
        <f>'GS &gt; 50 OLS model'!$P$5</f>
        <v>-12525532.812157899</v>
      </c>
      <c r="P2" s="20">
        <f>'GS &gt; 50 OLS model'!$P$6*D2</f>
        <v>11844834.470994599</v>
      </c>
      <c r="Q2" s="20">
        <f>'GS &gt; 50 OLS model'!$P$7*E2</f>
        <v>2044759.4332795416</v>
      </c>
      <c r="R2" s="20">
        <f>'GS &gt; 50 OLS model'!$P$8*F2</f>
        <v>0</v>
      </c>
      <c r="S2" s="20">
        <f>'GS &gt; 50 OLS model'!$P$9*G2</f>
        <v>13109910.247195598</v>
      </c>
      <c r="T2" s="20">
        <f>'GS &gt; 50 OLS model'!$P$10*H2</f>
        <v>13478.2272289665</v>
      </c>
      <c r="U2" s="20">
        <f>'GS &gt; 50 OLS model'!$P$11*I2</f>
        <v>0</v>
      </c>
      <c r="V2" s="20">
        <f>'GS &gt; 50 OLS model'!$P$12*J2</f>
        <v>0</v>
      </c>
      <c r="W2" s="20">
        <f>'GS &gt; 50 OLS model'!$P$13*K2</f>
        <v>0</v>
      </c>
      <c r="X2" s="20">
        <f>'GS &gt; 50 OLS model'!$P$14*L2</f>
        <v>0</v>
      </c>
      <c r="Y2" s="20">
        <f>'GS &gt; 50 OLS model'!$P$15*M2</f>
        <v>0</v>
      </c>
      <c r="Z2" s="20">
        <f>SUM(O2:Y2)</f>
        <v>14487449.566540806</v>
      </c>
      <c r="AA2" s="23">
        <f t="shared" ref="AA2:AA33" ca="1" si="1">ABS(Z2-C2)/C2</f>
        <v>2.7694945009595129E-2</v>
      </c>
    </row>
    <row r="3" spans="1:27" ht="15">
      <c r="A3" s="22">
        <f>'Monthly Data'!A3</f>
        <v>39845</v>
      </c>
      <c r="B3" s="6">
        <f t="shared" ref="B3:B66" si="2">YEAR(A3)</f>
        <v>2009</v>
      </c>
      <c r="C3" s="20">
        <f ca="1">'Monthly Data'!O3</f>
        <v>12607538.392457418</v>
      </c>
      <c r="D3" s="20">
        <f>'Monthly Data'!Q3</f>
        <v>237</v>
      </c>
      <c r="E3" s="6">
        <f>'Monthly Data'!AH3</f>
        <v>540</v>
      </c>
      <c r="F3" s="6">
        <f>'Monthly Data'!AI3</f>
        <v>0</v>
      </c>
      <c r="G3" s="6">
        <f>'Monthly Data'!AK3</f>
        <v>147.5</v>
      </c>
      <c r="H3" s="6">
        <f>'Monthly Data'!AO3</f>
        <v>2</v>
      </c>
      <c r="I3" s="6">
        <f>'Monthly Data'!AQ3</f>
        <v>1</v>
      </c>
      <c r="J3" s="6">
        <f>'Monthly Data'!AW3</f>
        <v>0</v>
      </c>
      <c r="K3" s="6">
        <f>'Monthly Data'!AX3</f>
        <v>0</v>
      </c>
      <c r="L3" s="6">
        <f>'Monthly Data'!AY3</f>
        <v>0</v>
      </c>
      <c r="M3" s="6">
        <f>'Monthly Data'!AZ3</f>
        <v>0</v>
      </c>
      <c r="O3" s="20">
        <f>'GS &gt; 50 OLS model'!$P$5</f>
        <v>-12525532.812157899</v>
      </c>
      <c r="P3" s="20">
        <f>'GS &gt; 50 OLS model'!$P$6*D3</f>
        <v>12476558.976114312</v>
      </c>
      <c r="Q3" s="20">
        <f>'GS &gt; 50 OLS model'!$P$7*E3</f>
        <v>1436225.4083909376</v>
      </c>
      <c r="R3" s="20">
        <f>'GS &gt; 50 OLS model'!$P$8*F3</f>
        <v>0</v>
      </c>
      <c r="S3" s="20">
        <f>'GS &gt; 50 OLS model'!$P$9*G3</f>
        <v>12763774.003045218</v>
      </c>
      <c r="T3" s="20">
        <f>'GS &gt; 50 OLS model'!$P$10*H3</f>
        <v>26956.454457933</v>
      </c>
      <c r="U3" s="20">
        <f>'GS &gt; 50 OLS model'!$P$11*I3</f>
        <v>-794437.04938529804</v>
      </c>
      <c r="V3" s="20">
        <f>'GS &gt; 50 OLS model'!$P$12*J3</f>
        <v>0</v>
      </c>
      <c r="W3" s="20">
        <f>'GS &gt; 50 OLS model'!$P$13*K3</f>
        <v>0</v>
      </c>
      <c r="X3" s="20">
        <f>'GS &gt; 50 OLS model'!$P$14*L3</f>
        <v>0</v>
      </c>
      <c r="Y3" s="20">
        <f>'GS &gt; 50 OLS model'!$P$15*M3</f>
        <v>0</v>
      </c>
      <c r="Z3" s="20">
        <f>SUM(O3:Y3)</f>
        <v>13383544.980465204</v>
      </c>
      <c r="AA3" s="23">
        <f t="shared" ca="1" si="1"/>
        <v>6.1550999398267851E-2</v>
      </c>
    </row>
    <row r="4" spans="1:27" ht="15">
      <c r="A4" s="22">
        <f>'Monthly Data'!A4</f>
        <v>39873</v>
      </c>
      <c r="B4" s="6">
        <f t="shared" si="2"/>
        <v>2009</v>
      </c>
      <c r="C4" s="20">
        <f ca="1">'Monthly Data'!O4</f>
        <v>13429022.116557317</v>
      </c>
      <c r="D4" s="20">
        <f>'Monthly Data'!Q4</f>
        <v>213</v>
      </c>
      <c r="E4" s="6">
        <f>'Monthly Data'!AH4</f>
        <v>456.7999999999999</v>
      </c>
      <c r="F4" s="6">
        <f>'Monthly Data'!AI4</f>
        <v>0</v>
      </c>
      <c r="G4" s="6">
        <f>'Monthly Data'!AK4</f>
        <v>142.9</v>
      </c>
      <c r="H4" s="6">
        <f>'Monthly Data'!AO4</f>
        <v>3</v>
      </c>
      <c r="I4" s="6">
        <f>'Monthly Data'!AQ4</f>
        <v>0</v>
      </c>
      <c r="J4" s="6">
        <f>'Monthly Data'!AW4</f>
        <v>0</v>
      </c>
      <c r="K4" s="6">
        <f>'Monthly Data'!AX4</f>
        <v>0</v>
      </c>
      <c r="L4" s="6">
        <f>'Monthly Data'!AY4</f>
        <v>0</v>
      </c>
      <c r="M4" s="6">
        <f>'Monthly Data'!AZ4</f>
        <v>0</v>
      </c>
      <c r="O4" s="20">
        <f>'GS &gt; 50 OLS model'!$P$5</f>
        <v>-12525532.812157899</v>
      </c>
      <c r="P4" s="20">
        <f>'GS &gt; 50 OLS model'!$P$6*D4</f>
        <v>11213109.965874888</v>
      </c>
      <c r="Q4" s="20">
        <f>'GS &gt; 50 OLS model'!$P$7*E4</f>
        <v>1214940.3084314447</v>
      </c>
      <c r="R4" s="20">
        <f>'GS &gt; 50 OLS model'!$P$8*F4</f>
        <v>0</v>
      </c>
      <c r="S4" s="20">
        <f>'GS &gt; 50 OLS model'!$P$9*G4</f>
        <v>12365717.322272284</v>
      </c>
      <c r="T4" s="20">
        <f>'GS &gt; 50 OLS model'!$P$10*H4</f>
        <v>40434.681686899501</v>
      </c>
      <c r="U4" s="20">
        <f>'GS &gt; 50 OLS model'!$P$11*I4</f>
        <v>0</v>
      </c>
      <c r="V4" s="20">
        <f>'GS &gt; 50 OLS model'!$P$12*J4</f>
        <v>0</v>
      </c>
      <c r="W4" s="20">
        <f>'GS &gt; 50 OLS model'!$P$13*K4</f>
        <v>0</v>
      </c>
      <c r="X4" s="20">
        <f>'GS &gt; 50 OLS model'!$P$14*L4</f>
        <v>0</v>
      </c>
      <c r="Y4" s="20">
        <f>'GS &gt; 50 OLS model'!$P$15*M4</f>
        <v>0</v>
      </c>
      <c r="Z4" s="20">
        <f>SUM(O4:Y4)</f>
        <v>12308669.466107616</v>
      </c>
      <c r="AA4" s="23">
        <f t="shared" ca="1" si="1"/>
        <v>8.3427716532565796E-2</v>
      </c>
    </row>
    <row r="5" spans="1:27" ht="15">
      <c r="A5" s="22">
        <f>'Monthly Data'!A5</f>
        <v>39904</v>
      </c>
      <c r="B5" s="6">
        <f t="shared" si="2"/>
        <v>2009</v>
      </c>
      <c r="C5" s="20">
        <f ca="1">'Monthly Data'!O5</f>
        <v>12281549.857111618</v>
      </c>
      <c r="D5" s="20">
        <f>'Monthly Data'!Q5</f>
        <v>216</v>
      </c>
      <c r="E5" s="6">
        <f>'Monthly Data'!AH5</f>
        <v>263.29999999999995</v>
      </c>
      <c r="F5" s="6">
        <f>'Monthly Data'!AI5</f>
        <v>10.399999999999999</v>
      </c>
      <c r="G5" s="6">
        <f>'Monthly Data'!AK5</f>
        <v>144.80000000000001</v>
      </c>
      <c r="H5" s="6">
        <f>'Monthly Data'!AO5</f>
        <v>4</v>
      </c>
      <c r="I5" s="6">
        <f>'Monthly Data'!AQ5</f>
        <v>0</v>
      </c>
      <c r="J5" s="6">
        <f>'Monthly Data'!AW5</f>
        <v>0</v>
      </c>
      <c r="K5" s="6">
        <f>'Monthly Data'!AX5</f>
        <v>0</v>
      </c>
      <c r="L5" s="6">
        <f>'Monthly Data'!AY5</f>
        <v>0</v>
      </c>
      <c r="M5" s="6">
        <f>'Monthly Data'!AZ5</f>
        <v>0</v>
      </c>
      <c r="O5" s="20">
        <f>'GS &gt; 50 OLS model'!$P$5</f>
        <v>-12525532.812157899</v>
      </c>
      <c r="P5" s="20">
        <f>'GS &gt; 50 OLS model'!$P$6*D5</f>
        <v>11371041.092154816</v>
      </c>
      <c r="Q5" s="20">
        <f>'GS &gt; 50 OLS model'!$P$7*E5</f>
        <v>700292.87042469229</v>
      </c>
      <c r="R5" s="20">
        <f>'GS &gt; 50 OLS model'!$P$8*F5</f>
        <v>152319.70645506887</v>
      </c>
      <c r="S5" s="20">
        <f>'GS &gt; 50 OLS model'!$P$9*G5</f>
        <v>12530132.038243713</v>
      </c>
      <c r="T5" s="20">
        <f>'GS &gt; 50 OLS model'!$P$10*H5</f>
        <v>53912.908915865999</v>
      </c>
      <c r="U5" s="20">
        <f>'GS &gt; 50 OLS model'!$P$11*I5</f>
        <v>0</v>
      </c>
      <c r="V5" s="20">
        <f>'GS &gt; 50 OLS model'!$P$12*J5</f>
        <v>0</v>
      </c>
      <c r="W5" s="20">
        <f>'GS &gt; 50 OLS model'!$P$13*K5</f>
        <v>0</v>
      </c>
      <c r="X5" s="20">
        <f>'GS &gt; 50 OLS model'!$P$14*L5</f>
        <v>0</v>
      </c>
      <c r="Y5" s="20">
        <f>'GS &gt; 50 OLS model'!$P$15*M5</f>
        <v>0</v>
      </c>
      <c r="Z5" s="20">
        <f t="shared" ref="Z5:Z66" si="3">SUM(O5:Y5)</f>
        <v>12282165.804036256</v>
      </c>
      <c r="AA5" s="23">
        <f t="shared" ca="1" si="1"/>
        <v>5.0152214647513702E-5</v>
      </c>
    </row>
    <row r="6" spans="1:27" ht="15">
      <c r="A6" s="22">
        <f>'Monthly Data'!A6</f>
        <v>39934</v>
      </c>
      <c r="B6" s="6">
        <f t="shared" si="2"/>
        <v>2009</v>
      </c>
      <c r="C6" s="20">
        <f ca="1">'Monthly Data'!O6</f>
        <v>12599585.861056818</v>
      </c>
      <c r="D6" s="20">
        <f>'Monthly Data'!Q6</f>
        <v>211</v>
      </c>
      <c r="E6" s="6">
        <f>'Monthly Data'!AH6</f>
        <v>83.40000000000002</v>
      </c>
      <c r="F6" s="6">
        <f>'Monthly Data'!AI6</f>
        <v>12.899999999999999</v>
      </c>
      <c r="G6" s="6">
        <f>'Monthly Data'!AK6</f>
        <v>145</v>
      </c>
      <c r="H6" s="6">
        <f>'Monthly Data'!AO6</f>
        <v>5</v>
      </c>
      <c r="I6" s="6">
        <f>'Monthly Data'!AQ6</f>
        <v>0</v>
      </c>
      <c r="J6" s="6">
        <f>'Monthly Data'!AW6</f>
        <v>0</v>
      </c>
      <c r="K6" s="6">
        <f>'Monthly Data'!AX6</f>
        <v>0</v>
      </c>
      <c r="L6" s="6">
        <f>'Monthly Data'!AY6</f>
        <v>0</v>
      </c>
      <c r="M6" s="6">
        <f>'Monthly Data'!AZ6</f>
        <v>0</v>
      </c>
      <c r="O6" s="20">
        <f>'GS &gt; 50 OLS model'!$P$5</f>
        <v>-12525532.812157899</v>
      </c>
      <c r="P6" s="20">
        <f>'GS &gt; 50 OLS model'!$P$6*D6</f>
        <v>11107822.548354935</v>
      </c>
      <c r="Q6" s="20">
        <f>'GS &gt; 50 OLS model'!$P$7*E6</f>
        <v>221817.03529593375</v>
      </c>
      <c r="R6" s="20">
        <f>'GS &gt; 50 OLS model'!$P$8*F6</f>
        <v>188935.02050676811</v>
      </c>
      <c r="S6" s="20">
        <f>'GS &gt; 50 OLS model'!$P$9*G6</f>
        <v>12547438.850451231</v>
      </c>
      <c r="T6" s="20">
        <f>'GS &gt; 50 OLS model'!$P$10*H6</f>
        <v>67391.136144832504</v>
      </c>
      <c r="U6" s="20">
        <f>'GS &gt; 50 OLS model'!$P$11*I6</f>
        <v>0</v>
      </c>
      <c r="V6" s="20">
        <f>'GS &gt; 50 OLS model'!$P$12*J6</f>
        <v>0</v>
      </c>
      <c r="W6" s="20">
        <f>'GS &gt; 50 OLS model'!$P$13*K6</f>
        <v>0</v>
      </c>
      <c r="X6" s="20">
        <f>'GS &gt; 50 OLS model'!$P$14*L6</f>
        <v>0</v>
      </c>
      <c r="Y6" s="20">
        <f>'GS &gt; 50 OLS model'!$P$15*M6</f>
        <v>0</v>
      </c>
      <c r="Z6" s="20">
        <f>SUM(O6:Y6)</f>
        <v>11607871.7785958</v>
      </c>
      <c r="AA6" s="23">
        <f t="shared" ca="1" si="1"/>
        <v>7.8710053917425818E-2</v>
      </c>
    </row>
    <row r="7" spans="1:27" ht="15">
      <c r="A7" s="22">
        <f>'Monthly Data'!A7</f>
        <v>39965</v>
      </c>
      <c r="B7" s="6">
        <f t="shared" si="2"/>
        <v>2009</v>
      </c>
      <c r="C7" s="20">
        <f ca="1">'Monthly Data'!O7</f>
        <v>13567319.355545716</v>
      </c>
      <c r="D7" s="20">
        <f>'Monthly Data'!Q7</f>
        <v>221</v>
      </c>
      <c r="E7" s="6">
        <f>'Monthly Data'!AH7</f>
        <v>25.299999999999997</v>
      </c>
      <c r="F7" s="6">
        <f>'Monthly Data'!AI7</f>
        <v>79.399999999999991</v>
      </c>
      <c r="G7" s="6">
        <f>'Monthly Data'!AK7</f>
        <v>145.69999999999999</v>
      </c>
      <c r="H7" s="6">
        <f>'Monthly Data'!AO7</f>
        <v>6</v>
      </c>
      <c r="I7" s="6">
        <f>'Monthly Data'!AQ7</f>
        <v>0</v>
      </c>
      <c r="J7" s="6">
        <f>'Monthly Data'!AW7</f>
        <v>0</v>
      </c>
      <c r="K7" s="6">
        <f>'Monthly Data'!AX7</f>
        <v>0</v>
      </c>
      <c r="L7" s="6">
        <f>'Monthly Data'!AY7</f>
        <v>0</v>
      </c>
      <c r="M7" s="6">
        <f>'Monthly Data'!AZ7</f>
        <v>0</v>
      </c>
      <c r="O7" s="20">
        <f>'GS &gt; 50 OLS model'!$P$5</f>
        <v>-12525532.812157899</v>
      </c>
      <c r="P7" s="20">
        <f>'GS &gt; 50 OLS model'!$P$6*D7</f>
        <v>11634259.635954695</v>
      </c>
      <c r="Q7" s="20">
        <f>'GS &gt; 50 OLS model'!$P$7*E7</f>
        <v>67289.820059797625</v>
      </c>
      <c r="R7" s="20">
        <f>'GS &gt; 50 OLS model'!$P$8*F7</f>
        <v>1162902.3742819682</v>
      </c>
      <c r="S7" s="20">
        <f>'GS &gt; 50 OLS model'!$P$9*G7</f>
        <v>12608012.693177547</v>
      </c>
      <c r="T7" s="20">
        <f>'GS &gt; 50 OLS model'!$P$10*H7</f>
        <v>80869.363373799002</v>
      </c>
      <c r="U7" s="20">
        <f>'GS &gt; 50 OLS model'!$P$11*I7</f>
        <v>0</v>
      </c>
      <c r="V7" s="20">
        <f>'GS &gt; 50 OLS model'!$P$12*J7</f>
        <v>0</v>
      </c>
      <c r="W7" s="20">
        <f>'GS &gt; 50 OLS model'!$P$13*K7</f>
        <v>0</v>
      </c>
      <c r="X7" s="20">
        <f>'GS &gt; 50 OLS model'!$P$14*L7</f>
        <v>0</v>
      </c>
      <c r="Y7" s="20">
        <f>'GS &gt; 50 OLS model'!$P$15*M7</f>
        <v>0</v>
      </c>
      <c r="Z7" s="20">
        <f t="shared" si="3"/>
        <v>13027801.074689908</v>
      </c>
      <c r="AA7" s="23">
        <f t="shared" ca="1" si="1"/>
        <v>3.9766019116759227E-2</v>
      </c>
    </row>
    <row r="8" spans="1:27" ht="15">
      <c r="A8" s="22">
        <f>'Monthly Data'!A8</f>
        <v>39995</v>
      </c>
      <c r="B8" s="6">
        <f t="shared" si="2"/>
        <v>2009</v>
      </c>
      <c r="C8" s="20">
        <f ca="1">'Monthly Data'!O8</f>
        <v>14350399.872788418</v>
      </c>
      <c r="D8" s="20">
        <f>'Monthly Data'!Q8</f>
        <v>219</v>
      </c>
      <c r="E8" s="6">
        <f>'Monthly Data'!AH8</f>
        <v>0.5</v>
      </c>
      <c r="F8" s="6">
        <f>'Monthly Data'!AI8</f>
        <v>100.19999999999999</v>
      </c>
      <c r="G8" s="6">
        <f>'Monthly Data'!AK8</f>
        <v>144.30000000000001</v>
      </c>
      <c r="H8" s="6">
        <f>'Monthly Data'!AO8</f>
        <v>7</v>
      </c>
      <c r="I8" s="6">
        <f>'Monthly Data'!AQ8</f>
        <v>0</v>
      </c>
      <c r="J8" s="6">
        <f>'Monthly Data'!AW8</f>
        <v>0</v>
      </c>
      <c r="K8" s="6">
        <f>'Monthly Data'!AX8</f>
        <v>0</v>
      </c>
      <c r="L8" s="6">
        <f>'Monthly Data'!AY8</f>
        <v>0</v>
      </c>
      <c r="M8" s="6">
        <f>'Monthly Data'!AZ8</f>
        <v>0</v>
      </c>
      <c r="O8" s="20">
        <f>'GS &gt; 50 OLS model'!$P$5</f>
        <v>-12525532.812157899</v>
      </c>
      <c r="P8" s="20">
        <f>'GS &gt; 50 OLS model'!$P$6*D8</f>
        <v>11528972.218434744</v>
      </c>
      <c r="Q8" s="20">
        <f>'GS &gt; 50 OLS model'!$P$7*E8</f>
        <v>1329.8383411027201</v>
      </c>
      <c r="R8" s="20">
        <f>'GS &gt; 50 OLS model'!$P$8*F8</f>
        <v>1467541.7871921058</v>
      </c>
      <c r="S8" s="20">
        <f>'GS &gt; 50 OLS model'!$P$9*G8</f>
        <v>12486865.007724917</v>
      </c>
      <c r="T8" s="20">
        <f>'GS &gt; 50 OLS model'!$P$10*H8</f>
        <v>94347.5906027655</v>
      </c>
      <c r="U8" s="20">
        <f>'GS &gt; 50 OLS model'!$P$11*I8</f>
        <v>0</v>
      </c>
      <c r="V8" s="20">
        <f>'GS &gt; 50 OLS model'!$P$12*J8</f>
        <v>0</v>
      </c>
      <c r="W8" s="20">
        <f>'GS &gt; 50 OLS model'!$P$13*K8</f>
        <v>0</v>
      </c>
      <c r="X8" s="20">
        <f>'GS &gt; 50 OLS model'!$P$14*L8</f>
        <v>0</v>
      </c>
      <c r="Y8" s="20">
        <f>'GS &gt; 50 OLS model'!$P$15*M8</f>
        <v>0</v>
      </c>
      <c r="Z8" s="20">
        <f>SUM(O8:Y8)</f>
        <v>13053523.630137734</v>
      </c>
      <c r="AA8" s="23">
        <f t="shared" ca="1" si="1"/>
        <v>9.0372132773098024E-2</v>
      </c>
    </row>
    <row r="9" spans="1:27" ht="15">
      <c r="A9" s="22">
        <f>'Monthly Data'!A9</f>
        <v>40026</v>
      </c>
      <c r="B9" s="6">
        <f t="shared" si="2"/>
        <v>2009</v>
      </c>
      <c r="C9" s="20">
        <f ca="1">'Monthly Data'!O9</f>
        <v>15846869.236809116</v>
      </c>
      <c r="D9" s="20">
        <f>'Monthly Data'!Q9</f>
        <v>231</v>
      </c>
      <c r="E9" s="6">
        <f>'Monthly Data'!AH9</f>
        <v>5.9</v>
      </c>
      <c r="F9" s="6">
        <f>'Monthly Data'!AI9</f>
        <v>133.4</v>
      </c>
      <c r="G9" s="6">
        <f>'Monthly Data'!AK9</f>
        <v>145.1</v>
      </c>
      <c r="H9" s="6">
        <f>'Monthly Data'!AO9</f>
        <v>8</v>
      </c>
      <c r="I9" s="6">
        <f>'Monthly Data'!AQ9</f>
        <v>0</v>
      </c>
      <c r="J9" s="6">
        <f>'Monthly Data'!AW9</f>
        <v>1</v>
      </c>
      <c r="K9" s="6">
        <f>'Monthly Data'!AX9</f>
        <v>0</v>
      </c>
      <c r="L9" s="6">
        <f>'Monthly Data'!AY9</f>
        <v>0</v>
      </c>
      <c r="M9" s="6">
        <f>'Monthly Data'!AZ9</f>
        <v>0</v>
      </c>
      <c r="O9" s="20">
        <f>'GS &gt; 50 OLS model'!$P$5</f>
        <v>-12525532.812157899</v>
      </c>
      <c r="P9" s="20">
        <f>'GS &gt; 50 OLS model'!$P$6*D9</f>
        <v>12160696.723554455</v>
      </c>
      <c r="Q9" s="20">
        <f>'GS &gt; 50 OLS model'!$P$7*E9</f>
        <v>15692.092425012097</v>
      </c>
      <c r="R9" s="20">
        <f>'GS &gt; 50 OLS model'!$P$8*F9</f>
        <v>1953793.1577986721</v>
      </c>
      <c r="S9" s="20">
        <f>'GS &gt; 50 OLS model'!$P$9*G9</f>
        <v>12556092.256554991</v>
      </c>
      <c r="T9" s="20">
        <f>'GS &gt; 50 OLS model'!$P$10*H9</f>
        <v>107825.817831732</v>
      </c>
      <c r="U9" s="20">
        <f>'GS &gt; 50 OLS model'!$P$11*I9</f>
        <v>0</v>
      </c>
      <c r="V9" s="20">
        <f>'GS &gt; 50 OLS model'!$P$12*J9</f>
        <v>1253169.7974445899</v>
      </c>
      <c r="W9" s="20">
        <f>'GS &gt; 50 OLS model'!$P$13*K9</f>
        <v>0</v>
      </c>
      <c r="X9" s="20">
        <f>'GS &gt; 50 OLS model'!$P$14*L9</f>
        <v>0</v>
      </c>
      <c r="Y9" s="20">
        <f>'GS &gt; 50 OLS model'!$P$15*M9</f>
        <v>0</v>
      </c>
      <c r="Z9" s="20">
        <f t="shared" si="3"/>
        <v>15521737.033451553</v>
      </c>
      <c r="AA9" s="23">
        <f t="shared" ca="1" si="1"/>
        <v>2.0517125401801461E-2</v>
      </c>
    </row>
    <row r="10" spans="1:27" ht="15">
      <c r="A10" s="22">
        <f>'Monthly Data'!A10</f>
        <v>40057</v>
      </c>
      <c r="B10" s="6">
        <f t="shared" si="2"/>
        <v>2009</v>
      </c>
      <c r="C10" s="20">
        <f ca="1">'Monthly Data'!O10</f>
        <v>14340385.521492418</v>
      </c>
      <c r="D10" s="20">
        <f>'Monthly Data'!Q10</f>
        <v>223</v>
      </c>
      <c r="E10" s="6">
        <f>'Monthly Data'!AH10</f>
        <v>26.2</v>
      </c>
      <c r="F10" s="6">
        <f>'Monthly Data'!AI10</f>
        <v>54.699999999999989</v>
      </c>
      <c r="G10" s="6">
        <f>'Monthly Data'!AK10</f>
        <v>146.80000000000001</v>
      </c>
      <c r="H10" s="6">
        <f>'Monthly Data'!AO10</f>
        <v>9</v>
      </c>
      <c r="I10" s="6">
        <f>'Monthly Data'!AQ10</f>
        <v>0</v>
      </c>
      <c r="J10" s="6">
        <f>'Monthly Data'!AW10</f>
        <v>0</v>
      </c>
      <c r="K10" s="6">
        <f>'Monthly Data'!AX10</f>
        <v>1</v>
      </c>
      <c r="L10" s="6">
        <f>'Monthly Data'!AY10</f>
        <v>0</v>
      </c>
      <c r="M10" s="6">
        <f>'Monthly Data'!AZ10</f>
        <v>0</v>
      </c>
      <c r="O10" s="20">
        <f>'GS &gt; 50 OLS model'!$P$5</f>
        <v>-12525532.812157899</v>
      </c>
      <c r="P10" s="20">
        <f>'GS &gt; 50 OLS model'!$P$6*D10</f>
        <v>11739547.053474648</v>
      </c>
      <c r="Q10" s="20">
        <f>'GS &gt; 50 OLS model'!$P$7*E10</f>
        <v>69683.529073782527</v>
      </c>
      <c r="R10" s="20">
        <f>'GS &gt; 50 OLS model'!$P$8*F10</f>
        <v>801143.07145117945</v>
      </c>
      <c r="S10" s="20">
        <f>'GS &gt; 50 OLS model'!$P$9*G10</f>
        <v>12703200.160318904</v>
      </c>
      <c r="T10" s="20">
        <f>'GS &gt; 50 OLS model'!$P$10*H10</f>
        <v>121304.0450606985</v>
      </c>
      <c r="U10" s="20">
        <f>'GS &gt; 50 OLS model'!$P$11*I10</f>
        <v>0</v>
      </c>
      <c r="V10" s="20">
        <f>'GS &gt; 50 OLS model'!$P$12*J10</f>
        <v>0</v>
      </c>
      <c r="W10" s="20">
        <f>'GS &gt; 50 OLS model'!$P$13*K10</f>
        <v>1963227.6010161501</v>
      </c>
      <c r="X10" s="20">
        <f>'GS &gt; 50 OLS model'!$P$14*L10</f>
        <v>0</v>
      </c>
      <c r="Y10" s="20">
        <f>'GS &gt; 50 OLS model'!$P$15*M10</f>
        <v>0</v>
      </c>
      <c r="Z10" s="20">
        <f t="shared" si="3"/>
        <v>14872572.648237463</v>
      </c>
      <c r="AA10" s="23">
        <f t="shared" ca="1" si="1"/>
        <v>3.711107528786018E-2</v>
      </c>
    </row>
    <row r="11" spans="1:27" ht="15">
      <c r="A11" s="22">
        <f>'Monthly Data'!A11</f>
        <v>40087</v>
      </c>
      <c r="B11" s="6">
        <f t="shared" si="2"/>
        <v>2009</v>
      </c>
      <c r="C11" s="20">
        <f ca="1">'Monthly Data'!O11</f>
        <v>14535093.861762017</v>
      </c>
      <c r="D11" s="20">
        <f>'Monthly Data'!Q11</f>
        <v>213</v>
      </c>
      <c r="E11" s="6">
        <f>'Monthly Data'!AH11</f>
        <v>230.79999999999995</v>
      </c>
      <c r="F11" s="6">
        <f>'Monthly Data'!AI11</f>
        <v>0</v>
      </c>
      <c r="G11" s="6">
        <f>'Monthly Data'!AK11</f>
        <v>149.19999999999999</v>
      </c>
      <c r="H11" s="6">
        <f>'Monthly Data'!AO11</f>
        <v>10</v>
      </c>
      <c r="I11" s="6">
        <f>'Monthly Data'!AQ11</f>
        <v>0</v>
      </c>
      <c r="J11" s="6">
        <f>'Monthly Data'!AW11</f>
        <v>0</v>
      </c>
      <c r="K11" s="6">
        <f>'Monthly Data'!AX11</f>
        <v>0</v>
      </c>
      <c r="L11" s="6">
        <f>'Monthly Data'!AY11</f>
        <v>1</v>
      </c>
      <c r="M11" s="6">
        <f>'Monthly Data'!AZ11</f>
        <v>0</v>
      </c>
      <c r="O11" s="20">
        <f>'GS &gt; 50 OLS model'!$P$5</f>
        <v>-12525532.812157899</v>
      </c>
      <c r="P11" s="20">
        <f>'GS &gt; 50 OLS model'!$P$6*D11</f>
        <v>11213109.965874888</v>
      </c>
      <c r="Q11" s="20">
        <f>'GS &gt; 50 OLS model'!$P$7*E11</f>
        <v>613853.37825301546</v>
      </c>
      <c r="R11" s="20">
        <f>'GS &gt; 50 OLS model'!$P$8*F11</f>
        <v>0</v>
      </c>
      <c r="S11" s="20">
        <f>'GS &gt; 50 OLS model'!$P$9*G11</f>
        <v>12910881.906809129</v>
      </c>
      <c r="T11" s="20">
        <f>'GS &gt; 50 OLS model'!$P$10*H11</f>
        <v>134782.27228966501</v>
      </c>
      <c r="U11" s="20">
        <f>'GS &gt; 50 OLS model'!$P$11*I11</f>
        <v>0</v>
      </c>
      <c r="V11" s="20">
        <f>'GS &gt; 50 OLS model'!$P$12*J11</f>
        <v>0</v>
      </c>
      <c r="W11" s="20">
        <f>'GS &gt; 50 OLS model'!$P$13*K11</f>
        <v>0</v>
      </c>
      <c r="X11" s="20">
        <f>'GS &gt; 50 OLS model'!$P$14*L11</f>
        <v>1449584.5870731501</v>
      </c>
      <c r="Y11" s="20">
        <f>'GS &gt; 50 OLS model'!$P$15*M11</f>
        <v>0</v>
      </c>
      <c r="Z11" s="20">
        <f t="shared" si="3"/>
        <v>13796679.298141949</v>
      </c>
      <c r="AA11" s="23">
        <f t="shared" ca="1" si="1"/>
        <v>5.0802187494821849E-2</v>
      </c>
    </row>
    <row r="12" spans="1:27" ht="15">
      <c r="A12" s="22">
        <f>'Monthly Data'!A12</f>
        <v>40118</v>
      </c>
      <c r="B12" s="6">
        <f t="shared" si="2"/>
        <v>2009</v>
      </c>
      <c r="C12" s="20">
        <f ca="1">'Monthly Data'!O12</f>
        <v>13933768.375684015</v>
      </c>
      <c r="D12" s="20">
        <f>'Monthly Data'!Q12</f>
        <v>235</v>
      </c>
      <c r="E12" s="6">
        <f>'Monthly Data'!AH12</f>
        <v>305.49999999999989</v>
      </c>
      <c r="F12" s="6">
        <f>'Monthly Data'!AI12</f>
        <v>0</v>
      </c>
      <c r="G12" s="6">
        <f>'Monthly Data'!AK12</f>
        <v>150.1</v>
      </c>
      <c r="H12" s="6">
        <f>'Monthly Data'!AO12</f>
        <v>11</v>
      </c>
      <c r="I12" s="6">
        <f>'Monthly Data'!AQ12</f>
        <v>0</v>
      </c>
      <c r="J12" s="6">
        <f>'Monthly Data'!AW12</f>
        <v>0</v>
      </c>
      <c r="K12" s="6">
        <f>'Monthly Data'!AX12</f>
        <v>0</v>
      </c>
      <c r="L12" s="6">
        <f>'Monthly Data'!AY12</f>
        <v>0</v>
      </c>
      <c r="M12" s="6">
        <f>'Monthly Data'!AZ12</f>
        <v>1</v>
      </c>
      <c r="O12" s="20">
        <f>'GS &gt; 50 OLS model'!$P$5</f>
        <v>-12525532.812157899</v>
      </c>
      <c r="P12" s="20">
        <f>'GS &gt; 50 OLS model'!$P$6*D12</f>
        <v>12371271.558594359</v>
      </c>
      <c r="Q12" s="20">
        <f>'GS &gt; 50 OLS model'!$P$7*E12</f>
        <v>812531.22641376161</v>
      </c>
      <c r="R12" s="20">
        <f>'GS &gt; 50 OLS model'!$P$8*F12</f>
        <v>0</v>
      </c>
      <c r="S12" s="20">
        <f>'GS &gt; 50 OLS model'!$P$9*G12</f>
        <v>12988762.561742963</v>
      </c>
      <c r="T12" s="20">
        <f>'GS &gt; 50 OLS model'!$P$10*H12</f>
        <v>148260.49951863149</v>
      </c>
      <c r="U12" s="20">
        <f>'GS &gt; 50 OLS model'!$P$11*I12</f>
        <v>0</v>
      </c>
      <c r="V12" s="20">
        <f>'GS &gt; 50 OLS model'!$P$12*J12</f>
        <v>0</v>
      </c>
      <c r="W12" s="20">
        <f>'GS &gt; 50 OLS model'!$P$13*K12</f>
        <v>0</v>
      </c>
      <c r="X12" s="20">
        <f>'GS &gt; 50 OLS model'!$P$14*L12</f>
        <v>0</v>
      </c>
      <c r="Y12" s="20">
        <f>'GS &gt; 50 OLS model'!$P$15*M12</f>
        <v>653577.717998437</v>
      </c>
      <c r="Z12" s="20">
        <f t="shared" si="3"/>
        <v>14448870.752110254</v>
      </c>
      <c r="AA12" s="23">
        <f t="shared" ca="1" si="1"/>
        <v>3.6967915824203723E-2</v>
      </c>
    </row>
    <row r="13" spans="1:27" ht="15">
      <c r="A13" s="22">
        <f>'Monthly Data'!A13</f>
        <v>40148</v>
      </c>
      <c r="B13" s="6">
        <f t="shared" si="2"/>
        <v>2009</v>
      </c>
      <c r="C13" s="20">
        <f ca="1">'Monthly Data'!O13</f>
        <v>13861683.743107518</v>
      </c>
      <c r="D13" s="20">
        <f>'Monthly Data'!Q13</f>
        <v>213</v>
      </c>
      <c r="E13" s="6">
        <f>'Monthly Data'!AH13</f>
        <v>582</v>
      </c>
      <c r="F13" s="6">
        <f>'Monthly Data'!AI13</f>
        <v>0</v>
      </c>
      <c r="G13" s="6">
        <f>'Monthly Data'!AK13</f>
        <v>150.19999999999999</v>
      </c>
      <c r="H13" s="6">
        <f>'Monthly Data'!AO13</f>
        <v>12</v>
      </c>
      <c r="I13" s="6">
        <f>'Monthly Data'!AQ13</f>
        <v>0</v>
      </c>
      <c r="J13" s="6">
        <f>'Monthly Data'!AW13</f>
        <v>0</v>
      </c>
      <c r="K13" s="6">
        <f>'Monthly Data'!AX13</f>
        <v>0</v>
      </c>
      <c r="L13" s="6">
        <f>'Monthly Data'!AY13</f>
        <v>0</v>
      </c>
      <c r="M13" s="6">
        <f>'Monthly Data'!AZ13</f>
        <v>0</v>
      </c>
      <c r="O13" s="20">
        <f>'GS &gt; 50 OLS model'!$P$5</f>
        <v>-12525532.812157899</v>
      </c>
      <c r="P13" s="20">
        <f>'GS &gt; 50 OLS model'!$P$6*D13</f>
        <v>11213109.965874888</v>
      </c>
      <c r="Q13" s="20">
        <f>'GS &gt; 50 OLS model'!$P$7*E13</f>
        <v>1547931.8290435662</v>
      </c>
      <c r="R13" s="20">
        <f>'GS &gt; 50 OLS model'!$P$8*F13</f>
        <v>0</v>
      </c>
      <c r="S13" s="20">
        <f>'GS &gt; 50 OLS model'!$P$9*G13</f>
        <v>12997415.967846723</v>
      </c>
      <c r="T13" s="20">
        <f>'GS &gt; 50 OLS model'!$P$10*H13</f>
        <v>161738.726747598</v>
      </c>
      <c r="U13" s="20">
        <f>'GS &gt; 50 OLS model'!$P$11*I13</f>
        <v>0</v>
      </c>
      <c r="V13" s="20">
        <f>'GS &gt; 50 OLS model'!$P$12*J13</f>
        <v>0</v>
      </c>
      <c r="W13" s="20">
        <f>'GS &gt; 50 OLS model'!$P$13*K13</f>
        <v>0</v>
      </c>
      <c r="X13" s="20">
        <f>'GS &gt; 50 OLS model'!$P$14*L13</f>
        <v>0</v>
      </c>
      <c r="Y13" s="20">
        <f>'GS &gt; 50 OLS model'!$P$15*M13</f>
        <v>0</v>
      </c>
      <c r="Z13" s="20">
        <f t="shared" si="3"/>
        <v>13394663.677354876</v>
      </c>
      <c r="AA13" s="23">
        <f t="shared" ca="1" si="1"/>
        <v>3.369143852995924E-2</v>
      </c>
    </row>
    <row r="14" spans="1:27" ht="15">
      <c r="A14" s="22">
        <f>'Monthly Data'!A14</f>
        <v>40179</v>
      </c>
      <c r="B14" s="6">
        <f t="shared" si="2"/>
        <v>2010</v>
      </c>
      <c r="C14" s="20">
        <f ca="1">'Monthly Data'!O14</f>
        <v>14179965.938707981</v>
      </c>
      <c r="D14" s="20">
        <f>'Monthly Data'!Q14</f>
        <v>213</v>
      </c>
      <c r="E14" s="6">
        <f>'Monthly Data'!AH14</f>
        <v>663.29999999999984</v>
      </c>
      <c r="F14" s="6">
        <f>'Monthly Data'!AI14</f>
        <v>0</v>
      </c>
      <c r="G14" s="6">
        <f>'Monthly Data'!AK14</f>
        <v>146.80000000000001</v>
      </c>
      <c r="H14" s="6">
        <f>'Monthly Data'!AO14</f>
        <v>13</v>
      </c>
      <c r="I14" s="6">
        <f>'Monthly Data'!AQ14</f>
        <v>0</v>
      </c>
      <c r="J14" s="6">
        <f>'Monthly Data'!AW14</f>
        <v>0</v>
      </c>
      <c r="K14" s="6">
        <f>'Monthly Data'!AX14</f>
        <v>0</v>
      </c>
      <c r="L14" s="6">
        <f>'Monthly Data'!AY14</f>
        <v>0</v>
      </c>
      <c r="M14" s="6">
        <f>'Monthly Data'!AZ14</f>
        <v>0</v>
      </c>
      <c r="O14" s="20">
        <f>'GS &gt; 50 OLS model'!$P$5</f>
        <v>-12525532.812157899</v>
      </c>
      <c r="P14" s="20">
        <f>'GS &gt; 50 OLS model'!$P$6*D14</f>
        <v>11213109.965874888</v>
      </c>
      <c r="Q14" s="20">
        <f>'GS &gt; 50 OLS model'!$P$7*E14</f>
        <v>1764163.5433068681</v>
      </c>
      <c r="R14" s="20">
        <f>'GS &gt; 50 OLS model'!$P$8*F14</f>
        <v>0</v>
      </c>
      <c r="S14" s="20">
        <f>'GS &gt; 50 OLS model'!$P$9*G14</f>
        <v>12703200.160318904</v>
      </c>
      <c r="T14" s="20">
        <f>'GS &gt; 50 OLS model'!$P$10*H14</f>
        <v>175216.95397656449</v>
      </c>
      <c r="U14" s="20">
        <f>'GS &gt; 50 OLS model'!$P$11*I14</f>
        <v>0</v>
      </c>
      <c r="V14" s="20">
        <f>'GS &gt; 50 OLS model'!$P$12*J14</f>
        <v>0</v>
      </c>
      <c r="W14" s="20">
        <f>'GS &gt; 50 OLS model'!$P$13*K14</f>
        <v>0</v>
      </c>
      <c r="X14" s="20">
        <f>'GS &gt; 50 OLS model'!$P$14*L14</f>
        <v>0</v>
      </c>
      <c r="Y14" s="20">
        <f>'GS &gt; 50 OLS model'!$P$15*M14</f>
        <v>0</v>
      </c>
      <c r="Z14" s="20">
        <f t="shared" si="3"/>
        <v>13330157.811319325</v>
      </c>
      <c r="AA14" s="23">
        <f t="shared" ca="1" si="1"/>
        <v>5.9930195253070341E-2</v>
      </c>
    </row>
    <row r="15" spans="1:27" ht="15">
      <c r="A15" s="22">
        <f>'Monthly Data'!A15</f>
        <v>40210</v>
      </c>
      <c r="B15" s="6">
        <f t="shared" si="2"/>
        <v>2010</v>
      </c>
      <c r="C15" s="20">
        <f ca="1">'Monthly Data'!O15</f>
        <v>12772387.686685381</v>
      </c>
      <c r="D15" s="20">
        <f>'Monthly Data'!Q15</f>
        <v>213</v>
      </c>
      <c r="E15" s="6">
        <f>'Monthly Data'!AH15</f>
        <v>557.29999999999995</v>
      </c>
      <c r="F15" s="6">
        <f>'Monthly Data'!AI15</f>
        <v>0</v>
      </c>
      <c r="G15" s="6">
        <f>'Monthly Data'!AK15</f>
        <v>145.5</v>
      </c>
      <c r="H15" s="6">
        <f>'Monthly Data'!AO15</f>
        <v>14</v>
      </c>
      <c r="I15" s="6">
        <f>'Monthly Data'!AQ15</f>
        <v>1</v>
      </c>
      <c r="J15" s="6">
        <f>'Monthly Data'!AW15</f>
        <v>0</v>
      </c>
      <c r="K15" s="6">
        <f>'Monthly Data'!AX15</f>
        <v>0</v>
      </c>
      <c r="L15" s="6">
        <f>'Monthly Data'!AY15</f>
        <v>0</v>
      </c>
      <c r="M15" s="6">
        <f>'Monthly Data'!AZ15</f>
        <v>0</v>
      </c>
      <c r="O15" s="20">
        <f>'GS &gt; 50 OLS model'!$P$5</f>
        <v>-12525532.812157899</v>
      </c>
      <c r="P15" s="20">
        <f>'GS &gt; 50 OLS model'!$P$6*D15</f>
        <v>11213109.965874888</v>
      </c>
      <c r="Q15" s="20">
        <f>'GS &gt; 50 OLS model'!$P$7*E15</f>
        <v>1482237.8149930916</v>
      </c>
      <c r="R15" s="20">
        <f>'GS &gt; 50 OLS model'!$P$8*F15</f>
        <v>0</v>
      </c>
      <c r="S15" s="20">
        <f>'GS &gt; 50 OLS model'!$P$9*G15</f>
        <v>12590705.880970029</v>
      </c>
      <c r="T15" s="20">
        <f>'GS &gt; 50 OLS model'!$P$10*H15</f>
        <v>188695.181205531</v>
      </c>
      <c r="U15" s="20">
        <f>'GS &gt; 50 OLS model'!$P$11*I15</f>
        <v>-794437.04938529804</v>
      </c>
      <c r="V15" s="20">
        <f>'GS &gt; 50 OLS model'!$P$12*J15</f>
        <v>0</v>
      </c>
      <c r="W15" s="20">
        <f>'GS &gt; 50 OLS model'!$P$13*K15</f>
        <v>0</v>
      </c>
      <c r="X15" s="20">
        <f>'GS &gt; 50 OLS model'!$P$14*L15</f>
        <v>0</v>
      </c>
      <c r="Y15" s="20">
        <f>'GS &gt; 50 OLS model'!$P$15*M15</f>
        <v>0</v>
      </c>
      <c r="Z15" s="20">
        <f t="shared" si="3"/>
        <v>12154778.981500342</v>
      </c>
      <c r="AA15" s="23">
        <f t="shared" ca="1" si="1"/>
        <v>4.8354992060636183E-2</v>
      </c>
    </row>
    <row r="16" spans="1:27" ht="15">
      <c r="A16" s="22">
        <f>'Monthly Data'!A16</f>
        <v>40238</v>
      </c>
      <c r="B16" s="6">
        <f t="shared" si="2"/>
        <v>2010</v>
      </c>
      <c r="C16" s="20">
        <f ca="1">'Monthly Data'!O16</f>
        <v>13777421.092791181</v>
      </c>
      <c r="D16" s="20">
        <f>'Monthly Data'!Q16</f>
        <v>213</v>
      </c>
      <c r="E16" s="6">
        <f>'Monthly Data'!AH16</f>
        <v>393.39999999999986</v>
      </c>
      <c r="F16" s="6">
        <f>'Monthly Data'!AI16</f>
        <v>0</v>
      </c>
      <c r="G16" s="6">
        <f>'Monthly Data'!AK16</f>
        <v>143.30000000000001</v>
      </c>
      <c r="H16" s="6">
        <f>'Monthly Data'!AO16</f>
        <v>15</v>
      </c>
      <c r="I16" s="6">
        <f>'Monthly Data'!AQ16</f>
        <v>0</v>
      </c>
      <c r="J16" s="6">
        <f>'Monthly Data'!AW16</f>
        <v>0</v>
      </c>
      <c r="K16" s="6">
        <f>'Monthly Data'!AX16</f>
        <v>0</v>
      </c>
      <c r="L16" s="6">
        <f>'Monthly Data'!AY16</f>
        <v>0</v>
      </c>
      <c r="M16" s="6">
        <f>'Monthly Data'!AZ16</f>
        <v>0</v>
      </c>
      <c r="O16" s="20">
        <f>'GS &gt; 50 OLS model'!$P$5</f>
        <v>-12525532.812157899</v>
      </c>
      <c r="P16" s="20">
        <f>'GS &gt; 50 OLS model'!$P$6*D16</f>
        <v>11213109.965874888</v>
      </c>
      <c r="Q16" s="20">
        <f>'GS &gt; 50 OLS model'!$P$7*E16</f>
        <v>1046316.8067796198</v>
      </c>
      <c r="R16" s="20">
        <f>'GS &gt; 50 OLS model'!$P$8*F16</f>
        <v>0</v>
      </c>
      <c r="S16" s="20">
        <f>'GS &gt; 50 OLS model'!$P$9*G16</f>
        <v>12400330.946687322</v>
      </c>
      <c r="T16" s="20">
        <f>'GS &gt; 50 OLS model'!$P$10*H16</f>
        <v>202173.40843449748</v>
      </c>
      <c r="U16" s="20">
        <f>'GS &gt; 50 OLS model'!$P$11*I16</f>
        <v>0</v>
      </c>
      <c r="V16" s="20">
        <f>'GS &gt; 50 OLS model'!$P$12*J16</f>
        <v>0</v>
      </c>
      <c r="W16" s="20">
        <f>'GS &gt; 50 OLS model'!$P$13*K16</f>
        <v>0</v>
      </c>
      <c r="X16" s="20">
        <f>'GS &gt; 50 OLS model'!$P$14*L16</f>
        <v>0</v>
      </c>
      <c r="Y16" s="20">
        <f>'GS &gt; 50 OLS model'!$P$15*M16</f>
        <v>0</v>
      </c>
      <c r="Z16" s="20">
        <f t="shared" si="3"/>
        <v>12336398.315618427</v>
      </c>
      <c r="AA16" s="23">
        <f t="shared" ca="1" si="1"/>
        <v>0.10459307060932804</v>
      </c>
    </row>
    <row r="17" spans="1:27" ht="15">
      <c r="A17" s="22">
        <f>'Monthly Data'!A17</f>
        <v>40269</v>
      </c>
      <c r="B17" s="6">
        <f t="shared" si="2"/>
        <v>2010</v>
      </c>
      <c r="C17" s="20">
        <f ca="1">'Monthly Data'!O17</f>
        <v>12131054.106289882</v>
      </c>
      <c r="D17" s="20">
        <f>'Monthly Data'!Q17</f>
        <v>214</v>
      </c>
      <c r="E17" s="6">
        <f>'Monthly Data'!AH17</f>
        <v>174.9</v>
      </c>
      <c r="F17" s="6">
        <f>'Monthly Data'!AI17</f>
        <v>5</v>
      </c>
      <c r="G17" s="6">
        <f>'Monthly Data'!AK17</f>
        <v>146.6</v>
      </c>
      <c r="H17" s="6">
        <f>'Monthly Data'!AO17</f>
        <v>16</v>
      </c>
      <c r="I17" s="6">
        <f>'Monthly Data'!AQ17</f>
        <v>0</v>
      </c>
      <c r="J17" s="6">
        <f>'Monthly Data'!AW17</f>
        <v>0</v>
      </c>
      <c r="K17" s="6">
        <f>'Monthly Data'!AX17</f>
        <v>0</v>
      </c>
      <c r="L17" s="6">
        <f>'Monthly Data'!AY17</f>
        <v>0</v>
      </c>
      <c r="M17" s="6">
        <f>'Monthly Data'!AZ17</f>
        <v>0</v>
      </c>
      <c r="O17" s="20">
        <f>'GS &gt; 50 OLS model'!$P$5</f>
        <v>-12525532.812157899</v>
      </c>
      <c r="P17" s="20">
        <f>'GS &gt; 50 OLS model'!$P$6*D17</f>
        <v>11265753.674634863</v>
      </c>
      <c r="Q17" s="20">
        <f>'GS &gt; 50 OLS model'!$P$7*E17</f>
        <v>465177.45171773148</v>
      </c>
      <c r="R17" s="20">
        <f>'GS &gt; 50 OLS model'!$P$8*F17</f>
        <v>73230.6281033985</v>
      </c>
      <c r="S17" s="20">
        <f>'GS &gt; 50 OLS model'!$P$9*G17</f>
        <v>12685893.348111382</v>
      </c>
      <c r="T17" s="20">
        <f>'GS &gt; 50 OLS model'!$P$10*H17</f>
        <v>215651.635663464</v>
      </c>
      <c r="U17" s="20">
        <f>'GS &gt; 50 OLS model'!$P$11*I17</f>
        <v>0</v>
      </c>
      <c r="V17" s="20">
        <f>'GS &gt; 50 OLS model'!$P$12*J17</f>
        <v>0</v>
      </c>
      <c r="W17" s="20">
        <f>'GS &gt; 50 OLS model'!$P$13*K17</f>
        <v>0</v>
      </c>
      <c r="X17" s="20">
        <f>'GS &gt; 50 OLS model'!$P$14*L17</f>
        <v>0</v>
      </c>
      <c r="Y17" s="20">
        <f>'GS &gt; 50 OLS model'!$P$15*M17</f>
        <v>0</v>
      </c>
      <c r="Z17" s="20">
        <f t="shared" si="3"/>
        <v>12180173.92607294</v>
      </c>
      <c r="AA17" s="23">
        <f t="shared" ca="1" si="1"/>
        <v>4.0490974117071716E-3</v>
      </c>
    </row>
    <row r="18" spans="1:27" ht="15">
      <c r="A18" s="22">
        <f>'Monthly Data'!A18</f>
        <v>40299</v>
      </c>
      <c r="B18" s="6">
        <f t="shared" si="2"/>
        <v>2010</v>
      </c>
      <c r="C18" s="20">
        <f ca="1">'Monthly Data'!O18</f>
        <v>12960765.690806882</v>
      </c>
      <c r="D18" s="20">
        <f>'Monthly Data'!Q18</f>
        <v>214</v>
      </c>
      <c r="E18" s="6">
        <f>'Monthly Data'!AH18</f>
        <v>84.300000000000011</v>
      </c>
      <c r="F18" s="6">
        <f>'Monthly Data'!AI18</f>
        <v>59.699999999999989</v>
      </c>
      <c r="G18" s="6">
        <f>'Monthly Data'!AK18</f>
        <v>147.80000000000001</v>
      </c>
      <c r="H18" s="6">
        <f>'Monthly Data'!AO18</f>
        <v>17</v>
      </c>
      <c r="I18" s="6">
        <f>'Monthly Data'!AQ18</f>
        <v>0</v>
      </c>
      <c r="J18" s="6">
        <f>'Monthly Data'!AW18</f>
        <v>0</v>
      </c>
      <c r="K18" s="6">
        <f>'Monthly Data'!AX18</f>
        <v>0</v>
      </c>
      <c r="L18" s="6">
        <f>'Monthly Data'!AY18</f>
        <v>0</v>
      </c>
      <c r="M18" s="6">
        <f>'Monthly Data'!AZ18</f>
        <v>0</v>
      </c>
      <c r="O18" s="20">
        <f>'GS &gt; 50 OLS model'!$P$5</f>
        <v>-12525532.812157899</v>
      </c>
      <c r="P18" s="20">
        <f>'GS &gt; 50 OLS model'!$P$6*D18</f>
        <v>11265753.674634863</v>
      </c>
      <c r="Q18" s="20">
        <f>'GS &gt; 50 OLS model'!$P$7*E18</f>
        <v>224210.74430991863</v>
      </c>
      <c r="R18" s="20">
        <f>'GS &gt; 50 OLS model'!$P$8*F18</f>
        <v>874373.69955457794</v>
      </c>
      <c r="S18" s="20">
        <f>'GS &gt; 50 OLS model'!$P$9*G18</f>
        <v>12789734.221356498</v>
      </c>
      <c r="T18" s="20">
        <f>'GS &gt; 50 OLS model'!$P$10*H18</f>
        <v>229129.86289243051</v>
      </c>
      <c r="U18" s="20">
        <f>'GS &gt; 50 OLS model'!$P$11*I18</f>
        <v>0</v>
      </c>
      <c r="V18" s="20">
        <f>'GS &gt; 50 OLS model'!$P$12*J18</f>
        <v>0</v>
      </c>
      <c r="W18" s="20">
        <f>'GS &gt; 50 OLS model'!$P$13*K18</f>
        <v>0</v>
      </c>
      <c r="X18" s="20">
        <f>'GS &gt; 50 OLS model'!$P$14*L18</f>
        <v>0</v>
      </c>
      <c r="Y18" s="20">
        <f>'GS &gt; 50 OLS model'!$P$15*M18</f>
        <v>0</v>
      </c>
      <c r="Z18" s="20">
        <f t="shared" si="3"/>
        <v>12857669.390590388</v>
      </c>
      <c r="AA18" s="23">
        <f t="shared" ca="1" si="1"/>
        <v>7.9544914765044099E-3</v>
      </c>
    </row>
    <row r="19" spans="1:27" ht="15">
      <c r="A19" s="22">
        <f>'Monthly Data'!A19</f>
        <v>40330</v>
      </c>
      <c r="B19" s="6">
        <f t="shared" si="2"/>
        <v>2010</v>
      </c>
      <c r="C19" s="20">
        <f ca="1">'Monthly Data'!O19</f>
        <v>14889407.58055778</v>
      </c>
      <c r="D19" s="20">
        <f>'Monthly Data'!Q19</f>
        <v>214</v>
      </c>
      <c r="E19" s="6">
        <f>'Monthly Data'!AH19</f>
        <v>3.9000000000000004</v>
      </c>
      <c r="F19" s="6">
        <f>'Monthly Data'!AI19</f>
        <v>135.89999999999998</v>
      </c>
      <c r="G19" s="6">
        <f>'Monthly Data'!AK19</f>
        <v>149.9</v>
      </c>
      <c r="H19" s="6">
        <f>'Monthly Data'!AO19</f>
        <v>18</v>
      </c>
      <c r="I19" s="6">
        <f>'Monthly Data'!AQ19</f>
        <v>0</v>
      </c>
      <c r="J19" s="6">
        <f>'Monthly Data'!AW19</f>
        <v>0</v>
      </c>
      <c r="K19" s="6">
        <f>'Monthly Data'!AX19</f>
        <v>0</v>
      </c>
      <c r="L19" s="6">
        <f>'Monthly Data'!AY19</f>
        <v>0</v>
      </c>
      <c r="M19" s="6">
        <f>'Monthly Data'!AZ19</f>
        <v>0</v>
      </c>
      <c r="O19" s="20">
        <f>'GS &gt; 50 OLS model'!$P$5</f>
        <v>-12525532.812157899</v>
      </c>
      <c r="P19" s="20">
        <f>'GS &gt; 50 OLS model'!$P$6*D19</f>
        <v>11265753.674634863</v>
      </c>
      <c r="Q19" s="20">
        <f>'GS &gt; 50 OLS model'!$P$7*E19</f>
        <v>10372.739060601218</v>
      </c>
      <c r="R19" s="20">
        <f>'GS &gt; 50 OLS model'!$P$8*F19</f>
        <v>1990408.471850371</v>
      </c>
      <c r="S19" s="20">
        <f>'GS &gt; 50 OLS model'!$P$9*G19</f>
        <v>12971455.749535445</v>
      </c>
      <c r="T19" s="20">
        <f>'GS &gt; 50 OLS model'!$P$10*H19</f>
        <v>242608.09012139699</v>
      </c>
      <c r="U19" s="20">
        <f>'GS &gt; 50 OLS model'!$P$11*I19</f>
        <v>0</v>
      </c>
      <c r="V19" s="20">
        <f>'GS &gt; 50 OLS model'!$P$12*J19</f>
        <v>0</v>
      </c>
      <c r="W19" s="20">
        <f>'GS &gt; 50 OLS model'!$P$13*K19</f>
        <v>0</v>
      </c>
      <c r="X19" s="20">
        <f>'GS &gt; 50 OLS model'!$P$14*L19</f>
        <v>0</v>
      </c>
      <c r="Y19" s="20">
        <f>'GS &gt; 50 OLS model'!$P$15*M19</f>
        <v>0</v>
      </c>
      <c r="Z19" s="20">
        <f t="shared" si="3"/>
        <v>13955065.913044779</v>
      </c>
      <c r="AA19" s="23">
        <f t="shared" ca="1" si="1"/>
        <v>6.2752104975153072E-2</v>
      </c>
    </row>
    <row r="20" spans="1:27" ht="15">
      <c r="A20" s="22">
        <f>'Monthly Data'!A20</f>
        <v>40360</v>
      </c>
      <c r="B20" s="6">
        <f t="shared" si="2"/>
        <v>2010</v>
      </c>
      <c r="C20" s="20">
        <f ca="1">'Monthly Data'!O20</f>
        <v>15844471.30334268</v>
      </c>
      <c r="D20" s="20">
        <f>'Monthly Data'!Q20</f>
        <v>217</v>
      </c>
      <c r="E20" s="6">
        <f>'Monthly Data'!AH20</f>
        <v>0</v>
      </c>
      <c r="F20" s="6">
        <f>'Monthly Data'!AI20</f>
        <v>227.00000000000006</v>
      </c>
      <c r="G20" s="6">
        <f>'Monthly Data'!AK20</f>
        <v>148.30000000000001</v>
      </c>
      <c r="H20" s="6">
        <f>'Monthly Data'!AO20</f>
        <v>19</v>
      </c>
      <c r="I20" s="6">
        <f>'Monthly Data'!AQ20</f>
        <v>0</v>
      </c>
      <c r="J20" s="6">
        <f>'Monthly Data'!AW20</f>
        <v>0</v>
      </c>
      <c r="K20" s="6">
        <f>'Monthly Data'!AX20</f>
        <v>0</v>
      </c>
      <c r="L20" s="6">
        <f>'Monthly Data'!AY20</f>
        <v>0</v>
      </c>
      <c r="M20" s="6">
        <f>'Monthly Data'!AZ20</f>
        <v>0</v>
      </c>
      <c r="O20" s="20">
        <f>'GS &gt; 50 OLS model'!$P$5</f>
        <v>-12525532.812157899</v>
      </c>
      <c r="P20" s="20">
        <f>'GS &gt; 50 OLS model'!$P$6*D20</f>
        <v>11423684.800914792</v>
      </c>
      <c r="Q20" s="20">
        <f>'GS &gt; 50 OLS model'!$P$7*E20</f>
        <v>0</v>
      </c>
      <c r="R20" s="20">
        <f>'GS &gt; 50 OLS model'!$P$8*F20</f>
        <v>3324670.5158942929</v>
      </c>
      <c r="S20" s="20">
        <f>'GS &gt; 50 OLS model'!$P$9*G20</f>
        <v>12833001.251875294</v>
      </c>
      <c r="T20" s="20">
        <f>'GS &gt; 50 OLS model'!$P$10*H20</f>
        <v>256086.3173503635</v>
      </c>
      <c r="U20" s="20">
        <f>'GS &gt; 50 OLS model'!$P$11*I20</f>
        <v>0</v>
      </c>
      <c r="V20" s="20">
        <f>'GS &gt; 50 OLS model'!$P$12*J20</f>
        <v>0</v>
      </c>
      <c r="W20" s="20">
        <f>'GS &gt; 50 OLS model'!$P$13*K20</f>
        <v>0</v>
      </c>
      <c r="X20" s="20">
        <f>'GS &gt; 50 OLS model'!$P$14*L20</f>
        <v>0</v>
      </c>
      <c r="Y20" s="20">
        <f>'GS &gt; 50 OLS model'!$P$15*M20</f>
        <v>0</v>
      </c>
      <c r="Z20" s="20">
        <f t="shared" si="3"/>
        <v>15311910.073876845</v>
      </c>
      <c r="AA20" s="23">
        <f t="shared" ca="1" si="1"/>
        <v>3.3611801824746358E-2</v>
      </c>
    </row>
    <row r="21" spans="1:27" ht="15">
      <c r="A21" s="22">
        <f>'Monthly Data'!A21</f>
        <v>40391</v>
      </c>
      <c r="B21" s="6">
        <f t="shared" si="2"/>
        <v>2010</v>
      </c>
      <c r="C21" s="20">
        <f ca="1">'Monthly Data'!O21</f>
        <v>16457809.899910983</v>
      </c>
      <c r="D21" s="20">
        <f>'Monthly Data'!Q21</f>
        <v>215</v>
      </c>
      <c r="E21" s="6">
        <f>'Monthly Data'!AH21</f>
        <v>0</v>
      </c>
      <c r="F21" s="6">
        <f>'Monthly Data'!AI21</f>
        <v>211.80000000000004</v>
      </c>
      <c r="G21" s="6">
        <f>'Monthly Data'!AK21</f>
        <v>148.4</v>
      </c>
      <c r="H21" s="6">
        <f>'Monthly Data'!AO21</f>
        <v>20</v>
      </c>
      <c r="I21" s="6">
        <f>'Monthly Data'!AQ21</f>
        <v>0</v>
      </c>
      <c r="J21" s="6">
        <f>'Monthly Data'!AW21</f>
        <v>1</v>
      </c>
      <c r="K21" s="6">
        <f>'Monthly Data'!AX21</f>
        <v>0</v>
      </c>
      <c r="L21" s="6">
        <f>'Monthly Data'!AY21</f>
        <v>0</v>
      </c>
      <c r="M21" s="6">
        <f>'Monthly Data'!AZ21</f>
        <v>0</v>
      </c>
      <c r="O21" s="20">
        <f>'GS &gt; 50 OLS model'!$P$5</f>
        <v>-12525532.812157899</v>
      </c>
      <c r="P21" s="20">
        <f>'GS &gt; 50 OLS model'!$P$6*D21</f>
        <v>11318397.383394839</v>
      </c>
      <c r="Q21" s="20">
        <f>'GS &gt; 50 OLS model'!$P$7*E21</f>
        <v>0</v>
      </c>
      <c r="R21" s="20">
        <f>'GS &gt; 50 OLS model'!$P$8*F21</f>
        <v>3102049.4064599611</v>
      </c>
      <c r="S21" s="20">
        <f>'GS &gt; 50 OLS model'!$P$9*G21</f>
        <v>12841654.657979054</v>
      </c>
      <c r="T21" s="20">
        <f>'GS &gt; 50 OLS model'!$P$10*H21</f>
        <v>269564.54457933002</v>
      </c>
      <c r="U21" s="20">
        <f>'GS &gt; 50 OLS model'!$P$11*I21</f>
        <v>0</v>
      </c>
      <c r="V21" s="20">
        <f>'GS &gt; 50 OLS model'!$P$12*J21</f>
        <v>1253169.7974445899</v>
      </c>
      <c r="W21" s="20">
        <f>'GS &gt; 50 OLS model'!$P$13*K21</f>
        <v>0</v>
      </c>
      <c r="X21" s="20">
        <f>'GS &gt; 50 OLS model'!$P$14*L21</f>
        <v>0</v>
      </c>
      <c r="Y21" s="20">
        <f>'GS &gt; 50 OLS model'!$P$15*M21</f>
        <v>0</v>
      </c>
      <c r="Z21" s="20">
        <f t="shared" si="3"/>
        <v>16259302.977699876</v>
      </c>
      <c r="AA21" s="23">
        <f t="shared" ca="1" si="1"/>
        <v>1.2061563684253065E-2</v>
      </c>
    </row>
    <row r="22" spans="1:27" ht="15">
      <c r="A22" s="22">
        <f>'Monthly Data'!A22</f>
        <v>40422</v>
      </c>
      <c r="B22" s="6">
        <f t="shared" si="2"/>
        <v>2010</v>
      </c>
      <c r="C22" s="20">
        <f ca="1">'Monthly Data'!O22</f>
        <v>13945593.812022582</v>
      </c>
      <c r="D22" s="20">
        <f>'Monthly Data'!Q22</f>
        <v>214</v>
      </c>
      <c r="E22" s="6">
        <f>'Monthly Data'!AH22</f>
        <v>38</v>
      </c>
      <c r="F22" s="6">
        <f>'Monthly Data'!AI22</f>
        <v>59.699999999999989</v>
      </c>
      <c r="G22" s="6">
        <f>'Monthly Data'!AK22</f>
        <v>148.69999999999999</v>
      </c>
      <c r="H22" s="6">
        <f>'Monthly Data'!AO22</f>
        <v>21</v>
      </c>
      <c r="I22" s="6">
        <f>'Monthly Data'!AQ22</f>
        <v>0</v>
      </c>
      <c r="J22" s="6">
        <f>'Monthly Data'!AW22</f>
        <v>0</v>
      </c>
      <c r="K22" s="6">
        <f>'Monthly Data'!AX22</f>
        <v>1</v>
      </c>
      <c r="L22" s="6">
        <f>'Monthly Data'!AY22</f>
        <v>0</v>
      </c>
      <c r="M22" s="6">
        <f>'Monthly Data'!AZ22</f>
        <v>0</v>
      </c>
      <c r="O22" s="20">
        <f>'GS &gt; 50 OLS model'!$P$5</f>
        <v>-12525532.812157899</v>
      </c>
      <c r="P22" s="20">
        <f>'GS &gt; 50 OLS model'!$P$6*D22</f>
        <v>11265753.674634863</v>
      </c>
      <c r="Q22" s="20">
        <f>'GS &gt; 50 OLS model'!$P$7*E22</f>
        <v>101067.71392380672</v>
      </c>
      <c r="R22" s="20">
        <f>'GS &gt; 50 OLS model'!$P$8*F22</f>
        <v>874373.69955457794</v>
      </c>
      <c r="S22" s="20">
        <f>'GS &gt; 50 OLS model'!$P$9*G22</f>
        <v>12867614.876290331</v>
      </c>
      <c r="T22" s="20">
        <f>'GS &gt; 50 OLS model'!$P$10*H22</f>
        <v>283042.7718082965</v>
      </c>
      <c r="U22" s="20">
        <f>'GS &gt; 50 OLS model'!$P$11*I22</f>
        <v>0</v>
      </c>
      <c r="V22" s="20">
        <f>'GS &gt; 50 OLS model'!$P$12*J22</f>
        <v>0</v>
      </c>
      <c r="W22" s="20">
        <f>'GS &gt; 50 OLS model'!$P$13*K22</f>
        <v>1963227.6010161501</v>
      </c>
      <c r="X22" s="20">
        <f>'GS &gt; 50 OLS model'!$P$14*L22</f>
        <v>0</v>
      </c>
      <c r="Y22" s="20">
        <f>'GS &gt; 50 OLS model'!$P$15*M22</f>
        <v>0</v>
      </c>
      <c r="Z22" s="20">
        <f t="shared" si="3"/>
        <v>14829547.525070125</v>
      </c>
      <c r="AA22" s="23">
        <f t="shared" ca="1" si="1"/>
        <v>6.3385878361485168E-2</v>
      </c>
    </row>
    <row r="23" spans="1:27" ht="15">
      <c r="A23" s="22">
        <f>'Monthly Data'!A23</f>
        <v>40452</v>
      </c>
      <c r="B23" s="6">
        <f t="shared" si="2"/>
        <v>2010</v>
      </c>
      <c r="C23" s="20">
        <f ca="1">'Monthly Data'!O23</f>
        <v>13680357.311501181</v>
      </c>
      <c r="D23" s="20">
        <f>'Monthly Data'!Q23</f>
        <v>216</v>
      </c>
      <c r="E23" s="6">
        <f>'Monthly Data'!AH23</f>
        <v>157.6</v>
      </c>
      <c r="F23" s="6">
        <f>'Monthly Data'!AI23</f>
        <v>1.4000000000000001</v>
      </c>
      <c r="G23" s="6">
        <f>'Monthly Data'!AK23</f>
        <v>149.6</v>
      </c>
      <c r="H23" s="6">
        <f>'Monthly Data'!AO23</f>
        <v>22</v>
      </c>
      <c r="I23" s="6">
        <f>'Monthly Data'!AQ23</f>
        <v>0</v>
      </c>
      <c r="J23" s="6">
        <f>'Monthly Data'!AW23</f>
        <v>0</v>
      </c>
      <c r="K23" s="6">
        <f>'Monthly Data'!AX23</f>
        <v>0</v>
      </c>
      <c r="L23" s="6">
        <f>'Monthly Data'!AY23</f>
        <v>1</v>
      </c>
      <c r="M23" s="6">
        <f>'Monthly Data'!AZ23</f>
        <v>0</v>
      </c>
      <c r="O23" s="20">
        <f>'GS &gt; 50 OLS model'!$P$5</f>
        <v>-12525532.812157899</v>
      </c>
      <c r="P23" s="20">
        <f>'GS &gt; 50 OLS model'!$P$6*D23</f>
        <v>11371041.092154816</v>
      </c>
      <c r="Q23" s="20">
        <f>'GS &gt; 50 OLS model'!$P$7*E23</f>
        <v>419165.04511557735</v>
      </c>
      <c r="R23" s="20">
        <f>'GS &gt; 50 OLS model'!$P$8*F23</f>
        <v>20504.575868951582</v>
      </c>
      <c r="S23" s="20">
        <f>'GS &gt; 50 OLS model'!$P$9*G23</f>
        <v>12945495.531224167</v>
      </c>
      <c r="T23" s="20">
        <f>'GS &gt; 50 OLS model'!$P$10*H23</f>
        <v>296520.99903726298</v>
      </c>
      <c r="U23" s="20">
        <f>'GS &gt; 50 OLS model'!$P$11*I23</f>
        <v>0</v>
      </c>
      <c r="V23" s="20">
        <f>'GS &gt; 50 OLS model'!$P$12*J23</f>
        <v>0</v>
      </c>
      <c r="W23" s="20">
        <f>'GS &gt; 50 OLS model'!$P$13*K23</f>
        <v>0</v>
      </c>
      <c r="X23" s="20">
        <f>'GS &gt; 50 OLS model'!$P$14*L23</f>
        <v>1449584.5870731501</v>
      </c>
      <c r="Y23" s="20">
        <f>'GS &gt; 50 OLS model'!$P$15*M23</f>
        <v>0</v>
      </c>
      <c r="Z23" s="20">
        <f t="shared" si="3"/>
        <v>13976779.018316027</v>
      </c>
      <c r="AA23" s="23">
        <f t="shared" ca="1" si="1"/>
        <v>2.166768747813641E-2</v>
      </c>
    </row>
    <row r="24" spans="1:27" ht="15">
      <c r="A24" s="22">
        <f>'Monthly Data'!A24</f>
        <v>40483</v>
      </c>
      <c r="B24" s="6">
        <f t="shared" si="2"/>
        <v>2010</v>
      </c>
      <c r="C24" s="20">
        <f ca="1">'Monthly Data'!O24</f>
        <v>13943764.881368984</v>
      </c>
      <c r="D24" s="20">
        <f>'Monthly Data'!Q24</f>
        <v>215</v>
      </c>
      <c r="E24" s="6">
        <f>'Monthly Data'!AH24</f>
        <v>376.59999999999991</v>
      </c>
      <c r="F24" s="6">
        <f>'Monthly Data'!AI24</f>
        <v>0</v>
      </c>
      <c r="G24" s="6">
        <f>'Monthly Data'!AK24</f>
        <v>148.9</v>
      </c>
      <c r="H24" s="6">
        <f>'Monthly Data'!AO24</f>
        <v>23</v>
      </c>
      <c r="I24" s="6">
        <f>'Monthly Data'!AQ24</f>
        <v>0</v>
      </c>
      <c r="J24" s="6">
        <f>'Monthly Data'!AW24</f>
        <v>0</v>
      </c>
      <c r="K24" s="6">
        <f>'Monthly Data'!AX24</f>
        <v>0</v>
      </c>
      <c r="L24" s="6">
        <f>'Monthly Data'!AY24</f>
        <v>0</v>
      </c>
      <c r="M24" s="6">
        <f>'Monthly Data'!AZ24</f>
        <v>1</v>
      </c>
      <c r="O24" s="20">
        <f>'GS &gt; 50 OLS model'!$P$5</f>
        <v>-12525532.812157899</v>
      </c>
      <c r="P24" s="20">
        <f>'GS &gt; 50 OLS model'!$P$6*D24</f>
        <v>11318397.383394839</v>
      </c>
      <c r="Q24" s="20">
        <f>'GS &gt; 50 OLS model'!$P$7*E24</f>
        <v>1001634.2385185685</v>
      </c>
      <c r="R24" s="20">
        <f>'GS &gt; 50 OLS model'!$P$8*F24</f>
        <v>0</v>
      </c>
      <c r="S24" s="20">
        <f>'GS &gt; 50 OLS model'!$P$9*G24</f>
        <v>12884921.688497851</v>
      </c>
      <c r="T24" s="20">
        <f>'GS &gt; 50 OLS model'!$P$10*H24</f>
        <v>309999.22626622947</v>
      </c>
      <c r="U24" s="20">
        <f>'GS &gt; 50 OLS model'!$P$11*I24</f>
        <v>0</v>
      </c>
      <c r="V24" s="20">
        <f>'GS &gt; 50 OLS model'!$P$12*J24</f>
        <v>0</v>
      </c>
      <c r="W24" s="20">
        <f>'GS &gt; 50 OLS model'!$P$13*K24</f>
        <v>0</v>
      </c>
      <c r="X24" s="20">
        <f>'GS &gt; 50 OLS model'!$P$14*L24</f>
        <v>0</v>
      </c>
      <c r="Y24" s="20">
        <f>'GS &gt; 50 OLS model'!$P$15*M24</f>
        <v>653577.717998437</v>
      </c>
      <c r="Z24" s="20">
        <f t="shared" si="3"/>
        <v>13642997.442518026</v>
      </c>
      <c r="AA24" s="23">
        <f t="shared" ca="1" si="1"/>
        <v>2.1570030863961965E-2</v>
      </c>
    </row>
    <row r="25" spans="1:27" ht="15">
      <c r="A25" s="22">
        <f>'Monthly Data'!A25</f>
        <v>40513</v>
      </c>
      <c r="B25" s="6">
        <f t="shared" si="2"/>
        <v>2010</v>
      </c>
      <c r="C25" s="20">
        <f ca="1">'Monthly Data'!O25</f>
        <v>13816144.317732083</v>
      </c>
      <c r="D25" s="20">
        <f>'Monthly Data'!Q25</f>
        <v>214</v>
      </c>
      <c r="E25" s="6">
        <f>'Monthly Data'!AH25</f>
        <v>645.59999999999991</v>
      </c>
      <c r="F25" s="6">
        <f>'Monthly Data'!AI25</f>
        <v>0</v>
      </c>
      <c r="G25" s="6">
        <f>'Monthly Data'!AK25</f>
        <v>148.1</v>
      </c>
      <c r="H25" s="6">
        <f>'Monthly Data'!AO25</f>
        <v>24</v>
      </c>
      <c r="I25" s="6">
        <f>'Monthly Data'!AQ25</f>
        <v>0</v>
      </c>
      <c r="J25" s="6">
        <f>'Monthly Data'!AW25</f>
        <v>0</v>
      </c>
      <c r="K25" s="6">
        <f>'Monthly Data'!AX25</f>
        <v>0</v>
      </c>
      <c r="L25" s="6">
        <f>'Monthly Data'!AY25</f>
        <v>0</v>
      </c>
      <c r="M25" s="6">
        <f>'Monthly Data'!AZ25</f>
        <v>0</v>
      </c>
      <c r="O25" s="20">
        <f>'GS &gt; 50 OLS model'!$P$5</f>
        <v>-12525532.812157899</v>
      </c>
      <c r="P25" s="20">
        <f>'GS &gt; 50 OLS model'!$P$6*D25</f>
        <v>11265753.674634863</v>
      </c>
      <c r="Q25" s="20">
        <f>'GS &gt; 50 OLS model'!$P$7*E25</f>
        <v>1717087.266031832</v>
      </c>
      <c r="R25" s="20">
        <f>'GS &gt; 50 OLS model'!$P$8*F25</f>
        <v>0</v>
      </c>
      <c r="S25" s="20">
        <f>'GS &gt; 50 OLS model'!$P$9*G25</f>
        <v>12815694.439667774</v>
      </c>
      <c r="T25" s="20">
        <f>'GS &gt; 50 OLS model'!$P$10*H25</f>
        <v>323477.45349519601</v>
      </c>
      <c r="U25" s="20">
        <f>'GS &gt; 50 OLS model'!$P$11*I25</f>
        <v>0</v>
      </c>
      <c r="V25" s="20">
        <f>'GS &gt; 50 OLS model'!$P$12*J25</f>
        <v>0</v>
      </c>
      <c r="W25" s="20">
        <f>'GS &gt; 50 OLS model'!$P$13*K25</f>
        <v>0</v>
      </c>
      <c r="X25" s="20">
        <f>'GS &gt; 50 OLS model'!$P$14*L25</f>
        <v>0</v>
      </c>
      <c r="Y25" s="20">
        <f>'GS &gt; 50 OLS model'!$P$15*M25</f>
        <v>0</v>
      </c>
      <c r="Z25" s="20">
        <f t="shared" si="3"/>
        <v>13596480.021671765</v>
      </c>
      <c r="AA25" s="23">
        <f t="shared" ca="1" si="1"/>
        <v>1.5899102601178966E-2</v>
      </c>
    </row>
    <row r="26" spans="1:27" ht="15">
      <c r="A26" s="22">
        <f>'Monthly Data'!A26</f>
        <v>40544</v>
      </c>
      <c r="B26" s="6">
        <f t="shared" si="2"/>
        <v>2011</v>
      </c>
      <c r="C26" s="20">
        <f ca="1">'Monthly Data'!O26</f>
        <v>14300120.531601261</v>
      </c>
      <c r="D26" s="20">
        <f>'Monthly Data'!Q26</f>
        <v>219</v>
      </c>
      <c r="E26" s="6">
        <f>'Monthly Data'!AH26</f>
        <v>703.59999999999991</v>
      </c>
      <c r="F26" s="6">
        <f>'Monthly Data'!AI26</f>
        <v>0</v>
      </c>
      <c r="G26" s="6">
        <f>'Monthly Data'!AK26</f>
        <v>148.69999999999999</v>
      </c>
      <c r="H26" s="6">
        <f>'Monthly Data'!AO26</f>
        <v>25</v>
      </c>
      <c r="I26" s="6">
        <f>'Monthly Data'!AQ26</f>
        <v>0</v>
      </c>
      <c r="J26" s="6">
        <f>'Monthly Data'!AW26</f>
        <v>0</v>
      </c>
      <c r="K26" s="6">
        <f>'Monthly Data'!AX26</f>
        <v>0</v>
      </c>
      <c r="L26" s="6">
        <f>'Monthly Data'!AY26</f>
        <v>0</v>
      </c>
      <c r="M26" s="6">
        <f>'Monthly Data'!AZ26</f>
        <v>0</v>
      </c>
      <c r="O26" s="20">
        <f>'GS &gt; 50 OLS model'!$P$5</f>
        <v>-12525532.812157899</v>
      </c>
      <c r="P26" s="20">
        <f>'GS &gt; 50 OLS model'!$P$6*D26</f>
        <v>11528972.218434744</v>
      </c>
      <c r="Q26" s="20">
        <f>'GS &gt; 50 OLS model'!$P$7*E26</f>
        <v>1871348.5135997473</v>
      </c>
      <c r="R26" s="20">
        <f>'GS &gt; 50 OLS model'!$P$8*F26</f>
        <v>0</v>
      </c>
      <c r="S26" s="20">
        <f>'GS &gt; 50 OLS model'!$P$9*G26</f>
        <v>12867614.876290331</v>
      </c>
      <c r="T26" s="20">
        <f>'GS &gt; 50 OLS model'!$P$10*H26</f>
        <v>336955.68072416249</v>
      </c>
      <c r="U26" s="20">
        <f>'GS &gt; 50 OLS model'!$P$11*I26</f>
        <v>0</v>
      </c>
      <c r="V26" s="20">
        <f>'GS &gt; 50 OLS model'!$P$12*J26</f>
        <v>0</v>
      </c>
      <c r="W26" s="20">
        <f>'GS &gt; 50 OLS model'!$P$13*K26</f>
        <v>0</v>
      </c>
      <c r="X26" s="20">
        <f>'GS &gt; 50 OLS model'!$P$14*L26</f>
        <v>0</v>
      </c>
      <c r="Y26" s="20">
        <f>'GS &gt; 50 OLS model'!$P$15*M26</f>
        <v>0</v>
      </c>
      <c r="Z26" s="20">
        <f t="shared" si="3"/>
        <v>14079358.476891086</v>
      </c>
      <c r="AA26" s="23">
        <f t="shared" ca="1" si="1"/>
        <v>1.5437775802121573E-2</v>
      </c>
    </row>
    <row r="27" spans="1:27" ht="15">
      <c r="A27" s="22">
        <f>'Monthly Data'!A27</f>
        <v>40575</v>
      </c>
      <c r="B27" s="6">
        <f t="shared" si="2"/>
        <v>2011</v>
      </c>
      <c r="C27" s="20">
        <f ca="1">'Monthly Data'!O27</f>
        <v>12823986.900859961</v>
      </c>
      <c r="D27" s="20">
        <f>'Monthly Data'!Q27</f>
        <v>220</v>
      </c>
      <c r="E27" s="6">
        <f>'Monthly Data'!AH27</f>
        <v>583.20000000000005</v>
      </c>
      <c r="F27" s="6">
        <f>'Monthly Data'!AI27</f>
        <v>0</v>
      </c>
      <c r="G27" s="6">
        <f>'Monthly Data'!AK27</f>
        <v>146.69999999999999</v>
      </c>
      <c r="H27" s="6">
        <f>'Monthly Data'!AO27</f>
        <v>26</v>
      </c>
      <c r="I27" s="6">
        <f>'Monthly Data'!AQ27</f>
        <v>1</v>
      </c>
      <c r="J27" s="6">
        <f>'Monthly Data'!AW27</f>
        <v>0</v>
      </c>
      <c r="K27" s="6">
        <f>'Monthly Data'!AX27</f>
        <v>0</v>
      </c>
      <c r="L27" s="6">
        <f>'Monthly Data'!AY27</f>
        <v>0</v>
      </c>
      <c r="M27" s="6">
        <f>'Monthly Data'!AZ27</f>
        <v>0</v>
      </c>
      <c r="O27" s="20">
        <f>'GS &gt; 50 OLS model'!$P$5</f>
        <v>-12525532.812157899</v>
      </c>
      <c r="P27" s="20">
        <f>'GS &gt; 50 OLS model'!$P$6*D27</f>
        <v>11581615.92719472</v>
      </c>
      <c r="Q27" s="20">
        <f>'GS &gt; 50 OLS model'!$P$7*E27</f>
        <v>1551123.4410622127</v>
      </c>
      <c r="R27" s="20">
        <f>'GS &gt; 50 OLS model'!$P$8*F27</f>
        <v>0</v>
      </c>
      <c r="S27" s="20">
        <f>'GS &gt; 50 OLS model'!$P$9*G27</f>
        <v>12694546.754215142</v>
      </c>
      <c r="T27" s="20">
        <f>'GS &gt; 50 OLS model'!$P$10*H27</f>
        <v>350433.90795312898</v>
      </c>
      <c r="U27" s="20">
        <f>'GS &gt; 50 OLS model'!$P$11*I27</f>
        <v>-794437.04938529804</v>
      </c>
      <c r="V27" s="20">
        <f>'GS &gt; 50 OLS model'!$P$12*J27</f>
        <v>0</v>
      </c>
      <c r="W27" s="20">
        <f>'GS &gt; 50 OLS model'!$P$13*K27</f>
        <v>0</v>
      </c>
      <c r="X27" s="20">
        <f>'GS &gt; 50 OLS model'!$P$14*L27</f>
        <v>0</v>
      </c>
      <c r="Y27" s="20">
        <f>'GS &gt; 50 OLS model'!$P$15*M27</f>
        <v>0</v>
      </c>
      <c r="Z27" s="20">
        <f t="shared" si="3"/>
        <v>12857750.168882005</v>
      </c>
      <c r="AA27" s="23">
        <f t="shared" ca="1" si="1"/>
        <v>2.6328214683203946E-3</v>
      </c>
    </row>
    <row r="28" spans="1:27" ht="15">
      <c r="A28" s="22">
        <f>'Monthly Data'!A28</f>
        <v>40603</v>
      </c>
      <c r="B28" s="6">
        <f t="shared" si="2"/>
        <v>2011</v>
      </c>
      <c r="C28" s="20">
        <f ca="1">'Monthly Data'!O28</f>
        <v>13729652.925076362</v>
      </c>
      <c r="D28" s="20">
        <f>'Monthly Data'!Q28</f>
        <v>221</v>
      </c>
      <c r="E28" s="6">
        <f>'Monthly Data'!AH28</f>
        <v>514.30000000000007</v>
      </c>
      <c r="F28" s="6">
        <f>'Monthly Data'!AI28</f>
        <v>0</v>
      </c>
      <c r="G28" s="6">
        <f>'Monthly Data'!AK28</f>
        <v>145.4</v>
      </c>
      <c r="H28" s="6">
        <f>'Monthly Data'!AO28</f>
        <v>27</v>
      </c>
      <c r="I28" s="6">
        <f>'Monthly Data'!AQ28</f>
        <v>0</v>
      </c>
      <c r="J28" s="6">
        <f>'Monthly Data'!AW28</f>
        <v>0</v>
      </c>
      <c r="K28" s="6">
        <f>'Monthly Data'!AX28</f>
        <v>0</v>
      </c>
      <c r="L28" s="6">
        <f>'Monthly Data'!AY28</f>
        <v>0</v>
      </c>
      <c r="M28" s="6">
        <f>'Monthly Data'!AZ28</f>
        <v>0</v>
      </c>
      <c r="O28" s="20">
        <f>'GS &gt; 50 OLS model'!$P$5</f>
        <v>-12525532.812157899</v>
      </c>
      <c r="P28" s="20">
        <f>'GS &gt; 50 OLS model'!$P$6*D28</f>
        <v>11634259.635954695</v>
      </c>
      <c r="Q28" s="20">
        <f>'GS &gt; 50 OLS model'!$P$7*E28</f>
        <v>1367871.717658258</v>
      </c>
      <c r="R28" s="20">
        <f>'GS &gt; 50 OLS model'!$P$8*F28</f>
        <v>0</v>
      </c>
      <c r="S28" s="20">
        <f>'GS &gt; 50 OLS model'!$P$9*G28</f>
        <v>12582052.474866269</v>
      </c>
      <c r="T28" s="20">
        <f>'GS &gt; 50 OLS model'!$P$10*H28</f>
        <v>363912.13518209552</v>
      </c>
      <c r="U28" s="20">
        <f>'GS &gt; 50 OLS model'!$P$11*I28</f>
        <v>0</v>
      </c>
      <c r="V28" s="20">
        <f>'GS &gt; 50 OLS model'!$P$12*J28</f>
        <v>0</v>
      </c>
      <c r="W28" s="20">
        <f>'GS &gt; 50 OLS model'!$P$13*K28</f>
        <v>0</v>
      </c>
      <c r="X28" s="20">
        <f>'GS &gt; 50 OLS model'!$P$14*L28</f>
        <v>0</v>
      </c>
      <c r="Y28" s="20">
        <f>'GS &gt; 50 OLS model'!$P$15*M28</f>
        <v>0</v>
      </c>
      <c r="Z28" s="20">
        <f t="shared" si="3"/>
        <v>13422563.15150342</v>
      </c>
      <c r="AA28" s="23">
        <f t="shared" ca="1" si="1"/>
        <v>2.2366899968174852E-2</v>
      </c>
    </row>
    <row r="29" spans="1:27" ht="15">
      <c r="A29" s="22">
        <f>'Monthly Data'!A29</f>
        <v>40634</v>
      </c>
      <c r="B29" s="6">
        <f t="shared" si="2"/>
        <v>2011</v>
      </c>
      <c r="C29" s="20">
        <f ca="1">'Monthly Data'!O29</f>
        <v>12372493.118964862</v>
      </c>
      <c r="D29" s="20">
        <f>'Monthly Data'!Q29</f>
        <v>222</v>
      </c>
      <c r="E29" s="6">
        <f>'Monthly Data'!AH29</f>
        <v>278.59999999999985</v>
      </c>
      <c r="F29" s="6">
        <f>'Monthly Data'!AI29</f>
        <v>0.5</v>
      </c>
      <c r="G29" s="6">
        <f>'Monthly Data'!AK29</f>
        <v>144</v>
      </c>
      <c r="H29" s="6">
        <f>'Monthly Data'!AO29</f>
        <v>28</v>
      </c>
      <c r="I29" s="6">
        <f>'Monthly Data'!AQ29</f>
        <v>0</v>
      </c>
      <c r="J29" s="6">
        <f>'Monthly Data'!AW29</f>
        <v>0</v>
      </c>
      <c r="K29" s="6">
        <f>'Monthly Data'!AX29</f>
        <v>0</v>
      </c>
      <c r="L29" s="6">
        <f>'Monthly Data'!AY29</f>
        <v>0</v>
      </c>
      <c r="M29" s="6">
        <f>'Monthly Data'!AZ29</f>
        <v>0</v>
      </c>
      <c r="O29" s="20">
        <f>'GS &gt; 50 OLS model'!$P$5</f>
        <v>-12525532.812157899</v>
      </c>
      <c r="P29" s="20">
        <f>'GS &gt; 50 OLS model'!$P$6*D29</f>
        <v>11686903.344714671</v>
      </c>
      <c r="Q29" s="20">
        <f>'GS &gt; 50 OLS model'!$P$7*E29</f>
        <v>740985.92366243526</v>
      </c>
      <c r="R29" s="20">
        <f>'GS &gt; 50 OLS model'!$P$8*F29</f>
        <v>7323.0628103398503</v>
      </c>
      <c r="S29" s="20">
        <f>'GS &gt; 50 OLS model'!$P$9*G29</f>
        <v>12460904.789413637</v>
      </c>
      <c r="T29" s="20">
        <f>'GS &gt; 50 OLS model'!$P$10*H29</f>
        <v>377390.362411062</v>
      </c>
      <c r="U29" s="20">
        <f>'GS &gt; 50 OLS model'!$P$11*I29</f>
        <v>0</v>
      </c>
      <c r="V29" s="20">
        <f>'GS &gt; 50 OLS model'!$P$12*J29</f>
        <v>0</v>
      </c>
      <c r="W29" s="20">
        <f>'GS &gt; 50 OLS model'!$P$13*K29</f>
        <v>0</v>
      </c>
      <c r="X29" s="20">
        <f>'GS &gt; 50 OLS model'!$P$14*L29</f>
        <v>0</v>
      </c>
      <c r="Y29" s="20">
        <f>'GS &gt; 50 OLS model'!$P$15*M29</f>
        <v>0</v>
      </c>
      <c r="Z29" s="20">
        <f t="shared" si="3"/>
        <v>12747974.670854244</v>
      </c>
      <c r="AA29" s="23">
        <f t="shared" ca="1" si="1"/>
        <v>3.0348091389425381E-2</v>
      </c>
    </row>
    <row r="30" spans="1:27" ht="15">
      <c r="A30" s="22">
        <f>'Monthly Data'!A30</f>
        <v>40664</v>
      </c>
      <c r="B30" s="6">
        <f t="shared" si="2"/>
        <v>2011</v>
      </c>
      <c r="C30" s="20">
        <f ca="1">'Monthly Data'!O30</f>
        <v>12952023.395882361</v>
      </c>
      <c r="D30" s="20">
        <f>'Monthly Data'!Q30</f>
        <v>222</v>
      </c>
      <c r="E30" s="6">
        <f>'Monthly Data'!AH30</f>
        <v>105.20000000000003</v>
      </c>
      <c r="F30" s="6">
        <f>'Monthly Data'!AI30</f>
        <v>37.200000000000003</v>
      </c>
      <c r="G30" s="6">
        <f>'Monthly Data'!AK30</f>
        <v>144.6</v>
      </c>
      <c r="H30" s="6">
        <f>'Monthly Data'!AO30</f>
        <v>29</v>
      </c>
      <c r="I30" s="6">
        <f>'Monthly Data'!AQ30</f>
        <v>0</v>
      </c>
      <c r="J30" s="6">
        <f>'Monthly Data'!AW30</f>
        <v>0</v>
      </c>
      <c r="K30" s="6">
        <f>'Monthly Data'!AX30</f>
        <v>0</v>
      </c>
      <c r="L30" s="6">
        <f>'Monthly Data'!AY30</f>
        <v>0</v>
      </c>
      <c r="M30" s="6">
        <f>'Monthly Data'!AZ30</f>
        <v>0</v>
      </c>
      <c r="O30" s="20">
        <f>'GS &gt; 50 OLS model'!$P$5</f>
        <v>-12525532.812157899</v>
      </c>
      <c r="P30" s="20">
        <f>'GS &gt; 50 OLS model'!$P$6*D30</f>
        <v>11686903.344714671</v>
      </c>
      <c r="Q30" s="20">
        <f>'GS &gt; 50 OLS model'!$P$7*E30</f>
        <v>279797.98696801241</v>
      </c>
      <c r="R30" s="20">
        <f>'GS &gt; 50 OLS model'!$P$8*F30</f>
        <v>544835.87308928487</v>
      </c>
      <c r="S30" s="20">
        <f>'GS &gt; 50 OLS model'!$P$9*G30</f>
        <v>12512825.226036193</v>
      </c>
      <c r="T30" s="20">
        <f>'GS &gt; 50 OLS model'!$P$10*H30</f>
        <v>390868.58964002848</v>
      </c>
      <c r="U30" s="20">
        <f>'GS &gt; 50 OLS model'!$P$11*I30</f>
        <v>0</v>
      </c>
      <c r="V30" s="20">
        <f>'GS &gt; 50 OLS model'!$P$12*J30</f>
        <v>0</v>
      </c>
      <c r="W30" s="20">
        <f>'GS &gt; 50 OLS model'!$P$13*K30</f>
        <v>0</v>
      </c>
      <c r="X30" s="20">
        <f>'GS &gt; 50 OLS model'!$P$14*L30</f>
        <v>0</v>
      </c>
      <c r="Y30" s="20">
        <f>'GS &gt; 50 OLS model'!$P$15*M30</f>
        <v>0</v>
      </c>
      <c r="Z30" s="20">
        <f t="shared" si="3"/>
        <v>12889698.208290292</v>
      </c>
      <c r="AA30" s="23">
        <f t="shared" ca="1" si="1"/>
        <v>4.8120039384643779E-3</v>
      </c>
    </row>
    <row r="31" spans="1:27" ht="15">
      <c r="A31" s="22">
        <f>'Monthly Data'!A31</f>
        <v>40695</v>
      </c>
      <c r="B31" s="6">
        <f t="shared" si="2"/>
        <v>2011</v>
      </c>
      <c r="C31" s="20">
        <f ca="1">'Monthly Data'!O31</f>
        <v>13742572.92912866</v>
      </c>
      <c r="D31" s="20">
        <f>'Monthly Data'!Q31</f>
        <v>223</v>
      </c>
      <c r="E31" s="6">
        <f>'Monthly Data'!AH31</f>
        <v>7.6000000000000005</v>
      </c>
      <c r="F31" s="6">
        <f>'Monthly Data'!AI31</f>
        <v>115.89999999999998</v>
      </c>
      <c r="G31" s="6">
        <f>'Monthly Data'!AK31</f>
        <v>146</v>
      </c>
      <c r="H31" s="6">
        <f>'Monthly Data'!AO31</f>
        <v>30</v>
      </c>
      <c r="I31" s="6">
        <f>'Monthly Data'!AQ31</f>
        <v>0</v>
      </c>
      <c r="J31" s="6">
        <f>'Monthly Data'!AW31</f>
        <v>0</v>
      </c>
      <c r="K31" s="6">
        <f>'Monthly Data'!AX31</f>
        <v>0</v>
      </c>
      <c r="L31" s="6">
        <f>'Monthly Data'!AY31</f>
        <v>0</v>
      </c>
      <c r="M31" s="6">
        <f>'Monthly Data'!AZ31</f>
        <v>0</v>
      </c>
      <c r="O31" s="20">
        <f>'GS &gt; 50 OLS model'!$P$5</f>
        <v>-12525532.812157899</v>
      </c>
      <c r="P31" s="20">
        <f>'GS &gt; 50 OLS model'!$P$6*D31</f>
        <v>11739547.053474648</v>
      </c>
      <c r="Q31" s="20">
        <f>'GS &gt; 50 OLS model'!$P$7*E31</f>
        <v>20213.542784761346</v>
      </c>
      <c r="R31" s="20">
        <f>'GS &gt; 50 OLS model'!$P$8*F31</f>
        <v>1697485.959436777</v>
      </c>
      <c r="S31" s="20">
        <f>'GS &gt; 50 OLS model'!$P$9*G31</f>
        <v>12633972.911488825</v>
      </c>
      <c r="T31" s="20">
        <f>'GS &gt; 50 OLS model'!$P$10*H31</f>
        <v>404346.81686899497</v>
      </c>
      <c r="U31" s="20">
        <f>'GS &gt; 50 OLS model'!$P$11*I31</f>
        <v>0</v>
      </c>
      <c r="V31" s="20">
        <f>'GS &gt; 50 OLS model'!$P$12*J31</f>
        <v>0</v>
      </c>
      <c r="W31" s="20">
        <f>'GS &gt; 50 OLS model'!$P$13*K31</f>
        <v>0</v>
      </c>
      <c r="X31" s="20">
        <f>'GS &gt; 50 OLS model'!$P$14*L31</f>
        <v>0</v>
      </c>
      <c r="Y31" s="20">
        <f>'GS &gt; 50 OLS model'!$P$15*M31</f>
        <v>0</v>
      </c>
      <c r="Z31" s="20">
        <f t="shared" si="3"/>
        <v>13970033.471896106</v>
      </c>
      <c r="AA31" s="23">
        <f t="shared" ca="1" si="1"/>
        <v>1.6551525244979617E-2</v>
      </c>
    </row>
    <row r="32" spans="1:27" ht="15">
      <c r="A32" s="22">
        <f>'Monthly Data'!A32</f>
        <v>40725</v>
      </c>
      <c r="B32" s="6">
        <f t="shared" si="2"/>
        <v>2011</v>
      </c>
      <c r="C32" s="20">
        <f ca="1">'Monthly Data'!O32</f>
        <v>15283419.080539763</v>
      </c>
      <c r="D32" s="20">
        <f>'Monthly Data'!Q32</f>
        <v>227</v>
      </c>
      <c r="E32" s="6">
        <f>'Monthly Data'!AH32</f>
        <v>0</v>
      </c>
      <c r="F32" s="6">
        <f>'Monthly Data'!AI32</f>
        <v>255.50000000000006</v>
      </c>
      <c r="G32" s="6">
        <f>'Monthly Data'!AK32</f>
        <v>147.6</v>
      </c>
      <c r="H32" s="6">
        <f>'Monthly Data'!AO32</f>
        <v>31</v>
      </c>
      <c r="I32" s="6">
        <f>'Monthly Data'!AQ32</f>
        <v>0</v>
      </c>
      <c r="J32" s="6">
        <f>'Monthly Data'!AW32</f>
        <v>0</v>
      </c>
      <c r="K32" s="6">
        <f>'Monthly Data'!AX32</f>
        <v>0</v>
      </c>
      <c r="L32" s="6">
        <f>'Monthly Data'!AY32</f>
        <v>0</v>
      </c>
      <c r="M32" s="6">
        <f>'Monthly Data'!AZ32</f>
        <v>0</v>
      </c>
      <c r="O32" s="20">
        <f>'GS &gt; 50 OLS model'!$P$5</f>
        <v>-12525532.812157899</v>
      </c>
      <c r="P32" s="20">
        <f>'GS &gt; 50 OLS model'!$P$6*D32</f>
        <v>11950121.888514552</v>
      </c>
      <c r="Q32" s="20">
        <f>'GS &gt; 50 OLS model'!$P$7*E32</f>
        <v>0</v>
      </c>
      <c r="R32" s="20">
        <f>'GS &gt; 50 OLS model'!$P$8*F32</f>
        <v>3742085.0960836643</v>
      </c>
      <c r="S32" s="20">
        <f>'GS &gt; 50 OLS model'!$P$9*G32</f>
        <v>12772427.409148978</v>
      </c>
      <c r="T32" s="20">
        <f>'GS &gt; 50 OLS model'!$P$10*H32</f>
        <v>417825.04409796151</v>
      </c>
      <c r="U32" s="20">
        <f>'GS &gt; 50 OLS model'!$P$11*I32</f>
        <v>0</v>
      </c>
      <c r="V32" s="20">
        <f>'GS &gt; 50 OLS model'!$P$12*J32</f>
        <v>0</v>
      </c>
      <c r="W32" s="20">
        <f>'GS &gt; 50 OLS model'!$P$13*K32</f>
        <v>0</v>
      </c>
      <c r="X32" s="20">
        <f>'GS &gt; 50 OLS model'!$P$14*L32</f>
        <v>0</v>
      </c>
      <c r="Y32" s="20">
        <f>'GS &gt; 50 OLS model'!$P$15*M32</f>
        <v>0</v>
      </c>
      <c r="Z32" s="20">
        <f t="shared" si="3"/>
        <v>16356926.625687258</v>
      </c>
      <c r="AA32" s="23">
        <f t="shared" ca="1" si="1"/>
        <v>7.0240012361787729E-2</v>
      </c>
    </row>
    <row r="33" spans="1:27" ht="15">
      <c r="A33" s="22">
        <f>'Monthly Data'!A33</f>
        <v>40756</v>
      </c>
      <c r="B33" s="6">
        <f t="shared" si="2"/>
        <v>2011</v>
      </c>
      <c r="C33" s="20">
        <f ca="1">'Monthly Data'!O33</f>
        <v>16123689.71845906</v>
      </c>
      <c r="D33" s="20">
        <f>'Monthly Data'!Q33</f>
        <v>227</v>
      </c>
      <c r="E33" s="6">
        <f>'Monthly Data'!AH33</f>
        <v>0</v>
      </c>
      <c r="F33" s="6">
        <f>'Monthly Data'!AI33</f>
        <v>159.50000000000003</v>
      </c>
      <c r="G33" s="6">
        <f>'Monthly Data'!AK33</f>
        <v>148.69999999999999</v>
      </c>
      <c r="H33" s="6">
        <f>'Monthly Data'!AO33</f>
        <v>32</v>
      </c>
      <c r="I33" s="6">
        <f>'Monthly Data'!AQ33</f>
        <v>0</v>
      </c>
      <c r="J33" s="6">
        <f>'Monthly Data'!AW33</f>
        <v>1</v>
      </c>
      <c r="K33" s="6">
        <f>'Monthly Data'!AX33</f>
        <v>0</v>
      </c>
      <c r="L33" s="6">
        <f>'Monthly Data'!AY33</f>
        <v>0</v>
      </c>
      <c r="M33" s="6">
        <f>'Monthly Data'!AZ33</f>
        <v>0</v>
      </c>
      <c r="O33" s="20">
        <f>'GS &gt; 50 OLS model'!$P$5</f>
        <v>-12525532.812157899</v>
      </c>
      <c r="P33" s="20">
        <f>'GS &gt; 50 OLS model'!$P$6*D33</f>
        <v>11950121.888514552</v>
      </c>
      <c r="Q33" s="20">
        <f>'GS &gt; 50 OLS model'!$P$7*E33</f>
        <v>0</v>
      </c>
      <c r="R33" s="20">
        <f>'GS &gt; 50 OLS model'!$P$8*F33</f>
        <v>2336057.0364984125</v>
      </c>
      <c r="S33" s="20">
        <f>'GS &gt; 50 OLS model'!$P$9*G33</f>
        <v>12867614.876290331</v>
      </c>
      <c r="T33" s="20">
        <f>'GS &gt; 50 OLS model'!$P$10*H33</f>
        <v>431303.27132692799</v>
      </c>
      <c r="U33" s="20">
        <f>'GS &gt; 50 OLS model'!$P$11*I33</f>
        <v>0</v>
      </c>
      <c r="V33" s="20">
        <f>'GS &gt; 50 OLS model'!$P$12*J33</f>
        <v>1253169.7974445899</v>
      </c>
      <c r="W33" s="20">
        <f>'GS &gt; 50 OLS model'!$P$13*K33</f>
        <v>0</v>
      </c>
      <c r="X33" s="20">
        <f>'GS &gt; 50 OLS model'!$P$14*L33</f>
        <v>0</v>
      </c>
      <c r="Y33" s="20">
        <f>'GS &gt; 50 OLS model'!$P$15*M33</f>
        <v>0</v>
      </c>
      <c r="Z33" s="20">
        <f t="shared" si="3"/>
        <v>16312734.057916913</v>
      </c>
      <c r="AA33" s="23">
        <f t="shared" ca="1" si="1"/>
        <v>1.1724632683884201E-2</v>
      </c>
    </row>
    <row r="34" spans="1:27" ht="15">
      <c r="A34" s="22">
        <f>'Monthly Data'!A34</f>
        <v>40787</v>
      </c>
      <c r="B34" s="6">
        <f t="shared" si="2"/>
        <v>2011</v>
      </c>
      <c r="C34" s="20">
        <f ca="1">'Monthly Data'!O34</f>
        <v>15052993.327057259</v>
      </c>
      <c r="D34" s="20">
        <f>'Monthly Data'!Q34</f>
        <v>226</v>
      </c>
      <c r="E34" s="6">
        <f>'Monthly Data'!AH34</f>
        <v>51.4</v>
      </c>
      <c r="F34" s="6">
        <f>'Monthly Data'!AI34</f>
        <v>60.199999999999989</v>
      </c>
      <c r="G34" s="6">
        <f>'Monthly Data'!AK34</f>
        <v>148.1</v>
      </c>
      <c r="H34" s="6">
        <f>'Monthly Data'!AO34</f>
        <v>33</v>
      </c>
      <c r="I34" s="6">
        <f>'Monthly Data'!AQ34</f>
        <v>0</v>
      </c>
      <c r="J34" s="6">
        <f>'Monthly Data'!AW34</f>
        <v>0</v>
      </c>
      <c r="K34" s="6">
        <f>'Monthly Data'!AX34</f>
        <v>1</v>
      </c>
      <c r="L34" s="6">
        <f>'Monthly Data'!AY34</f>
        <v>0</v>
      </c>
      <c r="M34" s="6">
        <f>'Monthly Data'!AZ34</f>
        <v>0</v>
      </c>
      <c r="O34" s="20">
        <f>'GS &gt; 50 OLS model'!$P$5</f>
        <v>-12525532.812157899</v>
      </c>
      <c r="P34" s="20">
        <f>'GS &gt; 50 OLS model'!$P$6*D34</f>
        <v>11897478.179754576</v>
      </c>
      <c r="Q34" s="20">
        <f>'GS &gt; 50 OLS model'!$P$7*E34</f>
        <v>136707.38146535962</v>
      </c>
      <c r="R34" s="20">
        <f>'GS &gt; 50 OLS model'!$P$8*F34</f>
        <v>881696.76236491778</v>
      </c>
      <c r="S34" s="20">
        <f>'GS &gt; 50 OLS model'!$P$9*G34</f>
        <v>12815694.439667774</v>
      </c>
      <c r="T34" s="20">
        <f>'GS &gt; 50 OLS model'!$P$10*H34</f>
        <v>444781.49855589448</v>
      </c>
      <c r="U34" s="20">
        <f>'GS &gt; 50 OLS model'!$P$11*I34</f>
        <v>0</v>
      </c>
      <c r="V34" s="20">
        <f>'GS &gt; 50 OLS model'!$P$12*J34</f>
        <v>0</v>
      </c>
      <c r="W34" s="20">
        <f>'GS &gt; 50 OLS model'!$P$13*K34</f>
        <v>1963227.6010161501</v>
      </c>
      <c r="X34" s="20">
        <f>'GS &gt; 50 OLS model'!$P$14*L34</f>
        <v>0</v>
      </c>
      <c r="Y34" s="20">
        <f>'GS &gt; 50 OLS model'!$P$15*M34</f>
        <v>0</v>
      </c>
      <c r="Z34" s="20">
        <f t="shared" si="3"/>
        <v>15614053.050666774</v>
      </c>
      <c r="AA34" s="23">
        <f t="shared" ref="AA34:AA65" ca="1" si="4">ABS(Z34-C34)/C34</f>
        <v>3.7272302685541499E-2</v>
      </c>
    </row>
    <row r="35" spans="1:27" ht="15">
      <c r="A35" s="22">
        <f>'Monthly Data'!A35</f>
        <v>40817</v>
      </c>
      <c r="B35" s="6">
        <f t="shared" si="2"/>
        <v>2011</v>
      </c>
      <c r="C35" s="20">
        <f ca="1">'Monthly Data'!O35</f>
        <v>14491842.224375563</v>
      </c>
      <c r="D35" s="20">
        <f>'Monthly Data'!Q35</f>
        <v>222</v>
      </c>
      <c r="E35" s="6">
        <f>'Monthly Data'!AH35</f>
        <v>185.29999999999998</v>
      </c>
      <c r="F35" s="6">
        <f>'Monthly Data'!AI35</f>
        <v>2.6999999999999997</v>
      </c>
      <c r="G35" s="6">
        <f>'Monthly Data'!AK35</f>
        <v>149.1</v>
      </c>
      <c r="H35" s="6">
        <f>'Monthly Data'!AO35</f>
        <v>34</v>
      </c>
      <c r="I35" s="6">
        <f>'Monthly Data'!AQ35</f>
        <v>0</v>
      </c>
      <c r="J35" s="6">
        <f>'Monthly Data'!AW35</f>
        <v>0</v>
      </c>
      <c r="K35" s="6">
        <f>'Monthly Data'!AX35</f>
        <v>0</v>
      </c>
      <c r="L35" s="6">
        <f>'Monthly Data'!AY35</f>
        <v>1</v>
      </c>
      <c r="M35" s="6">
        <f>'Monthly Data'!AZ35</f>
        <v>0</v>
      </c>
      <c r="O35" s="20">
        <f>'GS &gt; 50 OLS model'!$P$5</f>
        <v>-12525532.812157899</v>
      </c>
      <c r="P35" s="20">
        <f>'GS &gt; 50 OLS model'!$P$6*D35</f>
        <v>11686903.344714671</v>
      </c>
      <c r="Q35" s="20">
        <f>'GS &gt; 50 OLS model'!$P$7*E35</f>
        <v>492838.08921266801</v>
      </c>
      <c r="R35" s="20">
        <f>'GS &gt; 50 OLS model'!$P$8*F35</f>
        <v>39544.539175835191</v>
      </c>
      <c r="S35" s="20">
        <f>'GS &gt; 50 OLS model'!$P$9*G35</f>
        <v>12902228.500705369</v>
      </c>
      <c r="T35" s="20">
        <f>'GS &gt; 50 OLS model'!$P$10*H35</f>
        <v>458259.72578486102</v>
      </c>
      <c r="U35" s="20">
        <f>'GS &gt; 50 OLS model'!$P$11*I35</f>
        <v>0</v>
      </c>
      <c r="V35" s="20">
        <f>'GS &gt; 50 OLS model'!$P$12*J35</f>
        <v>0</v>
      </c>
      <c r="W35" s="20">
        <f>'GS &gt; 50 OLS model'!$P$13*K35</f>
        <v>0</v>
      </c>
      <c r="X35" s="20">
        <f>'GS &gt; 50 OLS model'!$P$14*L35</f>
        <v>1449584.5870731501</v>
      </c>
      <c r="Y35" s="20">
        <f>'GS &gt; 50 OLS model'!$P$15*M35</f>
        <v>0</v>
      </c>
      <c r="Z35" s="20">
        <f t="shared" si="3"/>
        <v>14503825.974508654</v>
      </c>
      <c r="AA35" s="23">
        <f t="shared" ca="1" si="4"/>
        <v>8.2693076197963848E-4</v>
      </c>
    </row>
    <row r="36" spans="1:27" ht="15">
      <c r="A36" s="22">
        <f>'Monthly Data'!A36</f>
        <v>40848</v>
      </c>
      <c r="B36" s="6">
        <f t="shared" si="2"/>
        <v>2011</v>
      </c>
      <c r="C36" s="20">
        <f ca="1">'Monthly Data'!O36</f>
        <v>14078651.005573262</v>
      </c>
      <c r="D36" s="20">
        <f>'Monthly Data'!Q36</f>
        <v>217</v>
      </c>
      <c r="E36" s="6">
        <f>'Monthly Data'!AH36</f>
        <v>297.2999999999999</v>
      </c>
      <c r="F36" s="6">
        <f>'Monthly Data'!AI36</f>
        <v>0</v>
      </c>
      <c r="G36" s="6">
        <f>'Monthly Data'!AK36</f>
        <v>150.80000000000001</v>
      </c>
      <c r="H36" s="6">
        <f>'Monthly Data'!AO36</f>
        <v>35</v>
      </c>
      <c r="I36" s="6">
        <f>'Monthly Data'!AQ36</f>
        <v>0</v>
      </c>
      <c r="J36" s="6">
        <f>'Monthly Data'!AW36</f>
        <v>0</v>
      </c>
      <c r="K36" s="6">
        <f>'Monthly Data'!AX36</f>
        <v>0</v>
      </c>
      <c r="L36" s="6">
        <f>'Monthly Data'!AY36</f>
        <v>0</v>
      </c>
      <c r="M36" s="6">
        <f>'Monthly Data'!AZ36</f>
        <v>1</v>
      </c>
      <c r="O36" s="20">
        <f>'GS &gt; 50 OLS model'!$P$5</f>
        <v>-12525532.812157899</v>
      </c>
      <c r="P36" s="20">
        <f>'GS &gt; 50 OLS model'!$P$6*D36</f>
        <v>11423684.800914792</v>
      </c>
      <c r="Q36" s="20">
        <f>'GS &gt; 50 OLS model'!$P$7*E36</f>
        <v>790721.87761967711</v>
      </c>
      <c r="R36" s="20">
        <f>'GS &gt; 50 OLS model'!$P$8*F36</f>
        <v>0</v>
      </c>
      <c r="S36" s="20">
        <f>'GS &gt; 50 OLS model'!$P$9*G36</f>
        <v>13049336.404469281</v>
      </c>
      <c r="T36" s="20">
        <f>'GS &gt; 50 OLS model'!$P$10*H36</f>
        <v>471737.9530138275</v>
      </c>
      <c r="U36" s="20">
        <f>'GS &gt; 50 OLS model'!$P$11*I36</f>
        <v>0</v>
      </c>
      <c r="V36" s="20">
        <f>'GS &gt; 50 OLS model'!$P$12*J36</f>
        <v>0</v>
      </c>
      <c r="W36" s="20">
        <f>'GS &gt; 50 OLS model'!$P$13*K36</f>
        <v>0</v>
      </c>
      <c r="X36" s="20">
        <f>'GS &gt; 50 OLS model'!$P$14*L36</f>
        <v>0</v>
      </c>
      <c r="Y36" s="20">
        <f>'GS &gt; 50 OLS model'!$P$15*M36</f>
        <v>653577.717998437</v>
      </c>
      <c r="Z36" s="20">
        <f t="shared" si="3"/>
        <v>13863525.941858117</v>
      </c>
      <c r="AA36" s="23">
        <f t="shared" ca="1" si="4"/>
        <v>1.5280232717607976E-2</v>
      </c>
    </row>
    <row r="37" spans="1:27" ht="15">
      <c r="A37" s="22">
        <f>'Monthly Data'!A37</f>
        <v>40878</v>
      </c>
      <c r="B37" s="6">
        <f t="shared" si="2"/>
        <v>2011</v>
      </c>
      <c r="C37" s="20">
        <f ca="1">'Monthly Data'!O37</f>
        <v>12838425.441282462</v>
      </c>
      <c r="D37" s="20">
        <f>'Monthly Data'!Q37</f>
        <v>220</v>
      </c>
      <c r="E37" s="6">
        <f>'Monthly Data'!AH37</f>
        <v>485.4</v>
      </c>
      <c r="F37" s="6">
        <f>'Monthly Data'!AI37</f>
        <v>0</v>
      </c>
      <c r="G37" s="6">
        <f>'Monthly Data'!AK37</f>
        <v>152.1</v>
      </c>
      <c r="H37" s="6">
        <f>'Monthly Data'!AO37</f>
        <v>36</v>
      </c>
      <c r="I37" s="6">
        <f>'Monthly Data'!AQ37</f>
        <v>0</v>
      </c>
      <c r="J37" s="6">
        <f>'Monthly Data'!AW37</f>
        <v>0</v>
      </c>
      <c r="K37" s="6">
        <f>'Monthly Data'!AX37</f>
        <v>0</v>
      </c>
      <c r="L37" s="6">
        <f>'Monthly Data'!AY37</f>
        <v>0</v>
      </c>
      <c r="M37" s="6">
        <f>'Monthly Data'!AZ37</f>
        <v>0</v>
      </c>
      <c r="O37" s="20">
        <f>'GS &gt; 50 OLS model'!$P$5</f>
        <v>-12525532.812157899</v>
      </c>
      <c r="P37" s="20">
        <f>'GS &gt; 50 OLS model'!$P$6*D37</f>
        <v>11581615.92719472</v>
      </c>
      <c r="Q37" s="20">
        <f>'GS &gt; 50 OLS model'!$P$7*E37</f>
        <v>1291007.0615425205</v>
      </c>
      <c r="R37" s="20">
        <f>'GS &gt; 50 OLS model'!$P$8*F37</f>
        <v>0</v>
      </c>
      <c r="S37" s="20">
        <f>'GS &gt; 50 OLS model'!$P$9*G37</f>
        <v>13161830.683818154</v>
      </c>
      <c r="T37" s="20">
        <f>'GS &gt; 50 OLS model'!$P$10*H37</f>
        <v>485216.18024279398</v>
      </c>
      <c r="U37" s="20">
        <f>'GS &gt; 50 OLS model'!$P$11*I37</f>
        <v>0</v>
      </c>
      <c r="V37" s="20">
        <f>'GS &gt; 50 OLS model'!$P$12*J37</f>
        <v>0</v>
      </c>
      <c r="W37" s="20">
        <f>'GS &gt; 50 OLS model'!$P$13*K37</f>
        <v>0</v>
      </c>
      <c r="X37" s="20">
        <f>'GS &gt; 50 OLS model'!$P$14*L37</f>
        <v>0</v>
      </c>
      <c r="Y37" s="20">
        <f>'GS &gt; 50 OLS model'!$P$15*M37</f>
        <v>0</v>
      </c>
      <c r="Z37" s="20">
        <f t="shared" si="3"/>
        <v>13994137.040640289</v>
      </c>
      <c r="AA37" s="23">
        <f t="shared" ca="1" si="4"/>
        <v>9.0019730584841848E-2</v>
      </c>
    </row>
    <row r="38" spans="1:27" ht="15">
      <c r="A38" s="22">
        <f>'Monthly Data'!A38</f>
        <v>40909</v>
      </c>
      <c r="B38" s="6">
        <f t="shared" si="2"/>
        <v>2012</v>
      </c>
      <c r="C38" s="20">
        <f ca="1">'Monthly Data'!O38</f>
        <v>13787865.393137159</v>
      </c>
      <c r="D38" s="20">
        <f>'Monthly Data'!Q38</f>
        <v>218</v>
      </c>
      <c r="E38" s="6">
        <f>'Monthly Data'!AH38</f>
        <v>559.59999999999991</v>
      </c>
      <c r="F38" s="6">
        <f>'Monthly Data'!AI38</f>
        <v>0</v>
      </c>
      <c r="G38" s="6">
        <f>'Monthly Data'!AK38</f>
        <v>149.5</v>
      </c>
      <c r="H38" s="6">
        <f>'Monthly Data'!AO38</f>
        <v>37</v>
      </c>
      <c r="I38" s="6">
        <f>'Monthly Data'!AQ38</f>
        <v>0</v>
      </c>
      <c r="J38" s="6">
        <f>'Monthly Data'!AW38</f>
        <v>0</v>
      </c>
      <c r="K38" s="6">
        <f>'Monthly Data'!AX38</f>
        <v>0</v>
      </c>
      <c r="L38" s="6">
        <f>'Monthly Data'!AY38</f>
        <v>0</v>
      </c>
      <c r="M38" s="6">
        <f>'Monthly Data'!AZ38</f>
        <v>0</v>
      </c>
      <c r="O38" s="20">
        <f>'GS &gt; 50 OLS model'!$P$5</f>
        <v>-12525532.812157899</v>
      </c>
      <c r="P38" s="20">
        <f>'GS &gt; 50 OLS model'!$P$6*D38</f>
        <v>11476328.509674767</v>
      </c>
      <c r="Q38" s="20">
        <f>'GS &gt; 50 OLS model'!$P$7*E38</f>
        <v>1488355.0713621641</v>
      </c>
      <c r="R38" s="20">
        <f>'GS &gt; 50 OLS model'!$P$8*F38</f>
        <v>0</v>
      </c>
      <c r="S38" s="20">
        <f>'GS &gt; 50 OLS model'!$P$9*G38</f>
        <v>12936842.125120407</v>
      </c>
      <c r="T38" s="20">
        <f>'GS &gt; 50 OLS model'!$P$10*H38</f>
        <v>498694.40747176047</v>
      </c>
      <c r="U38" s="20">
        <f>'GS &gt; 50 OLS model'!$P$11*I38</f>
        <v>0</v>
      </c>
      <c r="V38" s="20">
        <f>'GS &gt; 50 OLS model'!$P$12*J38</f>
        <v>0</v>
      </c>
      <c r="W38" s="20">
        <f>'GS &gt; 50 OLS model'!$P$13*K38</f>
        <v>0</v>
      </c>
      <c r="X38" s="20">
        <f>'GS &gt; 50 OLS model'!$P$14*L38</f>
        <v>0</v>
      </c>
      <c r="Y38" s="20">
        <f>'GS &gt; 50 OLS model'!$P$15*M38</f>
        <v>0</v>
      </c>
      <c r="Z38" s="20">
        <f t="shared" si="3"/>
        <v>13874687.3014712</v>
      </c>
      <c r="AA38" s="23">
        <f t="shared" ca="1" si="4"/>
        <v>6.2969796889122652E-3</v>
      </c>
    </row>
    <row r="39" spans="1:27" ht="15">
      <c r="A39" s="22">
        <f>'Monthly Data'!A39</f>
        <v>40940</v>
      </c>
      <c r="B39" s="6">
        <f t="shared" si="2"/>
        <v>2012</v>
      </c>
      <c r="C39" s="20">
        <f ca="1">'Monthly Data'!O39</f>
        <v>12675359.092876958</v>
      </c>
      <c r="D39" s="20">
        <f>'Monthly Data'!Q39</f>
        <v>219</v>
      </c>
      <c r="E39" s="6">
        <f>'Monthly Data'!AH39</f>
        <v>492.40000000000003</v>
      </c>
      <c r="F39" s="6">
        <f>'Monthly Data'!AI39</f>
        <v>0</v>
      </c>
      <c r="G39" s="6">
        <f>'Monthly Data'!AK39</f>
        <v>148.4</v>
      </c>
      <c r="H39" s="6">
        <f>'Monthly Data'!AO39</f>
        <v>38</v>
      </c>
      <c r="I39" s="6">
        <f>'Monthly Data'!AQ39</f>
        <v>1</v>
      </c>
      <c r="J39" s="6">
        <f>'Monthly Data'!AW39</f>
        <v>0</v>
      </c>
      <c r="K39" s="6">
        <f>'Monthly Data'!AX39</f>
        <v>0</v>
      </c>
      <c r="L39" s="6">
        <f>'Monthly Data'!AY39</f>
        <v>0</v>
      </c>
      <c r="M39" s="6">
        <f>'Monthly Data'!AZ39</f>
        <v>0</v>
      </c>
      <c r="O39" s="20">
        <f>'GS &gt; 50 OLS model'!$P$5</f>
        <v>-12525532.812157899</v>
      </c>
      <c r="P39" s="20">
        <f>'GS &gt; 50 OLS model'!$P$6*D39</f>
        <v>11528972.218434744</v>
      </c>
      <c r="Q39" s="20">
        <f>'GS &gt; 50 OLS model'!$P$7*E39</f>
        <v>1309624.7983179588</v>
      </c>
      <c r="R39" s="20">
        <f>'GS &gt; 50 OLS model'!$P$8*F39</f>
        <v>0</v>
      </c>
      <c r="S39" s="20">
        <f>'GS &gt; 50 OLS model'!$P$9*G39</f>
        <v>12841654.657979054</v>
      </c>
      <c r="T39" s="20">
        <f>'GS &gt; 50 OLS model'!$P$10*H39</f>
        <v>512172.63470072701</v>
      </c>
      <c r="U39" s="20">
        <f>'GS &gt; 50 OLS model'!$P$11*I39</f>
        <v>-794437.04938529804</v>
      </c>
      <c r="V39" s="20">
        <f>'GS &gt; 50 OLS model'!$P$12*J39</f>
        <v>0</v>
      </c>
      <c r="W39" s="20">
        <f>'GS &gt; 50 OLS model'!$P$13*K39</f>
        <v>0</v>
      </c>
      <c r="X39" s="20">
        <f>'GS &gt; 50 OLS model'!$P$14*L39</f>
        <v>0</v>
      </c>
      <c r="Y39" s="20">
        <f>'GS &gt; 50 OLS model'!$P$15*M39</f>
        <v>0</v>
      </c>
      <c r="Z39" s="20">
        <f t="shared" si="3"/>
        <v>12872454.447889287</v>
      </c>
      <c r="AA39" s="23">
        <f t="shared" ca="1" si="4"/>
        <v>1.5549488860089887E-2</v>
      </c>
    </row>
    <row r="40" spans="1:27" ht="15">
      <c r="A40" s="22">
        <f>'Monthly Data'!A40</f>
        <v>40969</v>
      </c>
      <c r="B40" s="6">
        <f t="shared" si="2"/>
        <v>2012</v>
      </c>
      <c r="C40" s="20">
        <f ca="1">'Monthly Data'!O40</f>
        <v>12781827.774171758</v>
      </c>
      <c r="D40" s="20">
        <f>'Monthly Data'!Q40</f>
        <v>208</v>
      </c>
      <c r="E40" s="6">
        <f>'Monthly Data'!AH40</f>
        <v>250.79999999999995</v>
      </c>
      <c r="F40" s="6">
        <f>'Monthly Data'!AI40</f>
        <v>4.8</v>
      </c>
      <c r="G40" s="6">
        <f>'Monthly Data'!AK40</f>
        <v>148.5</v>
      </c>
      <c r="H40" s="6">
        <f>'Monthly Data'!AO40</f>
        <v>39</v>
      </c>
      <c r="I40" s="6">
        <f>'Monthly Data'!AQ40</f>
        <v>0</v>
      </c>
      <c r="J40" s="6">
        <f>'Monthly Data'!AW40</f>
        <v>0</v>
      </c>
      <c r="K40" s="6">
        <f>'Monthly Data'!AX40</f>
        <v>0</v>
      </c>
      <c r="L40" s="6">
        <f>'Monthly Data'!AY40</f>
        <v>0</v>
      </c>
      <c r="M40" s="6">
        <f>'Monthly Data'!AZ40</f>
        <v>0</v>
      </c>
      <c r="O40" s="20">
        <f>'GS &gt; 50 OLS model'!$P$5</f>
        <v>-12525532.812157899</v>
      </c>
      <c r="P40" s="20">
        <f>'GS &gt; 50 OLS model'!$P$6*D40</f>
        <v>10949891.422075007</v>
      </c>
      <c r="Q40" s="20">
        <f>'GS &gt; 50 OLS model'!$P$7*E40</f>
        <v>667046.91189712426</v>
      </c>
      <c r="R40" s="20">
        <f>'GS &gt; 50 OLS model'!$P$8*F40</f>
        <v>70301.402979262566</v>
      </c>
      <c r="S40" s="20">
        <f>'GS &gt; 50 OLS model'!$P$9*G40</f>
        <v>12850308.064082813</v>
      </c>
      <c r="T40" s="20">
        <f>'GS &gt; 50 OLS model'!$P$10*H40</f>
        <v>525650.86192969349</v>
      </c>
      <c r="U40" s="20">
        <f>'GS &gt; 50 OLS model'!$P$11*I40</f>
        <v>0</v>
      </c>
      <c r="V40" s="20">
        <f>'GS &gt; 50 OLS model'!$P$12*J40</f>
        <v>0</v>
      </c>
      <c r="W40" s="20">
        <f>'GS &gt; 50 OLS model'!$P$13*K40</f>
        <v>0</v>
      </c>
      <c r="X40" s="20">
        <f>'GS &gt; 50 OLS model'!$P$14*L40</f>
        <v>0</v>
      </c>
      <c r="Y40" s="20">
        <f>'GS &gt; 50 OLS model'!$P$15*M40</f>
        <v>0</v>
      </c>
      <c r="Z40" s="20">
        <f t="shared" si="3"/>
        <v>12537665.850806002</v>
      </c>
      <c r="AA40" s="23">
        <f t="shared" ca="1" si="4"/>
        <v>1.9102269853700806E-2</v>
      </c>
    </row>
    <row r="41" spans="1:27" ht="15">
      <c r="A41" s="22">
        <f>'Monthly Data'!A41</f>
        <v>41000</v>
      </c>
      <c r="B41" s="6">
        <f t="shared" si="2"/>
        <v>2012</v>
      </c>
      <c r="C41" s="20">
        <f ca="1">'Monthly Data'!O41</f>
        <v>11400354.174002958</v>
      </c>
      <c r="D41" s="20">
        <f>'Monthly Data'!Q41</f>
        <v>206</v>
      </c>
      <c r="E41" s="6">
        <f>'Monthly Data'!AH41</f>
        <v>252.49999999999991</v>
      </c>
      <c r="F41" s="6">
        <f>'Monthly Data'!AI41</f>
        <v>4.3</v>
      </c>
      <c r="G41" s="6">
        <f>'Monthly Data'!AK41</f>
        <v>150.6</v>
      </c>
      <c r="H41" s="6">
        <f>'Monthly Data'!AO41</f>
        <v>40</v>
      </c>
      <c r="I41" s="6">
        <f>'Monthly Data'!AQ41</f>
        <v>0</v>
      </c>
      <c r="J41" s="6">
        <f>'Monthly Data'!AW41</f>
        <v>0</v>
      </c>
      <c r="K41" s="6">
        <f>'Monthly Data'!AX41</f>
        <v>0</v>
      </c>
      <c r="L41" s="6">
        <f>'Monthly Data'!AY41</f>
        <v>0</v>
      </c>
      <c r="M41" s="6">
        <f>'Monthly Data'!AZ41</f>
        <v>0</v>
      </c>
      <c r="O41" s="20">
        <f>'GS &gt; 50 OLS model'!$P$5</f>
        <v>-12525532.812157899</v>
      </c>
      <c r="P41" s="20">
        <f>'GS &gt; 50 OLS model'!$P$6*D41</f>
        <v>10844604.004555056</v>
      </c>
      <c r="Q41" s="20">
        <f>'GS &gt; 50 OLS model'!$P$7*E41</f>
        <v>671568.3622568734</v>
      </c>
      <c r="R41" s="20">
        <f>'GS &gt; 50 OLS model'!$P$8*F41</f>
        <v>62978.34016892271</v>
      </c>
      <c r="S41" s="20">
        <f>'GS &gt; 50 OLS model'!$P$9*G41</f>
        <v>13032029.592261761</v>
      </c>
      <c r="T41" s="20">
        <f>'GS &gt; 50 OLS model'!$P$10*H41</f>
        <v>539129.08915866003</v>
      </c>
      <c r="U41" s="20">
        <f>'GS &gt; 50 OLS model'!$P$11*I41</f>
        <v>0</v>
      </c>
      <c r="V41" s="20">
        <f>'GS &gt; 50 OLS model'!$P$12*J41</f>
        <v>0</v>
      </c>
      <c r="W41" s="20">
        <f>'GS &gt; 50 OLS model'!$P$13*K41</f>
        <v>0</v>
      </c>
      <c r="X41" s="20">
        <f>'GS &gt; 50 OLS model'!$P$14*L41</f>
        <v>0</v>
      </c>
      <c r="Y41" s="20">
        <f>'GS &gt; 50 OLS model'!$P$15*M41</f>
        <v>0</v>
      </c>
      <c r="Z41" s="20">
        <f t="shared" si="3"/>
        <v>12624776.576243374</v>
      </c>
      <c r="AA41" s="23">
        <f t="shared" ca="1" si="4"/>
        <v>0.10740213712241975</v>
      </c>
    </row>
    <row r="42" spans="1:27" ht="15">
      <c r="A42" s="22">
        <f>'Monthly Data'!A42</f>
        <v>41030</v>
      </c>
      <c r="B42" s="6">
        <f t="shared" si="2"/>
        <v>2012</v>
      </c>
      <c r="C42" s="20">
        <f ca="1">'Monthly Data'!O42</f>
        <v>12880130.856031761</v>
      </c>
      <c r="D42" s="20">
        <f>'Monthly Data'!Q42</f>
        <v>208</v>
      </c>
      <c r="E42" s="6">
        <f>'Monthly Data'!AH42</f>
        <v>48.2</v>
      </c>
      <c r="F42" s="6">
        <f>'Monthly Data'!AI42</f>
        <v>59.3</v>
      </c>
      <c r="G42" s="6">
        <f>'Monthly Data'!AK42</f>
        <v>151.1</v>
      </c>
      <c r="H42" s="6">
        <f>'Monthly Data'!AO42</f>
        <v>41</v>
      </c>
      <c r="I42" s="6">
        <f>'Monthly Data'!AQ42</f>
        <v>0</v>
      </c>
      <c r="J42" s="6">
        <f>'Monthly Data'!AW42</f>
        <v>0</v>
      </c>
      <c r="K42" s="6">
        <f>'Monthly Data'!AX42</f>
        <v>0</v>
      </c>
      <c r="L42" s="6">
        <f>'Monthly Data'!AY42</f>
        <v>0</v>
      </c>
      <c r="M42" s="6">
        <f>'Monthly Data'!AZ42</f>
        <v>0</v>
      </c>
      <c r="O42" s="20">
        <f>'GS &gt; 50 OLS model'!$P$5</f>
        <v>-12525532.812157899</v>
      </c>
      <c r="P42" s="20">
        <f>'GS &gt; 50 OLS model'!$P$6*D42</f>
        <v>10949891.422075007</v>
      </c>
      <c r="Q42" s="20">
        <f>'GS &gt; 50 OLS model'!$P$7*E42</f>
        <v>128196.41608230222</v>
      </c>
      <c r="R42" s="20">
        <f>'GS &gt; 50 OLS model'!$P$8*F42</f>
        <v>868515.24930630624</v>
      </c>
      <c r="S42" s="20">
        <f>'GS &gt; 50 OLS model'!$P$9*G42</f>
        <v>13075296.62278056</v>
      </c>
      <c r="T42" s="20">
        <f>'GS &gt; 50 OLS model'!$P$10*H42</f>
        <v>552607.31638762646</v>
      </c>
      <c r="U42" s="20">
        <f>'GS &gt; 50 OLS model'!$P$11*I42</f>
        <v>0</v>
      </c>
      <c r="V42" s="20">
        <f>'GS &gt; 50 OLS model'!$P$12*J42</f>
        <v>0</v>
      </c>
      <c r="W42" s="20">
        <f>'GS &gt; 50 OLS model'!$P$13*K42</f>
        <v>0</v>
      </c>
      <c r="X42" s="20">
        <f>'GS &gt; 50 OLS model'!$P$14*L42</f>
        <v>0</v>
      </c>
      <c r="Y42" s="20">
        <f>'GS &gt; 50 OLS model'!$P$15*M42</f>
        <v>0</v>
      </c>
      <c r="Z42" s="20">
        <f t="shared" si="3"/>
        <v>13048974.214473903</v>
      </c>
      <c r="AA42" s="23">
        <f t="shared" ca="1" si="4"/>
        <v>1.3108823219996506E-2</v>
      </c>
    </row>
    <row r="43" spans="1:27" ht="15">
      <c r="A43" s="22">
        <f>'Monthly Data'!A43</f>
        <v>41061</v>
      </c>
      <c r="B43" s="6">
        <f t="shared" si="2"/>
        <v>2012</v>
      </c>
      <c r="C43" s="20">
        <f ca="1">'Monthly Data'!O43</f>
        <v>14743265.379287858</v>
      </c>
      <c r="D43" s="20">
        <f>'Monthly Data'!Q43</f>
        <v>206</v>
      </c>
      <c r="E43" s="6">
        <f>'Monthly Data'!AH43</f>
        <v>10.3</v>
      </c>
      <c r="F43" s="6">
        <f>'Monthly Data'!AI43</f>
        <v>147.09999999999997</v>
      </c>
      <c r="G43" s="6">
        <f>'Monthly Data'!AK43</f>
        <v>152.19999999999999</v>
      </c>
      <c r="H43" s="6">
        <f>'Monthly Data'!AO43</f>
        <v>42</v>
      </c>
      <c r="I43" s="6">
        <f>'Monthly Data'!AQ43</f>
        <v>0</v>
      </c>
      <c r="J43" s="6">
        <f>'Monthly Data'!AW43</f>
        <v>0</v>
      </c>
      <c r="K43" s="6">
        <f>'Monthly Data'!AX43</f>
        <v>0</v>
      </c>
      <c r="L43" s="6">
        <f>'Monthly Data'!AY43</f>
        <v>0</v>
      </c>
      <c r="M43" s="6">
        <f>'Monthly Data'!AZ43</f>
        <v>0</v>
      </c>
      <c r="O43" s="20">
        <f>'GS &gt; 50 OLS model'!$P$5</f>
        <v>-12525532.812157899</v>
      </c>
      <c r="P43" s="20">
        <f>'GS &gt; 50 OLS model'!$P$6*D43</f>
        <v>10844604.004555056</v>
      </c>
      <c r="Q43" s="20">
        <f>'GS &gt; 50 OLS model'!$P$7*E43</f>
        <v>27394.669826716035</v>
      </c>
      <c r="R43" s="20">
        <f>'GS &gt; 50 OLS model'!$P$8*F43</f>
        <v>2154445.0788019835</v>
      </c>
      <c r="S43" s="20">
        <f>'GS &gt; 50 OLS model'!$P$9*G43</f>
        <v>13170484.089921912</v>
      </c>
      <c r="T43" s="20">
        <f>'GS &gt; 50 OLS model'!$P$10*H43</f>
        <v>566085.543616593</v>
      </c>
      <c r="U43" s="20">
        <f>'GS &gt; 50 OLS model'!$P$11*I43</f>
        <v>0</v>
      </c>
      <c r="V43" s="20">
        <f>'GS &gt; 50 OLS model'!$P$12*J43</f>
        <v>0</v>
      </c>
      <c r="W43" s="20">
        <f>'GS &gt; 50 OLS model'!$P$13*K43</f>
        <v>0</v>
      </c>
      <c r="X43" s="20">
        <f>'GS &gt; 50 OLS model'!$P$14*L43</f>
        <v>0</v>
      </c>
      <c r="Y43" s="20">
        <f>'GS &gt; 50 OLS model'!$P$15*M43</f>
        <v>0</v>
      </c>
      <c r="Z43" s="20">
        <f t="shared" si="3"/>
        <v>14237480.574564362</v>
      </c>
      <c r="AA43" s="23">
        <f t="shared" ca="1" si="4"/>
        <v>3.4306158894355225E-2</v>
      </c>
    </row>
    <row r="44" spans="1:27" ht="15">
      <c r="A44" s="22">
        <f>'Monthly Data'!A44</f>
        <v>41091</v>
      </c>
      <c r="B44" s="6">
        <f t="shared" si="2"/>
        <v>2012</v>
      </c>
      <c r="C44" s="20">
        <f ca="1">'Monthly Data'!O44</f>
        <v>14959296.897546859</v>
      </c>
      <c r="D44" s="20">
        <f>'Monthly Data'!Q44</f>
        <v>208</v>
      </c>
      <c r="E44" s="6">
        <f>'Monthly Data'!AH44</f>
        <v>0</v>
      </c>
      <c r="F44" s="6">
        <f>'Monthly Data'!AI44</f>
        <v>235.50000000000009</v>
      </c>
      <c r="G44" s="6">
        <f>'Monthly Data'!AK44</f>
        <v>153.4</v>
      </c>
      <c r="H44" s="6">
        <f>'Monthly Data'!AO44</f>
        <v>43</v>
      </c>
      <c r="I44" s="6">
        <f>'Monthly Data'!AQ44</f>
        <v>0</v>
      </c>
      <c r="J44" s="6">
        <f>'Monthly Data'!AW44</f>
        <v>0</v>
      </c>
      <c r="K44" s="6">
        <f>'Monthly Data'!AX44</f>
        <v>0</v>
      </c>
      <c r="L44" s="6">
        <f>'Monthly Data'!AY44</f>
        <v>0</v>
      </c>
      <c r="M44" s="6">
        <f>'Monthly Data'!AZ44</f>
        <v>0</v>
      </c>
      <c r="O44" s="20">
        <f>'GS &gt; 50 OLS model'!$P$5</f>
        <v>-12525532.812157899</v>
      </c>
      <c r="P44" s="20">
        <f>'GS &gt; 50 OLS model'!$P$6*D44</f>
        <v>10949891.422075007</v>
      </c>
      <c r="Q44" s="20">
        <f>'GS &gt; 50 OLS model'!$P$7*E44</f>
        <v>0</v>
      </c>
      <c r="R44" s="20">
        <f>'GS &gt; 50 OLS model'!$P$8*F44</f>
        <v>3449162.5836700709</v>
      </c>
      <c r="S44" s="20">
        <f>'GS &gt; 50 OLS model'!$P$9*G44</f>
        <v>13274324.963167027</v>
      </c>
      <c r="T44" s="20">
        <f>'GS &gt; 50 OLS model'!$P$10*H44</f>
        <v>579563.77084555954</v>
      </c>
      <c r="U44" s="20">
        <f>'GS &gt; 50 OLS model'!$P$11*I44</f>
        <v>0</v>
      </c>
      <c r="V44" s="20">
        <f>'GS &gt; 50 OLS model'!$P$12*J44</f>
        <v>0</v>
      </c>
      <c r="W44" s="20">
        <f>'GS &gt; 50 OLS model'!$P$13*K44</f>
        <v>0</v>
      </c>
      <c r="X44" s="20">
        <f>'GS &gt; 50 OLS model'!$P$14*L44</f>
        <v>0</v>
      </c>
      <c r="Y44" s="20">
        <f>'GS &gt; 50 OLS model'!$P$15*M44</f>
        <v>0</v>
      </c>
      <c r="Z44" s="20">
        <f t="shared" si="3"/>
        <v>15727409.927599765</v>
      </c>
      <c r="AA44" s="23">
        <f t="shared" ca="1" si="4"/>
        <v>5.134686712307094E-2</v>
      </c>
    </row>
    <row r="45" spans="1:27" ht="15">
      <c r="A45" s="22">
        <f>'Monthly Data'!A45</f>
        <v>41122</v>
      </c>
      <c r="B45" s="6">
        <f t="shared" si="2"/>
        <v>2012</v>
      </c>
      <c r="C45" s="20">
        <f ca="1">'Monthly Data'!O45</f>
        <v>15427464.10820546</v>
      </c>
      <c r="D45" s="20">
        <f>'Monthly Data'!Q45</f>
        <v>207</v>
      </c>
      <c r="E45" s="6">
        <f>'Monthly Data'!AH45</f>
        <v>0.7</v>
      </c>
      <c r="F45" s="6">
        <f>'Monthly Data'!AI45</f>
        <v>143.69999999999999</v>
      </c>
      <c r="G45" s="6">
        <f>'Monthly Data'!AK45</f>
        <v>155</v>
      </c>
      <c r="H45" s="6">
        <f>'Monthly Data'!AO45</f>
        <v>44</v>
      </c>
      <c r="I45" s="6">
        <f>'Monthly Data'!AQ45</f>
        <v>0</v>
      </c>
      <c r="J45" s="6">
        <f>'Monthly Data'!AW45</f>
        <v>1</v>
      </c>
      <c r="K45" s="6">
        <f>'Monthly Data'!AX45</f>
        <v>0</v>
      </c>
      <c r="L45" s="6">
        <f>'Monthly Data'!AY45</f>
        <v>0</v>
      </c>
      <c r="M45" s="6">
        <f>'Monthly Data'!AZ45</f>
        <v>0</v>
      </c>
      <c r="O45" s="20">
        <f>'GS &gt; 50 OLS model'!$P$5</f>
        <v>-12525532.812157899</v>
      </c>
      <c r="P45" s="20">
        <f>'GS &gt; 50 OLS model'!$P$6*D45</f>
        <v>10897247.713315032</v>
      </c>
      <c r="Q45" s="20">
        <f>'GS &gt; 50 OLS model'!$P$7*E45</f>
        <v>1861.7736775438079</v>
      </c>
      <c r="R45" s="20">
        <f>'GS &gt; 50 OLS model'!$P$8*F45</f>
        <v>2104648.251691673</v>
      </c>
      <c r="S45" s="20">
        <f>'GS &gt; 50 OLS model'!$P$9*G45</f>
        <v>13412779.460827179</v>
      </c>
      <c r="T45" s="20">
        <f>'GS &gt; 50 OLS model'!$P$10*H45</f>
        <v>593041.99807452597</v>
      </c>
      <c r="U45" s="20">
        <f>'GS &gt; 50 OLS model'!$P$11*I45</f>
        <v>0</v>
      </c>
      <c r="V45" s="20">
        <f>'GS &gt; 50 OLS model'!$P$12*J45</f>
        <v>1253169.7974445899</v>
      </c>
      <c r="W45" s="20">
        <f>'GS &gt; 50 OLS model'!$P$13*K45</f>
        <v>0</v>
      </c>
      <c r="X45" s="20">
        <f>'GS &gt; 50 OLS model'!$P$14*L45</f>
        <v>0</v>
      </c>
      <c r="Y45" s="20">
        <f>'GS &gt; 50 OLS model'!$P$15*M45</f>
        <v>0</v>
      </c>
      <c r="Z45" s="20">
        <f t="shared" si="3"/>
        <v>15737216.182872644</v>
      </c>
      <c r="AA45" s="23">
        <f t="shared" ca="1" si="4"/>
        <v>2.0077964368909778E-2</v>
      </c>
    </row>
    <row r="46" spans="1:27" ht="15">
      <c r="A46" s="22">
        <f>'Monthly Data'!A46</f>
        <v>41153</v>
      </c>
      <c r="B46" s="6">
        <f t="shared" si="2"/>
        <v>2012</v>
      </c>
      <c r="C46" s="20">
        <f ca="1">'Monthly Data'!O46</f>
        <v>13989318.161179857</v>
      </c>
      <c r="D46" s="20">
        <f>'Monthly Data'!Q46</f>
        <v>205</v>
      </c>
      <c r="E46" s="6">
        <f>'Monthly Data'!AH46</f>
        <v>53.2</v>
      </c>
      <c r="F46" s="6">
        <f>'Monthly Data'!AI46</f>
        <v>50.29999999999999</v>
      </c>
      <c r="G46" s="6">
        <f>'Monthly Data'!AK46</f>
        <v>156.9</v>
      </c>
      <c r="H46" s="6">
        <f>'Monthly Data'!AO46</f>
        <v>45</v>
      </c>
      <c r="I46" s="6">
        <f>'Monthly Data'!AQ46</f>
        <v>0</v>
      </c>
      <c r="J46" s="6">
        <f>'Monthly Data'!AW46</f>
        <v>0</v>
      </c>
      <c r="K46" s="6">
        <f>'Monthly Data'!AX46</f>
        <v>1</v>
      </c>
      <c r="L46" s="6">
        <f>'Monthly Data'!AY46</f>
        <v>0</v>
      </c>
      <c r="M46" s="6">
        <f>'Monthly Data'!AZ46</f>
        <v>0</v>
      </c>
      <c r="O46" s="20">
        <f>'GS &gt; 50 OLS model'!$P$5</f>
        <v>-12525532.812157899</v>
      </c>
      <c r="P46" s="20">
        <f>'GS &gt; 50 OLS model'!$P$6*D46</f>
        <v>10791960.295795079</v>
      </c>
      <c r="Q46" s="20">
        <f>'GS &gt; 50 OLS model'!$P$7*E46</f>
        <v>141494.79949332942</v>
      </c>
      <c r="R46" s="20">
        <f>'GS &gt; 50 OLS model'!$P$8*F46</f>
        <v>736700.11872018885</v>
      </c>
      <c r="S46" s="20">
        <f>'GS &gt; 50 OLS model'!$P$9*G46</f>
        <v>13577194.176798608</v>
      </c>
      <c r="T46" s="20">
        <f>'GS &gt; 50 OLS model'!$P$10*H46</f>
        <v>606520.22530349251</v>
      </c>
      <c r="U46" s="20">
        <f>'GS &gt; 50 OLS model'!$P$11*I46</f>
        <v>0</v>
      </c>
      <c r="V46" s="20">
        <f>'GS &gt; 50 OLS model'!$P$12*J46</f>
        <v>0</v>
      </c>
      <c r="W46" s="20">
        <f>'GS &gt; 50 OLS model'!$P$13*K46</f>
        <v>1963227.6010161501</v>
      </c>
      <c r="X46" s="20">
        <f>'GS &gt; 50 OLS model'!$P$14*L46</f>
        <v>0</v>
      </c>
      <c r="Y46" s="20">
        <f>'GS &gt; 50 OLS model'!$P$15*M46</f>
        <v>0</v>
      </c>
      <c r="Z46" s="20">
        <f t="shared" si="3"/>
        <v>15291564.404968949</v>
      </c>
      <c r="AA46" s="23">
        <f t="shared" ca="1" si="4"/>
        <v>9.3088614383137341E-2</v>
      </c>
    </row>
    <row r="47" spans="1:27" ht="15">
      <c r="A47" s="22">
        <f>'Monthly Data'!A47</f>
        <v>41183</v>
      </c>
      <c r="B47" s="6">
        <f t="shared" si="2"/>
        <v>2012</v>
      </c>
      <c r="C47" s="20">
        <f ca="1">'Monthly Data'!O47</f>
        <v>14174576.273356561</v>
      </c>
      <c r="D47" s="20">
        <f>'Monthly Data'!Q47</f>
        <v>204</v>
      </c>
      <c r="E47" s="6">
        <f>'Monthly Data'!AH47</f>
        <v>207.19999999999996</v>
      </c>
      <c r="F47" s="6">
        <f>'Monthly Data'!AI47</f>
        <v>5.6</v>
      </c>
      <c r="G47" s="6">
        <f>'Monthly Data'!AK47</f>
        <v>157.5</v>
      </c>
      <c r="H47" s="6">
        <f>'Monthly Data'!AO47</f>
        <v>46</v>
      </c>
      <c r="I47" s="6">
        <f>'Monthly Data'!AQ47</f>
        <v>0</v>
      </c>
      <c r="J47" s="6">
        <f>'Monthly Data'!AW47</f>
        <v>0</v>
      </c>
      <c r="K47" s="6">
        <f>'Monthly Data'!AX47</f>
        <v>0</v>
      </c>
      <c r="L47" s="6">
        <f>'Monthly Data'!AY47</f>
        <v>1</v>
      </c>
      <c r="M47" s="6">
        <f>'Monthly Data'!AZ47</f>
        <v>0</v>
      </c>
      <c r="O47" s="20">
        <f>'GS &gt; 50 OLS model'!$P$5</f>
        <v>-12525532.812157899</v>
      </c>
      <c r="P47" s="20">
        <f>'GS &gt; 50 OLS model'!$P$6*D47</f>
        <v>10739316.587035103</v>
      </c>
      <c r="Q47" s="20">
        <f>'GS &gt; 50 OLS model'!$P$7*E47</f>
        <v>551085.00855296711</v>
      </c>
      <c r="R47" s="20">
        <f>'GS &gt; 50 OLS model'!$P$8*F47</f>
        <v>82018.303475806315</v>
      </c>
      <c r="S47" s="20">
        <f>'GS &gt; 50 OLS model'!$P$9*G47</f>
        <v>13629114.613421164</v>
      </c>
      <c r="T47" s="20">
        <f>'GS &gt; 50 OLS model'!$P$10*H47</f>
        <v>619998.45253245893</v>
      </c>
      <c r="U47" s="20">
        <f>'GS &gt; 50 OLS model'!$P$11*I47</f>
        <v>0</v>
      </c>
      <c r="V47" s="20">
        <f>'GS &gt; 50 OLS model'!$P$12*J47</f>
        <v>0</v>
      </c>
      <c r="W47" s="20">
        <f>'GS &gt; 50 OLS model'!$P$13*K47</f>
        <v>0</v>
      </c>
      <c r="X47" s="20">
        <f>'GS &gt; 50 OLS model'!$P$14*L47</f>
        <v>1449584.5870731501</v>
      </c>
      <c r="Y47" s="20">
        <f>'GS &gt; 50 OLS model'!$P$15*M47</f>
        <v>0</v>
      </c>
      <c r="Z47" s="20">
        <f t="shared" si="3"/>
        <v>14545584.739932749</v>
      </c>
      <c r="AA47" s="23">
        <f t="shared" ca="1" si="4"/>
        <v>2.6174219209187933E-2</v>
      </c>
    </row>
    <row r="48" spans="1:27" ht="15">
      <c r="A48" s="22">
        <f>'Monthly Data'!A48</f>
        <v>41214</v>
      </c>
      <c r="B48" s="6">
        <f t="shared" si="2"/>
        <v>2012</v>
      </c>
      <c r="C48" s="20">
        <f ca="1">'Monthly Data'!O48</f>
        <v>14174334.11660606</v>
      </c>
      <c r="D48" s="20">
        <f>'Monthly Data'!Q48</f>
        <v>206</v>
      </c>
      <c r="E48" s="6">
        <f>'Monthly Data'!AH48</f>
        <v>405.49999999999994</v>
      </c>
      <c r="F48" s="6">
        <f>'Monthly Data'!AI48</f>
        <v>0</v>
      </c>
      <c r="G48" s="6">
        <f>'Monthly Data'!AK48</f>
        <v>157.6</v>
      </c>
      <c r="H48" s="6">
        <f>'Monthly Data'!AO48</f>
        <v>47</v>
      </c>
      <c r="I48" s="6">
        <f>'Monthly Data'!AQ48</f>
        <v>0</v>
      </c>
      <c r="J48" s="6">
        <f>'Monthly Data'!AW48</f>
        <v>0</v>
      </c>
      <c r="K48" s="6">
        <f>'Monthly Data'!AX48</f>
        <v>0</v>
      </c>
      <c r="L48" s="6">
        <f>'Monthly Data'!AY48</f>
        <v>0</v>
      </c>
      <c r="M48" s="6">
        <f>'Monthly Data'!AZ48</f>
        <v>1</v>
      </c>
      <c r="O48" s="20">
        <f>'GS &gt; 50 OLS model'!$P$5</f>
        <v>-12525532.812157899</v>
      </c>
      <c r="P48" s="20">
        <f>'GS &gt; 50 OLS model'!$P$6*D48</f>
        <v>10844604.004555056</v>
      </c>
      <c r="Q48" s="20">
        <f>'GS &gt; 50 OLS model'!$P$7*E48</f>
        <v>1078498.8946343057</v>
      </c>
      <c r="R48" s="20">
        <f>'GS &gt; 50 OLS model'!$P$8*F48</f>
        <v>0</v>
      </c>
      <c r="S48" s="20">
        <f>'GS &gt; 50 OLS model'!$P$9*G48</f>
        <v>13637768.019524924</v>
      </c>
      <c r="T48" s="20">
        <f>'GS &gt; 50 OLS model'!$P$10*H48</f>
        <v>633476.67976142548</v>
      </c>
      <c r="U48" s="20">
        <f>'GS &gt; 50 OLS model'!$P$11*I48</f>
        <v>0</v>
      </c>
      <c r="V48" s="20">
        <f>'GS &gt; 50 OLS model'!$P$12*J48</f>
        <v>0</v>
      </c>
      <c r="W48" s="20">
        <f>'GS &gt; 50 OLS model'!$P$13*K48</f>
        <v>0</v>
      </c>
      <c r="X48" s="20">
        <f>'GS &gt; 50 OLS model'!$P$14*L48</f>
        <v>0</v>
      </c>
      <c r="Y48" s="20">
        <f>'GS &gt; 50 OLS model'!$P$15*M48</f>
        <v>653577.717998437</v>
      </c>
      <c r="Z48" s="20">
        <f t="shared" si="3"/>
        <v>14322392.50431625</v>
      </c>
      <c r="AA48" s="23">
        <f t="shared" ca="1" si="4"/>
        <v>1.0445526858064564E-2</v>
      </c>
    </row>
    <row r="49" spans="1:27" ht="15">
      <c r="A49" s="22">
        <f>'Monthly Data'!A49</f>
        <v>41244</v>
      </c>
      <c r="B49" s="6">
        <f t="shared" si="2"/>
        <v>2012</v>
      </c>
      <c r="C49" s="20">
        <f ca="1">'Monthly Data'!O49</f>
        <v>12910330.309349159</v>
      </c>
      <c r="D49" s="20">
        <f>'Monthly Data'!Q49</f>
        <v>204</v>
      </c>
      <c r="E49" s="6">
        <f>'Monthly Data'!AH49</f>
        <v>484.20000000000005</v>
      </c>
      <c r="F49" s="6">
        <f>'Monthly Data'!AI49</f>
        <v>0</v>
      </c>
      <c r="G49" s="6">
        <f>'Monthly Data'!AK49</f>
        <v>155.5</v>
      </c>
      <c r="H49" s="6">
        <f>'Monthly Data'!AO49</f>
        <v>48</v>
      </c>
      <c r="I49" s="6">
        <f>'Monthly Data'!AQ49</f>
        <v>0</v>
      </c>
      <c r="J49" s="6">
        <f>'Monthly Data'!AW49</f>
        <v>0</v>
      </c>
      <c r="K49" s="6">
        <f>'Monthly Data'!AX49</f>
        <v>0</v>
      </c>
      <c r="L49" s="6">
        <f>'Monthly Data'!AY49</f>
        <v>0</v>
      </c>
      <c r="M49" s="6">
        <f>'Monthly Data'!AZ49</f>
        <v>0</v>
      </c>
      <c r="O49" s="20">
        <f>'GS &gt; 50 OLS model'!$P$5</f>
        <v>-12525532.812157899</v>
      </c>
      <c r="P49" s="20">
        <f>'GS &gt; 50 OLS model'!$P$6*D49</f>
        <v>10739316.587035103</v>
      </c>
      <c r="Q49" s="20">
        <f>'GS &gt; 50 OLS model'!$P$7*E49</f>
        <v>1287815.4495238743</v>
      </c>
      <c r="R49" s="20">
        <f>'GS &gt; 50 OLS model'!$P$8*F49</f>
        <v>0</v>
      </c>
      <c r="S49" s="20">
        <f>'GS &gt; 50 OLS model'!$P$9*G49</f>
        <v>13456046.491345976</v>
      </c>
      <c r="T49" s="20">
        <f>'GS &gt; 50 OLS model'!$P$10*H49</f>
        <v>646954.90699039202</v>
      </c>
      <c r="U49" s="20">
        <f>'GS &gt; 50 OLS model'!$P$11*I49</f>
        <v>0</v>
      </c>
      <c r="V49" s="20">
        <f>'GS &gt; 50 OLS model'!$P$12*J49</f>
        <v>0</v>
      </c>
      <c r="W49" s="20">
        <f>'GS &gt; 50 OLS model'!$P$13*K49</f>
        <v>0</v>
      </c>
      <c r="X49" s="20">
        <f>'GS &gt; 50 OLS model'!$P$14*L49</f>
        <v>0</v>
      </c>
      <c r="Y49" s="20">
        <f>'GS &gt; 50 OLS model'!$P$15*M49</f>
        <v>0</v>
      </c>
      <c r="Z49" s="20">
        <f t="shared" si="3"/>
        <v>13604600.622737445</v>
      </c>
      <c r="AA49" s="23">
        <f t="shared" ca="1" si="4"/>
        <v>5.3776340089883107E-2</v>
      </c>
    </row>
    <row r="50" spans="1:27" ht="15">
      <c r="A50" s="22">
        <f>'Monthly Data'!A50</f>
        <v>41275</v>
      </c>
      <c r="B50" s="6">
        <f t="shared" si="2"/>
        <v>2013</v>
      </c>
      <c r="C50" s="20">
        <f ca="1">'Monthly Data'!O50</f>
        <v>13849091.99800721</v>
      </c>
      <c r="D50" s="20">
        <f>'Monthly Data'!Q50</f>
        <v>203</v>
      </c>
      <c r="E50" s="6">
        <f>'Monthly Data'!AH50</f>
        <v>598.19999999999993</v>
      </c>
      <c r="F50" s="6">
        <f>'Monthly Data'!AI50</f>
        <v>0</v>
      </c>
      <c r="G50" s="6">
        <f>'Monthly Data'!AK50</f>
        <v>151.1</v>
      </c>
      <c r="H50" s="6">
        <f>'Monthly Data'!AO50</f>
        <v>49</v>
      </c>
      <c r="I50" s="6">
        <f>'Monthly Data'!AQ50</f>
        <v>0</v>
      </c>
      <c r="J50" s="6">
        <f>'Monthly Data'!AW50</f>
        <v>0</v>
      </c>
      <c r="K50" s="6">
        <f>'Monthly Data'!AX50</f>
        <v>0</v>
      </c>
      <c r="L50" s="6">
        <f>'Monthly Data'!AY50</f>
        <v>0</v>
      </c>
      <c r="M50" s="6">
        <f>'Monthly Data'!AZ50</f>
        <v>0</v>
      </c>
      <c r="O50" s="20">
        <f>'GS &gt; 50 OLS model'!$P$5</f>
        <v>-12525532.812157899</v>
      </c>
      <c r="P50" s="20">
        <f>'GS &gt; 50 OLS model'!$P$6*D50</f>
        <v>10686672.878275128</v>
      </c>
      <c r="Q50" s="20">
        <f>'GS &gt; 50 OLS model'!$P$7*E50</f>
        <v>1591018.591295294</v>
      </c>
      <c r="R50" s="20">
        <f>'GS &gt; 50 OLS model'!$P$8*F50</f>
        <v>0</v>
      </c>
      <c r="S50" s="20">
        <f>'GS &gt; 50 OLS model'!$P$9*G50</f>
        <v>13075296.62278056</v>
      </c>
      <c r="T50" s="20">
        <f>'GS &gt; 50 OLS model'!$P$10*H50</f>
        <v>660433.13421935844</v>
      </c>
      <c r="U50" s="20">
        <f>'GS &gt; 50 OLS model'!$P$11*I50</f>
        <v>0</v>
      </c>
      <c r="V50" s="20">
        <f>'GS &gt; 50 OLS model'!$P$12*J50</f>
        <v>0</v>
      </c>
      <c r="W50" s="20">
        <f>'GS &gt; 50 OLS model'!$P$13*K50</f>
        <v>0</v>
      </c>
      <c r="X50" s="20">
        <f>'GS &gt; 50 OLS model'!$P$14*L50</f>
        <v>0</v>
      </c>
      <c r="Y50" s="20">
        <f>'GS &gt; 50 OLS model'!$P$15*M50</f>
        <v>0</v>
      </c>
      <c r="Z50" s="20">
        <f t="shared" si="3"/>
        <v>13487888.414412441</v>
      </c>
      <c r="AA50" s="23">
        <f t="shared" ca="1" si="4"/>
        <v>2.6081391014424915E-2</v>
      </c>
    </row>
    <row r="51" spans="1:27" ht="15">
      <c r="A51" s="22">
        <f>'Monthly Data'!A51</f>
        <v>41306</v>
      </c>
      <c r="B51" s="6">
        <f t="shared" si="2"/>
        <v>2013</v>
      </c>
      <c r="C51" s="20">
        <f ca="1">'Monthly Data'!O51</f>
        <v>12913536.665801208</v>
      </c>
      <c r="D51" s="20">
        <f>'Monthly Data'!Q51</f>
        <v>204</v>
      </c>
      <c r="E51" s="6">
        <f>'Monthly Data'!AH51</f>
        <v>574.80000000000007</v>
      </c>
      <c r="F51" s="6">
        <f>'Monthly Data'!AI51</f>
        <v>0</v>
      </c>
      <c r="G51" s="6">
        <f>'Monthly Data'!AK51</f>
        <v>150.19999999999999</v>
      </c>
      <c r="H51" s="6">
        <f>'Monthly Data'!AO51</f>
        <v>50</v>
      </c>
      <c r="I51" s="6">
        <f>'Monthly Data'!AQ51</f>
        <v>1</v>
      </c>
      <c r="J51" s="6">
        <f>'Monthly Data'!AW51</f>
        <v>0</v>
      </c>
      <c r="K51" s="6">
        <f>'Monthly Data'!AX51</f>
        <v>0</v>
      </c>
      <c r="L51" s="6">
        <f>'Monthly Data'!AY51</f>
        <v>0</v>
      </c>
      <c r="M51" s="6">
        <f>'Monthly Data'!AZ51</f>
        <v>0</v>
      </c>
      <c r="O51" s="20">
        <f>'GS &gt; 50 OLS model'!$P$5</f>
        <v>-12525532.812157899</v>
      </c>
      <c r="P51" s="20">
        <f>'GS &gt; 50 OLS model'!$P$6*D51</f>
        <v>10739316.587035103</v>
      </c>
      <c r="Q51" s="20">
        <f>'GS &gt; 50 OLS model'!$P$7*E51</f>
        <v>1528782.1569316871</v>
      </c>
      <c r="R51" s="20">
        <f>'GS &gt; 50 OLS model'!$P$8*F51</f>
        <v>0</v>
      </c>
      <c r="S51" s="20">
        <f>'GS &gt; 50 OLS model'!$P$9*G51</f>
        <v>12997415.967846723</v>
      </c>
      <c r="T51" s="20">
        <f>'GS &gt; 50 OLS model'!$P$10*H51</f>
        <v>673911.36144832498</v>
      </c>
      <c r="U51" s="20">
        <f>'GS &gt; 50 OLS model'!$P$11*I51</f>
        <v>-794437.04938529804</v>
      </c>
      <c r="V51" s="20">
        <f>'GS &gt; 50 OLS model'!$P$12*J51</f>
        <v>0</v>
      </c>
      <c r="W51" s="20">
        <f>'GS &gt; 50 OLS model'!$P$13*K51</f>
        <v>0</v>
      </c>
      <c r="X51" s="20">
        <f>'GS &gt; 50 OLS model'!$P$14*L51</f>
        <v>0</v>
      </c>
      <c r="Y51" s="20">
        <f>'GS &gt; 50 OLS model'!$P$15*M51</f>
        <v>0</v>
      </c>
      <c r="Z51" s="20">
        <f t="shared" si="3"/>
        <v>12619456.211718641</v>
      </c>
      <c r="AA51" s="23">
        <f t="shared" ca="1" si="4"/>
        <v>2.2773037448476651E-2</v>
      </c>
    </row>
    <row r="52" spans="1:27" ht="15">
      <c r="A52" s="22">
        <f>'Monthly Data'!A52</f>
        <v>41334</v>
      </c>
      <c r="B52" s="6">
        <f t="shared" si="2"/>
        <v>2013</v>
      </c>
      <c r="C52" s="20">
        <f ca="1">'Monthly Data'!O52</f>
        <v>13644930.137241308</v>
      </c>
      <c r="D52" s="20">
        <f>'Monthly Data'!Q52</f>
        <v>205</v>
      </c>
      <c r="E52" s="6">
        <f>'Monthly Data'!AH52</f>
        <v>505.20000000000005</v>
      </c>
      <c r="F52" s="6">
        <f>'Monthly Data'!AI52</f>
        <v>0</v>
      </c>
      <c r="G52" s="6">
        <f>'Monthly Data'!AK52</f>
        <v>149.4</v>
      </c>
      <c r="H52" s="6">
        <f>'Monthly Data'!AO52</f>
        <v>51</v>
      </c>
      <c r="I52" s="6">
        <f>'Monthly Data'!AQ52</f>
        <v>0</v>
      </c>
      <c r="J52" s="6">
        <f>'Monthly Data'!AW52</f>
        <v>0</v>
      </c>
      <c r="K52" s="6">
        <f>'Monthly Data'!AX52</f>
        <v>0</v>
      </c>
      <c r="L52" s="6">
        <f>'Monthly Data'!AY52</f>
        <v>0</v>
      </c>
      <c r="M52" s="6">
        <f>'Monthly Data'!AZ52</f>
        <v>0</v>
      </c>
      <c r="O52" s="20">
        <f>'GS &gt; 50 OLS model'!$P$5</f>
        <v>-12525532.812157899</v>
      </c>
      <c r="P52" s="20">
        <f>'GS &gt; 50 OLS model'!$P$6*D52</f>
        <v>10791960.295795079</v>
      </c>
      <c r="Q52" s="20">
        <f>'GS &gt; 50 OLS model'!$P$7*E52</f>
        <v>1343668.6598501885</v>
      </c>
      <c r="R52" s="20">
        <f>'GS &gt; 50 OLS model'!$P$8*F52</f>
        <v>0</v>
      </c>
      <c r="S52" s="20">
        <f>'GS &gt; 50 OLS model'!$P$9*G52</f>
        <v>12928188.719016649</v>
      </c>
      <c r="T52" s="20">
        <f>'GS &gt; 50 OLS model'!$P$10*H52</f>
        <v>687389.58867729153</v>
      </c>
      <c r="U52" s="20">
        <f>'GS &gt; 50 OLS model'!$P$11*I52</f>
        <v>0</v>
      </c>
      <c r="V52" s="20">
        <f>'GS &gt; 50 OLS model'!$P$12*J52</f>
        <v>0</v>
      </c>
      <c r="W52" s="20">
        <f>'GS &gt; 50 OLS model'!$P$13*K52</f>
        <v>0</v>
      </c>
      <c r="X52" s="20">
        <f>'GS &gt; 50 OLS model'!$P$14*L52</f>
        <v>0</v>
      </c>
      <c r="Y52" s="20">
        <f>'GS &gt; 50 OLS model'!$P$15*M52</f>
        <v>0</v>
      </c>
      <c r="Z52" s="20">
        <f t="shared" si="3"/>
        <v>13225674.451181307</v>
      </c>
      <c r="AA52" s="23">
        <f t="shared" ca="1" si="4"/>
        <v>3.0726114523351025E-2</v>
      </c>
    </row>
    <row r="53" spans="1:27" ht="15">
      <c r="A53" s="22">
        <f>'Monthly Data'!A53</f>
        <v>41365</v>
      </c>
      <c r="B53" s="6">
        <f t="shared" si="2"/>
        <v>2013</v>
      </c>
      <c r="C53" s="20">
        <f ca="1">'Monthly Data'!O53</f>
        <v>12517016.774652008</v>
      </c>
      <c r="D53" s="20">
        <f>'Monthly Data'!Q53</f>
        <v>209</v>
      </c>
      <c r="E53" s="6">
        <f>'Monthly Data'!AH53</f>
        <v>300.19999999999993</v>
      </c>
      <c r="F53" s="6">
        <f>'Monthly Data'!AI53</f>
        <v>0</v>
      </c>
      <c r="G53" s="6">
        <f>'Monthly Data'!AK53</f>
        <v>152.6</v>
      </c>
      <c r="H53" s="6">
        <f>'Monthly Data'!AO53</f>
        <v>52</v>
      </c>
      <c r="I53" s="6">
        <f>'Monthly Data'!AQ53</f>
        <v>0</v>
      </c>
      <c r="J53" s="6">
        <f>'Monthly Data'!AW53</f>
        <v>0</v>
      </c>
      <c r="K53" s="6">
        <f>'Monthly Data'!AX53</f>
        <v>0</v>
      </c>
      <c r="L53" s="6">
        <f>'Monthly Data'!AY53</f>
        <v>0</v>
      </c>
      <c r="M53" s="6">
        <f>'Monthly Data'!AZ53</f>
        <v>0</v>
      </c>
      <c r="O53" s="20">
        <f>'GS &gt; 50 OLS model'!$P$5</f>
        <v>-12525532.812157899</v>
      </c>
      <c r="P53" s="20">
        <f>'GS &gt; 50 OLS model'!$P$6*D53</f>
        <v>11002535.130834984</v>
      </c>
      <c r="Q53" s="20">
        <f>'GS &gt; 50 OLS model'!$P$7*E53</f>
        <v>798434.93999807292</v>
      </c>
      <c r="R53" s="20">
        <f>'GS &gt; 50 OLS model'!$P$8*F53</f>
        <v>0</v>
      </c>
      <c r="S53" s="20">
        <f>'GS &gt; 50 OLS model'!$P$9*G53</f>
        <v>13205097.71433695</v>
      </c>
      <c r="T53" s="20">
        <f>'GS &gt; 50 OLS model'!$P$10*H53</f>
        <v>700867.81590625795</v>
      </c>
      <c r="U53" s="20">
        <f>'GS &gt; 50 OLS model'!$P$11*I53</f>
        <v>0</v>
      </c>
      <c r="V53" s="20">
        <f>'GS &gt; 50 OLS model'!$P$12*J53</f>
        <v>0</v>
      </c>
      <c r="W53" s="20">
        <f>'GS &gt; 50 OLS model'!$P$13*K53</f>
        <v>0</v>
      </c>
      <c r="X53" s="20">
        <f>'GS &gt; 50 OLS model'!$P$14*L53</f>
        <v>0</v>
      </c>
      <c r="Y53" s="20">
        <f>'GS &gt; 50 OLS model'!$P$15*M53</f>
        <v>0</v>
      </c>
      <c r="Z53" s="20">
        <f t="shared" si="3"/>
        <v>13181402.788918367</v>
      </c>
      <c r="AA53" s="23">
        <f t="shared" ca="1" si="4"/>
        <v>5.3078622984016062E-2</v>
      </c>
    </row>
    <row r="54" spans="1:27" ht="15">
      <c r="A54" s="22">
        <f>'Monthly Data'!A54</f>
        <v>41395</v>
      </c>
      <c r="B54" s="6">
        <f t="shared" si="2"/>
        <v>2013</v>
      </c>
      <c r="C54" s="20">
        <f ca="1">'Monthly Data'!O54</f>
        <v>13122967.337625708</v>
      </c>
      <c r="D54" s="20">
        <f>'Monthly Data'!Q54</f>
        <v>205</v>
      </c>
      <c r="E54" s="6">
        <f>'Monthly Data'!AH54</f>
        <v>73.300000000000011</v>
      </c>
      <c r="F54" s="6">
        <f>'Monthly Data'!AI54</f>
        <v>59.899999999999991</v>
      </c>
      <c r="G54" s="6">
        <f>'Monthly Data'!AK54</f>
        <v>154</v>
      </c>
      <c r="H54" s="6">
        <f>'Monthly Data'!AO54</f>
        <v>53</v>
      </c>
      <c r="I54" s="6">
        <f>'Monthly Data'!AQ54</f>
        <v>0</v>
      </c>
      <c r="J54" s="6">
        <f>'Monthly Data'!AW54</f>
        <v>0</v>
      </c>
      <c r="K54" s="6">
        <f>'Monthly Data'!AX54</f>
        <v>0</v>
      </c>
      <c r="L54" s="6">
        <f>'Monthly Data'!AY54</f>
        <v>0</v>
      </c>
      <c r="M54" s="6">
        <f>'Monthly Data'!AZ54</f>
        <v>0</v>
      </c>
      <c r="O54" s="20">
        <f>'GS &gt; 50 OLS model'!$P$5</f>
        <v>-12525532.812157899</v>
      </c>
      <c r="P54" s="20">
        <f>'GS &gt; 50 OLS model'!$P$6*D54</f>
        <v>10791960.295795079</v>
      </c>
      <c r="Q54" s="20">
        <f>'GS &gt; 50 OLS model'!$P$7*E54</f>
        <v>194954.3008056588</v>
      </c>
      <c r="R54" s="20">
        <f>'GS &gt; 50 OLS model'!$P$8*F54</f>
        <v>877302.9246787139</v>
      </c>
      <c r="S54" s="20">
        <f>'GS &gt; 50 OLS model'!$P$9*G54</f>
        <v>13326245.399789583</v>
      </c>
      <c r="T54" s="20">
        <f>'GS &gt; 50 OLS model'!$P$10*H54</f>
        <v>714346.04313522449</v>
      </c>
      <c r="U54" s="20">
        <f>'GS &gt; 50 OLS model'!$P$11*I54</f>
        <v>0</v>
      </c>
      <c r="V54" s="20">
        <f>'GS &gt; 50 OLS model'!$P$12*J54</f>
        <v>0</v>
      </c>
      <c r="W54" s="20">
        <f>'GS &gt; 50 OLS model'!$P$13*K54</f>
        <v>0</v>
      </c>
      <c r="X54" s="20">
        <f>'GS &gt; 50 OLS model'!$P$14*L54</f>
        <v>0</v>
      </c>
      <c r="Y54" s="20">
        <f>'GS &gt; 50 OLS model'!$P$15*M54</f>
        <v>0</v>
      </c>
      <c r="Z54" s="20">
        <f t="shared" si="3"/>
        <v>13379276.15204636</v>
      </c>
      <c r="AA54" s="23">
        <f t="shared" ca="1" si="4"/>
        <v>1.9531315427858457E-2</v>
      </c>
    </row>
    <row r="55" spans="1:27" ht="15">
      <c r="A55" s="22">
        <f>'Monthly Data'!A55</f>
        <v>41426</v>
      </c>
      <c r="B55" s="6">
        <f t="shared" si="2"/>
        <v>2013</v>
      </c>
      <c r="C55" s="20">
        <f ca="1">'Monthly Data'!O55</f>
        <v>13706309.307653708</v>
      </c>
      <c r="D55" s="20">
        <f>'Monthly Data'!Q55</f>
        <v>208</v>
      </c>
      <c r="E55" s="6">
        <f>'Monthly Data'!AH55</f>
        <v>14.700000000000001</v>
      </c>
      <c r="F55" s="6">
        <f>'Monthly Data'!AI55</f>
        <v>103.49999999999999</v>
      </c>
      <c r="G55" s="6">
        <f>'Monthly Data'!AK55</f>
        <v>155.9</v>
      </c>
      <c r="H55" s="6">
        <f>'Monthly Data'!AO55</f>
        <v>54</v>
      </c>
      <c r="I55" s="6">
        <f>'Monthly Data'!AQ55</f>
        <v>0</v>
      </c>
      <c r="J55" s="6">
        <f>'Monthly Data'!AW55</f>
        <v>0</v>
      </c>
      <c r="K55" s="6">
        <f>'Monthly Data'!AX55</f>
        <v>0</v>
      </c>
      <c r="L55" s="6">
        <f>'Monthly Data'!AY55</f>
        <v>0</v>
      </c>
      <c r="M55" s="6">
        <f>'Monthly Data'!AZ55</f>
        <v>0</v>
      </c>
      <c r="O55" s="20">
        <f>'GS &gt; 50 OLS model'!$P$5</f>
        <v>-12525532.812157899</v>
      </c>
      <c r="P55" s="20">
        <f>'GS &gt; 50 OLS model'!$P$6*D55</f>
        <v>10949891.422075007</v>
      </c>
      <c r="Q55" s="20">
        <f>'GS &gt; 50 OLS model'!$P$7*E55</f>
        <v>39097.247228419976</v>
      </c>
      <c r="R55" s="20">
        <f>'GS &gt; 50 OLS model'!$P$8*F55</f>
        <v>1515874.0017403488</v>
      </c>
      <c r="S55" s="20">
        <f>'GS &gt; 50 OLS model'!$P$9*G55</f>
        <v>13490660.115761014</v>
      </c>
      <c r="T55" s="20">
        <f>'GS &gt; 50 OLS model'!$P$10*H55</f>
        <v>727824.27036419103</v>
      </c>
      <c r="U55" s="20">
        <f>'GS &gt; 50 OLS model'!$P$11*I55</f>
        <v>0</v>
      </c>
      <c r="V55" s="20">
        <f>'GS &gt; 50 OLS model'!$P$12*J55</f>
        <v>0</v>
      </c>
      <c r="W55" s="20">
        <f>'GS &gt; 50 OLS model'!$P$13*K55</f>
        <v>0</v>
      </c>
      <c r="X55" s="20">
        <f>'GS &gt; 50 OLS model'!$P$14*L55</f>
        <v>0</v>
      </c>
      <c r="Y55" s="20">
        <f>'GS &gt; 50 OLS model'!$P$15*M55</f>
        <v>0</v>
      </c>
      <c r="Z55" s="20">
        <f t="shared" si="3"/>
        <v>14197814.245011082</v>
      </c>
      <c r="AA55" s="23">
        <f t="shared" ca="1" si="4"/>
        <v>3.5859758183256041E-2</v>
      </c>
    </row>
    <row r="56" spans="1:27" ht="15">
      <c r="A56" s="22">
        <f>'Monthly Data'!A56</f>
        <v>41456</v>
      </c>
      <c r="B56" s="6">
        <f t="shared" si="2"/>
        <v>2013</v>
      </c>
      <c r="C56" s="20">
        <f ca="1">'Monthly Data'!O56</f>
        <v>14308336.935974209</v>
      </c>
      <c r="D56" s="20">
        <f>'Monthly Data'!Q56</f>
        <v>209</v>
      </c>
      <c r="E56" s="6">
        <f>'Monthly Data'!AH56</f>
        <v>1.5</v>
      </c>
      <c r="F56" s="6">
        <f>'Monthly Data'!AI56</f>
        <v>174.80000000000004</v>
      </c>
      <c r="G56" s="6">
        <f>'Monthly Data'!AK56</f>
        <v>156.6</v>
      </c>
      <c r="H56" s="6">
        <f>'Monthly Data'!AO56</f>
        <v>55</v>
      </c>
      <c r="I56" s="6">
        <f>'Monthly Data'!AQ56</f>
        <v>0</v>
      </c>
      <c r="J56" s="6">
        <f>'Monthly Data'!AW56</f>
        <v>0</v>
      </c>
      <c r="K56" s="6">
        <f>'Monthly Data'!AX56</f>
        <v>0</v>
      </c>
      <c r="L56" s="6">
        <f>'Monthly Data'!AY56</f>
        <v>0</v>
      </c>
      <c r="M56" s="6">
        <f>'Monthly Data'!AZ56</f>
        <v>0</v>
      </c>
      <c r="O56" s="20">
        <f>'GS &gt; 50 OLS model'!$P$5</f>
        <v>-12525532.812157899</v>
      </c>
      <c r="P56" s="20">
        <f>'GS &gt; 50 OLS model'!$P$6*D56</f>
        <v>11002535.130834984</v>
      </c>
      <c r="Q56" s="20">
        <f>'GS &gt; 50 OLS model'!$P$7*E56</f>
        <v>3989.5150233081604</v>
      </c>
      <c r="R56" s="20">
        <f>'GS &gt; 50 OLS model'!$P$8*F56</f>
        <v>2560142.7584948121</v>
      </c>
      <c r="S56" s="20">
        <f>'GS &gt; 50 OLS model'!$P$9*G56</f>
        <v>13551233.95848733</v>
      </c>
      <c r="T56" s="20">
        <f>'GS &gt; 50 OLS model'!$P$10*H56</f>
        <v>741302.49759315746</v>
      </c>
      <c r="U56" s="20">
        <f>'GS &gt; 50 OLS model'!$P$11*I56</f>
        <v>0</v>
      </c>
      <c r="V56" s="20">
        <f>'GS &gt; 50 OLS model'!$P$12*J56</f>
        <v>0</v>
      </c>
      <c r="W56" s="20">
        <f>'GS &gt; 50 OLS model'!$P$13*K56</f>
        <v>0</v>
      </c>
      <c r="X56" s="20">
        <f>'GS &gt; 50 OLS model'!$P$14*L56</f>
        <v>0</v>
      </c>
      <c r="Y56" s="20">
        <f>'GS &gt; 50 OLS model'!$P$15*M56</f>
        <v>0</v>
      </c>
      <c r="Z56" s="20">
        <f t="shared" si="3"/>
        <v>15333671.048275692</v>
      </c>
      <c r="AA56" s="23">
        <f t="shared" ca="1" si="4"/>
        <v>7.1659908268135286E-2</v>
      </c>
    </row>
    <row r="57" spans="1:27" ht="15">
      <c r="A57" s="22">
        <f>'Monthly Data'!A57</f>
        <v>41487</v>
      </c>
      <c r="B57" s="6">
        <f t="shared" si="2"/>
        <v>2013</v>
      </c>
      <c r="C57" s="20">
        <f ca="1">'Monthly Data'!O57</f>
        <v>14823345.522277808</v>
      </c>
      <c r="D57" s="20">
        <f>'Monthly Data'!Q57</f>
        <v>208</v>
      </c>
      <c r="E57" s="6">
        <f>'Monthly Data'!AH57</f>
        <v>1.2</v>
      </c>
      <c r="F57" s="6">
        <f>'Monthly Data'!AI57</f>
        <v>134.29999999999998</v>
      </c>
      <c r="G57" s="6">
        <f>'Monthly Data'!AK57</f>
        <v>156.5</v>
      </c>
      <c r="H57" s="6">
        <f>'Monthly Data'!AO57</f>
        <v>56</v>
      </c>
      <c r="I57" s="6">
        <f>'Monthly Data'!AQ57</f>
        <v>0</v>
      </c>
      <c r="J57" s="6">
        <f>'Monthly Data'!AW57</f>
        <v>1</v>
      </c>
      <c r="K57" s="6">
        <f>'Monthly Data'!AX57</f>
        <v>0</v>
      </c>
      <c r="L57" s="6">
        <f>'Monthly Data'!AY57</f>
        <v>0</v>
      </c>
      <c r="M57" s="6">
        <f>'Monthly Data'!AZ57</f>
        <v>0</v>
      </c>
      <c r="O57" s="20">
        <f>'GS &gt; 50 OLS model'!$P$5</f>
        <v>-12525532.812157899</v>
      </c>
      <c r="P57" s="20">
        <f>'GS &gt; 50 OLS model'!$P$6*D57</f>
        <v>10949891.422075007</v>
      </c>
      <c r="Q57" s="20">
        <f>'GS &gt; 50 OLS model'!$P$7*E57</f>
        <v>3191.6120186465282</v>
      </c>
      <c r="R57" s="20">
        <f>'GS &gt; 50 OLS model'!$P$8*F57</f>
        <v>1966974.6708572835</v>
      </c>
      <c r="S57" s="20">
        <f>'GS &gt; 50 OLS model'!$P$9*G57</f>
        <v>13542580.55238357</v>
      </c>
      <c r="T57" s="20">
        <f>'GS &gt; 50 OLS model'!$P$10*H57</f>
        <v>754780.724822124</v>
      </c>
      <c r="U57" s="20">
        <f>'GS &gt; 50 OLS model'!$P$11*I57</f>
        <v>0</v>
      </c>
      <c r="V57" s="20">
        <f>'GS &gt; 50 OLS model'!$P$12*J57</f>
        <v>1253169.7974445899</v>
      </c>
      <c r="W57" s="20">
        <f>'GS &gt; 50 OLS model'!$P$13*K57</f>
        <v>0</v>
      </c>
      <c r="X57" s="20">
        <f>'GS &gt; 50 OLS model'!$P$14*L57</f>
        <v>0</v>
      </c>
      <c r="Y57" s="20">
        <f>'GS &gt; 50 OLS model'!$P$15*M57</f>
        <v>0</v>
      </c>
      <c r="Z57" s="20">
        <f t="shared" si="3"/>
        <v>15945055.967443323</v>
      </c>
      <c r="AA57" s="23">
        <f t="shared" ca="1" si="4"/>
        <v>7.5671881457509804E-2</v>
      </c>
    </row>
    <row r="58" spans="1:27" ht="15">
      <c r="A58" s="22">
        <f>'Monthly Data'!A58</f>
        <v>41518</v>
      </c>
      <c r="B58" s="6">
        <f t="shared" si="2"/>
        <v>2013</v>
      </c>
      <c r="C58" s="20">
        <f ca="1">'Monthly Data'!O58</f>
        <v>17407710.791521009</v>
      </c>
      <c r="D58" s="20">
        <f>'Monthly Data'!Q58</f>
        <v>212</v>
      </c>
      <c r="E58" s="6">
        <f>'Monthly Data'!AH58</f>
        <v>41.2</v>
      </c>
      <c r="F58" s="6">
        <f>'Monthly Data'!AI58</f>
        <v>65.3</v>
      </c>
      <c r="G58" s="6">
        <f>'Monthly Data'!AK58</f>
        <v>154.6</v>
      </c>
      <c r="H58" s="6">
        <f>'Monthly Data'!AO58</f>
        <v>57</v>
      </c>
      <c r="I58" s="6">
        <f>'Monthly Data'!AQ58</f>
        <v>0</v>
      </c>
      <c r="J58" s="6">
        <f>'Monthly Data'!AW58</f>
        <v>0</v>
      </c>
      <c r="K58" s="6">
        <f>'Monthly Data'!AX58</f>
        <v>1</v>
      </c>
      <c r="L58" s="6">
        <f>'Monthly Data'!AY58</f>
        <v>0</v>
      </c>
      <c r="M58" s="6">
        <f>'Monthly Data'!AZ58</f>
        <v>0</v>
      </c>
      <c r="O58" s="20">
        <f>'GS &gt; 50 OLS model'!$P$5</f>
        <v>-12525532.812157899</v>
      </c>
      <c r="P58" s="20">
        <f>'GS &gt; 50 OLS model'!$P$6*D58</f>
        <v>11160466.257114911</v>
      </c>
      <c r="Q58" s="20">
        <f>'GS &gt; 50 OLS model'!$P$7*E58</f>
        <v>109578.67930686414</v>
      </c>
      <c r="R58" s="20">
        <f>'GS &gt; 50 OLS model'!$P$8*F58</f>
        <v>956392.00303038443</v>
      </c>
      <c r="S58" s="20">
        <f>'GS &gt; 50 OLS model'!$P$9*G58</f>
        <v>13378165.836412139</v>
      </c>
      <c r="T58" s="20">
        <f>'GS &gt; 50 OLS model'!$P$10*H58</f>
        <v>768258.95205109054</v>
      </c>
      <c r="U58" s="20">
        <f>'GS &gt; 50 OLS model'!$P$11*I58</f>
        <v>0</v>
      </c>
      <c r="V58" s="20">
        <f>'GS &gt; 50 OLS model'!$P$12*J58</f>
        <v>0</v>
      </c>
      <c r="W58" s="20">
        <f>'GS &gt; 50 OLS model'!$P$13*K58</f>
        <v>1963227.6010161501</v>
      </c>
      <c r="X58" s="20">
        <f>'GS &gt; 50 OLS model'!$P$14*L58</f>
        <v>0</v>
      </c>
      <c r="Y58" s="20">
        <f>'GS &gt; 50 OLS model'!$P$15*M58</f>
        <v>0</v>
      </c>
      <c r="Z58" s="20">
        <f t="shared" si="3"/>
        <v>15810556.516773641</v>
      </c>
      <c r="AA58" s="23">
        <f t="shared" ca="1" si="4"/>
        <v>9.1749816726350589E-2</v>
      </c>
    </row>
    <row r="59" spans="1:27" ht="15">
      <c r="A59" s="22">
        <f>'Monthly Data'!A59</f>
        <v>41548</v>
      </c>
      <c r="B59" s="6">
        <f t="shared" si="2"/>
        <v>2013</v>
      </c>
      <c r="C59" s="20">
        <f ca="1">'Monthly Data'!O59</f>
        <v>14654921.464652408</v>
      </c>
      <c r="D59" s="20">
        <f>'Monthly Data'!Q59</f>
        <v>209</v>
      </c>
      <c r="E59" s="6">
        <f>'Monthly Data'!AH59</f>
        <v>170.49999999999997</v>
      </c>
      <c r="F59" s="6">
        <f>'Monthly Data'!AI59</f>
        <v>19.899999999999999</v>
      </c>
      <c r="G59" s="6">
        <f>'Monthly Data'!AK59</f>
        <v>155.80000000000001</v>
      </c>
      <c r="H59" s="6">
        <f>'Monthly Data'!AO59</f>
        <v>58</v>
      </c>
      <c r="I59" s="6">
        <f>'Monthly Data'!AQ59</f>
        <v>0</v>
      </c>
      <c r="J59" s="6">
        <f>'Monthly Data'!AW59</f>
        <v>0</v>
      </c>
      <c r="K59" s="6">
        <f>'Monthly Data'!AX59</f>
        <v>0</v>
      </c>
      <c r="L59" s="6">
        <f>'Monthly Data'!AY59</f>
        <v>1</v>
      </c>
      <c r="M59" s="6">
        <f>'Monthly Data'!AZ59</f>
        <v>0</v>
      </c>
      <c r="O59" s="20">
        <f>'GS &gt; 50 OLS model'!$P$5</f>
        <v>-12525532.812157899</v>
      </c>
      <c r="P59" s="20">
        <f>'GS &gt; 50 OLS model'!$P$6*D59</f>
        <v>11002535.130834984</v>
      </c>
      <c r="Q59" s="20">
        <f>'GS &gt; 50 OLS model'!$P$7*E59</f>
        <v>453474.87431602745</v>
      </c>
      <c r="R59" s="20">
        <f>'GS &gt; 50 OLS model'!$P$8*F59</f>
        <v>291457.89985152602</v>
      </c>
      <c r="S59" s="20">
        <f>'GS &gt; 50 OLS model'!$P$9*G59</f>
        <v>13482006.709657256</v>
      </c>
      <c r="T59" s="20">
        <f>'GS &gt; 50 OLS model'!$P$10*H59</f>
        <v>781737.17928005697</v>
      </c>
      <c r="U59" s="20">
        <f>'GS &gt; 50 OLS model'!$P$11*I59</f>
        <v>0</v>
      </c>
      <c r="V59" s="20">
        <f>'GS &gt; 50 OLS model'!$P$12*J59</f>
        <v>0</v>
      </c>
      <c r="W59" s="20">
        <f>'GS &gt; 50 OLS model'!$P$13*K59</f>
        <v>0</v>
      </c>
      <c r="X59" s="20">
        <f>'GS &gt; 50 OLS model'!$P$14*L59</f>
        <v>1449584.5870731501</v>
      </c>
      <c r="Y59" s="20">
        <f>'GS &gt; 50 OLS model'!$P$15*M59</f>
        <v>0</v>
      </c>
      <c r="Z59" s="20">
        <f t="shared" si="3"/>
        <v>14935263.568855099</v>
      </c>
      <c r="AA59" s="23">
        <f t="shared" ca="1" si="4"/>
        <v>1.9129553500431586E-2</v>
      </c>
    </row>
    <row r="60" spans="1:27" ht="15">
      <c r="A60" s="22">
        <f>'Monthly Data'!A60</f>
        <v>41579</v>
      </c>
      <c r="B60" s="6">
        <f t="shared" si="2"/>
        <v>2013</v>
      </c>
      <c r="C60" s="20">
        <f ca="1">'Monthly Data'!O60</f>
        <v>14053596.57630801</v>
      </c>
      <c r="D60" s="20">
        <f>'Monthly Data'!Q60</f>
        <v>211</v>
      </c>
      <c r="E60" s="6">
        <f>'Monthly Data'!AH60</f>
        <v>424.9</v>
      </c>
      <c r="F60" s="6">
        <f>'Monthly Data'!AI60</f>
        <v>0</v>
      </c>
      <c r="G60" s="6">
        <f>'Monthly Data'!AK60</f>
        <v>156.69999999999999</v>
      </c>
      <c r="H60" s="6">
        <f>'Monthly Data'!AO60</f>
        <v>59</v>
      </c>
      <c r="I60" s="6">
        <f>'Monthly Data'!AQ60</f>
        <v>0</v>
      </c>
      <c r="J60" s="6">
        <f>'Monthly Data'!AW60</f>
        <v>0</v>
      </c>
      <c r="K60" s="6">
        <f>'Monthly Data'!AX60</f>
        <v>0</v>
      </c>
      <c r="L60" s="6">
        <f>'Monthly Data'!AY60</f>
        <v>0</v>
      </c>
      <c r="M60" s="6">
        <f>'Monthly Data'!AZ60</f>
        <v>1</v>
      </c>
      <c r="O60" s="20">
        <f>'GS &gt; 50 OLS model'!$P$5</f>
        <v>-12525532.812157899</v>
      </c>
      <c r="P60" s="20">
        <f>'GS &gt; 50 OLS model'!$P$6*D60</f>
        <v>11107822.548354935</v>
      </c>
      <c r="Q60" s="20">
        <f>'GS &gt; 50 OLS model'!$P$7*E60</f>
        <v>1130096.6222690914</v>
      </c>
      <c r="R60" s="20">
        <f>'GS &gt; 50 OLS model'!$P$8*F60</f>
        <v>0</v>
      </c>
      <c r="S60" s="20">
        <f>'GS &gt; 50 OLS model'!$P$9*G60</f>
        <v>13559887.364591088</v>
      </c>
      <c r="T60" s="20">
        <f>'GS &gt; 50 OLS model'!$P$10*H60</f>
        <v>795215.40650902351</v>
      </c>
      <c r="U60" s="20">
        <f>'GS &gt; 50 OLS model'!$P$11*I60</f>
        <v>0</v>
      </c>
      <c r="V60" s="20">
        <f>'GS &gt; 50 OLS model'!$P$12*J60</f>
        <v>0</v>
      </c>
      <c r="W60" s="20">
        <f>'GS &gt; 50 OLS model'!$P$13*K60</f>
        <v>0</v>
      </c>
      <c r="X60" s="20">
        <f>'GS &gt; 50 OLS model'!$P$14*L60</f>
        <v>0</v>
      </c>
      <c r="Y60" s="20">
        <f>'GS &gt; 50 OLS model'!$P$15*M60</f>
        <v>653577.717998437</v>
      </c>
      <c r="Z60" s="20">
        <f t="shared" si="3"/>
        <v>14721066.847564677</v>
      </c>
      <c r="AA60" s="23">
        <f t="shared" ca="1" si="4"/>
        <v>4.7494623005039774E-2</v>
      </c>
    </row>
    <row r="61" spans="1:27" ht="15">
      <c r="A61" s="22">
        <f>'Monthly Data'!A61</f>
        <v>41609</v>
      </c>
      <c r="B61" s="6">
        <f t="shared" si="2"/>
        <v>2013</v>
      </c>
      <c r="C61" s="20">
        <f ca="1">'Monthly Data'!O61</f>
        <v>14070719.674795508</v>
      </c>
      <c r="D61" s="20">
        <f>'Monthly Data'!Q61</f>
        <v>214</v>
      </c>
      <c r="E61" s="6">
        <f>'Monthly Data'!AH61</f>
        <v>614.30000000000007</v>
      </c>
      <c r="F61" s="6">
        <f>'Monthly Data'!AI61</f>
        <v>0</v>
      </c>
      <c r="G61" s="6">
        <f>'Monthly Data'!AK61</f>
        <v>159.19999999999999</v>
      </c>
      <c r="H61" s="6">
        <f>'Monthly Data'!AO61</f>
        <v>60</v>
      </c>
      <c r="I61" s="6">
        <f>'Monthly Data'!AQ61</f>
        <v>0</v>
      </c>
      <c r="J61" s="6">
        <f>'Monthly Data'!AW61</f>
        <v>0</v>
      </c>
      <c r="K61" s="6">
        <f>'Monthly Data'!AX61</f>
        <v>0</v>
      </c>
      <c r="L61" s="6">
        <f>'Monthly Data'!AY61</f>
        <v>0</v>
      </c>
      <c r="M61" s="6">
        <f>'Monthly Data'!AZ61</f>
        <v>0</v>
      </c>
      <c r="O61" s="20">
        <f>'GS &gt; 50 OLS model'!$P$5</f>
        <v>-12525532.812157899</v>
      </c>
      <c r="P61" s="20">
        <f>'GS &gt; 50 OLS model'!$P$6*D61</f>
        <v>11265753.674634863</v>
      </c>
      <c r="Q61" s="20">
        <f>'GS &gt; 50 OLS model'!$P$7*E61</f>
        <v>1633839.385878802</v>
      </c>
      <c r="R61" s="20">
        <f>'GS &gt; 50 OLS model'!$P$8*F61</f>
        <v>0</v>
      </c>
      <c r="S61" s="20">
        <f>'GS &gt; 50 OLS model'!$P$9*G61</f>
        <v>13776222.517185075</v>
      </c>
      <c r="T61" s="20">
        <f>'GS &gt; 50 OLS model'!$P$10*H61</f>
        <v>808693.63373798993</v>
      </c>
      <c r="U61" s="20">
        <f>'GS &gt; 50 OLS model'!$P$11*I61</f>
        <v>0</v>
      </c>
      <c r="V61" s="20">
        <f>'GS &gt; 50 OLS model'!$P$12*J61</f>
        <v>0</v>
      </c>
      <c r="W61" s="20">
        <f>'GS &gt; 50 OLS model'!$P$13*K61</f>
        <v>0</v>
      </c>
      <c r="X61" s="20">
        <f>'GS &gt; 50 OLS model'!$P$14*L61</f>
        <v>0</v>
      </c>
      <c r="Y61" s="20">
        <f>'GS &gt; 50 OLS model'!$P$15*M61</f>
        <v>0</v>
      </c>
      <c r="Z61" s="20">
        <f t="shared" si="3"/>
        <v>14958976.399278831</v>
      </c>
      <c r="AA61" s="23">
        <f t="shared" ca="1" si="4"/>
        <v>6.3128023655707688E-2</v>
      </c>
    </row>
    <row r="62" spans="1:27" ht="15">
      <c r="A62" s="22">
        <f>'Monthly Data'!A62</f>
        <v>41640</v>
      </c>
      <c r="B62" s="6">
        <f t="shared" si="2"/>
        <v>2014</v>
      </c>
      <c r="C62" s="20">
        <f ca="1">'Monthly Data'!O62</f>
        <v>14875645.707828557</v>
      </c>
      <c r="D62" s="20">
        <f>'Monthly Data'!Q62</f>
        <v>211</v>
      </c>
      <c r="E62" s="6">
        <f>'Monthly Data'!AH62</f>
        <v>784.99999999999977</v>
      </c>
      <c r="F62" s="6">
        <f>'Monthly Data'!AI62</f>
        <v>0</v>
      </c>
      <c r="G62" s="6">
        <f>'Monthly Data'!AK62</f>
        <v>157.1</v>
      </c>
      <c r="H62" s="6">
        <f>'Monthly Data'!AO62</f>
        <v>61</v>
      </c>
      <c r="I62" s="6">
        <f>'Monthly Data'!AQ62</f>
        <v>0</v>
      </c>
      <c r="J62" s="6">
        <f>'Monthly Data'!AW62</f>
        <v>0</v>
      </c>
      <c r="K62" s="6">
        <f>'Monthly Data'!AX62</f>
        <v>0</v>
      </c>
      <c r="L62" s="6">
        <f>'Monthly Data'!AY62</f>
        <v>0</v>
      </c>
      <c r="M62" s="6">
        <f>'Monthly Data'!AZ62</f>
        <v>0</v>
      </c>
      <c r="O62" s="20">
        <f>'GS &gt; 50 OLS model'!$P$5</f>
        <v>-12525532.812157899</v>
      </c>
      <c r="P62" s="20">
        <f>'GS &gt; 50 OLS model'!$P$6*D62</f>
        <v>11107822.548354935</v>
      </c>
      <c r="Q62" s="20">
        <f>'GS &gt; 50 OLS model'!$P$7*E62</f>
        <v>2087846.1955312698</v>
      </c>
      <c r="R62" s="20">
        <f>'GS &gt; 50 OLS model'!$P$8*F62</f>
        <v>0</v>
      </c>
      <c r="S62" s="20">
        <f>'GS &gt; 50 OLS model'!$P$9*G62</f>
        <v>13594500.989006126</v>
      </c>
      <c r="T62" s="20">
        <f>'GS &gt; 50 OLS model'!$P$10*H62</f>
        <v>822171.86096695648</v>
      </c>
      <c r="U62" s="20">
        <f>'GS &gt; 50 OLS model'!$P$11*I62</f>
        <v>0</v>
      </c>
      <c r="V62" s="20">
        <f>'GS &gt; 50 OLS model'!$P$12*J62</f>
        <v>0</v>
      </c>
      <c r="W62" s="20">
        <f>'GS &gt; 50 OLS model'!$P$13*K62</f>
        <v>0</v>
      </c>
      <c r="X62" s="20">
        <f>'GS &gt; 50 OLS model'!$P$14*L62</f>
        <v>0</v>
      </c>
      <c r="Y62" s="20">
        <f>'GS &gt; 50 OLS model'!$P$15*M62</f>
        <v>0</v>
      </c>
      <c r="Z62" s="20">
        <f t="shared" si="3"/>
        <v>15086808.781701388</v>
      </c>
      <c r="AA62" s="23">
        <f t="shared" ca="1" si="4"/>
        <v>1.4195220699677099E-2</v>
      </c>
    </row>
    <row r="63" spans="1:27" ht="15">
      <c r="A63" s="22">
        <f>'Monthly Data'!A63</f>
        <v>41671</v>
      </c>
      <c r="B63" s="6">
        <f t="shared" si="2"/>
        <v>2014</v>
      </c>
      <c r="C63" s="20">
        <f ca="1">'Monthly Data'!O63</f>
        <v>13682562.631763957</v>
      </c>
      <c r="D63" s="20">
        <f>'Monthly Data'!Q63</f>
        <v>210</v>
      </c>
      <c r="E63" s="6">
        <f>'Monthly Data'!AH63</f>
        <v>674.19999999999982</v>
      </c>
      <c r="F63" s="6">
        <f>'Monthly Data'!AI63</f>
        <v>0</v>
      </c>
      <c r="G63" s="6">
        <f>'Monthly Data'!AK63</f>
        <v>154.69999999999999</v>
      </c>
      <c r="H63" s="6">
        <f>'Monthly Data'!AO63</f>
        <v>62</v>
      </c>
      <c r="I63" s="6">
        <f>'Monthly Data'!AQ63</f>
        <v>1</v>
      </c>
      <c r="J63" s="6">
        <f>'Monthly Data'!AW63</f>
        <v>0</v>
      </c>
      <c r="K63" s="6">
        <f>'Monthly Data'!AX63</f>
        <v>0</v>
      </c>
      <c r="L63" s="6">
        <f>'Monthly Data'!AY63</f>
        <v>0</v>
      </c>
      <c r="M63" s="6">
        <f>'Monthly Data'!AZ63</f>
        <v>0</v>
      </c>
      <c r="O63" s="20">
        <f>'GS &gt; 50 OLS model'!$P$5</f>
        <v>-12525532.812157899</v>
      </c>
      <c r="P63" s="20">
        <f>'GS &gt; 50 OLS model'!$P$6*D63</f>
        <v>11055178.83959496</v>
      </c>
      <c r="Q63" s="20">
        <f>'GS &gt; 50 OLS model'!$P$7*E63</f>
        <v>1793154.0191429073</v>
      </c>
      <c r="R63" s="20">
        <f>'GS &gt; 50 OLS model'!$P$8*F63</f>
        <v>0</v>
      </c>
      <c r="S63" s="20">
        <f>'GS &gt; 50 OLS model'!$P$9*G63</f>
        <v>13386819.242515899</v>
      </c>
      <c r="T63" s="20">
        <f>'GS &gt; 50 OLS model'!$P$10*H63</f>
        <v>835650.08819592302</v>
      </c>
      <c r="U63" s="20">
        <f>'GS &gt; 50 OLS model'!$P$11*I63</f>
        <v>-794437.04938529804</v>
      </c>
      <c r="V63" s="20">
        <f>'GS &gt; 50 OLS model'!$P$12*J63</f>
        <v>0</v>
      </c>
      <c r="W63" s="20">
        <f>'GS &gt; 50 OLS model'!$P$13*K63</f>
        <v>0</v>
      </c>
      <c r="X63" s="20">
        <f>'GS &gt; 50 OLS model'!$P$14*L63</f>
        <v>0</v>
      </c>
      <c r="Y63" s="20">
        <f>'GS &gt; 50 OLS model'!$P$15*M63</f>
        <v>0</v>
      </c>
      <c r="Z63" s="20">
        <f t="shared" si="3"/>
        <v>13750832.327906493</v>
      </c>
      <c r="AA63" s="23">
        <f t="shared" ca="1" si="4"/>
        <v>4.9895401892075478E-3</v>
      </c>
    </row>
    <row r="64" spans="1:27" ht="15">
      <c r="A64" s="22">
        <f>'Monthly Data'!A64</f>
        <v>41699</v>
      </c>
      <c r="B64" s="6">
        <f t="shared" si="2"/>
        <v>2014</v>
      </c>
      <c r="C64" s="20">
        <f ca="1">'Monthly Data'!O64</f>
        <v>14325269.380689258</v>
      </c>
      <c r="D64" s="20">
        <f>'Monthly Data'!Q64</f>
        <v>213</v>
      </c>
      <c r="E64" s="6">
        <f>'Monthly Data'!AH64</f>
        <v>591.90000000000009</v>
      </c>
      <c r="F64" s="6">
        <f>'Monthly Data'!AI64</f>
        <v>0</v>
      </c>
      <c r="G64" s="6">
        <f>'Monthly Data'!AK64</f>
        <v>152.4</v>
      </c>
      <c r="H64" s="6">
        <f>'Monthly Data'!AO64</f>
        <v>63</v>
      </c>
      <c r="I64" s="6">
        <f>'Monthly Data'!AQ64</f>
        <v>0</v>
      </c>
      <c r="J64" s="6">
        <f>'Monthly Data'!AW64</f>
        <v>0</v>
      </c>
      <c r="K64" s="6">
        <f>'Monthly Data'!AX64</f>
        <v>0</v>
      </c>
      <c r="L64" s="6">
        <f>'Monthly Data'!AY64</f>
        <v>0</v>
      </c>
      <c r="M64" s="6">
        <f>'Monthly Data'!AZ64</f>
        <v>0</v>
      </c>
      <c r="O64" s="20">
        <f>'GS &gt; 50 OLS model'!$P$5</f>
        <v>-12525532.812157899</v>
      </c>
      <c r="P64" s="20">
        <f>'GS &gt; 50 OLS model'!$P$6*D64</f>
        <v>11213109.965874888</v>
      </c>
      <c r="Q64" s="20">
        <f>'GS &gt; 50 OLS model'!$P$7*E64</f>
        <v>1574262.6281974001</v>
      </c>
      <c r="R64" s="20">
        <f>'GS &gt; 50 OLS model'!$P$8*F64</f>
        <v>0</v>
      </c>
      <c r="S64" s="20">
        <f>'GS &gt; 50 OLS model'!$P$9*G64</f>
        <v>13187790.902129432</v>
      </c>
      <c r="T64" s="20">
        <f>'GS &gt; 50 OLS model'!$P$10*H64</f>
        <v>849128.31542488944</v>
      </c>
      <c r="U64" s="20">
        <f>'GS &gt; 50 OLS model'!$P$11*I64</f>
        <v>0</v>
      </c>
      <c r="V64" s="20">
        <f>'GS &gt; 50 OLS model'!$P$12*J64</f>
        <v>0</v>
      </c>
      <c r="W64" s="20">
        <f>'GS &gt; 50 OLS model'!$P$13*K64</f>
        <v>0</v>
      </c>
      <c r="X64" s="20">
        <f>'GS &gt; 50 OLS model'!$P$14*L64</f>
        <v>0</v>
      </c>
      <c r="Y64" s="20">
        <f>'GS &gt; 50 OLS model'!$P$15*M64</f>
        <v>0</v>
      </c>
      <c r="Z64" s="20">
        <f t="shared" si="3"/>
        <v>14298758.99946871</v>
      </c>
      <c r="AA64" s="23">
        <f t="shared" ca="1" si="4"/>
        <v>1.8506026320373418E-3</v>
      </c>
    </row>
    <row r="65" spans="1:27" ht="15">
      <c r="A65" s="22">
        <f>'Monthly Data'!A65</f>
        <v>41730</v>
      </c>
      <c r="B65" s="6">
        <f t="shared" si="2"/>
        <v>2014</v>
      </c>
      <c r="C65" s="20">
        <f ca="1">'Monthly Data'!O65</f>
        <v>12347342.329740856</v>
      </c>
      <c r="D65" s="20">
        <f>'Monthly Data'!Q65</f>
        <v>211</v>
      </c>
      <c r="E65" s="6">
        <f>'Monthly Data'!AH65</f>
        <v>253.7</v>
      </c>
      <c r="F65" s="6">
        <f>'Monthly Data'!AI65</f>
        <v>0</v>
      </c>
      <c r="G65" s="6">
        <f>'Monthly Data'!AK65</f>
        <v>151.1</v>
      </c>
      <c r="H65" s="6">
        <f>'Monthly Data'!AO65</f>
        <v>64</v>
      </c>
      <c r="I65" s="6">
        <f>'Monthly Data'!AQ65</f>
        <v>0</v>
      </c>
      <c r="J65" s="6">
        <f>'Monthly Data'!AW65</f>
        <v>0</v>
      </c>
      <c r="K65" s="6">
        <f>'Monthly Data'!AX65</f>
        <v>0</v>
      </c>
      <c r="L65" s="6">
        <f>'Monthly Data'!AY65</f>
        <v>0</v>
      </c>
      <c r="M65" s="6">
        <f>'Monthly Data'!AZ65</f>
        <v>0</v>
      </c>
      <c r="O65" s="20">
        <f>'GS &gt; 50 OLS model'!$P$5</f>
        <v>-12525532.812157899</v>
      </c>
      <c r="P65" s="20">
        <f>'GS &gt; 50 OLS model'!$P$6*D65</f>
        <v>11107822.548354935</v>
      </c>
      <c r="Q65" s="20">
        <f>'GS &gt; 50 OLS model'!$P$7*E65</f>
        <v>674759.97427552007</v>
      </c>
      <c r="R65" s="20">
        <f>'GS &gt; 50 OLS model'!$P$8*F65</f>
        <v>0</v>
      </c>
      <c r="S65" s="20">
        <f>'GS &gt; 50 OLS model'!$P$9*G65</f>
        <v>13075296.62278056</v>
      </c>
      <c r="T65" s="20">
        <f>'GS &gt; 50 OLS model'!$P$10*H65</f>
        <v>862606.54265385598</v>
      </c>
      <c r="U65" s="20">
        <f>'GS &gt; 50 OLS model'!$P$11*I65</f>
        <v>0</v>
      </c>
      <c r="V65" s="20">
        <f>'GS &gt; 50 OLS model'!$P$12*J65</f>
        <v>0</v>
      </c>
      <c r="W65" s="20">
        <f>'GS &gt; 50 OLS model'!$P$13*K65</f>
        <v>0</v>
      </c>
      <c r="X65" s="20">
        <f>'GS &gt; 50 OLS model'!$P$14*L65</f>
        <v>0</v>
      </c>
      <c r="Y65" s="20">
        <f>'GS &gt; 50 OLS model'!$P$15*M65</f>
        <v>0</v>
      </c>
      <c r="Z65" s="20">
        <f t="shared" si="3"/>
        <v>13194952.875906972</v>
      </c>
      <c r="AA65" s="23">
        <f t="shared" ca="1" si="4"/>
        <v>6.8647205490082644E-2</v>
      </c>
    </row>
    <row r="66" spans="1:27" ht="15">
      <c r="A66" s="22">
        <f>'Monthly Data'!A66</f>
        <v>41760</v>
      </c>
      <c r="B66" s="6">
        <f t="shared" si="2"/>
        <v>2014</v>
      </c>
      <c r="C66" s="20">
        <f ca="1">'Monthly Data'!O66</f>
        <v>13027047.197540756</v>
      </c>
      <c r="D66" s="20">
        <f>'Monthly Data'!Q66</f>
        <v>213</v>
      </c>
      <c r="E66" s="6">
        <f>'Monthly Data'!AH66</f>
        <v>90.600000000000009</v>
      </c>
      <c r="F66" s="6">
        <f>'Monthly Data'!AI66</f>
        <v>36.4</v>
      </c>
      <c r="G66" s="6">
        <f>'Monthly Data'!AK66</f>
        <v>151.19999999999999</v>
      </c>
      <c r="H66" s="6">
        <f>'Monthly Data'!AO66</f>
        <v>65</v>
      </c>
      <c r="I66" s="6">
        <f>'Monthly Data'!AQ66</f>
        <v>0</v>
      </c>
      <c r="J66" s="6">
        <f>'Monthly Data'!AW66</f>
        <v>0</v>
      </c>
      <c r="K66" s="6">
        <f>'Monthly Data'!AX66</f>
        <v>0</v>
      </c>
      <c r="L66" s="6">
        <f>'Monthly Data'!AY66</f>
        <v>0</v>
      </c>
      <c r="M66" s="6">
        <f>'Monthly Data'!AZ66</f>
        <v>0</v>
      </c>
      <c r="O66" s="20">
        <f>'GS &gt; 50 OLS model'!$P$5</f>
        <v>-12525532.812157899</v>
      </c>
      <c r="P66" s="20">
        <f>'GS &gt; 50 OLS model'!$P$6*D66</f>
        <v>11213109.965874888</v>
      </c>
      <c r="Q66" s="20">
        <f>'GS &gt; 50 OLS model'!$P$7*E66</f>
        <v>240966.70740781291</v>
      </c>
      <c r="R66" s="20">
        <f>'GS &gt; 50 OLS model'!$P$8*F66</f>
        <v>533118.97259274113</v>
      </c>
      <c r="S66" s="20">
        <f>'GS &gt; 50 OLS model'!$P$9*G66</f>
        <v>13083950.028884318</v>
      </c>
      <c r="T66" s="20">
        <f>'GS &gt; 50 OLS model'!$P$10*H66</f>
        <v>876084.76988282253</v>
      </c>
      <c r="U66" s="20">
        <f>'GS &gt; 50 OLS model'!$P$11*I66</f>
        <v>0</v>
      </c>
      <c r="V66" s="20">
        <f>'GS &gt; 50 OLS model'!$P$12*J66</f>
        <v>0</v>
      </c>
      <c r="W66" s="20">
        <f>'GS &gt; 50 OLS model'!$P$13*K66</f>
        <v>0</v>
      </c>
      <c r="X66" s="20">
        <f>'GS &gt; 50 OLS model'!$P$14*L66</f>
        <v>0</v>
      </c>
      <c r="Y66" s="20">
        <f>'GS &gt; 50 OLS model'!$P$15*M66</f>
        <v>0</v>
      </c>
      <c r="Z66" s="20">
        <f t="shared" si="3"/>
        <v>13421697.632484684</v>
      </c>
      <c r="AA66" s="23">
        <f t="shared" ref="AA66:AA97" ca="1" si="5">ABS(Z66-C66)/C66</f>
        <v>3.0294696024316968E-2</v>
      </c>
    </row>
    <row r="67" spans="1:27" ht="15">
      <c r="A67" s="22">
        <f>'Monthly Data'!A67</f>
        <v>41791</v>
      </c>
      <c r="B67" s="6">
        <f t="shared" ref="B67:B97" si="6">YEAR(A67)</f>
        <v>2014</v>
      </c>
      <c r="C67" s="20">
        <f ca="1">'Monthly Data'!O67</f>
        <v>14734221.274116758</v>
      </c>
      <c r="D67" s="20">
        <f>'Monthly Data'!Q67</f>
        <v>214</v>
      </c>
      <c r="E67" s="6">
        <f>'Monthly Data'!AH67</f>
        <v>2.4000000000000004</v>
      </c>
      <c r="F67" s="6">
        <f>'Monthly Data'!AI67</f>
        <v>123.29999999999997</v>
      </c>
      <c r="G67" s="6">
        <f>'Monthly Data'!AK67</f>
        <v>150.9</v>
      </c>
      <c r="H67" s="6">
        <f>'Monthly Data'!AO67</f>
        <v>66</v>
      </c>
      <c r="I67" s="6">
        <f>'Monthly Data'!AQ67</f>
        <v>0</v>
      </c>
      <c r="J67" s="6">
        <f>'Monthly Data'!AW67</f>
        <v>0</v>
      </c>
      <c r="K67" s="6">
        <f>'Monthly Data'!AX67</f>
        <v>0</v>
      </c>
      <c r="L67" s="6">
        <f>'Monthly Data'!AY67</f>
        <v>0</v>
      </c>
      <c r="M67" s="6">
        <f>'Monthly Data'!AZ67</f>
        <v>0</v>
      </c>
      <c r="O67" s="20">
        <f>'GS &gt; 50 OLS model'!$P$5</f>
        <v>-12525532.812157899</v>
      </c>
      <c r="P67" s="20">
        <f>'GS &gt; 50 OLS model'!$P$6*D67</f>
        <v>11265753.674634863</v>
      </c>
      <c r="Q67" s="20">
        <f>'GS &gt; 50 OLS model'!$P$7*E67</f>
        <v>6383.2240372930573</v>
      </c>
      <c r="R67" s="20">
        <f>'GS &gt; 50 OLS model'!$P$8*F67</f>
        <v>1805867.2890298066</v>
      </c>
      <c r="S67" s="20">
        <f>'GS &gt; 50 OLS model'!$P$9*G67</f>
        <v>13057989.810573041</v>
      </c>
      <c r="T67" s="20">
        <f>'GS &gt; 50 OLS model'!$P$10*H67</f>
        <v>889562.99711178895</v>
      </c>
      <c r="U67" s="20">
        <f>'GS &gt; 50 OLS model'!$P$11*I67</f>
        <v>0</v>
      </c>
      <c r="V67" s="20">
        <f>'GS &gt; 50 OLS model'!$P$12*J67</f>
        <v>0</v>
      </c>
      <c r="W67" s="20">
        <f>'GS &gt; 50 OLS model'!$P$13*K67</f>
        <v>0</v>
      </c>
      <c r="X67" s="20">
        <f>'GS &gt; 50 OLS model'!$P$14*L67</f>
        <v>0</v>
      </c>
      <c r="Y67" s="20">
        <f>'GS &gt; 50 OLS model'!$P$15*M67</f>
        <v>0</v>
      </c>
      <c r="Z67" s="20">
        <f t="shared" ref="Z67:Z97" si="7">SUM(O67:Y67)</f>
        <v>14500024.183228895</v>
      </c>
      <c r="AA67" s="23">
        <f t="shared" ca="1" si="5"/>
        <v>1.5894772212989051E-2</v>
      </c>
    </row>
    <row r="68" spans="1:27" ht="15">
      <c r="A68" s="22">
        <f>'Monthly Data'!A68</f>
        <v>41821</v>
      </c>
      <c r="B68" s="6">
        <f t="shared" si="6"/>
        <v>2014</v>
      </c>
      <c r="C68" s="20">
        <f ca="1">'Monthly Data'!O68</f>
        <v>14543861.212159758</v>
      </c>
      <c r="D68" s="20">
        <f>'Monthly Data'!Q68</f>
        <v>214</v>
      </c>
      <c r="E68" s="6">
        <f>'Monthly Data'!AH68</f>
        <v>0.7</v>
      </c>
      <c r="F68" s="6">
        <f>'Monthly Data'!AI68</f>
        <v>113.59999999999997</v>
      </c>
      <c r="G68" s="6">
        <f>'Monthly Data'!AK68</f>
        <v>153.6</v>
      </c>
      <c r="H68" s="6">
        <f>'Monthly Data'!AO68</f>
        <v>67</v>
      </c>
      <c r="I68" s="6">
        <f>'Monthly Data'!AQ68</f>
        <v>0</v>
      </c>
      <c r="J68" s="6">
        <f>'Monthly Data'!AW68</f>
        <v>0</v>
      </c>
      <c r="K68" s="6">
        <f>'Monthly Data'!AX68</f>
        <v>0</v>
      </c>
      <c r="L68" s="6">
        <f>'Monthly Data'!AY68</f>
        <v>0</v>
      </c>
      <c r="M68" s="6">
        <f>'Monthly Data'!AZ68</f>
        <v>0</v>
      </c>
      <c r="O68" s="20">
        <f>'GS &gt; 50 OLS model'!$P$5</f>
        <v>-12525532.812157899</v>
      </c>
      <c r="P68" s="20">
        <f>'GS &gt; 50 OLS model'!$P$6*D68</f>
        <v>11265753.674634863</v>
      </c>
      <c r="Q68" s="20">
        <f>'GS &gt; 50 OLS model'!$P$7*E68</f>
        <v>1861.7736775438079</v>
      </c>
      <c r="R68" s="20">
        <f>'GS &gt; 50 OLS model'!$P$8*F68</f>
        <v>1663799.8705092135</v>
      </c>
      <c r="S68" s="20">
        <f>'GS &gt; 50 OLS model'!$P$9*G68</f>
        <v>13291631.775374545</v>
      </c>
      <c r="T68" s="20">
        <f>'GS &gt; 50 OLS model'!$P$10*H68</f>
        <v>903041.22434075549</v>
      </c>
      <c r="U68" s="20">
        <f>'GS &gt; 50 OLS model'!$P$11*I68</f>
        <v>0</v>
      </c>
      <c r="V68" s="20">
        <f>'GS &gt; 50 OLS model'!$P$12*J68</f>
        <v>0</v>
      </c>
      <c r="W68" s="20">
        <f>'GS &gt; 50 OLS model'!$P$13*K68</f>
        <v>0</v>
      </c>
      <c r="X68" s="20">
        <f>'GS &gt; 50 OLS model'!$P$14*L68</f>
        <v>0</v>
      </c>
      <c r="Y68" s="20">
        <f>'GS &gt; 50 OLS model'!$P$15*M68</f>
        <v>0</v>
      </c>
      <c r="Z68" s="20">
        <f t="shared" si="7"/>
        <v>14600555.506379021</v>
      </c>
      <c r="AA68" s="23">
        <f t="shared" ca="1" si="5"/>
        <v>3.8981597384786797E-3</v>
      </c>
    </row>
    <row r="69" spans="1:27" ht="15">
      <c r="A69" s="22">
        <f>'Monthly Data'!A69</f>
        <v>41852</v>
      </c>
      <c r="B69" s="6">
        <f t="shared" si="6"/>
        <v>2014</v>
      </c>
      <c r="C69" s="20">
        <f ca="1">'Monthly Data'!O69</f>
        <v>15553654.723300757</v>
      </c>
      <c r="D69" s="20">
        <f>'Monthly Data'!Q69</f>
        <v>213</v>
      </c>
      <c r="E69" s="6">
        <f>'Monthly Data'!AH69</f>
        <v>0.7</v>
      </c>
      <c r="F69" s="6">
        <f>'Monthly Data'!AI69</f>
        <v>130.19999999999996</v>
      </c>
      <c r="G69" s="6">
        <f>'Monthly Data'!AK69</f>
        <v>154.5</v>
      </c>
      <c r="H69" s="6">
        <f>'Monthly Data'!AO69</f>
        <v>68</v>
      </c>
      <c r="I69" s="6">
        <f>'Monthly Data'!AQ69</f>
        <v>0</v>
      </c>
      <c r="J69" s="6">
        <f>'Monthly Data'!AW69</f>
        <v>1</v>
      </c>
      <c r="K69" s="6">
        <f>'Monthly Data'!AX69</f>
        <v>0</v>
      </c>
      <c r="L69" s="6">
        <f>'Monthly Data'!AY69</f>
        <v>0</v>
      </c>
      <c r="M69" s="6">
        <f>'Monthly Data'!AZ69</f>
        <v>0</v>
      </c>
      <c r="O69" s="20">
        <f>'GS &gt; 50 OLS model'!$P$5</f>
        <v>-12525532.812157899</v>
      </c>
      <c r="P69" s="20">
        <f>'GS &gt; 50 OLS model'!$P$6*D69</f>
        <v>11213109.965874888</v>
      </c>
      <c r="Q69" s="20">
        <f>'GS &gt; 50 OLS model'!$P$7*E69</f>
        <v>1861.7736775438079</v>
      </c>
      <c r="R69" s="20">
        <f>'GS &gt; 50 OLS model'!$P$8*F69</f>
        <v>1906925.5558124965</v>
      </c>
      <c r="S69" s="20">
        <f>'GS &gt; 50 OLS model'!$P$9*G69</f>
        <v>13369512.430308381</v>
      </c>
      <c r="T69" s="20">
        <f>'GS &gt; 50 OLS model'!$P$10*H69</f>
        <v>916519.45156972203</v>
      </c>
      <c r="U69" s="20">
        <f>'GS &gt; 50 OLS model'!$P$11*I69</f>
        <v>0</v>
      </c>
      <c r="V69" s="20">
        <f>'GS &gt; 50 OLS model'!$P$12*J69</f>
        <v>1253169.7974445899</v>
      </c>
      <c r="W69" s="20">
        <f>'GS &gt; 50 OLS model'!$P$13*K69</f>
        <v>0</v>
      </c>
      <c r="X69" s="20">
        <f>'GS &gt; 50 OLS model'!$P$14*L69</f>
        <v>0</v>
      </c>
      <c r="Y69" s="20">
        <f>'GS &gt; 50 OLS model'!$P$15*M69</f>
        <v>0</v>
      </c>
      <c r="Z69" s="20">
        <f t="shared" si="7"/>
        <v>16135566.162529722</v>
      </c>
      <c r="AA69" s="23">
        <f t="shared" ca="1" si="5"/>
        <v>3.7413164274323896E-2</v>
      </c>
    </row>
    <row r="70" spans="1:27" ht="15">
      <c r="A70" s="22">
        <f>'Monthly Data'!A70</f>
        <v>41883</v>
      </c>
      <c r="B70" s="6">
        <f t="shared" si="6"/>
        <v>2014</v>
      </c>
      <c r="C70" s="20">
        <f ca="1">'Monthly Data'!O70</f>
        <v>15488003.303288059</v>
      </c>
      <c r="D70" s="20">
        <f>'Monthly Data'!Q70</f>
        <v>214</v>
      </c>
      <c r="E70" s="6">
        <f>'Monthly Data'!AH70</f>
        <v>57.20000000000001</v>
      </c>
      <c r="F70" s="6">
        <f>'Monthly Data'!AI70</f>
        <v>50.499999999999979</v>
      </c>
      <c r="G70" s="6">
        <f>'Monthly Data'!AK70</f>
        <v>156.6</v>
      </c>
      <c r="H70" s="6">
        <f>'Monthly Data'!AO70</f>
        <v>69</v>
      </c>
      <c r="I70" s="6">
        <f>'Monthly Data'!AQ70</f>
        <v>0</v>
      </c>
      <c r="J70" s="6">
        <f>'Monthly Data'!AW70</f>
        <v>0</v>
      </c>
      <c r="K70" s="6">
        <f>'Monthly Data'!AX70</f>
        <v>1</v>
      </c>
      <c r="L70" s="6">
        <f>'Monthly Data'!AY70</f>
        <v>0</v>
      </c>
      <c r="M70" s="6">
        <f>'Monthly Data'!AZ70</f>
        <v>0</v>
      </c>
      <c r="O70" s="20">
        <f>'GS &gt; 50 OLS model'!$P$5</f>
        <v>-12525532.812157899</v>
      </c>
      <c r="P70" s="20">
        <f>'GS &gt; 50 OLS model'!$P$6*D70</f>
        <v>11265753.674634863</v>
      </c>
      <c r="Q70" s="20">
        <f>'GS &gt; 50 OLS model'!$P$7*E70</f>
        <v>152133.50622215119</v>
      </c>
      <c r="R70" s="20">
        <f>'GS &gt; 50 OLS model'!$P$8*F70</f>
        <v>739629.34384432458</v>
      </c>
      <c r="S70" s="20">
        <f>'GS &gt; 50 OLS model'!$P$9*G70</f>
        <v>13551233.95848733</v>
      </c>
      <c r="T70" s="20">
        <f>'GS &gt; 50 OLS model'!$P$10*H70</f>
        <v>929997.67879868846</v>
      </c>
      <c r="U70" s="20">
        <f>'GS &gt; 50 OLS model'!$P$11*I70</f>
        <v>0</v>
      </c>
      <c r="V70" s="20">
        <f>'GS &gt; 50 OLS model'!$P$12*J70</f>
        <v>0</v>
      </c>
      <c r="W70" s="20">
        <f>'GS &gt; 50 OLS model'!$P$13*K70</f>
        <v>1963227.6010161501</v>
      </c>
      <c r="X70" s="20">
        <f>'GS &gt; 50 OLS model'!$P$14*L70</f>
        <v>0</v>
      </c>
      <c r="Y70" s="20">
        <f>'GS &gt; 50 OLS model'!$P$15*M70</f>
        <v>0</v>
      </c>
      <c r="Z70" s="20">
        <f t="shared" si="7"/>
        <v>16076442.950845608</v>
      </c>
      <c r="AA70" s="23">
        <f t="shared" ca="1" si="5"/>
        <v>3.7993254264907413E-2</v>
      </c>
    </row>
    <row r="71" spans="1:27" ht="15">
      <c r="A71" s="22">
        <f>'Monthly Data'!A71</f>
        <v>41913</v>
      </c>
      <c r="B71" s="6">
        <f t="shared" si="6"/>
        <v>2014</v>
      </c>
      <c r="C71" s="20">
        <f ca="1">'Monthly Data'!O71</f>
        <v>14136513.320189355</v>
      </c>
      <c r="D71" s="20">
        <f>'Monthly Data'!Q71</f>
        <v>214</v>
      </c>
      <c r="E71" s="6">
        <f>'Monthly Data'!AH71</f>
        <v>179.7</v>
      </c>
      <c r="F71" s="6">
        <f>'Monthly Data'!AI71</f>
        <v>3.9</v>
      </c>
      <c r="G71" s="6">
        <f>'Monthly Data'!AK71</f>
        <v>158.30000000000001</v>
      </c>
      <c r="H71" s="6">
        <f>'Monthly Data'!AO71</f>
        <v>70</v>
      </c>
      <c r="I71" s="6">
        <f>'Monthly Data'!AQ71</f>
        <v>0</v>
      </c>
      <c r="J71" s="6">
        <f>'Monthly Data'!AW71</f>
        <v>0</v>
      </c>
      <c r="K71" s="6">
        <f>'Monthly Data'!AX71</f>
        <v>0</v>
      </c>
      <c r="L71" s="6">
        <f>'Monthly Data'!AY71</f>
        <v>1</v>
      </c>
      <c r="M71" s="6">
        <f>'Monthly Data'!AZ71</f>
        <v>0</v>
      </c>
      <c r="O71" s="20">
        <f>'GS &gt; 50 OLS model'!$P$5</f>
        <v>-12525532.812157899</v>
      </c>
      <c r="P71" s="20">
        <f>'GS &gt; 50 OLS model'!$P$6*D71</f>
        <v>11265753.674634863</v>
      </c>
      <c r="Q71" s="20">
        <f>'GS &gt; 50 OLS model'!$P$7*E71</f>
        <v>477943.89979231753</v>
      </c>
      <c r="R71" s="20">
        <f>'GS &gt; 50 OLS model'!$P$8*F71</f>
        <v>57119.889920650829</v>
      </c>
      <c r="S71" s="20">
        <f>'GS &gt; 50 OLS model'!$P$9*G71</f>
        <v>13698341.862251243</v>
      </c>
      <c r="T71" s="20">
        <f>'GS &gt; 50 OLS model'!$P$10*H71</f>
        <v>943475.906027655</v>
      </c>
      <c r="U71" s="20">
        <f>'GS &gt; 50 OLS model'!$P$11*I71</f>
        <v>0</v>
      </c>
      <c r="V71" s="20">
        <f>'GS &gt; 50 OLS model'!$P$12*J71</f>
        <v>0</v>
      </c>
      <c r="W71" s="20">
        <f>'GS &gt; 50 OLS model'!$P$13*K71</f>
        <v>0</v>
      </c>
      <c r="X71" s="20">
        <f>'GS &gt; 50 OLS model'!$P$14*L71</f>
        <v>1449584.5870731501</v>
      </c>
      <c r="Y71" s="20">
        <f>'GS &gt; 50 OLS model'!$P$15*M71</f>
        <v>0</v>
      </c>
      <c r="Z71" s="20">
        <f t="shared" si="7"/>
        <v>15366687.007541981</v>
      </c>
      <c r="AA71" s="23">
        <f t="shared" ca="1" si="5"/>
        <v>8.7021011439626178E-2</v>
      </c>
    </row>
    <row r="72" spans="1:27" ht="15">
      <c r="A72" s="22">
        <f>'Monthly Data'!A72</f>
        <v>41944</v>
      </c>
      <c r="B72" s="6">
        <f t="shared" si="6"/>
        <v>2014</v>
      </c>
      <c r="C72" s="20">
        <f ca="1">'Monthly Data'!O72</f>
        <v>14316064.015974456</v>
      </c>
      <c r="D72" s="20">
        <f>'Monthly Data'!Q72</f>
        <v>203</v>
      </c>
      <c r="E72" s="6">
        <f>'Monthly Data'!AH72</f>
        <v>442</v>
      </c>
      <c r="F72" s="6">
        <f>'Monthly Data'!AI72</f>
        <v>0</v>
      </c>
      <c r="G72" s="6">
        <f>'Monthly Data'!AK72</f>
        <v>159.30000000000001</v>
      </c>
      <c r="H72" s="6">
        <f>'Monthly Data'!AO72</f>
        <v>71</v>
      </c>
      <c r="I72" s="6">
        <f>'Monthly Data'!AQ72</f>
        <v>0</v>
      </c>
      <c r="J72" s="6">
        <f>'Monthly Data'!AW72</f>
        <v>0</v>
      </c>
      <c r="K72" s="6">
        <f>'Monthly Data'!AX72</f>
        <v>0</v>
      </c>
      <c r="L72" s="6">
        <f>'Monthly Data'!AY72</f>
        <v>0</v>
      </c>
      <c r="M72" s="6">
        <f>'Monthly Data'!AZ72</f>
        <v>1</v>
      </c>
      <c r="O72" s="20">
        <f>'GS &gt; 50 OLS model'!$P$5</f>
        <v>-12525532.812157899</v>
      </c>
      <c r="P72" s="20">
        <f>'GS &gt; 50 OLS model'!$P$6*D72</f>
        <v>10686672.878275128</v>
      </c>
      <c r="Q72" s="20">
        <f>'GS &gt; 50 OLS model'!$P$7*E72</f>
        <v>1175577.0935348044</v>
      </c>
      <c r="R72" s="20">
        <f>'GS &gt; 50 OLS model'!$P$8*F72</f>
        <v>0</v>
      </c>
      <c r="S72" s="20">
        <f>'GS &gt; 50 OLS model'!$P$9*G72</f>
        <v>13784875.923288837</v>
      </c>
      <c r="T72" s="20">
        <f>'GS &gt; 50 OLS model'!$P$10*H72</f>
        <v>956954.13325662143</v>
      </c>
      <c r="U72" s="20">
        <f>'GS &gt; 50 OLS model'!$P$11*I72</f>
        <v>0</v>
      </c>
      <c r="V72" s="20">
        <f>'GS &gt; 50 OLS model'!$P$12*J72</f>
        <v>0</v>
      </c>
      <c r="W72" s="20">
        <f>'GS &gt; 50 OLS model'!$P$13*K72</f>
        <v>0</v>
      </c>
      <c r="X72" s="20">
        <f>'GS &gt; 50 OLS model'!$P$14*L72</f>
        <v>0</v>
      </c>
      <c r="Y72" s="20">
        <f>'GS &gt; 50 OLS model'!$P$15*M72</f>
        <v>653577.717998437</v>
      </c>
      <c r="Z72" s="20">
        <f t="shared" si="7"/>
        <v>14732124.93419593</v>
      </c>
      <c r="AA72" s="23">
        <f t="shared" ca="1" si="5"/>
        <v>2.9062521497334442E-2</v>
      </c>
    </row>
    <row r="73" spans="1:27" ht="15">
      <c r="A73" s="22">
        <f>'Monthly Data'!A73</f>
        <v>41974</v>
      </c>
      <c r="B73" s="6">
        <f t="shared" si="6"/>
        <v>2014</v>
      </c>
      <c r="C73" s="20">
        <f ca="1">'Monthly Data'!O73</f>
        <v>14393324.346090155</v>
      </c>
      <c r="D73" s="20">
        <f>'Monthly Data'!Q73</f>
        <v>207</v>
      </c>
      <c r="E73" s="6">
        <f>'Monthly Data'!AH73</f>
        <v>513.9</v>
      </c>
      <c r="F73" s="6">
        <f>'Monthly Data'!AI73</f>
        <v>0</v>
      </c>
      <c r="G73" s="6">
        <f>'Monthly Data'!AK73</f>
        <v>161.1</v>
      </c>
      <c r="H73" s="6">
        <f>'Monthly Data'!AO73</f>
        <v>72</v>
      </c>
      <c r="I73" s="6">
        <f>'Monthly Data'!AQ73</f>
        <v>0</v>
      </c>
      <c r="J73" s="6">
        <f>'Monthly Data'!AW73</f>
        <v>0</v>
      </c>
      <c r="K73" s="6">
        <f>'Monthly Data'!AX73</f>
        <v>0</v>
      </c>
      <c r="L73" s="6">
        <f>'Monthly Data'!AY73</f>
        <v>0</v>
      </c>
      <c r="M73" s="6">
        <f>'Monthly Data'!AZ73</f>
        <v>0</v>
      </c>
      <c r="O73" s="20">
        <f>'GS &gt; 50 OLS model'!$P$5</f>
        <v>-12525532.812157899</v>
      </c>
      <c r="P73" s="20">
        <f>'GS &gt; 50 OLS model'!$P$6*D73</f>
        <v>10897247.713315032</v>
      </c>
      <c r="Q73" s="20">
        <f>'GS &gt; 50 OLS model'!$P$7*E73</f>
        <v>1366807.8469853755</v>
      </c>
      <c r="R73" s="20">
        <f>'GS &gt; 50 OLS model'!$P$8*F73</f>
        <v>0</v>
      </c>
      <c r="S73" s="20">
        <f>'GS &gt; 50 OLS model'!$P$9*G73</f>
        <v>13940637.233156506</v>
      </c>
      <c r="T73" s="20">
        <f>'GS &gt; 50 OLS model'!$P$10*H73</f>
        <v>970432.36048558797</v>
      </c>
      <c r="U73" s="20">
        <f>'GS &gt; 50 OLS model'!$P$11*I73</f>
        <v>0</v>
      </c>
      <c r="V73" s="20">
        <f>'GS &gt; 50 OLS model'!$P$12*J73</f>
        <v>0</v>
      </c>
      <c r="W73" s="20">
        <f>'GS &gt; 50 OLS model'!$P$13*K73</f>
        <v>0</v>
      </c>
      <c r="X73" s="20">
        <f>'GS &gt; 50 OLS model'!$P$14*L73</f>
        <v>0</v>
      </c>
      <c r="Y73" s="20">
        <f>'GS &gt; 50 OLS model'!$P$15*M73</f>
        <v>0</v>
      </c>
      <c r="Z73" s="20">
        <f t="shared" si="7"/>
        <v>14649592.341784602</v>
      </c>
      <c r="AA73" s="23">
        <f t="shared" ca="1" si="5"/>
        <v>1.7804642592109773E-2</v>
      </c>
    </row>
    <row r="74" spans="1:27" ht="15">
      <c r="A74" s="22">
        <f>'Monthly Data'!A74</f>
        <v>42005</v>
      </c>
      <c r="B74" s="6">
        <f t="shared" si="6"/>
        <v>2015</v>
      </c>
      <c r="C74" s="20">
        <f ca="1">'Monthly Data'!O74</f>
        <v>15292979.442877699</v>
      </c>
      <c r="D74" s="20">
        <f>'Monthly Data'!Q74</f>
        <v>210</v>
      </c>
      <c r="E74" s="6">
        <f>'Monthly Data'!AH74</f>
        <v>724.69999999999982</v>
      </c>
      <c r="F74" s="6">
        <f>'Monthly Data'!AI74</f>
        <v>0</v>
      </c>
      <c r="G74" s="6">
        <f>'Monthly Data'!AK74</f>
        <v>159.30000000000001</v>
      </c>
      <c r="H74" s="6">
        <f>'Monthly Data'!AO74</f>
        <v>73</v>
      </c>
      <c r="I74" s="6">
        <f>'Monthly Data'!AQ74</f>
        <v>0</v>
      </c>
      <c r="J74" s="6">
        <f>'Monthly Data'!AW74</f>
        <v>0</v>
      </c>
      <c r="K74" s="6">
        <f>'Monthly Data'!AX74</f>
        <v>0</v>
      </c>
      <c r="L74" s="6">
        <f>'Monthly Data'!AY74</f>
        <v>0</v>
      </c>
      <c r="M74" s="6">
        <f>'Monthly Data'!AZ74</f>
        <v>0</v>
      </c>
      <c r="O74" s="20">
        <f>'GS &gt; 50 OLS model'!$P$5</f>
        <v>-12525532.812157899</v>
      </c>
      <c r="P74" s="20">
        <f>'GS &gt; 50 OLS model'!$P$6*D74</f>
        <v>11055178.83959496</v>
      </c>
      <c r="Q74" s="20">
        <f>'GS &gt; 50 OLS model'!$P$7*E74</f>
        <v>1927467.6915942819</v>
      </c>
      <c r="R74" s="20">
        <f>'GS &gt; 50 OLS model'!$P$8*F74</f>
        <v>0</v>
      </c>
      <c r="S74" s="20">
        <f>'GS &gt; 50 OLS model'!$P$9*G74</f>
        <v>13784875.923288837</v>
      </c>
      <c r="T74" s="20">
        <f>'GS &gt; 50 OLS model'!$P$10*H74</f>
        <v>983910.58771455451</v>
      </c>
      <c r="U74" s="20">
        <f>'GS &gt; 50 OLS model'!$P$11*I74</f>
        <v>0</v>
      </c>
      <c r="V74" s="20">
        <f>'GS &gt; 50 OLS model'!$P$12*J74</f>
        <v>0</v>
      </c>
      <c r="W74" s="20">
        <f>'GS &gt; 50 OLS model'!$P$13*K74</f>
        <v>0</v>
      </c>
      <c r="X74" s="20">
        <f>'GS &gt; 50 OLS model'!$P$14*L74</f>
        <v>0</v>
      </c>
      <c r="Y74" s="20">
        <f>'GS &gt; 50 OLS model'!$P$15*M74</f>
        <v>0</v>
      </c>
      <c r="Z74" s="20">
        <f t="shared" si="7"/>
        <v>15225900.230034735</v>
      </c>
      <c r="AA74" s="23">
        <f t="shared" ca="1" si="5"/>
        <v>4.3862749631958737E-3</v>
      </c>
    </row>
    <row r="75" spans="1:27" ht="15">
      <c r="A75" s="22">
        <f>'Monthly Data'!A75</f>
        <v>42036</v>
      </c>
      <c r="B75" s="6">
        <f t="shared" si="6"/>
        <v>2015</v>
      </c>
      <c r="C75" s="20">
        <f ca="1">'Monthly Data'!O75</f>
        <v>13718905.410599297</v>
      </c>
      <c r="D75" s="20">
        <f>'Monthly Data'!Q75</f>
        <v>209</v>
      </c>
      <c r="E75" s="6">
        <f>'Monthly Data'!AH75</f>
        <v>757.39999999999986</v>
      </c>
      <c r="F75" s="6">
        <f>'Monthly Data'!AI75</f>
        <v>0</v>
      </c>
      <c r="G75" s="6">
        <f>'Monthly Data'!AK75</f>
        <v>159.1</v>
      </c>
      <c r="H75" s="6">
        <f>'Monthly Data'!AO75</f>
        <v>74</v>
      </c>
      <c r="I75" s="6">
        <f>'Monthly Data'!AQ75</f>
        <v>1</v>
      </c>
      <c r="J75" s="6">
        <f>'Monthly Data'!AW75</f>
        <v>0</v>
      </c>
      <c r="K75" s="6">
        <f>'Monthly Data'!AX75</f>
        <v>0</v>
      </c>
      <c r="L75" s="6">
        <f>'Monthly Data'!AY75</f>
        <v>0</v>
      </c>
      <c r="M75" s="6">
        <f>'Monthly Data'!AZ75</f>
        <v>0</v>
      </c>
      <c r="O75" s="20">
        <f>'GS &gt; 50 OLS model'!$P$5</f>
        <v>-12525532.812157899</v>
      </c>
      <c r="P75" s="20">
        <f>'GS &gt; 50 OLS model'!$P$6*D75</f>
        <v>11002535.130834984</v>
      </c>
      <c r="Q75" s="20">
        <f>'GS &gt; 50 OLS model'!$P$7*E75</f>
        <v>2014439.1191024</v>
      </c>
      <c r="R75" s="20">
        <f>'GS &gt; 50 OLS model'!$P$8*F75</f>
        <v>0</v>
      </c>
      <c r="S75" s="20">
        <f>'GS &gt; 50 OLS model'!$P$9*G75</f>
        <v>13767569.111081317</v>
      </c>
      <c r="T75" s="20">
        <f>'GS &gt; 50 OLS model'!$P$10*H75</f>
        <v>997388.81494352093</v>
      </c>
      <c r="U75" s="20">
        <f>'GS &gt; 50 OLS model'!$P$11*I75</f>
        <v>-794437.04938529804</v>
      </c>
      <c r="V75" s="20">
        <f>'GS &gt; 50 OLS model'!$P$12*J75</f>
        <v>0</v>
      </c>
      <c r="W75" s="20">
        <f>'GS &gt; 50 OLS model'!$P$13*K75</f>
        <v>0</v>
      </c>
      <c r="X75" s="20">
        <f>'GS &gt; 50 OLS model'!$P$14*L75</f>
        <v>0</v>
      </c>
      <c r="Y75" s="20">
        <f>'GS &gt; 50 OLS model'!$P$15*M75</f>
        <v>0</v>
      </c>
      <c r="Z75" s="20">
        <f t="shared" si="7"/>
        <v>14461962.314419024</v>
      </c>
      <c r="AA75" s="23">
        <f t="shared" ca="1" si="5"/>
        <v>5.4162987613110676E-2</v>
      </c>
    </row>
    <row r="76" spans="1:27" ht="15">
      <c r="A76" s="22">
        <f>'Monthly Data'!A76</f>
        <v>42064</v>
      </c>
      <c r="B76" s="6">
        <f t="shared" si="6"/>
        <v>2015</v>
      </c>
      <c r="C76" s="20">
        <f ca="1">'Monthly Data'!O76</f>
        <v>14249105.727115598</v>
      </c>
      <c r="D76" s="20">
        <f>'Monthly Data'!Q76</f>
        <v>209</v>
      </c>
      <c r="E76" s="6">
        <f>'Monthly Data'!AH76</f>
        <v>508.7</v>
      </c>
      <c r="F76" s="6">
        <f>'Monthly Data'!AI76</f>
        <v>0</v>
      </c>
      <c r="G76" s="6">
        <f>'Monthly Data'!AK76</f>
        <v>156.1</v>
      </c>
      <c r="H76" s="6">
        <f>'Monthly Data'!AO76</f>
        <v>75</v>
      </c>
      <c r="I76" s="6">
        <f>'Monthly Data'!AQ76</f>
        <v>0</v>
      </c>
      <c r="J76" s="6">
        <f>'Monthly Data'!AW76</f>
        <v>0</v>
      </c>
      <c r="K76" s="6">
        <f>'Monthly Data'!AX76</f>
        <v>0</v>
      </c>
      <c r="L76" s="6">
        <f>'Monthly Data'!AY76</f>
        <v>0</v>
      </c>
      <c r="M76" s="6">
        <f>'Monthly Data'!AZ76</f>
        <v>0</v>
      </c>
      <c r="O76" s="20">
        <f>'GS &gt; 50 OLS model'!$P$5</f>
        <v>-12525532.812157899</v>
      </c>
      <c r="P76" s="20">
        <f>'GS &gt; 50 OLS model'!$P$6*D76</f>
        <v>11002535.130834984</v>
      </c>
      <c r="Q76" s="20">
        <f>'GS &gt; 50 OLS model'!$P$7*E76</f>
        <v>1352977.5282379074</v>
      </c>
      <c r="R76" s="20">
        <f>'GS &gt; 50 OLS model'!$P$8*F76</f>
        <v>0</v>
      </c>
      <c r="S76" s="20">
        <f>'GS &gt; 50 OLS model'!$P$9*G76</f>
        <v>13507966.927968532</v>
      </c>
      <c r="T76" s="20">
        <f>'GS &gt; 50 OLS model'!$P$10*H76</f>
        <v>1010867.0421724875</v>
      </c>
      <c r="U76" s="20">
        <f>'GS &gt; 50 OLS model'!$P$11*I76</f>
        <v>0</v>
      </c>
      <c r="V76" s="20">
        <f>'GS &gt; 50 OLS model'!$P$12*J76</f>
        <v>0</v>
      </c>
      <c r="W76" s="20">
        <f>'GS &gt; 50 OLS model'!$P$13*K76</f>
        <v>0</v>
      </c>
      <c r="X76" s="20">
        <f>'GS &gt; 50 OLS model'!$P$14*L76</f>
        <v>0</v>
      </c>
      <c r="Y76" s="20">
        <f>'GS &gt; 50 OLS model'!$P$15*M76</f>
        <v>0</v>
      </c>
      <c r="Z76" s="20">
        <f t="shared" si="7"/>
        <v>14348813.817056011</v>
      </c>
      <c r="AA76" s="23">
        <f t="shared" ca="1" si="5"/>
        <v>6.9974980781195616E-3</v>
      </c>
    </row>
    <row r="77" spans="1:27" ht="15">
      <c r="A77" s="22">
        <f>'Monthly Data'!A77</f>
        <v>42095</v>
      </c>
      <c r="B77" s="6">
        <f t="shared" si="6"/>
        <v>2015</v>
      </c>
      <c r="C77" s="20">
        <f ca="1">'Monthly Data'!O77</f>
        <v>13550882.035712998</v>
      </c>
      <c r="D77" s="20">
        <f>'Monthly Data'!Q77</f>
        <v>209</v>
      </c>
      <c r="E77" s="6">
        <f>'Monthly Data'!AH77</f>
        <v>257.39999999999992</v>
      </c>
      <c r="F77" s="6">
        <f>'Monthly Data'!AI77</f>
        <v>0</v>
      </c>
      <c r="G77" s="6">
        <f>'Monthly Data'!AK77</f>
        <v>156.4</v>
      </c>
      <c r="H77" s="6">
        <f>'Monthly Data'!AO77</f>
        <v>76</v>
      </c>
      <c r="I77" s="6">
        <f>'Monthly Data'!AQ77</f>
        <v>0</v>
      </c>
      <c r="J77" s="6">
        <f>'Monthly Data'!AW77</f>
        <v>0</v>
      </c>
      <c r="K77" s="6">
        <f>'Monthly Data'!AX77</f>
        <v>0</v>
      </c>
      <c r="L77" s="6">
        <f>'Monthly Data'!AY77</f>
        <v>0</v>
      </c>
      <c r="M77" s="6">
        <f>'Monthly Data'!AZ77</f>
        <v>0</v>
      </c>
      <c r="O77" s="20">
        <f>'GS &gt; 50 OLS model'!$P$5</f>
        <v>-12525532.812157899</v>
      </c>
      <c r="P77" s="20">
        <f>'GS &gt; 50 OLS model'!$P$6*D77</f>
        <v>11002535.130834984</v>
      </c>
      <c r="Q77" s="20">
        <f>'GS &gt; 50 OLS model'!$P$7*E77</f>
        <v>684600.77799968002</v>
      </c>
      <c r="R77" s="20">
        <f>'GS &gt; 50 OLS model'!$P$8*F77</f>
        <v>0</v>
      </c>
      <c r="S77" s="20">
        <f>'GS &gt; 50 OLS model'!$P$9*G77</f>
        <v>13533927.146279812</v>
      </c>
      <c r="T77" s="20">
        <f>'GS &gt; 50 OLS model'!$P$10*H77</f>
        <v>1024345.269401454</v>
      </c>
      <c r="U77" s="20">
        <f>'GS &gt; 50 OLS model'!$P$11*I77</f>
        <v>0</v>
      </c>
      <c r="V77" s="20">
        <f>'GS &gt; 50 OLS model'!$P$12*J77</f>
        <v>0</v>
      </c>
      <c r="W77" s="20">
        <f>'GS &gt; 50 OLS model'!$P$13*K77</f>
        <v>0</v>
      </c>
      <c r="X77" s="20">
        <f>'GS &gt; 50 OLS model'!$P$14*L77</f>
        <v>0</v>
      </c>
      <c r="Y77" s="20">
        <f>'GS &gt; 50 OLS model'!$P$15*M77</f>
        <v>0</v>
      </c>
      <c r="Z77" s="20">
        <f t="shared" si="7"/>
        <v>13719875.51235803</v>
      </c>
      <c r="AA77" s="23">
        <f t="shared" ca="1" si="5"/>
        <v>1.2471031494455786E-2</v>
      </c>
    </row>
    <row r="78" spans="1:27" ht="15">
      <c r="A78" s="22">
        <f>'Monthly Data'!A78</f>
        <v>42125</v>
      </c>
      <c r="B78" s="6">
        <f t="shared" si="6"/>
        <v>2015</v>
      </c>
      <c r="C78" s="20">
        <f ca="1">'Monthly Data'!O78</f>
        <v>14127007.598327398</v>
      </c>
      <c r="D78" s="20">
        <f>'Monthly Data'!Q78</f>
        <v>209</v>
      </c>
      <c r="E78" s="6">
        <f>'Monthly Data'!AH78</f>
        <v>68.7</v>
      </c>
      <c r="F78" s="6">
        <f>'Monthly Data'!AI78</f>
        <v>64.099999999999994</v>
      </c>
      <c r="G78" s="6">
        <f>'Monthly Data'!AK78</f>
        <v>159.1</v>
      </c>
      <c r="H78" s="6">
        <f>'Monthly Data'!AO78</f>
        <v>77</v>
      </c>
      <c r="I78" s="6">
        <f>'Monthly Data'!AQ78</f>
        <v>0</v>
      </c>
      <c r="J78" s="6">
        <f>'Monthly Data'!AW78</f>
        <v>0</v>
      </c>
      <c r="K78" s="6">
        <f>'Monthly Data'!AX78</f>
        <v>0</v>
      </c>
      <c r="L78" s="6">
        <f>'Monthly Data'!AY78</f>
        <v>0</v>
      </c>
      <c r="M78" s="6">
        <f>'Monthly Data'!AZ78</f>
        <v>0</v>
      </c>
      <c r="O78" s="20">
        <f>'GS &gt; 50 OLS model'!$P$5</f>
        <v>-12525532.812157899</v>
      </c>
      <c r="P78" s="20">
        <f>'GS &gt; 50 OLS model'!$P$6*D78</f>
        <v>11002535.130834984</v>
      </c>
      <c r="Q78" s="20">
        <f>'GS &gt; 50 OLS model'!$P$7*E78</f>
        <v>182719.78806751376</v>
      </c>
      <c r="R78" s="20">
        <f>'GS &gt; 50 OLS model'!$P$8*F78</f>
        <v>938816.65228556877</v>
      </c>
      <c r="S78" s="20">
        <f>'GS &gt; 50 OLS model'!$P$9*G78</f>
        <v>13767569.111081317</v>
      </c>
      <c r="T78" s="20">
        <f>'GS &gt; 50 OLS model'!$P$10*H78</f>
        <v>1037823.4966304204</v>
      </c>
      <c r="U78" s="20">
        <f>'GS &gt; 50 OLS model'!$P$11*I78</f>
        <v>0</v>
      </c>
      <c r="V78" s="20">
        <f>'GS &gt; 50 OLS model'!$P$12*J78</f>
        <v>0</v>
      </c>
      <c r="W78" s="20">
        <f>'GS &gt; 50 OLS model'!$P$13*K78</f>
        <v>0</v>
      </c>
      <c r="X78" s="20">
        <f>'GS &gt; 50 OLS model'!$P$14*L78</f>
        <v>0</v>
      </c>
      <c r="Y78" s="20">
        <f>'GS &gt; 50 OLS model'!$P$15*M78</f>
        <v>0</v>
      </c>
      <c r="Z78" s="20">
        <f t="shared" si="7"/>
        <v>14403931.366741905</v>
      </c>
      <c r="AA78" s="23">
        <f t="shared" ca="1" si="5"/>
        <v>1.9602436431569115E-2</v>
      </c>
    </row>
    <row r="79" spans="1:27" ht="15">
      <c r="A79" s="22">
        <f>'Monthly Data'!A79</f>
        <v>42156</v>
      </c>
      <c r="B79" s="6">
        <f t="shared" si="6"/>
        <v>2015</v>
      </c>
      <c r="C79" s="20">
        <f ca="1">'Monthly Data'!O79</f>
        <v>14819671.828454498</v>
      </c>
      <c r="D79" s="20">
        <f>'Monthly Data'!Q79</f>
        <v>210</v>
      </c>
      <c r="E79" s="6">
        <f>'Monthly Data'!AH79</f>
        <v>13.1</v>
      </c>
      <c r="F79" s="6">
        <f>'Monthly Data'!AI79</f>
        <v>89.59999999999998</v>
      </c>
      <c r="G79" s="6">
        <f>'Monthly Data'!AK79</f>
        <v>163.9</v>
      </c>
      <c r="H79" s="6">
        <f>'Monthly Data'!AO79</f>
        <v>78</v>
      </c>
      <c r="I79" s="6">
        <f>'Monthly Data'!AQ79</f>
        <v>0</v>
      </c>
      <c r="J79" s="6">
        <f>'Monthly Data'!AW79</f>
        <v>0</v>
      </c>
      <c r="K79" s="6">
        <f>'Monthly Data'!AX79</f>
        <v>0</v>
      </c>
      <c r="L79" s="6">
        <f>'Monthly Data'!AY79</f>
        <v>0</v>
      </c>
      <c r="M79" s="6">
        <f>'Monthly Data'!AZ79</f>
        <v>0</v>
      </c>
      <c r="O79" s="20">
        <f>'GS &gt; 50 OLS model'!$P$5</f>
        <v>-12525532.812157899</v>
      </c>
      <c r="P79" s="20">
        <f>'GS &gt; 50 OLS model'!$P$6*D79</f>
        <v>11055178.83959496</v>
      </c>
      <c r="Q79" s="20">
        <f>'GS &gt; 50 OLS model'!$P$7*E79</f>
        <v>34841.764536891264</v>
      </c>
      <c r="R79" s="20">
        <f>'GS &gt; 50 OLS model'!$P$8*F79</f>
        <v>1312292.8556129008</v>
      </c>
      <c r="S79" s="20">
        <f>'GS &gt; 50 OLS model'!$P$9*G79</f>
        <v>14182932.604061771</v>
      </c>
      <c r="T79" s="20">
        <f>'GS &gt; 50 OLS model'!$P$10*H79</f>
        <v>1051301.723859387</v>
      </c>
      <c r="U79" s="20">
        <f>'GS &gt; 50 OLS model'!$P$11*I79</f>
        <v>0</v>
      </c>
      <c r="V79" s="20">
        <f>'GS &gt; 50 OLS model'!$P$12*J79</f>
        <v>0</v>
      </c>
      <c r="W79" s="20">
        <f>'GS &gt; 50 OLS model'!$P$13*K79</f>
        <v>0</v>
      </c>
      <c r="X79" s="20">
        <f>'GS &gt; 50 OLS model'!$P$14*L79</f>
        <v>0</v>
      </c>
      <c r="Y79" s="20">
        <f>'GS &gt; 50 OLS model'!$P$15*M79</f>
        <v>0</v>
      </c>
      <c r="Z79" s="20">
        <f t="shared" si="7"/>
        <v>15111014.97550801</v>
      </c>
      <c r="AA79" s="23">
        <f t="shared" ca="1" si="5"/>
        <v>1.9659217182806887E-2</v>
      </c>
    </row>
    <row r="80" spans="1:27" ht="15">
      <c r="A80" s="22">
        <f>'Monthly Data'!A80</f>
        <v>42186</v>
      </c>
      <c r="B80" s="6">
        <f t="shared" si="6"/>
        <v>2015</v>
      </c>
      <c r="C80" s="20">
        <f ca="1">'Monthly Data'!O80</f>
        <v>17164140.077347599</v>
      </c>
      <c r="D80" s="20">
        <f>'Monthly Data'!Q80</f>
        <v>211</v>
      </c>
      <c r="E80" s="6">
        <f>'Monthly Data'!AH80</f>
        <v>1.9</v>
      </c>
      <c r="F80" s="6">
        <f>'Monthly Data'!AI80</f>
        <v>152.89999999999998</v>
      </c>
      <c r="G80" s="6">
        <f>'Monthly Data'!AK80</f>
        <v>164.8</v>
      </c>
      <c r="H80" s="6">
        <f>'Monthly Data'!AO80</f>
        <v>79</v>
      </c>
      <c r="I80" s="6">
        <f>'Monthly Data'!AQ80</f>
        <v>0</v>
      </c>
      <c r="J80" s="6">
        <f>'Monthly Data'!AW80</f>
        <v>0</v>
      </c>
      <c r="K80" s="6">
        <f>'Monthly Data'!AX80</f>
        <v>0</v>
      </c>
      <c r="L80" s="6">
        <f>'Monthly Data'!AY80</f>
        <v>0</v>
      </c>
      <c r="M80" s="6">
        <f>'Monthly Data'!AZ80</f>
        <v>0</v>
      </c>
      <c r="O80" s="20">
        <f>'GS &gt; 50 OLS model'!$P$5</f>
        <v>-12525532.812157899</v>
      </c>
      <c r="P80" s="20">
        <f>'GS &gt; 50 OLS model'!$P$6*D80</f>
        <v>11107822.548354935</v>
      </c>
      <c r="Q80" s="20">
        <f>'GS &gt; 50 OLS model'!$P$7*E80</f>
        <v>5053.3856961903357</v>
      </c>
      <c r="R80" s="20">
        <f>'GS &gt; 50 OLS model'!$P$8*F80</f>
        <v>2239392.6074019261</v>
      </c>
      <c r="S80" s="20">
        <f>'GS &gt; 50 OLS model'!$P$9*G80</f>
        <v>14260813.258995607</v>
      </c>
      <c r="T80" s="20">
        <f>'GS &gt; 50 OLS model'!$P$10*H80</f>
        <v>1064779.9510883535</v>
      </c>
      <c r="U80" s="20">
        <f>'GS &gt; 50 OLS model'!$P$11*I80</f>
        <v>0</v>
      </c>
      <c r="V80" s="20">
        <f>'GS &gt; 50 OLS model'!$P$12*J80</f>
        <v>0</v>
      </c>
      <c r="W80" s="20">
        <f>'GS &gt; 50 OLS model'!$P$13*K80</f>
        <v>0</v>
      </c>
      <c r="X80" s="20">
        <f>'GS &gt; 50 OLS model'!$P$14*L80</f>
        <v>0</v>
      </c>
      <c r="Y80" s="20">
        <f>'GS &gt; 50 OLS model'!$P$15*M80</f>
        <v>0</v>
      </c>
      <c r="Z80" s="20">
        <f t="shared" si="7"/>
        <v>16152328.939379115</v>
      </c>
      <c r="AA80" s="23">
        <f t="shared" ca="1" si="5"/>
        <v>5.894913076966924E-2</v>
      </c>
    </row>
    <row r="81" spans="1:27" ht="15">
      <c r="A81" s="22">
        <f>'Monthly Data'!A81</f>
        <v>42217</v>
      </c>
      <c r="B81" s="6">
        <f t="shared" si="6"/>
        <v>2015</v>
      </c>
      <c r="C81" s="20">
        <f ca="1">'Monthly Data'!O81</f>
        <v>17217721.319291797</v>
      </c>
      <c r="D81" s="20">
        <f>'Monthly Data'!Q81</f>
        <v>213</v>
      </c>
      <c r="E81" s="6">
        <f>'Monthly Data'!AH81</f>
        <v>3.2</v>
      </c>
      <c r="F81" s="6">
        <f>'Monthly Data'!AI81</f>
        <v>138.69999999999999</v>
      </c>
      <c r="G81" s="6">
        <f>'Monthly Data'!AK81</f>
        <v>160.80000000000001</v>
      </c>
      <c r="H81" s="6">
        <f>'Monthly Data'!AO81</f>
        <v>80</v>
      </c>
      <c r="I81" s="6">
        <f>'Monthly Data'!AQ81</f>
        <v>0</v>
      </c>
      <c r="J81" s="6">
        <f>'Monthly Data'!AW81</f>
        <v>1</v>
      </c>
      <c r="K81" s="6">
        <f>'Monthly Data'!AX81</f>
        <v>0</v>
      </c>
      <c r="L81" s="6">
        <f>'Monthly Data'!AY81</f>
        <v>0</v>
      </c>
      <c r="M81" s="6">
        <f>'Monthly Data'!AZ81</f>
        <v>0</v>
      </c>
      <c r="O81" s="20">
        <f>'GS &gt; 50 OLS model'!$P$5</f>
        <v>-12525532.812157899</v>
      </c>
      <c r="P81" s="20">
        <f>'GS &gt; 50 OLS model'!$P$6*D81</f>
        <v>11213109.965874888</v>
      </c>
      <c r="Q81" s="20">
        <f>'GS &gt; 50 OLS model'!$P$7*E81</f>
        <v>8510.965383057408</v>
      </c>
      <c r="R81" s="20">
        <f>'GS &gt; 50 OLS model'!$P$8*F81</f>
        <v>2031417.6235882742</v>
      </c>
      <c r="S81" s="20">
        <f>'GS &gt; 50 OLS model'!$P$9*G81</f>
        <v>13914677.014845228</v>
      </c>
      <c r="T81" s="20">
        <f>'GS &gt; 50 OLS model'!$P$10*H81</f>
        <v>1078258.1783173201</v>
      </c>
      <c r="U81" s="20">
        <f>'GS &gt; 50 OLS model'!$P$11*I81</f>
        <v>0</v>
      </c>
      <c r="V81" s="20">
        <f>'GS &gt; 50 OLS model'!$P$12*J81</f>
        <v>1253169.7974445899</v>
      </c>
      <c r="W81" s="20">
        <f>'GS &gt; 50 OLS model'!$P$13*K81</f>
        <v>0</v>
      </c>
      <c r="X81" s="20">
        <f>'GS &gt; 50 OLS model'!$P$14*L81</f>
        <v>0</v>
      </c>
      <c r="Y81" s="20">
        <f>'GS &gt; 50 OLS model'!$P$15*M81</f>
        <v>0</v>
      </c>
      <c r="Z81" s="20">
        <f t="shared" si="7"/>
        <v>16973610.733295459</v>
      </c>
      <c r="AA81" s="23">
        <f t="shared" ca="1" si="5"/>
        <v>1.4177868340964532E-2</v>
      </c>
    </row>
    <row r="82" spans="1:27" ht="15">
      <c r="A82" s="22">
        <f>'Monthly Data'!A82</f>
        <v>42248</v>
      </c>
      <c r="B82" s="6">
        <f t="shared" si="6"/>
        <v>2015</v>
      </c>
      <c r="C82" s="20">
        <f ca="1">'Monthly Data'!O82</f>
        <v>17819369.446930595</v>
      </c>
      <c r="D82" s="20">
        <f>'Monthly Data'!Q82</f>
        <v>221</v>
      </c>
      <c r="E82" s="6">
        <f>'Monthly Data'!AH82</f>
        <v>10.8</v>
      </c>
      <c r="F82" s="6">
        <f>'Monthly Data'!AI82</f>
        <v>109.19999999999997</v>
      </c>
      <c r="G82" s="6">
        <f>'Monthly Data'!AK82</f>
        <v>156.69999999999999</v>
      </c>
      <c r="H82" s="6">
        <f>'Monthly Data'!AO82</f>
        <v>81</v>
      </c>
      <c r="I82" s="6">
        <f>'Monthly Data'!AQ82</f>
        <v>0</v>
      </c>
      <c r="J82" s="6">
        <f>'Monthly Data'!AW82</f>
        <v>0</v>
      </c>
      <c r="K82" s="6">
        <f>'Monthly Data'!AX82</f>
        <v>1</v>
      </c>
      <c r="L82" s="6">
        <f>'Monthly Data'!AY82</f>
        <v>0</v>
      </c>
      <c r="M82" s="6">
        <f>'Monthly Data'!AZ82</f>
        <v>0</v>
      </c>
      <c r="O82" s="20">
        <f>'GS &gt; 50 OLS model'!$P$5</f>
        <v>-12525532.812157899</v>
      </c>
      <c r="P82" s="20">
        <f>'GS &gt; 50 OLS model'!$P$6*D82</f>
        <v>11634259.635954695</v>
      </c>
      <c r="Q82" s="20">
        <f>'GS &gt; 50 OLS model'!$P$7*E82</f>
        <v>28724.508167818756</v>
      </c>
      <c r="R82" s="20">
        <f>'GS &gt; 50 OLS model'!$P$8*F82</f>
        <v>1599356.9177782228</v>
      </c>
      <c r="S82" s="20">
        <f>'GS &gt; 50 OLS model'!$P$9*G82</f>
        <v>13559887.364591088</v>
      </c>
      <c r="T82" s="20">
        <f>'GS &gt; 50 OLS model'!$P$10*H82</f>
        <v>1091736.4055462864</v>
      </c>
      <c r="U82" s="20">
        <f>'GS &gt; 50 OLS model'!$P$11*I82</f>
        <v>0</v>
      </c>
      <c r="V82" s="20">
        <f>'GS &gt; 50 OLS model'!$P$12*J82</f>
        <v>0</v>
      </c>
      <c r="W82" s="20">
        <f>'GS &gt; 50 OLS model'!$P$13*K82</f>
        <v>1963227.6010161501</v>
      </c>
      <c r="X82" s="20">
        <f>'GS &gt; 50 OLS model'!$P$14*L82</f>
        <v>0</v>
      </c>
      <c r="Y82" s="20">
        <f>'GS &gt; 50 OLS model'!$P$15*M82</f>
        <v>0</v>
      </c>
      <c r="Z82" s="20">
        <f t="shared" si="7"/>
        <v>17351659.620896362</v>
      </c>
      <c r="AA82" s="23">
        <f t="shared" ca="1" si="5"/>
        <v>2.6247271399089629E-2</v>
      </c>
    </row>
    <row r="83" spans="1:27" ht="15">
      <c r="A83" s="22">
        <f>'Monthly Data'!A83</f>
        <v>42278</v>
      </c>
      <c r="B83" s="6">
        <f t="shared" si="6"/>
        <v>2015</v>
      </c>
      <c r="C83" s="20">
        <f ca="1">'Monthly Data'!O83</f>
        <v>15846417.326269798</v>
      </c>
      <c r="D83" s="20">
        <f>'Monthly Data'!Q83</f>
        <v>212</v>
      </c>
      <c r="E83" s="6">
        <f>'Monthly Data'!AH83</f>
        <v>157.80000000000001</v>
      </c>
      <c r="F83" s="6">
        <f>'Monthly Data'!AI83</f>
        <v>2.6</v>
      </c>
      <c r="G83" s="6">
        <f>'Monthly Data'!AK83</f>
        <v>155.1</v>
      </c>
      <c r="H83" s="6">
        <f>'Monthly Data'!AO83</f>
        <v>82</v>
      </c>
      <c r="I83" s="6">
        <f>'Monthly Data'!AQ83</f>
        <v>0</v>
      </c>
      <c r="J83" s="6">
        <f>'Monthly Data'!AW83</f>
        <v>0</v>
      </c>
      <c r="K83" s="6">
        <f>'Monthly Data'!AX83</f>
        <v>0</v>
      </c>
      <c r="L83" s="6">
        <f>'Monthly Data'!AY83</f>
        <v>1</v>
      </c>
      <c r="M83" s="6">
        <f>'Monthly Data'!AZ83</f>
        <v>0</v>
      </c>
      <c r="O83" s="20">
        <f>'GS &gt; 50 OLS model'!$P$5</f>
        <v>-12525532.812157899</v>
      </c>
      <c r="P83" s="20">
        <f>'GS &gt; 50 OLS model'!$P$6*D83</f>
        <v>11160466.257114911</v>
      </c>
      <c r="Q83" s="20">
        <f>'GS &gt; 50 OLS model'!$P$7*E83</f>
        <v>419696.9804520185</v>
      </c>
      <c r="R83" s="20">
        <f>'GS &gt; 50 OLS model'!$P$8*F83</f>
        <v>38079.926613767224</v>
      </c>
      <c r="S83" s="20">
        <f>'GS &gt; 50 OLS model'!$P$9*G83</f>
        <v>13421432.866930937</v>
      </c>
      <c r="T83" s="20">
        <f>'GS &gt; 50 OLS model'!$P$10*H83</f>
        <v>1105214.6327752529</v>
      </c>
      <c r="U83" s="20">
        <f>'GS &gt; 50 OLS model'!$P$11*I83</f>
        <v>0</v>
      </c>
      <c r="V83" s="20">
        <f>'GS &gt; 50 OLS model'!$P$12*J83</f>
        <v>0</v>
      </c>
      <c r="W83" s="20">
        <f>'GS &gt; 50 OLS model'!$P$13*K83</f>
        <v>0</v>
      </c>
      <c r="X83" s="20">
        <f>'GS &gt; 50 OLS model'!$P$14*L83</f>
        <v>1449584.5870731501</v>
      </c>
      <c r="Y83" s="20">
        <f>'GS &gt; 50 OLS model'!$P$15*M83</f>
        <v>0</v>
      </c>
      <c r="Z83" s="20">
        <f t="shared" si="7"/>
        <v>15068942.438802138</v>
      </c>
      <c r="AA83" s="23">
        <f t="shared" ca="1" si="5"/>
        <v>4.9063133417468527E-2</v>
      </c>
    </row>
    <row r="84" spans="1:27" ht="15">
      <c r="A84" s="22">
        <f>'Monthly Data'!A84</f>
        <v>42309</v>
      </c>
      <c r="B84" s="6">
        <f t="shared" si="6"/>
        <v>2015</v>
      </c>
      <c r="C84" s="20">
        <f ca="1">'Monthly Data'!O84</f>
        <v>15229786.954621598</v>
      </c>
      <c r="D84" s="20">
        <f>'Monthly Data'!Q84</f>
        <v>214</v>
      </c>
      <c r="E84" s="6">
        <f>'Monthly Data'!AH84</f>
        <v>286.60000000000002</v>
      </c>
      <c r="F84" s="6">
        <f>'Monthly Data'!AI84</f>
        <v>0.5</v>
      </c>
      <c r="G84" s="6">
        <f>'Monthly Data'!AK84</f>
        <v>155.19999999999999</v>
      </c>
      <c r="H84" s="6">
        <f>'Monthly Data'!AO84</f>
        <v>83</v>
      </c>
      <c r="I84" s="6">
        <f>'Monthly Data'!AQ84</f>
        <v>0</v>
      </c>
      <c r="J84" s="6">
        <f>'Monthly Data'!AW84</f>
        <v>0</v>
      </c>
      <c r="K84" s="6">
        <f>'Monthly Data'!AX84</f>
        <v>0</v>
      </c>
      <c r="L84" s="6">
        <f>'Monthly Data'!AY84</f>
        <v>0</v>
      </c>
      <c r="M84" s="6">
        <f>'Monthly Data'!AZ84</f>
        <v>1</v>
      </c>
      <c r="O84" s="20">
        <f>'GS &gt; 50 OLS model'!$P$5</f>
        <v>-12525532.812157899</v>
      </c>
      <c r="P84" s="20">
        <f>'GS &gt; 50 OLS model'!$P$6*D84</f>
        <v>11265753.674634863</v>
      </c>
      <c r="Q84" s="20">
        <f>'GS &gt; 50 OLS model'!$P$7*E84</f>
        <v>762263.3371200792</v>
      </c>
      <c r="R84" s="20">
        <f>'GS &gt; 50 OLS model'!$P$8*F84</f>
        <v>7323.0628103398503</v>
      </c>
      <c r="S84" s="20">
        <f>'GS &gt; 50 OLS model'!$P$9*G84</f>
        <v>13430086.273034696</v>
      </c>
      <c r="T84" s="20">
        <f>'GS &gt; 50 OLS model'!$P$10*H84</f>
        <v>1118692.8600042195</v>
      </c>
      <c r="U84" s="20">
        <f>'GS &gt; 50 OLS model'!$P$11*I84</f>
        <v>0</v>
      </c>
      <c r="V84" s="20">
        <f>'GS &gt; 50 OLS model'!$P$12*J84</f>
        <v>0</v>
      </c>
      <c r="W84" s="20">
        <f>'GS &gt; 50 OLS model'!$P$13*K84</f>
        <v>0</v>
      </c>
      <c r="X84" s="20">
        <f>'GS &gt; 50 OLS model'!$P$14*L84</f>
        <v>0</v>
      </c>
      <c r="Y84" s="20">
        <f>'GS &gt; 50 OLS model'!$P$15*M84</f>
        <v>653577.717998437</v>
      </c>
      <c r="Z84" s="20">
        <f t="shared" si="7"/>
        <v>14712164.113444736</v>
      </c>
      <c r="AA84" s="23">
        <f t="shared" ca="1" si="5"/>
        <v>3.3987530010706105E-2</v>
      </c>
    </row>
    <row r="85" spans="1:27" ht="15">
      <c r="A85" s="22">
        <f>'Monthly Data'!A85</f>
        <v>42339</v>
      </c>
      <c r="B85" s="6">
        <f t="shared" si="6"/>
        <v>2015</v>
      </c>
      <c r="C85" s="20">
        <f ca="1">'Monthly Data'!O85</f>
        <v>14365011.014332298</v>
      </c>
      <c r="D85" s="20">
        <f>'Monthly Data'!Q85</f>
        <v>216</v>
      </c>
      <c r="E85" s="6">
        <f>'Monthly Data'!AH85</f>
        <v>392.2</v>
      </c>
      <c r="F85" s="6">
        <f>'Monthly Data'!AI85</f>
        <v>0</v>
      </c>
      <c r="G85" s="6">
        <f>'Monthly Data'!AK85</f>
        <v>155.19999999999999</v>
      </c>
      <c r="H85" s="6">
        <f>'Monthly Data'!AO85</f>
        <v>84</v>
      </c>
      <c r="I85" s="6">
        <f>'Monthly Data'!AQ85</f>
        <v>0</v>
      </c>
      <c r="J85" s="6">
        <f>'Monthly Data'!AW85</f>
        <v>0</v>
      </c>
      <c r="K85" s="6">
        <f>'Monthly Data'!AX85</f>
        <v>0</v>
      </c>
      <c r="L85" s="6">
        <f>'Monthly Data'!AY85</f>
        <v>0</v>
      </c>
      <c r="M85" s="6">
        <f>'Monthly Data'!AZ85</f>
        <v>0</v>
      </c>
      <c r="O85" s="20">
        <f>'GS &gt; 50 OLS model'!$P$5</f>
        <v>-12525532.812157899</v>
      </c>
      <c r="P85" s="20">
        <f>'GS &gt; 50 OLS model'!$P$6*D85</f>
        <v>11371041.092154816</v>
      </c>
      <c r="Q85" s="20">
        <f>'GS &gt; 50 OLS model'!$P$7*E85</f>
        <v>1043125.1947609736</v>
      </c>
      <c r="R85" s="20">
        <f>'GS &gt; 50 OLS model'!$P$8*F85</f>
        <v>0</v>
      </c>
      <c r="S85" s="20">
        <f>'GS &gt; 50 OLS model'!$P$9*G85</f>
        <v>13430086.273034696</v>
      </c>
      <c r="T85" s="20">
        <f>'GS &gt; 50 OLS model'!$P$10*H85</f>
        <v>1132171.087233186</v>
      </c>
      <c r="U85" s="20">
        <f>'GS &gt; 50 OLS model'!$P$11*I85</f>
        <v>0</v>
      </c>
      <c r="V85" s="20">
        <f>'GS &gt; 50 OLS model'!$P$12*J85</f>
        <v>0</v>
      </c>
      <c r="W85" s="20">
        <f>'GS &gt; 50 OLS model'!$P$13*K85</f>
        <v>0</v>
      </c>
      <c r="X85" s="20">
        <f>'GS &gt; 50 OLS model'!$P$14*L85</f>
        <v>0</v>
      </c>
      <c r="Y85" s="20">
        <f>'GS &gt; 50 OLS model'!$P$15*M85</f>
        <v>0</v>
      </c>
      <c r="Z85" s="20">
        <f t="shared" si="7"/>
        <v>14450890.835025772</v>
      </c>
      <c r="AA85" s="23">
        <f t="shared" ca="1" si="5"/>
        <v>5.9784027041670917E-3</v>
      </c>
    </row>
    <row r="86" spans="1:27" ht="15">
      <c r="A86" s="22">
        <f>'Monthly Data'!A86</f>
        <v>42370</v>
      </c>
      <c r="B86" s="6">
        <f t="shared" si="6"/>
        <v>2016</v>
      </c>
      <c r="C86" s="20">
        <f ca="1">'Monthly Data'!O86</f>
        <v>15431424.738603622</v>
      </c>
      <c r="D86" s="20">
        <f>'Monthly Data'!Q86</f>
        <v>213</v>
      </c>
      <c r="E86" s="6">
        <f>'Monthly Data'!AH86</f>
        <v>618.5</v>
      </c>
      <c r="F86" s="6">
        <f>'Monthly Data'!AI86</f>
        <v>0</v>
      </c>
      <c r="G86" s="6">
        <f>'Monthly Data'!AK86</f>
        <v>155</v>
      </c>
      <c r="H86" s="6">
        <f>'Monthly Data'!AO86</f>
        <v>85</v>
      </c>
      <c r="I86" s="6">
        <f>'Monthly Data'!AQ86</f>
        <v>0</v>
      </c>
      <c r="J86" s="6">
        <f>'Monthly Data'!AW86</f>
        <v>0</v>
      </c>
      <c r="K86" s="6">
        <f>'Monthly Data'!AX86</f>
        <v>0</v>
      </c>
      <c r="L86" s="6">
        <f>'Monthly Data'!AY86</f>
        <v>0</v>
      </c>
      <c r="M86" s="6">
        <f>'Monthly Data'!AZ86</f>
        <v>0</v>
      </c>
      <c r="O86" s="20">
        <f>'GS &gt; 50 OLS model'!$P$5</f>
        <v>-12525532.812157899</v>
      </c>
      <c r="P86" s="20">
        <f>'GS &gt; 50 OLS model'!$P$6*D86</f>
        <v>11213109.965874888</v>
      </c>
      <c r="Q86" s="20">
        <f>'GS &gt; 50 OLS model'!$P$7*E86</f>
        <v>1645010.0279440647</v>
      </c>
      <c r="R86" s="20">
        <f>'GS &gt; 50 OLS model'!$P$8*F86</f>
        <v>0</v>
      </c>
      <c r="S86" s="20">
        <f>'GS &gt; 50 OLS model'!$P$9*G86</f>
        <v>13412779.460827179</v>
      </c>
      <c r="T86" s="20">
        <f>'GS &gt; 50 OLS model'!$P$10*H86</f>
        <v>1145649.3144621525</v>
      </c>
      <c r="U86" s="20">
        <f>'GS &gt; 50 OLS model'!$P$11*I86</f>
        <v>0</v>
      </c>
      <c r="V86" s="20">
        <f>'GS &gt; 50 OLS model'!$P$12*J86</f>
        <v>0</v>
      </c>
      <c r="W86" s="20">
        <f>'GS &gt; 50 OLS model'!$P$13*K86</f>
        <v>0</v>
      </c>
      <c r="X86" s="20">
        <f>'GS &gt; 50 OLS model'!$P$14*L86</f>
        <v>0</v>
      </c>
      <c r="Y86" s="20">
        <f>'GS &gt; 50 OLS model'!$P$15*M86</f>
        <v>0</v>
      </c>
      <c r="Z86" s="20">
        <f t="shared" si="7"/>
        <v>14891015.956950387</v>
      </c>
      <c r="AA86" s="23">
        <f t="shared" ca="1" si="5"/>
        <v>3.5020018618328555E-2</v>
      </c>
    </row>
    <row r="87" spans="1:27" ht="15">
      <c r="A87" s="22">
        <f>'Monthly Data'!A87</f>
        <v>42401</v>
      </c>
      <c r="B87" s="6">
        <f t="shared" si="6"/>
        <v>2016</v>
      </c>
      <c r="C87" s="20">
        <f ca="1">'Monthly Data'!O87</f>
        <v>15030864.146966521</v>
      </c>
      <c r="D87" s="20">
        <f>'Monthly Data'!Q87</f>
        <v>213</v>
      </c>
      <c r="E87" s="6">
        <f>'Monthly Data'!AH87</f>
        <v>510.5</v>
      </c>
      <c r="F87" s="6">
        <f>'Monthly Data'!AI87</f>
        <v>0</v>
      </c>
      <c r="G87" s="6">
        <f>'Monthly Data'!AK87</f>
        <v>156</v>
      </c>
      <c r="H87" s="6">
        <f>'Monthly Data'!AO87</f>
        <v>86</v>
      </c>
      <c r="I87" s="6">
        <f>'Monthly Data'!AQ87</f>
        <v>1</v>
      </c>
      <c r="J87" s="6">
        <f>'Monthly Data'!AW87</f>
        <v>0</v>
      </c>
      <c r="K87" s="6">
        <f>'Monthly Data'!AX87</f>
        <v>0</v>
      </c>
      <c r="L87" s="6">
        <f>'Monthly Data'!AY87</f>
        <v>0</v>
      </c>
      <c r="M87" s="6">
        <f>'Monthly Data'!AZ87</f>
        <v>0</v>
      </c>
      <c r="O87" s="20">
        <f>'GS &gt; 50 OLS model'!$P$5</f>
        <v>-12525532.812157899</v>
      </c>
      <c r="P87" s="20">
        <f>'GS &gt; 50 OLS model'!$P$6*D87</f>
        <v>11213109.965874888</v>
      </c>
      <c r="Q87" s="20">
        <f>'GS &gt; 50 OLS model'!$P$7*E87</f>
        <v>1357764.9462658772</v>
      </c>
      <c r="R87" s="20">
        <f>'GS &gt; 50 OLS model'!$P$8*F87</f>
        <v>0</v>
      </c>
      <c r="S87" s="20">
        <f>'GS &gt; 50 OLS model'!$P$9*G87</f>
        <v>13499313.521864774</v>
      </c>
      <c r="T87" s="20">
        <f>'GS &gt; 50 OLS model'!$P$10*H87</f>
        <v>1159127.5416911191</v>
      </c>
      <c r="U87" s="20">
        <f>'GS &gt; 50 OLS model'!$P$11*I87</f>
        <v>-794437.04938529804</v>
      </c>
      <c r="V87" s="20">
        <f>'GS &gt; 50 OLS model'!$P$12*J87</f>
        <v>0</v>
      </c>
      <c r="W87" s="20">
        <f>'GS &gt; 50 OLS model'!$P$13*K87</f>
        <v>0</v>
      </c>
      <c r="X87" s="20">
        <f>'GS &gt; 50 OLS model'!$P$14*L87</f>
        <v>0</v>
      </c>
      <c r="Y87" s="20">
        <f>'GS &gt; 50 OLS model'!$P$15*M87</f>
        <v>0</v>
      </c>
      <c r="Z87" s="20">
        <f t="shared" si="7"/>
        <v>13909346.114153462</v>
      </c>
      <c r="AA87" s="23">
        <f t="shared" ca="1" si="5"/>
        <v>7.4614341653763155E-2</v>
      </c>
    </row>
    <row r="88" spans="1:27" ht="15">
      <c r="A88" s="22">
        <f>'Monthly Data'!A88</f>
        <v>42430</v>
      </c>
      <c r="B88" s="6">
        <f t="shared" si="6"/>
        <v>2016</v>
      </c>
      <c r="C88" s="20">
        <f ca="1">'Monthly Data'!O88</f>
        <v>15122357.521874521</v>
      </c>
      <c r="D88" s="20">
        <f>'Monthly Data'!Q88</f>
        <v>214</v>
      </c>
      <c r="E88" s="6">
        <f>'Monthly Data'!AH88</f>
        <v>350.9</v>
      </c>
      <c r="F88" s="6">
        <f>'Monthly Data'!AI88</f>
        <v>0</v>
      </c>
      <c r="G88" s="6">
        <f>'Monthly Data'!AK88</f>
        <v>156.80000000000001</v>
      </c>
      <c r="H88" s="6">
        <f>'Monthly Data'!AO88</f>
        <v>87</v>
      </c>
      <c r="I88" s="6">
        <f>'Monthly Data'!AQ88</f>
        <v>0</v>
      </c>
      <c r="J88" s="6">
        <f>'Monthly Data'!AW88</f>
        <v>0</v>
      </c>
      <c r="K88" s="6">
        <f>'Monthly Data'!AX88</f>
        <v>0</v>
      </c>
      <c r="L88" s="6">
        <f>'Monthly Data'!AY88</f>
        <v>0</v>
      </c>
      <c r="M88" s="6">
        <f>'Monthly Data'!AZ88</f>
        <v>0</v>
      </c>
      <c r="O88" s="20">
        <f>'GS &gt; 50 OLS model'!$P$5</f>
        <v>-12525532.812157899</v>
      </c>
      <c r="P88" s="20">
        <f>'GS &gt; 50 OLS model'!$P$6*D88</f>
        <v>11265753.674634863</v>
      </c>
      <c r="Q88" s="20">
        <f>'GS &gt; 50 OLS model'!$P$7*E88</f>
        <v>933280.54778588889</v>
      </c>
      <c r="R88" s="20">
        <f>'GS &gt; 50 OLS model'!$P$8*F88</f>
        <v>0</v>
      </c>
      <c r="S88" s="20">
        <f>'GS &gt; 50 OLS model'!$P$9*G88</f>
        <v>13568540.77069485</v>
      </c>
      <c r="T88" s="20">
        <f>'GS &gt; 50 OLS model'!$P$10*H88</f>
        <v>1172605.7689200854</v>
      </c>
      <c r="U88" s="20">
        <f>'GS &gt; 50 OLS model'!$P$11*I88</f>
        <v>0</v>
      </c>
      <c r="V88" s="20">
        <f>'GS &gt; 50 OLS model'!$P$12*J88</f>
        <v>0</v>
      </c>
      <c r="W88" s="20">
        <f>'GS &gt; 50 OLS model'!$P$13*K88</f>
        <v>0</v>
      </c>
      <c r="X88" s="20">
        <f>'GS &gt; 50 OLS model'!$P$14*L88</f>
        <v>0</v>
      </c>
      <c r="Y88" s="20">
        <f>'GS &gt; 50 OLS model'!$P$15*M88</f>
        <v>0</v>
      </c>
      <c r="Z88" s="20">
        <f t="shared" si="7"/>
        <v>14414647.949877787</v>
      </c>
      <c r="AA88" s="23">
        <f t="shared" ca="1" si="5"/>
        <v>4.6798891705412349E-2</v>
      </c>
    </row>
    <row r="89" spans="1:27" ht="15">
      <c r="A89" s="22">
        <f>'Monthly Data'!A89</f>
        <v>42461</v>
      </c>
      <c r="B89" s="6">
        <f t="shared" si="6"/>
        <v>2016</v>
      </c>
      <c r="C89" s="20">
        <f ca="1">'Monthly Data'!O89</f>
        <v>14803652.51585792</v>
      </c>
      <c r="D89" s="20">
        <f>'Monthly Data'!Q89</f>
        <v>218</v>
      </c>
      <c r="E89" s="6">
        <f>'Monthly Data'!AH89</f>
        <v>315.20000000000005</v>
      </c>
      <c r="F89" s="6">
        <f>'Monthly Data'!AI89</f>
        <v>0</v>
      </c>
      <c r="G89" s="6">
        <f>'Monthly Data'!AK89</f>
        <v>159.30000000000001</v>
      </c>
      <c r="H89" s="6">
        <f>'Monthly Data'!AO89</f>
        <v>88</v>
      </c>
      <c r="I89" s="6">
        <f>'Monthly Data'!AQ89</f>
        <v>0</v>
      </c>
      <c r="J89" s="6">
        <f>'Monthly Data'!AW89</f>
        <v>0</v>
      </c>
      <c r="K89" s="6">
        <f>'Monthly Data'!AX89</f>
        <v>0</v>
      </c>
      <c r="L89" s="6">
        <f>'Monthly Data'!AY89</f>
        <v>0</v>
      </c>
      <c r="M89" s="6">
        <f>'Monthly Data'!AZ89</f>
        <v>0</v>
      </c>
      <c r="O89" s="20">
        <f>'GS &gt; 50 OLS model'!$P$5</f>
        <v>-12525532.812157899</v>
      </c>
      <c r="P89" s="20">
        <f>'GS &gt; 50 OLS model'!$P$6*D89</f>
        <v>11476328.509674767</v>
      </c>
      <c r="Q89" s="20">
        <f>'GS &gt; 50 OLS model'!$P$7*E89</f>
        <v>838330.09023115481</v>
      </c>
      <c r="R89" s="20">
        <f>'GS &gt; 50 OLS model'!$P$8*F89</f>
        <v>0</v>
      </c>
      <c r="S89" s="20">
        <f>'GS &gt; 50 OLS model'!$P$9*G89</f>
        <v>13784875.923288837</v>
      </c>
      <c r="T89" s="20">
        <f>'GS &gt; 50 OLS model'!$P$10*H89</f>
        <v>1186083.9961490519</v>
      </c>
      <c r="U89" s="20">
        <f>'GS &gt; 50 OLS model'!$P$11*I89</f>
        <v>0</v>
      </c>
      <c r="V89" s="20">
        <f>'GS &gt; 50 OLS model'!$P$12*J89</f>
        <v>0</v>
      </c>
      <c r="W89" s="20">
        <f>'GS &gt; 50 OLS model'!$P$13*K89</f>
        <v>0</v>
      </c>
      <c r="X89" s="20">
        <f>'GS &gt; 50 OLS model'!$P$14*L89</f>
        <v>0</v>
      </c>
      <c r="Y89" s="20">
        <f>'GS &gt; 50 OLS model'!$P$15*M89</f>
        <v>0</v>
      </c>
      <c r="Z89" s="20">
        <f t="shared" si="7"/>
        <v>14760085.707185911</v>
      </c>
      <c r="AA89" s="23">
        <f t="shared" ca="1" si="5"/>
        <v>2.9429769866145899E-3</v>
      </c>
    </row>
    <row r="90" spans="1:27" ht="15">
      <c r="A90" s="22">
        <f>'Monthly Data'!A90</f>
        <v>42491</v>
      </c>
      <c r="B90" s="6">
        <f t="shared" si="6"/>
        <v>2016</v>
      </c>
      <c r="C90" s="20">
        <f ca="1">'Monthly Data'!O90</f>
        <v>15283276.211668622</v>
      </c>
      <c r="D90" s="20">
        <f>'Monthly Data'!Q90</f>
        <v>220</v>
      </c>
      <c r="E90" s="6">
        <f>'Monthly Data'!AH90</f>
        <v>110.9</v>
      </c>
      <c r="F90" s="6">
        <f>'Monthly Data'!AI90</f>
        <v>47</v>
      </c>
      <c r="G90" s="6">
        <f>'Monthly Data'!AK90</f>
        <v>162.1</v>
      </c>
      <c r="H90" s="6">
        <f>'Monthly Data'!AO90</f>
        <v>89</v>
      </c>
      <c r="I90" s="6">
        <f>'Monthly Data'!AQ90</f>
        <v>0</v>
      </c>
      <c r="J90" s="6">
        <f>'Monthly Data'!AW90</f>
        <v>0</v>
      </c>
      <c r="K90" s="6">
        <f>'Monthly Data'!AX90</f>
        <v>0</v>
      </c>
      <c r="L90" s="6">
        <f>'Monthly Data'!AY90</f>
        <v>0</v>
      </c>
      <c r="M90" s="6">
        <f>'Monthly Data'!AZ90</f>
        <v>0</v>
      </c>
      <c r="O90" s="20">
        <f>'GS &gt; 50 OLS model'!$P$5</f>
        <v>-12525532.812157899</v>
      </c>
      <c r="P90" s="20">
        <f>'GS &gt; 50 OLS model'!$P$6*D90</f>
        <v>11581615.92719472</v>
      </c>
      <c r="Q90" s="20">
        <f>'GS &gt; 50 OLS model'!$P$7*E90</f>
        <v>294958.14405658335</v>
      </c>
      <c r="R90" s="20">
        <f>'GS &gt; 50 OLS model'!$P$8*F90</f>
        <v>688367.90417194588</v>
      </c>
      <c r="S90" s="20">
        <f>'GS &gt; 50 OLS model'!$P$9*G90</f>
        <v>14027171.2941941</v>
      </c>
      <c r="T90" s="20">
        <f>'GS &gt; 50 OLS model'!$P$10*H90</f>
        <v>1199562.2233780185</v>
      </c>
      <c r="U90" s="20">
        <f>'GS &gt; 50 OLS model'!$P$11*I90</f>
        <v>0</v>
      </c>
      <c r="V90" s="20">
        <f>'GS &gt; 50 OLS model'!$P$12*J90</f>
        <v>0</v>
      </c>
      <c r="W90" s="20">
        <f>'GS &gt; 50 OLS model'!$P$13*K90</f>
        <v>0</v>
      </c>
      <c r="X90" s="20">
        <f>'GS &gt; 50 OLS model'!$P$14*L90</f>
        <v>0</v>
      </c>
      <c r="Y90" s="20">
        <f>'GS &gt; 50 OLS model'!$P$15*M90</f>
        <v>0</v>
      </c>
      <c r="Z90" s="20">
        <f t="shared" si="7"/>
        <v>15266142.680837467</v>
      </c>
      <c r="AA90" s="23">
        <f t="shared" ca="1" si="5"/>
        <v>1.1210640044621561E-3</v>
      </c>
    </row>
    <row r="91" spans="1:27" ht="15">
      <c r="A91" s="22">
        <f>'Monthly Data'!A91</f>
        <v>42522</v>
      </c>
      <c r="B91" s="6">
        <f t="shared" si="6"/>
        <v>2016</v>
      </c>
      <c r="C91" s="20">
        <f ca="1">'Monthly Data'!O91</f>
        <v>17013951.366398223</v>
      </c>
      <c r="D91" s="20">
        <f>'Monthly Data'!Q91</f>
        <v>221</v>
      </c>
      <c r="E91" s="6">
        <f>'Monthly Data'!AH91</f>
        <v>5.6</v>
      </c>
      <c r="F91" s="6">
        <f>'Monthly Data'!AI91</f>
        <v>127.2</v>
      </c>
      <c r="G91" s="6">
        <f>'Monthly Data'!AK91</f>
        <v>166.7</v>
      </c>
      <c r="H91" s="6">
        <f>'Monthly Data'!AO91</f>
        <v>90</v>
      </c>
      <c r="I91" s="6">
        <f>'Monthly Data'!AQ91</f>
        <v>0</v>
      </c>
      <c r="J91" s="6">
        <f>'Monthly Data'!AW91</f>
        <v>0</v>
      </c>
      <c r="K91" s="6">
        <f>'Monthly Data'!AX91</f>
        <v>0</v>
      </c>
      <c r="L91" s="6">
        <f>'Monthly Data'!AY91</f>
        <v>0</v>
      </c>
      <c r="M91" s="6">
        <f>'Monthly Data'!AZ91</f>
        <v>0</v>
      </c>
      <c r="O91" s="20">
        <f>'GS &gt; 50 OLS model'!$P$5</f>
        <v>-12525532.812157899</v>
      </c>
      <c r="P91" s="20">
        <f>'GS &gt; 50 OLS model'!$P$6*D91</f>
        <v>11634259.635954695</v>
      </c>
      <c r="Q91" s="20">
        <f>'GS &gt; 50 OLS model'!$P$7*E91</f>
        <v>14894.189420350463</v>
      </c>
      <c r="R91" s="20">
        <f>'GS &gt; 50 OLS model'!$P$8*F91</f>
        <v>1862987.1789504581</v>
      </c>
      <c r="S91" s="20">
        <f>'GS &gt; 50 OLS model'!$P$9*G91</f>
        <v>14425227.974967036</v>
      </c>
      <c r="T91" s="20">
        <f>'GS &gt; 50 OLS model'!$P$10*H91</f>
        <v>1213040.450606985</v>
      </c>
      <c r="U91" s="20">
        <f>'GS &gt; 50 OLS model'!$P$11*I91</f>
        <v>0</v>
      </c>
      <c r="V91" s="20">
        <f>'GS &gt; 50 OLS model'!$P$12*J91</f>
        <v>0</v>
      </c>
      <c r="W91" s="20">
        <f>'GS &gt; 50 OLS model'!$P$13*K91</f>
        <v>0</v>
      </c>
      <c r="X91" s="20">
        <f>'GS &gt; 50 OLS model'!$P$14*L91</f>
        <v>0</v>
      </c>
      <c r="Y91" s="20">
        <f>'GS &gt; 50 OLS model'!$P$15*M91</f>
        <v>0</v>
      </c>
      <c r="Z91" s="20">
        <f t="shared" si="7"/>
        <v>16624876.617741626</v>
      </c>
      <c r="AA91" s="23">
        <f t="shared" ca="1" si="5"/>
        <v>2.2867982885210421E-2</v>
      </c>
    </row>
    <row r="92" spans="1:27" ht="15">
      <c r="A92" s="22">
        <f>'Monthly Data'!A92</f>
        <v>42552</v>
      </c>
      <c r="B92" s="6">
        <f t="shared" si="6"/>
        <v>2016</v>
      </c>
      <c r="C92" s="20">
        <f ca="1">'Monthly Data'!O92</f>
        <v>18981418.061228823</v>
      </c>
      <c r="D92" s="20">
        <f>'Monthly Data'!Q92</f>
        <v>247</v>
      </c>
      <c r="E92" s="6">
        <f>'Monthly Data'!AH92</f>
        <v>0</v>
      </c>
      <c r="F92" s="6">
        <f>'Monthly Data'!AI92</f>
        <v>213.1</v>
      </c>
      <c r="G92" s="6">
        <f>'Monthly Data'!AK92</f>
        <v>169.9</v>
      </c>
      <c r="H92" s="6">
        <f>'Monthly Data'!AO92</f>
        <v>91</v>
      </c>
      <c r="I92" s="6">
        <f>'Monthly Data'!AQ92</f>
        <v>0</v>
      </c>
      <c r="J92" s="6">
        <f>'Monthly Data'!AW92</f>
        <v>0</v>
      </c>
      <c r="K92" s="6">
        <f>'Monthly Data'!AX92</f>
        <v>0</v>
      </c>
      <c r="L92" s="6">
        <f>'Monthly Data'!AY92</f>
        <v>0</v>
      </c>
      <c r="M92" s="6">
        <f>'Monthly Data'!AZ92</f>
        <v>0</v>
      </c>
      <c r="O92" s="20">
        <f>'GS &gt; 50 OLS model'!$P$5</f>
        <v>-12525532.812157899</v>
      </c>
      <c r="P92" s="20">
        <f>'GS &gt; 50 OLS model'!$P$6*D92</f>
        <v>13002996.063714072</v>
      </c>
      <c r="Q92" s="20">
        <f>'GS &gt; 50 OLS model'!$P$7*E92</f>
        <v>0</v>
      </c>
      <c r="R92" s="20">
        <f>'GS &gt; 50 OLS model'!$P$8*F92</f>
        <v>3121089.369766844</v>
      </c>
      <c r="S92" s="20">
        <f>'GS &gt; 50 OLS model'!$P$9*G92</f>
        <v>14702136.97028734</v>
      </c>
      <c r="T92" s="20">
        <f>'GS &gt; 50 OLS model'!$P$10*H92</f>
        <v>1226518.6778359516</v>
      </c>
      <c r="U92" s="20">
        <f>'GS &gt; 50 OLS model'!$P$11*I92</f>
        <v>0</v>
      </c>
      <c r="V92" s="20">
        <f>'GS &gt; 50 OLS model'!$P$12*J92</f>
        <v>0</v>
      </c>
      <c r="W92" s="20">
        <f>'GS &gt; 50 OLS model'!$P$13*K92</f>
        <v>0</v>
      </c>
      <c r="X92" s="20">
        <f>'GS &gt; 50 OLS model'!$P$14*L92</f>
        <v>0</v>
      </c>
      <c r="Y92" s="20">
        <f>'GS &gt; 50 OLS model'!$P$15*M92</f>
        <v>0</v>
      </c>
      <c r="Z92" s="20">
        <f t="shared" si="7"/>
        <v>19527208.26944631</v>
      </c>
      <c r="AA92" s="23">
        <f t="shared" ca="1" si="5"/>
        <v>2.8753921675236167E-2</v>
      </c>
    </row>
    <row r="93" spans="1:27" ht="15">
      <c r="A93" s="22">
        <f>'Monthly Data'!A93</f>
        <v>42583</v>
      </c>
      <c r="B93" s="6">
        <f t="shared" si="6"/>
        <v>2016</v>
      </c>
      <c r="C93" s="20">
        <f ca="1">'Monthly Data'!O93</f>
        <v>21159046.159141023</v>
      </c>
      <c r="D93" s="20">
        <f>'Monthly Data'!Q93</f>
        <v>218</v>
      </c>
      <c r="E93" s="6">
        <f>'Monthly Data'!AH93</f>
        <v>0</v>
      </c>
      <c r="F93" s="6">
        <f>'Monthly Data'!AI93</f>
        <v>219</v>
      </c>
      <c r="G93" s="6">
        <f>'Monthly Data'!AK93</f>
        <v>171.7</v>
      </c>
      <c r="H93" s="6">
        <f>'Monthly Data'!AO93</f>
        <v>92</v>
      </c>
      <c r="I93" s="6">
        <f>'Monthly Data'!AQ93</f>
        <v>0</v>
      </c>
      <c r="J93" s="6">
        <f>'Monthly Data'!AW93</f>
        <v>1</v>
      </c>
      <c r="K93" s="6">
        <f>'Monthly Data'!AX93</f>
        <v>0</v>
      </c>
      <c r="L93" s="6">
        <f>'Monthly Data'!AY93</f>
        <v>0</v>
      </c>
      <c r="M93" s="6">
        <f>'Monthly Data'!AZ93</f>
        <v>0</v>
      </c>
      <c r="O93" s="20">
        <f>'GS &gt; 50 OLS model'!$P$5</f>
        <v>-12525532.812157899</v>
      </c>
      <c r="P93" s="20">
        <f>'GS &gt; 50 OLS model'!$P$6*D93</f>
        <v>11476328.509674767</v>
      </c>
      <c r="Q93" s="20">
        <f>'GS &gt; 50 OLS model'!$P$7*E93</f>
        <v>0</v>
      </c>
      <c r="R93" s="20">
        <f>'GS &gt; 50 OLS model'!$P$8*F93</f>
        <v>3207501.5109288543</v>
      </c>
      <c r="S93" s="20">
        <f>'GS &gt; 50 OLS model'!$P$9*G93</f>
        <v>14857898.280155009</v>
      </c>
      <c r="T93" s="20">
        <f>'GS &gt; 50 OLS model'!$P$10*H93</f>
        <v>1239996.9050649179</v>
      </c>
      <c r="U93" s="20">
        <f>'GS &gt; 50 OLS model'!$P$11*I93</f>
        <v>0</v>
      </c>
      <c r="V93" s="20">
        <f>'GS &gt; 50 OLS model'!$P$12*J93</f>
        <v>1253169.7974445899</v>
      </c>
      <c r="W93" s="20">
        <f>'GS &gt; 50 OLS model'!$P$13*K93</f>
        <v>0</v>
      </c>
      <c r="X93" s="20">
        <f>'GS &gt; 50 OLS model'!$P$14*L93</f>
        <v>0</v>
      </c>
      <c r="Y93" s="20">
        <f>'GS &gt; 50 OLS model'!$P$15*M93</f>
        <v>0</v>
      </c>
      <c r="Z93" s="20">
        <f t="shared" si="7"/>
        <v>19509362.191110238</v>
      </c>
      <c r="AA93" s="23">
        <f t="shared" ca="1" si="5"/>
        <v>7.7965894852878151E-2</v>
      </c>
    </row>
    <row r="94" spans="1:27" ht="15">
      <c r="A94" s="22">
        <f>'Monthly Data'!A94</f>
        <v>42614</v>
      </c>
      <c r="B94" s="6">
        <f t="shared" si="6"/>
        <v>2016</v>
      </c>
      <c r="C94" s="20">
        <f ca="1">'Monthly Data'!O94</f>
        <v>20280486.904661123</v>
      </c>
      <c r="D94" s="20">
        <f>'Monthly Data'!Q94</f>
        <v>218</v>
      </c>
      <c r="E94" s="6">
        <f>'Monthly Data'!AH94</f>
        <v>8</v>
      </c>
      <c r="F94" s="6">
        <f>'Monthly Data'!AI94</f>
        <v>90.1</v>
      </c>
      <c r="G94" s="6">
        <f>'Monthly Data'!AK94</f>
        <v>170.5</v>
      </c>
      <c r="H94" s="6">
        <f>'Monthly Data'!AO94</f>
        <v>93</v>
      </c>
      <c r="I94" s="6">
        <f>'Monthly Data'!AQ94</f>
        <v>0</v>
      </c>
      <c r="J94" s="6">
        <f>'Monthly Data'!AW94</f>
        <v>0</v>
      </c>
      <c r="K94" s="6">
        <f>'Monthly Data'!AX94</f>
        <v>1</v>
      </c>
      <c r="L94" s="6">
        <f>'Monthly Data'!AY94</f>
        <v>0</v>
      </c>
      <c r="M94" s="6">
        <f>'Monthly Data'!AZ94</f>
        <v>0</v>
      </c>
      <c r="O94" s="20">
        <f>'GS &gt; 50 OLS model'!$P$5</f>
        <v>-12525532.812157899</v>
      </c>
      <c r="P94" s="20">
        <f>'GS &gt; 50 OLS model'!$P$6*D94</f>
        <v>11476328.509674767</v>
      </c>
      <c r="Q94" s="20">
        <f>'GS &gt; 50 OLS model'!$P$7*E94</f>
        <v>21277.413457643521</v>
      </c>
      <c r="R94" s="20">
        <f>'GS &gt; 50 OLS model'!$P$8*F94</f>
        <v>1319615.918423241</v>
      </c>
      <c r="S94" s="20">
        <f>'GS &gt; 50 OLS model'!$P$9*G94</f>
        <v>14754057.406909896</v>
      </c>
      <c r="T94" s="20">
        <f>'GS &gt; 50 OLS model'!$P$10*H94</f>
        <v>1253475.1322938844</v>
      </c>
      <c r="U94" s="20">
        <f>'GS &gt; 50 OLS model'!$P$11*I94</f>
        <v>0</v>
      </c>
      <c r="V94" s="20">
        <f>'GS &gt; 50 OLS model'!$P$12*J94</f>
        <v>0</v>
      </c>
      <c r="W94" s="20">
        <f>'GS &gt; 50 OLS model'!$P$13*K94</f>
        <v>1963227.6010161501</v>
      </c>
      <c r="X94" s="20">
        <f>'GS &gt; 50 OLS model'!$P$14*L94</f>
        <v>0</v>
      </c>
      <c r="Y94" s="20">
        <f>'GS &gt; 50 OLS model'!$P$15*M94</f>
        <v>0</v>
      </c>
      <c r="Z94" s="20">
        <f t="shared" si="7"/>
        <v>18262449.169617683</v>
      </c>
      <c r="AA94" s="23">
        <f t="shared" ca="1" si="5"/>
        <v>9.9506374996333469E-2</v>
      </c>
    </row>
    <row r="95" spans="1:27" ht="15">
      <c r="A95" s="22">
        <f>'Monthly Data'!A95</f>
        <v>42644</v>
      </c>
      <c r="B95" s="6">
        <f t="shared" si="6"/>
        <v>2016</v>
      </c>
      <c r="C95" s="20">
        <f ca="1">'Monthly Data'!O95</f>
        <v>17866088.555173323</v>
      </c>
      <c r="D95" s="20">
        <f>'Monthly Data'!Q95</f>
        <v>217</v>
      </c>
      <c r="E95" s="6">
        <f>'Monthly Data'!AH95</f>
        <v>146</v>
      </c>
      <c r="F95" s="6">
        <f>'Monthly Data'!AI95</f>
        <v>22.7</v>
      </c>
      <c r="G95" s="6">
        <f>'Monthly Data'!AK95</f>
        <v>169.2</v>
      </c>
      <c r="H95" s="6">
        <f>'Monthly Data'!AO95</f>
        <v>94</v>
      </c>
      <c r="I95" s="6">
        <f>'Monthly Data'!AQ95</f>
        <v>0</v>
      </c>
      <c r="J95" s="6">
        <f>'Monthly Data'!AW95</f>
        <v>0</v>
      </c>
      <c r="K95" s="6">
        <f>'Monthly Data'!AX95</f>
        <v>0</v>
      </c>
      <c r="L95" s="6">
        <f>'Monthly Data'!AY95</f>
        <v>1</v>
      </c>
      <c r="M95" s="6">
        <f>'Monthly Data'!AZ95</f>
        <v>0</v>
      </c>
      <c r="O95" s="20">
        <f>'GS &gt; 50 OLS model'!$P$5</f>
        <v>-12525532.812157899</v>
      </c>
      <c r="P95" s="20">
        <f>'GS &gt; 50 OLS model'!$P$6*D95</f>
        <v>11423684.800914792</v>
      </c>
      <c r="Q95" s="20">
        <f>'GS &gt; 50 OLS model'!$P$7*E95</f>
        <v>388312.79560199426</v>
      </c>
      <c r="R95" s="20">
        <f>'GS &gt; 50 OLS model'!$P$8*F95</f>
        <v>332467.0515894292</v>
      </c>
      <c r="S95" s="20">
        <f>'GS &gt; 50 OLS model'!$P$9*G95</f>
        <v>14641563.127561022</v>
      </c>
      <c r="T95" s="20">
        <f>'GS &gt; 50 OLS model'!$P$10*H95</f>
        <v>1266953.359522851</v>
      </c>
      <c r="U95" s="20">
        <f>'GS &gt; 50 OLS model'!$P$11*I95</f>
        <v>0</v>
      </c>
      <c r="V95" s="20">
        <f>'GS &gt; 50 OLS model'!$P$12*J95</f>
        <v>0</v>
      </c>
      <c r="W95" s="20">
        <f>'GS &gt; 50 OLS model'!$P$13*K95</f>
        <v>0</v>
      </c>
      <c r="X95" s="20">
        <f>'GS &gt; 50 OLS model'!$P$14*L95</f>
        <v>1449584.5870731501</v>
      </c>
      <c r="Y95" s="20">
        <f>'GS &gt; 50 OLS model'!$P$15*M95</f>
        <v>0</v>
      </c>
      <c r="Z95" s="20">
        <f t="shared" si="7"/>
        <v>16977032.91010534</v>
      </c>
      <c r="AA95" s="23">
        <f t="shared" ca="1" si="5"/>
        <v>4.9762187303753543E-2</v>
      </c>
    </row>
    <row r="96" spans="1:27" ht="15">
      <c r="A96" s="22">
        <f>'Monthly Data'!A96</f>
        <v>42675</v>
      </c>
      <c r="B96" s="6">
        <f t="shared" si="6"/>
        <v>2016</v>
      </c>
      <c r="C96" s="20">
        <f ca="1">'Monthly Data'!O96</f>
        <v>16907552.106454022</v>
      </c>
      <c r="D96" s="20">
        <f>'Monthly Data'!Q96</f>
        <v>218</v>
      </c>
      <c r="E96" s="6">
        <f>'Monthly Data'!AH96</f>
        <v>290.7</v>
      </c>
      <c r="F96" s="6">
        <f>'Monthly Data'!AI96</f>
        <v>0</v>
      </c>
      <c r="G96" s="6">
        <f>'Monthly Data'!AK96</f>
        <v>165.5</v>
      </c>
      <c r="H96" s="6">
        <f>'Monthly Data'!AO96</f>
        <v>95</v>
      </c>
      <c r="I96" s="6">
        <f>'Monthly Data'!AQ96</f>
        <v>0</v>
      </c>
      <c r="J96" s="6">
        <f>'Monthly Data'!AW96</f>
        <v>0</v>
      </c>
      <c r="K96" s="6">
        <f>'Monthly Data'!AX96</f>
        <v>0</v>
      </c>
      <c r="L96" s="6">
        <f>'Monthly Data'!AY96</f>
        <v>0</v>
      </c>
      <c r="M96" s="6">
        <f>'Monthly Data'!AZ96</f>
        <v>1</v>
      </c>
      <c r="O96" s="20">
        <f>'GS &gt; 50 OLS model'!$P$5</f>
        <v>-12525532.812157899</v>
      </c>
      <c r="P96" s="20">
        <f>'GS &gt; 50 OLS model'!$P$6*D96</f>
        <v>11476328.509674767</v>
      </c>
      <c r="Q96" s="20">
        <f>'GS &gt; 50 OLS model'!$P$7*E96</f>
        <v>773168.01151712146</v>
      </c>
      <c r="R96" s="20">
        <f>'GS &gt; 50 OLS model'!$P$8*F96</f>
        <v>0</v>
      </c>
      <c r="S96" s="20">
        <f>'GS &gt; 50 OLS model'!$P$9*G96</f>
        <v>14321387.101721922</v>
      </c>
      <c r="T96" s="20">
        <f>'GS &gt; 50 OLS model'!$P$10*H96</f>
        <v>1280431.5867518175</v>
      </c>
      <c r="U96" s="20">
        <f>'GS &gt; 50 OLS model'!$P$11*I96</f>
        <v>0</v>
      </c>
      <c r="V96" s="20">
        <f>'GS &gt; 50 OLS model'!$P$12*J96</f>
        <v>0</v>
      </c>
      <c r="W96" s="20">
        <f>'GS &gt; 50 OLS model'!$P$13*K96</f>
        <v>0</v>
      </c>
      <c r="X96" s="20">
        <f>'GS &gt; 50 OLS model'!$P$14*L96</f>
        <v>0</v>
      </c>
      <c r="Y96" s="20">
        <f>'GS &gt; 50 OLS model'!$P$15*M96</f>
        <v>653577.717998437</v>
      </c>
      <c r="Z96" s="20">
        <f t="shared" si="7"/>
        <v>15979360.115506167</v>
      </c>
      <c r="AA96" s="23">
        <f t="shared" ca="1" si="5"/>
        <v>5.4898070702591076E-2</v>
      </c>
    </row>
    <row r="97" spans="1:27" ht="15">
      <c r="A97" s="22">
        <f>'Monthly Data'!A97</f>
        <v>42705</v>
      </c>
      <c r="B97" s="6">
        <f t="shared" si="6"/>
        <v>2016</v>
      </c>
      <c r="C97" s="20">
        <f ca="1">'Monthly Data'!O97</f>
        <v>16478686.250430923</v>
      </c>
      <c r="D97" s="20">
        <f>'Monthly Data'!Q97</f>
        <v>218</v>
      </c>
      <c r="E97" s="6">
        <f>'Monthly Data'!AH97</f>
        <v>581.1</v>
      </c>
      <c r="F97" s="6">
        <f>'Monthly Data'!AI97</f>
        <v>0</v>
      </c>
      <c r="G97" s="6">
        <f>'Monthly Data'!AK97</f>
        <v>162.5</v>
      </c>
      <c r="H97" s="6">
        <f>'Monthly Data'!AO97</f>
        <v>96</v>
      </c>
      <c r="I97" s="6">
        <f>'Monthly Data'!AQ97</f>
        <v>0</v>
      </c>
      <c r="J97" s="6">
        <f>'Monthly Data'!AW97</f>
        <v>0</v>
      </c>
      <c r="K97" s="6">
        <f>'Monthly Data'!AX97</f>
        <v>0</v>
      </c>
      <c r="L97" s="6">
        <f>'Monthly Data'!AY97</f>
        <v>0</v>
      </c>
      <c r="M97" s="6">
        <f>'Monthly Data'!AZ97</f>
        <v>0</v>
      </c>
      <c r="O97" s="20">
        <f>'GS &gt; 50 OLS model'!$P$5</f>
        <v>-12525532.812157899</v>
      </c>
      <c r="P97" s="20">
        <f>'GS &gt; 50 OLS model'!$P$6*D97</f>
        <v>11476328.509674767</v>
      </c>
      <c r="Q97" s="20">
        <f>'GS &gt; 50 OLS model'!$P$7*E97</f>
        <v>1545538.1200295812</v>
      </c>
      <c r="R97" s="20">
        <f>'GS &gt; 50 OLS model'!$P$8*F97</f>
        <v>0</v>
      </c>
      <c r="S97" s="20">
        <f>'GS &gt; 50 OLS model'!$P$9*G97</f>
        <v>14061784.918609139</v>
      </c>
      <c r="T97" s="20">
        <f>'GS &gt; 50 OLS model'!$P$10*H97</f>
        <v>1293909.813980784</v>
      </c>
      <c r="U97" s="20">
        <f>'GS &gt; 50 OLS model'!$P$11*I97</f>
        <v>0</v>
      </c>
      <c r="V97" s="20">
        <f>'GS &gt; 50 OLS model'!$P$12*J97</f>
        <v>0</v>
      </c>
      <c r="W97" s="20">
        <f>'GS &gt; 50 OLS model'!$P$13*K97</f>
        <v>0</v>
      </c>
      <c r="X97" s="20">
        <f>'GS &gt; 50 OLS model'!$P$14*L97</f>
        <v>0</v>
      </c>
      <c r="Y97" s="20">
        <f>'GS &gt; 50 OLS model'!$P$15*M97</f>
        <v>0</v>
      </c>
      <c r="Z97" s="20">
        <f t="shared" si="7"/>
        <v>15852028.550136372</v>
      </c>
      <c r="AA97" s="23">
        <f t="shared" ca="1" si="5"/>
        <v>3.8028377430765342E-2</v>
      </c>
    </row>
    <row r="98" spans="1:27" ht="15">
      <c r="AA98" s="23">
        <f ca="1">AVERAGE(AA2:AA97)</f>
        <v>3.6756165102607777E-2</v>
      </c>
    </row>
  </sheetData>
  <pageMargins left="0.7" right="0.7" top="0.75" bottom="0.75" header="0.3" footer="0.3"/>
  <pageSetup orientation="portrait" horizontalDpi="1200" verticalDpi="120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T14"/>
  <sheetViews>
    <sheetView workbookViewId="0">
      <selection activeCell="N4" sqref="N4:O11"/>
    </sheetView>
  </sheetViews>
  <sheetFormatPr defaultColWidth="9.28515625" defaultRowHeight="12.75"/>
  <cols>
    <col min="1" max="1" width="5.42578125" style="11" customWidth="1"/>
    <col min="2" max="2" width="5.7109375" style="11" customWidth="1"/>
    <col min="3" max="4" width="13" style="11" customWidth="1"/>
    <col min="5" max="5" width="9.7109375" style="11" customWidth="1"/>
    <col min="6" max="6" width="9.42578125" style="11" customWidth="1"/>
    <col min="7" max="7" width="5.7109375" style="11" customWidth="1"/>
    <col min="8" max="9" width="11.7109375" style="11" customWidth="1"/>
    <col min="10" max="10" width="9.7109375" style="11" customWidth="1"/>
    <col min="11" max="11" width="9.42578125" style="11" customWidth="1"/>
    <col min="12" max="12" width="5.7109375" style="11" customWidth="1"/>
    <col min="13" max="14" width="13" style="11" customWidth="1"/>
    <col min="15" max="15" width="9.7109375" style="11" customWidth="1"/>
    <col min="16" max="16" width="9.42578125" style="11" customWidth="1"/>
    <col min="17" max="17" width="5.7109375" style="11" customWidth="1"/>
    <col min="18" max="19" width="11.7109375" style="11" customWidth="1"/>
    <col min="20" max="20" width="9.7109375" style="11" customWidth="1"/>
    <col min="21" max="16384" width="9.28515625" style="11"/>
  </cols>
  <sheetData>
    <row r="1" spans="1:20">
      <c r="A1" s="158" t="s">
        <v>86</v>
      </c>
      <c r="B1" s="158"/>
      <c r="C1" s="158"/>
    </row>
    <row r="2" spans="1:20">
      <c r="C2" s="159" t="s">
        <v>87</v>
      </c>
      <c r="D2" s="159"/>
      <c r="E2" s="9" t="s">
        <v>88</v>
      </c>
      <c r="F2" s="9"/>
      <c r="H2" s="159" t="s">
        <v>89</v>
      </c>
      <c r="I2" s="159"/>
      <c r="J2" s="9" t="s">
        <v>88</v>
      </c>
      <c r="K2" s="9"/>
      <c r="M2" s="159" t="s">
        <v>90</v>
      </c>
      <c r="N2" s="159"/>
      <c r="O2" s="9" t="s">
        <v>88</v>
      </c>
      <c r="P2" s="9"/>
      <c r="R2" s="159"/>
      <c r="S2" s="159"/>
      <c r="T2" s="9"/>
    </row>
    <row r="3" spans="1:20">
      <c r="B3" s="9" t="s">
        <v>83</v>
      </c>
      <c r="C3" s="9" t="s">
        <v>161</v>
      </c>
      <c r="D3" s="9" t="s">
        <v>92</v>
      </c>
      <c r="E3" s="9" t="s">
        <v>93</v>
      </c>
      <c r="F3" s="9"/>
      <c r="G3" s="9" t="s">
        <v>83</v>
      </c>
      <c r="H3" s="9" t="s">
        <v>161</v>
      </c>
      <c r="I3" s="9" t="s">
        <v>92</v>
      </c>
      <c r="J3" s="9" t="s">
        <v>93</v>
      </c>
      <c r="K3" s="9"/>
      <c r="L3" s="9" t="s">
        <v>83</v>
      </c>
      <c r="M3" s="9" t="s">
        <v>161</v>
      </c>
      <c r="N3" s="9" t="s">
        <v>92</v>
      </c>
      <c r="O3" s="9" t="s">
        <v>93</v>
      </c>
      <c r="P3" s="9"/>
      <c r="Q3" s="9"/>
      <c r="R3" s="9"/>
      <c r="S3" s="9"/>
      <c r="T3" s="9"/>
    </row>
    <row r="4" spans="1:20">
      <c r="B4" s="11">
        <v>2009</v>
      </c>
      <c r="C4" s="24">
        <f ca="1">SUMIF('Res Predicted Monthly'!B:B,B4,'Res Predicted Monthly'!C:C)</f>
        <v>249248744.52630949</v>
      </c>
      <c r="D4" s="24">
        <f>SUMIF('Res Predicted Monthly'!B:B,B4,'Res Predicted Monthly'!R:R)</f>
        <v>249212657.30886456</v>
      </c>
      <c r="E4" s="25">
        <f t="shared" ref="E4:E10" ca="1" si="0">ABS(C4-D4)/C4</f>
        <v>1.4478394871560651E-4</v>
      </c>
      <c r="F4" s="25"/>
      <c r="G4" s="11">
        <v>2009</v>
      </c>
      <c r="H4" s="24">
        <f ca="1">SUMIF('GS &lt; 50 Predicted Monthly'!B:B,$B4,'GS &lt; 50 Predicted Monthly'!C:C)</f>
        <v>67635266.323931411</v>
      </c>
      <c r="I4" s="24">
        <f>SUMIF('GS &lt; 50 Predicted Monthly'!$B:$B,$B4,'GS &lt; 50 Predicted Monthly'!T:T)</f>
        <v>66596211.528550088</v>
      </c>
      <c r="J4" s="25">
        <f t="shared" ref="J4:J10" ca="1" si="1">ABS(H4-I4)/H4</f>
        <v>1.5362618525147632E-2</v>
      </c>
      <c r="K4" s="25"/>
      <c r="L4" s="11">
        <v>2009</v>
      </c>
      <c r="M4" s="24">
        <f ca="1">SUMIF('GS &gt; 50 Predicted Monthly'!B:B,$B4,'GS &gt; 50 Predicted Monthly'!C:C)</f>
        <v>165450249.20683464</v>
      </c>
      <c r="N4" s="24">
        <f>SUMIF('GS &gt; 50 Predicted Monthly'!B:B,$B4,'GS &gt; 50 Predicted Monthly'!Z:Z)</f>
        <v>162185549.70986941</v>
      </c>
      <c r="O4" s="25">
        <f t="shared" ref="O4:O10" ca="1" si="2">ABS(M4-N4)/M4</f>
        <v>1.9732212629573767E-2</v>
      </c>
      <c r="P4" s="25"/>
      <c r="R4" s="24"/>
      <c r="S4" s="24"/>
      <c r="T4" s="25"/>
    </row>
    <row r="5" spans="1:20">
      <c r="B5" s="11">
        <v>2010</v>
      </c>
      <c r="C5" s="24">
        <f ca="1">SUMIF('Res Predicted Monthly'!B:B,B5,'Res Predicted Monthly'!C:C)</f>
        <v>267217596.28228575</v>
      </c>
      <c r="D5" s="24">
        <f>SUMIF('Res Predicted Monthly'!B:B,B5,'Res Predicted Monthly'!R:R)</f>
        <v>266752857.60305488</v>
      </c>
      <c r="E5" s="25">
        <f t="shared" ca="1" si="0"/>
        <v>1.7391769318212261E-3</v>
      </c>
      <c r="F5" s="25"/>
      <c r="G5" s="11">
        <v>2010</v>
      </c>
      <c r="H5" s="24">
        <f ca="1">SUMIF('GS &lt; 50 Predicted Monthly'!B:B,$B5,'GS &lt; 50 Predicted Monthly'!C:C)</f>
        <v>69463566.007213742</v>
      </c>
      <c r="I5" s="24">
        <f>SUMIF('GS &lt; 50 Predicted Monthly'!$B:$B,$B5,'GS &lt; 50 Predicted Monthly'!T:T)</f>
        <v>68889292.6148258</v>
      </c>
      <c r="J5" s="25">
        <f t="shared" ca="1" si="1"/>
        <v>8.2672604560540923E-3</v>
      </c>
      <c r="K5" s="25"/>
      <c r="L5" s="11">
        <v>2010</v>
      </c>
      <c r="M5" s="24">
        <f ca="1">SUMIF('GS &gt; 50 Predicted Monthly'!B:B,$B5,'GS &gt; 50 Predicted Monthly'!C:C)</f>
        <v>168399143.6217176</v>
      </c>
      <c r="N5" s="24">
        <f>SUMIF('GS &gt; 50 Predicted Monthly'!B:B,$B5,'GS &gt; 50 Predicted Monthly'!Z:Z)</f>
        <v>164431261.39729887</v>
      </c>
      <c r="O5" s="25">
        <f t="shared" ca="1" si="2"/>
        <v>2.3562365811859221E-2</v>
      </c>
      <c r="P5" s="25"/>
      <c r="R5" s="24"/>
      <c r="S5" s="24"/>
      <c r="T5" s="25"/>
    </row>
    <row r="6" spans="1:20">
      <c r="B6" s="11">
        <v>2011</v>
      </c>
      <c r="C6" s="24">
        <f ca="1">SUMIF('Res Predicted Monthly'!B:B,B6,'Res Predicted Monthly'!C:C)</f>
        <v>260939811.58200753</v>
      </c>
      <c r="D6" s="24">
        <f>SUMIF('Res Predicted Monthly'!B:B,B6,'Res Predicted Monthly'!R:R)</f>
        <v>259883261.60815969</v>
      </c>
      <c r="E6" s="25">
        <f t="shared" ca="1" si="0"/>
        <v>4.0490179227242462E-3</v>
      </c>
      <c r="F6" s="25"/>
      <c r="G6" s="11">
        <v>2011</v>
      </c>
      <c r="H6" s="24">
        <f ca="1">SUMIF('GS &lt; 50 Predicted Monthly'!B:B,$B6,'GS &lt; 50 Predicted Monthly'!C:C)</f>
        <v>68580386.344080314</v>
      </c>
      <c r="I6" s="24">
        <f>SUMIF('GS &lt; 50 Predicted Monthly'!$B:$B,$B6,'GS &lt; 50 Predicted Monthly'!T:T)</f>
        <v>68479929.68253918</v>
      </c>
      <c r="J6" s="25">
        <f t="shared" ca="1" si="1"/>
        <v>1.4648016276421179E-3</v>
      </c>
      <c r="K6" s="25"/>
      <c r="L6" s="11">
        <v>2011</v>
      </c>
      <c r="M6" s="24">
        <f ca="1">SUMIF('GS &gt; 50 Predicted Monthly'!B:B,$B6,'GS &gt; 50 Predicted Monthly'!C:C)</f>
        <v>167789870.59880084</v>
      </c>
      <c r="N6" s="24">
        <f>SUMIF('GS &gt; 50 Predicted Monthly'!B:B,$B6,'GS &gt; 50 Predicted Monthly'!Z:Z)</f>
        <v>170612580.83959517</v>
      </c>
      <c r="O6" s="25">
        <f t="shared" ca="1" si="2"/>
        <v>1.6822888239443605E-2</v>
      </c>
      <c r="P6" s="25"/>
      <c r="R6" s="24"/>
      <c r="S6" s="24"/>
      <c r="T6" s="25"/>
    </row>
    <row r="7" spans="1:20">
      <c r="B7" s="26">
        <v>2012</v>
      </c>
      <c r="C7" s="24">
        <f ca="1">SUMIF('Res Predicted Monthly'!B:B,B7,'Res Predicted Monthly'!C:C)</f>
        <v>259249764.01228067</v>
      </c>
      <c r="D7" s="24">
        <f>SUMIF('Res Predicted Monthly'!B:B,B7,'Res Predicted Monthly'!R:R)</f>
        <v>260627963.67993584</v>
      </c>
      <c r="E7" s="25">
        <f t="shared" ca="1" si="0"/>
        <v>5.3161077037273009E-3</v>
      </c>
      <c r="F7" s="25"/>
      <c r="G7" s="26">
        <v>2012</v>
      </c>
      <c r="H7" s="24">
        <f ca="1">SUMIF('GS &lt; 50 Predicted Monthly'!B:B,$B7,'GS &lt; 50 Predicted Monthly'!C:C)</f>
        <v>68501517.278197765</v>
      </c>
      <c r="I7" s="24">
        <f>SUMIF('GS &lt; 50 Predicted Monthly'!$B:$B,$B7,'GS &lt; 50 Predicted Monthly'!T:T)</f>
        <v>69204461.272182718</v>
      </c>
      <c r="J7" s="25">
        <f t="shared" ca="1" si="1"/>
        <v>1.026172881879627E-2</v>
      </c>
      <c r="K7" s="25"/>
      <c r="L7" s="26">
        <v>2012</v>
      </c>
      <c r="M7" s="24">
        <f ca="1">SUMIF('GS &gt; 50 Predicted Monthly'!B:B,$B7,'GS &gt; 50 Predicted Monthly'!C:C)</f>
        <v>163904122.53575242</v>
      </c>
      <c r="N7" s="24">
        <f>SUMIF('GS &gt; 50 Predicted Monthly'!B:B,$B7,'GS &gt; 50 Predicted Monthly'!Z:Z)</f>
        <v>168424807.34787592</v>
      </c>
      <c r="O7" s="25">
        <f t="shared" ca="1" si="2"/>
        <v>2.7581275822622521E-2</v>
      </c>
      <c r="P7" s="25"/>
      <c r="Q7" s="26"/>
      <c r="R7" s="24"/>
      <c r="S7" s="24"/>
      <c r="T7" s="25"/>
    </row>
    <row r="8" spans="1:20">
      <c r="B8" s="26">
        <v>2013</v>
      </c>
      <c r="C8" s="24">
        <f ca="1">SUMIF('Res Predicted Monthly'!B:B,B8,'Res Predicted Monthly'!C:C)</f>
        <v>254292198.12159741</v>
      </c>
      <c r="D8" s="24">
        <f>SUMIF('Res Predicted Monthly'!B:B,B8,'Res Predicted Monthly'!R:R)</f>
        <v>255278939.09272054</v>
      </c>
      <c r="E8" s="25">
        <f t="shared" ca="1" si="0"/>
        <v>3.8803430793865308E-3</v>
      </c>
      <c r="F8" s="25"/>
      <c r="G8" s="26">
        <v>2013</v>
      </c>
      <c r="H8" s="24">
        <f ca="1">SUMIF('GS &lt; 50 Predicted Monthly'!B:B,$B8,'GS &lt; 50 Predicted Monthly'!C:C)</f>
        <v>67565571.213131547</v>
      </c>
      <c r="I8" s="24">
        <f>SUMIF('GS &lt; 50 Predicted Monthly'!$B:$B,$B8,'GS &lt; 50 Predicted Monthly'!T:T)</f>
        <v>69143634.205957294</v>
      </c>
      <c r="J8" s="25">
        <f t="shared" ca="1" si="1"/>
        <v>2.3356022371924325E-2</v>
      </c>
      <c r="K8" s="25"/>
      <c r="L8" s="26">
        <v>2013</v>
      </c>
      <c r="M8" s="24">
        <f ca="1">SUMIF('GS &gt; 50 Predicted Monthly'!B:B,$B8,'GS &gt; 50 Predicted Monthly'!C:C)</f>
        <v>169072483.18651012</v>
      </c>
      <c r="N8" s="24">
        <f>SUMIF('GS &gt; 50 Predicted Monthly'!B:B,$B8,'GS &gt; 50 Predicted Monthly'!Z:Z)</f>
        <v>171796102.61147943</v>
      </c>
      <c r="O8" s="25">
        <f t="shared" ca="1" si="2"/>
        <v>1.6109182130866262E-2</v>
      </c>
      <c r="P8" s="25"/>
      <c r="Q8" s="26"/>
      <c r="R8" s="24"/>
      <c r="S8" s="24"/>
      <c r="T8" s="25"/>
    </row>
    <row r="9" spans="1:20">
      <c r="B9" s="26">
        <v>2014</v>
      </c>
      <c r="C9" s="24">
        <f ca="1">SUMIF('Res Predicted Monthly'!B:B,B9,'Res Predicted Monthly'!C:C)</f>
        <v>250468248.15084472</v>
      </c>
      <c r="D9" s="24">
        <f>SUMIF('Res Predicted Monthly'!B:B,B9,'Res Predicted Monthly'!R:R)</f>
        <v>247884673.58290616</v>
      </c>
      <c r="E9" s="25">
        <f t="shared" ca="1" si="0"/>
        <v>1.031497839351919E-2</v>
      </c>
      <c r="F9" s="25"/>
      <c r="G9" s="11">
        <v>2014</v>
      </c>
      <c r="H9" s="24">
        <f ca="1">SUMIF('GS &lt; 50 Predicted Monthly'!B:B,$B9,'GS &lt; 50 Predicted Monthly'!C:C)</f>
        <v>67585755.68702814</v>
      </c>
      <c r="I9" s="24">
        <f>SUMIF('GS &lt; 50 Predicted Monthly'!$B:$B,$B9,'GS &lt; 50 Predicted Monthly'!T:T)</f>
        <v>68772890.613324299</v>
      </c>
      <c r="J9" s="25">
        <f t="shared" ca="1" si="1"/>
        <v>1.756486872460921E-2</v>
      </c>
      <c r="K9" s="25"/>
      <c r="L9" s="11">
        <v>2014</v>
      </c>
      <c r="M9" s="24">
        <f ca="1">SUMIF('GS &gt; 50 Predicted Monthly'!B:B,$B9,'GS &gt; 50 Predicted Monthly'!C:C)</f>
        <v>171423509.44268268</v>
      </c>
      <c r="N9" s="24">
        <f>SUMIF('GS &gt; 50 Predicted Monthly'!B:B,$B9,'GS &gt; 50 Predicted Monthly'!Z:Z)</f>
        <v>175814043.70397401</v>
      </c>
      <c r="O9" s="25">
        <f t="shared" ca="1" si="2"/>
        <v>2.5612206141184785E-2</v>
      </c>
      <c r="P9" s="25"/>
      <c r="R9" s="24"/>
      <c r="S9" s="24"/>
      <c r="T9" s="25"/>
    </row>
    <row r="10" spans="1:20">
      <c r="B10" s="11">
        <v>2015</v>
      </c>
      <c r="C10" s="24">
        <f ca="1">SUMIF('Res Predicted Monthly'!B:B,B10,'Res Predicted Monthly'!C:C)</f>
        <v>250818286.1511052</v>
      </c>
      <c r="D10" s="24">
        <f>SUMIF('Res Predicted Monthly'!B:B,B10,'Res Predicted Monthly'!R:R)</f>
        <v>251927550.64436734</v>
      </c>
      <c r="E10" s="25">
        <f t="shared" ca="1" si="0"/>
        <v>4.4225822219113118E-3</v>
      </c>
      <c r="F10" s="25"/>
      <c r="G10" s="11">
        <v>2015</v>
      </c>
      <c r="H10" s="24">
        <f ca="1">SUMIF('GS &lt; 50 Predicted Monthly'!B:B,$B10,'GS &lt; 50 Predicted Monthly'!C:C)</f>
        <v>68885821.491460353</v>
      </c>
      <c r="I10" s="24">
        <f>SUMIF('GS &lt; 50 Predicted Monthly'!$B:$B,$B10,'GS &lt; 50 Predicted Monthly'!T:T)</f>
        <v>69680302.854562074</v>
      </c>
      <c r="J10" s="25">
        <f t="shared" ca="1" si="1"/>
        <v>1.1533307521058033E-2</v>
      </c>
      <c r="K10" s="25"/>
      <c r="L10" s="11">
        <v>2015</v>
      </c>
      <c r="M10" s="24">
        <f ca="1">SUMIF('GS &gt; 50 Predicted Monthly'!B:B,$B10,'GS &gt; 50 Predicted Monthly'!C:C)</f>
        <v>183400998.18188119</v>
      </c>
      <c r="N10" s="24">
        <f>SUMIF('GS &gt; 50 Predicted Monthly'!B:B,$B10,'GS &gt; 50 Predicted Monthly'!Z:Z)</f>
        <v>181981094.89696133</v>
      </c>
      <c r="O10" s="25">
        <f t="shared" ca="1" si="2"/>
        <v>7.7420695579405799E-3</v>
      </c>
      <c r="P10" s="25"/>
      <c r="R10" s="24"/>
      <c r="S10" s="24"/>
      <c r="T10" s="25"/>
    </row>
    <row r="11" spans="1:20">
      <c r="B11" s="11">
        <v>2016</v>
      </c>
      <c r="C11" s="24">
        <f ca="1">SUMIF('Res Predicted Monthly'!B:B,B11,'Res Predicted Monthly'!C:C)</f>
        <v>263617211.88820487</v>
      </c>
      <c r="D11" s="24">
        <f>SUMIF('Res Predicted Monthly'!B:B,B11,'Res Predicted Monthly'!R:R)</f>
        <v>263631290.98245144</v>
      </c>
      <c r="E11" s="25">
        <f ca="1">ABS(C11-D11)/C11</f>
        <v>5.3407340688122352E-5</v>
      </c>
      <c r="F11" s="25"/>
      <c r="G11" s="11">
        <v>2016</v>
      </c>
      <c r="H11" s="24">
        <f ca="1">SUMIF('GS &lt; 50 Predicted Monthly'!B:B,$B11,'GS &lt; 50 Predicted Monthly'!C:C)</f>
        <v>71660660.771064878</v>
      </c>
      <c r="I11" s="24">
        <f>SUMIF('GS &lt; 50 Predicted Monthly'!$B:$B,$B11,'GS &lt; 50 Predicted Monthly'!T:T)</f>
        <v>71691630.323777005</v>
      </c>
      <c r="J11" s="25">
        <f ca="1">ABS(H11-I11)/H11</f>
        <v>4.3216951084314371E-4</v>
      </c>
      <c r="K11" s="25"/>
      <c r="L11" s="11">
        <v>2016</v>
      </c>
      <c r="M11" s="24">
        <f ca="1">SUMIF('GS &gt; 50 Predicted Monthly'!B:B,$B11,'GS &gt; 50 Predicted Monthly'!C:C)</f>
        <v>204358804.53845862</v>
      </c>
      <c r="N11" s="24">
        <f>SUMIF('GS &gt; 50 Predicted Monthly'!B:B,$B11,'GS &gt; 50 Predicted Monthly'!Z:Z)</f>
        <v>195973556.23266876</v>
      </c>
      <c r="O11" s="25">
        <f ca="1">ABS(M11-N11)/M11</f>
        <v>4.1031989420410926E-2</v>
      </c>
      <c r="P11" s="25"/>
      <c r="R11" s="24"/>
      <c r="S11" s="24"/>
      <c r="T11" s="25"/>
    </row>
    <row r="13" spans="1:20">
      <c r="B13" s="157" t="s">
        <v>94</v>
      </c>
      <c r="C13" s="157"/>
      <c r="D13" s="157"/>
      <c r="E13" s="27">
        <f ca="1">AVERAGE(E4:E11)</f>
        <v>3.7400496928116913E-3</v>
      </c>
      <c r="F13" s="27"/>
      <c r="G13" s="157" t="s">
        <v>94</v>
      </c>
      <c r="H13" s="157"/>
      <c r="I13" s="157"/>
      <c r="J13" s="27">
        <f ca="1">AVERAGE(J4:J11)</f>
        <v>1.1030347194509352E-2</v>
      </c>
      <c r="K13" s="27"/>
      <c r="L13" s="157" t="s">
        <v>94</v>
      </c>
      <c r="M13" s="157"/>
      <c r="N13" s="157"/>
      <c r="O13" s="27">
        <f ca="1">AVERAGE(O4:O10)</f>
        <v>1.959460004764153E-2</v>
      </c>
      <c r="P13" s="27"/>
      <c r="Q13" s="157"/>
      <c r="R13" s="157"/>
      <c r="S13" s="157"/>
      <c r="T13" s="27"/>
    </row>
    <row r="14" spans="1:20">
      <c r="B14" s="157" t="s">
        <v>95</v>
      </c>
      <c r="C14" s="157"/>
      <c r="D14" s="157"/>
      <c r="E14" s="27">
        <f ca="1">'Res Predicted Monthly'!$S$98</f>
        <v>2.3425652338300153E-2</v>
      </c>
      <c r="F14" s="27"/>
      <c r="G14" s="157" t="s">
        <v>95</v>
      </c>
      <c r="H14" s="157"/>
      <c r="I14" s="157"/>
      <c r="J14" s="27">
        <f ca="1">'GS &lt; 50 Predicted Monthly'!$U$98</f>
        <v>1.6749572128511723E-2</v>
      </c>
      <c r="K14" s="27"/>
      <c r="L14" s="157" t="s">
        <v>95</v>
      </c>
      <c r="M14" s="157"/>
      <c r="N14" s="157"/>
      <c r="O14" s="27">
        <f ca="1">'GS &gt; 50 Predicted Monthly'!$AA$98</f>
        <v>3.6756165102607777E-2</v>
      </c>
      <c r="P14" s="27"/>
      <c r="Q14" s="157"/>
      <c r="R14" s="157"/>
      <c r="S14" s="157"/>
      <c r="T14" s="27"/>
    </row>
  </sheetData>
  <mergeCells count="13">
    <mergeCell ref="B14:D14"/>
    <mergeCell ref="G14:I14"/>
    <mergeCell ref="L14:N14"/>
    <mergeCell ref="Q14:S14"/>
    <mergeCell ref="A1:C1"/>
    <mergeCell ref="C2:D2"/>
    <mergeCell ref="H2:I2"/>
    <mergeCell ref="M2:N2"/>
    <mergeCell ref="R2:S2"/>
    <mergeCell ref="B13:D13"/>
    <mergeCell ref="G13:I13"/>
    <mergeCell ref="L13:N13"/>
    <mergeCell ref="Q13:S13"/>
  </mergeCells>
  <pageMargins left="0.7" right="0.7" top="0.75" bottom="0.75" header="0.3" footer="0.3"/>
  <pageSetup paperSize="9" orientation="portrait" horizontalDpi="1200" verticalDpi="120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R121"/>
  <sheetViews>
    <sheetView topLeftCell="A91" workbookViewId="0">
      <selection activeCell="I110" sqref="I110:I121"/>
    </sheetView>
  </sheetViews>
  <sheetFormatPr defaultColWidth="8.85546875" defaultRowHeight="15"/>
  <cols>
    <col min="1" max="1" width="10.28515625" style="6" customWidth="1"/>
    <col min="2" max="2" width="5" style="6" customWidth="1"/>
    <col min="3" max="3" width="11.7109375" style="20" customWidth="1"/>
    <col min="4" max="5" width="7" style="6" customWidth="1"/>
    <col min="6" max="6" width="10.7109375" style="6" bestFit="1" customWidth="1"/>
    <col min="7" max="7" width="7.7109375" style="6" bestFit="1" customWidth="1"/>
    <col min="8" max="8" width="5.28515625" style="6" customWidth="1"/>
    <col min="9" max="9" width="11.7109375" style="6" bestFit="1" customWidth="1"/>
    <col min="10" max="10" width="8.85546875" style="6"/>
    <col min="11" max="11" width="11.5703125" style="20" bestFit="1" customWidth="1"/>
    <col min="12" max="12" width="10" style="20" bestFit="1" customWidth="1"/>
    <col min="13" max="13" width="11" style="20" bestFit="1" customWidth="1"/>
    <col min="14" max="14" width="12.42578125" style="20" bestFit="1" customWidth="1"/>
    <col min="15" max="16" width="10.5703125" style="20" bestFit="1" customWidth="1"/>
    <col min="17" max="17" width="12.7109375" style="20" bestFit="1" customWidth="1"/>
    <col min="18" max="18" width="15.28515625" style="20" customWidth="1"/>
    <col min="19" max="16384" width="8.85546875" style="6"/>
  </cols>
  <sheetData>
    <row r="1" spans="1:18">
      <c r="A1" s="6" t="str">
        <f>'Monthly Data'!A1</f>
        <v>Date</v>
      </c>
      <c r="B1" s="6" t="s">
        <v>83</v>
      </c>
      <c r="C1" s="20" t="str">
        <f>'Monthly Data'!G1</f>
        <v>Gross_Res</v>
      </c>
      <c r="D1" s="6" t="str">
        <f>'Monthly Data'!AH1</f>
        <v>HDD</v>
      </c>
      <c r="E1" s="6" t="str">
        <f>'Monthly Data'!AI1</f>
        <v>CDD</v>
      </c>
      <c r="F1" s="6" t="str">
        <f>'Monthly Data'!AM1</f>
        <v>Month_Days</v>
      </c>
      <c r="G1" s="6" t="str">
        <f>'Monthly Data'!BD1</f>
        <v>Shoulder</v>
      </c>
      <c r="H1" s="6" t="str">
        <f>'Monthly Data'!AO1</f>
        <v>Trend</v>
      </c>
      <c r="I1" s="6" t="str">
        <f>'Monthly Data'!AK1</f>
        <v>Windsor_FTE</v>
      </c>
      <c r="K1" s="20" t="s">
        <v>67</v>
      </c>
      <c r="L1" s="20" t="str">
        <f t="shared" ref="L1:Q1" si="0">D1</f>
        <v>HDD</v>
      </c>
      <c r="M1" s="20" t="str">
        <f t="shared" si="0"/>
        <v>CDD</v>
      </c>
      <c r="N1" s="20" t="str">
        <f t="shared" si="0"/>
        <v>Month_Days</v>
      </c>
      <c r="O1" s="20" t="str">
        <f t="shared" si="0"/>
        <v>Shoulder</v>
      </c>
      <c r="P1" s="20" t="str">
        <f t="shared" si="0"/>
        <v>Trend</v>
      </c>
      <c r="Q1" s="20" t="str">
        <f t="shared" si="0"/>
        <v>Windsor_FTE</v>
      </c>
      <c r="R1" s="28" t="s">
        <v>96</v>
      </c>
    </row>
    <row r="2" spans="1:18">
      <c r="A2" s="22">
        <f>'Monthly Data'!A2</f>
        <v>39814</v>
      </c>
      <c r="B2" s="6">
        <f>YEAR(A2)</f>
        <v>2009</v>
      </c>
      <c r="C2" s="20">
        <f ca="1">'Monthly Data'!G2</f>
        <v>22953528.183818262</v>
      </c>
      <c r="D2" s="6">
        <f ca="1">Weather!F26</f>
        <v>661.18999999999994</v>
      </c>
      <c r="E2" s="6">
        <f ca="1">Weather!F58</f>
        <v>0</v>
      </c>
      <c r="F2" s="6">
        <f>'Monthly Data'!AM2</f>
        <v>31</v>
      </c>
      <c r="G2" s="6">
        <f>'Monthly Data'!BD2</f>
        <v>0</v>
      </c>
      <c r="H2" s="6">
        <f>'Monthly Data'!AO2</f>
        <v>1</v>
      </c>
      <c r="I2" s="6">
        <f>'Monthly Data'!AK2</f>
        <v>151.5</v>
      </c>
      <c r="K2" s="20">
        <f>'Res OLS model'!$I$5</f>
        <v>-17166149.3850234</v>
      </c>
      <c r="L2" s="20">
        <f ca="1">'Res OLS model'!$I$6*D2</f>
        <v>4277696.326295889</v>
      </c>
      <c r="M2" s="20">
        <f ca="1">'Res OLS model'!$I$7*E2</f>
        <v>0</v>
      </c>
      <c r="N2" s="20">
        <f>'Res OLS model'!$I$8*F2</f>
        <v>25663136.827169884</v>
      </c>
      <c r="O2" s="20">
        <f>'Res OLS model'!$I$9*G2</f>
        <v>0</v>
      </c>
      <c r="P2" s="20">
        <f>'Res OLS model'!$I$10*H2</f>
        <v>-20530.6208195949</v>
      </c>
      <c r="Q2" s="20">
        <f>'Res OLS model'!$I$11*I2</f>
        <v>9997799.4092166461</v>
      </c>
      <c r="R2" s="20">
        <f ca="1">SUM(K2:Q2)</f>
        <v>22751952.556839425</v>
      </c>
    </row>
    <row r="3" spans="1:18">
      <c r="A3" s="22">
        <f>'Monthly Data'!A3</f>
        <v>39845</v>
      </c>
      <c r="B3" s="6">
        <f t="shared" ref="B3:B66" si="1">YEAR(A3)</f>
        <v>2009</v>
      </c>
      <c r="C3" s="20">
        <f ca="1">'Monthly Data'!G3</f>
        <v>19172932.773045871</v>
      </c>
      <c r="D3" s="6">
        <f ca="1">Weather!G26</f>
        <v>598.16999999999985</v>
      </c>
      <c r="E3" s="6">
        <f ca="1">Weather!G58</f>
        <v>0</v>
      </c>
      <c r="F3" s="6">
        <f>'Monthly Data'!AM3</f>
        <v>28</v>
      </c>
      <c r="G3" s="6">
        <f>'Monthly Data'!BD3</f>
        <v>0</v>
      </c>
      <c r="H3" s="6">
        <f>'Monthly Data'!AO3</f>
        <v>2</v>
      </c>
      <c r="I3" s="6">
        <f>'Monthly Data'!AK3</f>
        <v>147.5</v>
      </c>
      <c r="K3" s="20">
        <f>'Res OLS model'!$I$5</f>
        <v>-17166149.3850234</v>
      </c>
      <c r="L3" s="20">
        <f ca="1">'Res OLS model'!$I$6*D3</f>
        <v>3869976.27232779</v>
      </c>
      <c r="M3" s="20">
        <f ca="1">'Res OLS model'!$I$7*E3</f>
        <v>0</v>
      </c>
      <c r="N3" s="20">
        <f>'Res OLS model'!$I$8*F3</f>
        <v>23179607.456798606</v>
      </c>
      <c r="O3" s="20">
        <f>'Res OLS model'!$I$9*G3</f>
        <v>0</v>
      </c>
      <c r="P3" s="20">
        <f>'Res OLS model'!$I$10*H3</f>
        <v>-41061.2416391898</v>
      </c>
      <c r="Q3" s="20">
        <f>'Res OLS model'!$I$11*I3</f>
        <v>9733831.1079832036</v>
      </c>
      <c r="R3" s="20">
        <f t="shared" ref="R3:R66" ca="1" si="2">SUM(K3:Q3)</f>
        <v>19576204.21044701</v>
      </c>
    </row>
    <row r="4" spans="1:18">
      <c r="A4" s="22">
        <f>'Monthly Data'!A4</f>
        <v>39873</v>
      </c>
      <c r="B4" s="6">
        <f t="shared" si="1"/>
        <v>2009</v>
      </c>
      <c r="C4" s="20">
        <f ca="1">'Monthly Data'!G4</f>
        <v>19039064.366005011</v>
      </c>
      <c r="D4" s="6">
        <f ca="1">Weather!H26</f>
        <v>451.34</v>
      </c>
      <c r="E4" s="6">
        <f ca="1">Weather!H58</f>
        <v>0.88000000000000012</v>
      </c>
      <c r="F4" s="6">
        <f>'Monthly Data'!AM4</f>
        <v>31</v>
      </c>
      <c r="G4" s="6">
        <f>'Monthly Data'!BD4</f>
        <v>1</v>
      </c>
      <c r="H4" s="6">
        <f>'Monthly Data'!AO4</f>
        <v>3</v>
      </c>
      <c r="I4" s="6">
        <f>'Monthly Data'!AK4</f>
        <v>142.9</v>
      </c>
      <c r="K4" s="20">
        <f>'Res OLS model'!$I$5</f>
        <v>-17166149.3850234</v>
      </c>
      <c r="L4" s="20">
        <f ca="1">'Res OLS model'!$I$6*D4</f>
        <v>2920031.2465560376</v>
      </c>
      <c r="M4" s="20">
        <f ca="1">'Res OLS model'!$I$7*E4</f>
        <v>59972.131121719787</v>
      </c>
      <c r="N4" s="20">
        <f>'Res OLS model'!$I$8*F4</f>
        <v>25663136.827169884</v>
      </c>
      <c r="O4" s="20">
        <f>'Res OLS model'!$I$9*G4</f>
        <v>-1889629.0328907201</v>
      </c>
      <c r="P4" s="20">
        <f>'Res OLS model'!$I$10*H4</f>
        <v>-61591.862458784701</v>
      </c>
      <c r="Q4" s="20">
        <f>'Res OLS model'!$I$11*I4</f>
        <v>9430267.5615647435</v>
      </c>
      <c r="R4" s="20">
        <f t="shared" ca="1" si="2"/>
        <v>18956037.486039482</v>
      </c>
    </row>
    <row r="5" spans="1:18">
      <c r="A5" s="22">
        <f>'Monthly Data'!A5</f>
        <v>39904</v>
      </c>
      <c r="B5" s="6">
        <f t="shared" si="1"/>
        <v>2009</v>
      </c>
      <c r="C5" s="20">
        <f ca="1">'Monthly Data'!G5</f>
        <v>17003193.089812111</v>
      </c>
      <c r="D5" s="6">
        <f ca="1">Weather!I26</f>
        <v>259.5499999999999</v>
      </c>
      <c r="E5" s="6">
        <f ca="1">Weather!I58</f>
        <v>2.4500000000000002</v>
      </c>
      <c r="F5" s="6">
        <f>'Monthly Data'!AM5</f>
        <v>30</v>
      </c>
      <c r="G5" s="6">
        <f>'Monthly Data'!BD5</f>
        <v>1</v>
      </c>
      <c r="H5" s="6">
        <f>'Monthly Data'!AO5</f>
        <v>4</v>
      </c>
      <c r="I5" s="6">
        <f>'Monthly Data'!AK5</f>
        <v>144.80000000000001</v>
      </c>
      <c r="K5" s="20">
        <f>'Res OLS model'!$I$5</f>
        <v>-17166149.3850234</v>
      </c>
      <c r="L5" s="20">
        <f ca="1">'Res OLS model'!$I$6*D5</f>
        <v>1679208.8227137397</v>
      </c>
      <c r="M5" s="20">
        <f ca="1">'Res OLS model'!$I$7*E5</f>
        <v>166967.86505478804</v>
      </c>
      <c r="N5" s="20">
        <f>'Res OLS model'!$I$8*F5</f>
        <v>24835293.703712791</v>
      </c>
      <c r="O5" s="20">
        <f>'Res OLS model'!$I$9*G5</f>
        <v>-1889629.0328907201</v>
      </c>
      <c r="P5" s="20">
        <f>'Res OLS model'!$I$10*H5</f>
        <v>-82122.483278379601</v>
      </c>
      <c r="Q5" s="20">
        <f>'Res OLS model'!$I$11*I5</f>
        <v>9555652.5046506301</v>
      </c>
      <c r="R5" s="20">
        <f t="shared" ca="1" si="2"/>
        <v>17099221.99493945</v>
      </c>
    </row>
    <row r="6" spans="1:18">
      <c r="A6" s="22">
        <f>'Monthly Data'!A6</f>
        <v>39934</v>
      </c>
      <c r="B6" s="6">
        <f t="shared" si="1"/>
        <v>2009</v>
      </c>
      <c r="C6" s="20">
        <f ca="1">'Monthly Data'!G6</f>
        <v>17391297.954777639</v>
      </c>
      <c r="D6" s="6">
        <f ca="1">Weather!J26</f>
        <v>88.880000000000024</v>
      </c>
      <c r="E6" s="6">
        <f ca="1">Weather!J58</f>
        <v>43.79999999999999</v>
      </c>
      <c r="F6" s="6">
        <f>'Monthly Data'!AM6</f>
        <v>31</v>
      </c>
      <c r="G6" s="6">
        <f>'Monthly Data'!BD6</f>
        <v>1</v>
      </c>
      <c r="H6" s="6">
        <f>'Monthly Data'!AO6</f>
        <v>5</v>
      </c>
      <c r="I6" s="6">
        <f>'Monthly Data'!AK6</f>
        <v>145</v>
      </c>
      <c r="K6" s="20">
        <f>'Res OLS model'!$I$5</f>
        <v>-17166149.3850234</v>
      </c>
      <c r="L6" s="20">
        <f ca="1">'Res OLS model'!$I$6*D6</f>
        <v>575026.31540280208</v>
      </c>
      <c r="M6" s="20">
        <f ca="1">'Res OLS model'!$I$7*E6</f>
        <v>2984976.5262855976</v>
      </c>
      <c r="N6" s="20">
        <f>'Res OLS model'!$I$8*F6</f>
        <v>25663136.827169884</v>
      </c>
      <c r="O6" s="20">
        <f>'Res OLS model'!$I$9*G6</f>
        <v>-1889629.0328907201</v>
      </c>
      <c r="P6" s="20">
        <f>'Res OLS model'!$I$10*H6</f>
        <v>-102653.1040979745</v>
      </c>
      <c r="Q6" s="20">
        <f>'Res OLS model'!$I$11*I6</f>
        <v>9568850.9197123013</v>
      </c>
      <c r="R6" s="20">
        <f t="shared" ca="1" si="2"/>
        <v>19633559.066558488</v>
      </c>
    </row>
    <row r="7" spans="1:18">
      <c r="A7" s="22">
        <f>'Monthly Data'!A7</f>
        <v>39965</v>
      </c>
      <c r="B7" s="6">
        <f t="shared" si="1"/>
        <v>2009</v>
      </c>
      <c r="C7" s="20">
        <f ca="1">'Monthly Data'!G7</f>
        <v>21273593.977212608</v>
      </c>
      <c r="D7" s="6">
        <f ca="1">Weather!K26</f>
        <v>9.77</v>
      </c>
      <c r="E7" s="6">
        <f ca="1">Weather!K58</f>
        <v>117.38999999999999</v>
      </c>
      <c r="F7" s="6">
        <f>'Monthly Data'!AM7</f>
        <v>30</v>
      </c>
      <c r="G7" s="6">
        <f>'Monthly Data'!BD7</f>
        <v>0</v>
      </c>
      <c r="H7" s="6">
        <f>'Monthly Data'!AO7</f>
        <v>6</v>
      </c>
      <c r="I7" s="6">
        <f>'Monthly Data'!AK7</f>
        <v>145.69999999999999</v>
      </c>
      <c r="K7" s="20">
        <f>'Res OLS model'!$I$5</f>
        <v>-17166149.3850234</v>
      </c>
      <c r="L7" s="20">
        <f ca="1">'Res OLS model'!$I$6*D7</f>
        <v>63208.900781788645</v>
      </c>
      <c r="M7" s="20">
        <f ca="1">'Res OLS model'!$I$7*E7</f>
        <v>8000145.9913394144</v>
      </c>
      <c r="N7" s="20">
        <f>'Res OLS model'!$I$8*F7</f>
        <v>24835293.703712791</v>
      </c>
      <c r="O7" s="20">
        <f>'Res OLS model'!$I$9*G7</f>
        <v>0</v>
      </c>
      <c r="P7" s="20">
        <f>'Res OLS model'!$I$10*H7</f>
        <v>-123183.7249175694</v>
      </c>
      <c r="Q7" s="20">
        <f>'Res OLS model'!$I$11*I7</f>
        <v>9615045.3724281527</v>
      </c>
      <c r="R7" s="20">
        <f t="shared" ca="1" si="2"/>
        <v>25224360.858321175</v>
      </c>
    </row>
    <row r="8" spans="1:18">
      <c r="A8" s="22">
        <f>'Monthly Data'!A8</f>
        <v>39995</v>
      </c>
      <c r="B8" s="6">
        <f t="shared" si="1"/>
        <v>2009</v>
      </c>
      <c r="C8" s="20">
        <f ca="1">'Monthly Data'!G8</f>
        <v>25787416.81760994</v>
      </c>
      <c r="D8" s="6">
        <f ca="1">Weather!L26</f>
        <v>0.58000000000000007</v>
      </c>
      <c r="E8" s="6">
        <f ca="1">Weather!L58</f>
        <v>179.70999999999998</v>
      </c>
      <c r="F8" s="6">
        <f>'Monthly Data'!AM8</f>
        <v>31</v>
      </c>
      <c r="G8" s="6">
        <f>'Monthly Data'!BD8</f>
        <v>0</v>
      </c>
      <c r="H8" s="6">
        <f>'Monthly Data'!AO8</f>
        <v>7</v>
      </c>
      <c r="I8" s="6">
        <f>'Monthly Data'!AK8</f>
        <v>144.30000000000001</v>
      </c>
      <c r="K8" s="20">
        <f>'Res OLS model'!$I$5</f>
        <v>-17166149.3850234</v>
      </c>
      <c r="L8" s="20">
        <f ca="1">'Res OLS model'!$I$6*D8</f>
        <v>3752.421950198303</v>
      </c>
      <c r="M8" s="20">
        <f ca="1">'Res OLS model'!$I$7*E8</f>
        <v>12247263.277141206</v>
      </c>
      <c r="N8" s="20">
        <f>'Res OLS model'!$I$8*F8</f>
        <v>25663136.827169884</v>
      </c>
      <c r="O8" s="20">
        <f>'Res OLS model'!$I$9*G8</f>
        <v>0</v>
      </c>
      <c r="P8" s="20">
        <f>'Res OLS model'!$I$10*H8</f>
        <v>-143714.34573716432</v>
      </c>
      <c r="Q8" s="20">
        <f>'Res OLS model'!$I$11*I8</f>
        <v>9522656.46699645</v>
      </c>
      <c r="R8" s="20">
        <f t="shared" ca="1" si="2"/>
        <v>30126945.262497175</v>
      </c>
    </row>
    <row r="9" spans="1:18">
      <c r="A9" s="22">
        <f>'Monthly Data'!A9</f>
        <v>40026</v>
      </c>
      <c r="B9" s="6">
        <f t="shared" si="1"/>
        <v>2009</v>
      </c>
      <c r="C9" s="20">
        <f ca="1">'Monthly Data'!G9</f>
        <v>27496374.034570016</v>
      </c>
      <c r="D9" s="6">
        <f ca="1">Weather!M26</f>
        <v>1.7099999999999997</v>
      </c>
      <c r="E9" s="6">
        <f ca="1">Weather!M58</f>
        <v>158.1</v>
      </c>
      <c r="F9" s="6">
        <f>'Monthly Data'!AM9</f>
        <v>31</v>
      </c>
      <c r="G9" s="6">
        <f>'Monthly Data'!BD9</f>
        <v>0</v>
      </c>
      <c r="H9" s="6">
        <f>'Monthly Data'!AO9</f>
        <v>8</v>
      </c>
      <c r="I9" s="6">
        <f>'Monthly Data'!AK9</f>
        <v>145.1</v>
      </c>
      <c r="K9" s="20">
        <f>'Res OLS model'!$I$5</f>
        <v>-17166149.3850234</v>
      </c>
      <c r="L9" s="20">
        <f ca="1">'Res OLS model'!$I$6*D9</f>
        <v>11063.175060067408</v>
      </c>
      <c r="M9" s="20">
        <f ca="1">'Res OLS model'!$I$7*E9</f>
        <v>10774538.557208974</v>
      </c>
      <c r="N9" s="20">
        <f>'Res OLS model'!$I$8*F9</f>
        <v>25663136.827169884</v>
      </c>
      <c r="O9" s="20">
        <f>'Res OLS model'!$I$9*G9</f>
        <v>0</v>
      </c>
      <c r="P9" s="20">
        <f>'Res OLS model'!$I$10*H9</f>
        <v>-164244.9665567592</v>
      </c>
      <c r="Q9" s="20">
        <f>'Res OLS model'!$I$11*I9</f>
        <v>9575450.127243137</v>
      </c>
      <c r="R9" s="20">
        <f t="shared" ca="1" si="2"/>
        <v>28693794.335101902</v>
      </c>
    </row>
    <row r="10" spans="1:18">
      <c r="A10" s="22">
        <f>'Monthly Data'!A10</f>
        <v>40057</v>
      </c>
      <c r="B10" s="6">
        <f t="shared" si="1"/>
        <v>2009</v>
      </c>
      <c r="C10" s="20">
        <f ca="1">'Monthly Data'!G10</f>
        <v>20755352.022298176</v>
      </c>
      <c r="D10" s="6">
        <f ca="1">Weather!N26</f>
        <v>32.68</v>
      </c>
      <c r="E10" s="6">
        <f ca="1">Weather!N58</f>
        <v>67.34</v>
      </c>
      <c r="F10" s="6">
        <f>'Monthly Data'!AM10</f>
        <v>30</v>
      </c>
      <c r="G10" s="6">
        <f>'Monthly Data'!BD10</f>
        <v>0</v>
      </c>
      <c r="H10" s="6">
        <f>'Monthly Data'!AO10</f>
        <v>9</v>
      </c>
      <c r="I10" s="6">
        <f>'Monthly Data'!AK10</f>
        <v>146.80000000000001</v>
      </c>
      <c r="K10" s="20">
        <f>'Res OLS model'!$I$5</f>
        <v>-17166149.3850234</v>
      </c>
      <c r="L10" s="20">
        <f ca="1">'Res OLS model'!$I$6*D10</f>
        <v>211429.56781462161</v>
      </c>
      <c r="M10" s="20">
        <f ca="1">'Res OLS model'!$I$7*E10</f>
        <v>4589231.0337916026</v>
      </c>
      <c r="N10" s="20">
        <f>'Res OLS model'!$I$8*F10</f>
        <v>24835293.703712791</v>
      </c>
      <c r="O10" s="20">
        <f>'Res OLS model'!$I$9*G10</f>
        <v>0</v>
      </c>
      <c r="P10" s="20">
        <f>'Res OLS model'!$I$10*H10</f>
        <v>-184775.58737635409</v>
      </c>
      <c r="Q10" s="20">
        <f>'Res OLS model'!$I$11*I10</f>
        <v>9687636.6552673504</v>
      </c>
      <c r="R10" s="20">
        <f t="shared" ca="1" si="2"/>
        <v>21972665.988186613</v>
      </c>
    </row>
    <row r="11" spans="1:18">
      <c r="A11" s="22">
        <f>'Monthly Data'!A11</f>
        <v>40087</v>
      </c>
      <c r="B11" s="6">
        <f t="shared" si="1"/>
        <v>2009</v>
      </c>
      <c r="C11" s="20">
        <f ca="1">'Monthly Data'!G11</f>
        <v>18082092.987588529</v>
      </c>
      <c r="D11" s="6">
        <f ca="1">Weather!O26</f>
        <v>176.42</v>
      </c>
      <c r="E11" s="6">
        <f ca="1">Weather!O58</f>
        <v>10.18</v>
      </c>
      <c r="F11" s="6">
        <f>'Monthly Data'!AM11</f>
        <v>31</v>
      </c>
      <c r="G11" s="6">
        <f>'Monthly Data'!BD11</f>
        <v>1</v>
      </c>
      <c r="H11" s="6">
        <f>'Monthly Data'!AO11</f>
        <v>10</v>
      </c>
      <c r="I11" s="6">
        <f>'Monthly Data'!AK11</f>
        <v>149.19999999999999</v>
      </c>
      <c r="K11" s="20">
        <f>'Res OLS model'!$I$5</f>
        <v>-17166149.3850234</v>
      </c>
      <c r="L11" s="20">
        <f ca="1">'Res OLS model'!$I$6*D11</f>
        <v>1141383.2421620423</v>
      </c>
      <c r="M11" s="20">
        <f ca="1">'Res OLS model'!$I$7*E11</f>
        <v>693768.5168398947</v>
      </c>
      <c r="N11" s="20">
        <f>'Res OLS model'!$I$8*F11</f>
        <v>25663136.827169884</v>
      </c>
      <c r="O11" s="20">
        <f>'Res OLS model'!$I$9*G11</f>
        <v>-1889629.0328907201</v>
      </c>
      <c r="P11" s="20">
        <f>'Res OLS model'!$I$10*H11</f>
        <v>-205306.208195949</v>
      </c>
      <c r="Q11" s="20">
        <f>'Res OLS model'!$I$11*I11</f>
        <v>9846017.6360074151</v>
      </c>
      <c r="R11" s="20">
        <f t="shared" ca="1" si="2"/>
        <v>18083221.596069165</v>
      </c>
    </row>
    <row r="12" spans="1:18">
      <c r="A12" s="22">
        <f>'Monthly Data'!A12</f>
        <v>40118</v>
      </c>
      <c r="B12" s="6">
        <f t="shared" si="1"/>
        <v>2009</v>
      </c>
      <c r="C12" s="20">
        <f ca="1">'Monthly Data'!G12</f>
        <v>18074593.893965401</v>
      </c>
      <c r="D12" s="6">
        <f ca="1">Weather!P26</f>
        <v>364.2299999999999</v>
      </c>
      <c r="E12" s="6">
        <f ca="1">Weather!P58</f>
        <v>0.05</v>
      </c>
      <c r="F12" s="6">
        <f>'Monthly Data'!AM12</f>
        <v>30</v>
      </c>
      <c r="G12" s="6">
        <f>'Monthly Data'!BD12</f>
        <v>1</v>
      </c>
      <c r="H12" s="6">
        <f>'Monthly Data'!AO12</f>
        <v>11</v>
      </c>
      <c r="I12" s="6">
        <f>'Monthly Data'!AK12</f>
        <v>150.1</v>
      </c>
      <c r="K12" s="20">
        <f>'Res OLS model'!$I$5</f>
        <v>-17166149.3850234</v>
      </c>
      <c r="L12" s="20">
        <f ca="1">'Res OLS model'!$I$6*D12</f>
        <v>2356456.2877943576</v>
      </c>
      <c r="M12" s="20">
        <f ca="1">'Res OLS model'!$I$7*E12</f>
        <v>3407.5074500977153</v>
      </c>
      <c r="N12" s="20">
        <f>'Res OLS model'!$I$8*F12</f>
        <v>24835293.703712791</v>
      </c>
      <c r="O12" s="20">
        <f>'Res OLS model'!$I$9*G12</f>
        <v>-1889629.0328907201</v>
      </c>
      <c r="P12" s="20">
        <f>'Res OLS model'!$I$10*H12</f>
        <v>-225836.82901554392</v>
      </c>
      <c r="Q12" s="20">
        <f>'Res OLS model'!$I$11*I12</f>
        <v>9905410.5037849396</v>
      </c>
      <c r="R12" s="20">
        <f t="shared" ca="1" si="2"/>
        <v>17818952.755812522</v>
      </c>
    </row>
    <row r="13" spans="1:18">
      <c r="A13" s="22">
        <f>'Monthly Data'!A13</f>
        <v>40148</v>
      </c>
      <c r="B13" s="6">
        <f t="shared" si="1"/>
        <v>2009</v>
      </c>
      <c r="C13" s="20">
        <f ca="1">'Monthly Data'!G13</f>
        <v>22219304.425605915</v>
      </c>
      <c r="D13" s="6">
        <f ca="1">Weather!Q26</f>
        <v>552.31000000000006</v>
      </c>
      <c r="E13" s="6">
        <f ca="1">Weather!Q58</f>
        <v>0</v>
      </c>
      <c r="F13" s="6">
        <f>'Monthly Data'!AM13</f>
        <v>31</v>
      </c>
      <c r="G13" s="6">
        <f>'Monthly Data'!BD13</f>
        <v>0</v>
      </c>
      <c r="H13" s="6">
        <f>'Monthly Data'!AO13</f>
        <v>12</v>
      </c>
      <c r="I13" s="6">
        <f>'Monthly Data'!AK13</f>
        <v>150.19999999999999</v>
      </c>
      <c r="K13" s="20">
        <f>'Res OLS model'!$I$5</f>
        <v>-17166149.3850234</v>
      </c>
      <c r="L13" s="20">
        <f ca="1">'Res OLS model'!$I$6*D13</f>
        <v>3573276.150541422</v>
      </c>
      <c r="M13" s="20">
        <f ca="1">'Res OLS model'!$I$7*E13</f>
        <v>0</v>
      </c>
      <c r="N13" s="20">
        <f>'Res OLS model'!$I$8*F13</f>
        <v>25663136.827169884</v>
      </c>
      <c r="O13" s="20">
        <f>'Res OLS model'!$I$9*G13</f>
        <v>0</v>
      </c>
      <c r="P13" s="20">
        <f>'Res OLS model'!$I$10*H13</f>
        <v>-246367.4498351388</v>
      </c>
      <c r="Q13" s="20">
        <f>'Res OLS model'!$I$11*I13</f>
        <v>9912009.7113157753</v>
      </c>
      <c r="R13" s="20">
        <f t="shared" ca="1" si="2"/>
        <v>21735905.854168542</v>
      </c>
    </row>
    <row r="14" spans="1:18">
      <c r="A14" s="22">
        <f>'Monthly Data'!A14</f>
        <v>40179</v>
      </c>
      <c r="B14" s="6">
        <f t="shared" si="1"/>
        <v>2010</v>
      </c>
      <c r="C14" s="20">
        <f ca="1">'Monthly Data'!G14</f>
        <v>22358460.250977054</v>
      </c>
      <c r="D14" s="6">
        <f t="shared" ref="D14:E33" ca="1" si="3">D2</f>
        <v>661.18999999999994</v>
      </c>
      <c r="E14" s="6">
        <f t="shared" ca="1" si="3"/>
        <v>0</v>
      </c>
      <c r="F14" s="6">
        <f>'Monthly Data'!AM14</f>
        <v>31</v>
      </c>
      <c r="G14" s="6">
        <f>'Monthly Data'!BD14</f>
        <v>0</v>
      </c>
      <c r="H14" s="6">
        <f>'Monthly Data'!AO14</f>
        <v>13</v>
      </c>
      <c r="I14" s="6">
        <f>'Monthly Data'!AK14</f>
        <v>146.80000000000001</v>
      </c>
      <c r="K14" s="20">
        <f>'Res OLS model'!$I$5</f>
        <v>-17166149.3850234</v>
      </c>
      <c r="L14" s="20">
        <f ca="1">'Res OLS model'!$I$6*D14</f>
        <v>4277696.326295889</v>
      </c>
      <c r="M14" s="20">
        <f ca="1">'Res OLS model'!$I$7*E14</f>
        <v>0</v>
      </c>
      <c r="N14" s="20">
        <f>'Res OLS model'!$I$8*F14</f>
        <v>25663136.827169884</v>
      </c>
      <c r="O14" s="20">
        <f>'Res OLS model'!$I$9*G14</f>
        <v>0</v>
      </c>
      <c r="P14" s="20">
        <f>'Res OLS model'!$I$10*H14</f>
        <v>-266898.07065473369</v>
      </c>
      <c r="Q14" s="20">
        <f>'Res OLS model'!$I$11*I14</f>
        <v>9687636.6552673504</v>
      </c>
      <c r="R14" s="20">
        <f t="shared" ca="1" si="2"/>
        <v>22195422.353054993</v>
      </c>
    </row>
    <row r="15" spans="1:18">
      <c r="A15" s="22">
        <f>'Monthly Data'!A15</f>
        <v>40210</v>
      </c>
      <c r="B15" s="6">
        <f t="shared" si="1"/>
        <v>2010</v>
      </c>
      <c r="C15" s="20">
        <f ca="1">'Monthly Data'!G15</f>
        <v>18735998.915144272</v>
      </c>
      <c r="D15" s="6">
        <f t="shared" ca="1" si="3"/>
        <v>598.16999999999985</v>
      </c>
      <c r="E15" s="6">
        <f t="shared" ca="1" si="3"/>
        <v>0</v>
      </c>
      <c r="F15" s="6">
        <f>'Monthly Data'!AM15</f>
        <v>28</v>
      </c>
      <c r="G15" s="6">
        <f>'Monthly Data'!BD15</f>
        <v>0</v>
      </c>
      <c r="H15" s="6">
        <f>'Monthly Data'!AO15</f>
        <v>14</v>
      </c>
      <c r="I15" s="6">
        <f>'Monthly Data'!AK15</f>
        <v>145.5</v>
      </c>
      <c r="K15" s="20">
        <f>'Res OLS model'!$I$5</f>
        <v>-17166149.3850234</v>
      </c>
      <c r="L15" s="20">
        <f ca="1">'Res OLS model'!$I$6*D15</f>
        <v>3869976.27232779</v>
      </c>
      <c r="M15" s="20">
        <f ca="1">'Res OLS model'!$I$7*E15</f>
        <v>0</v>
      </c>
      <c r="N15" s="20">
        <f>'Res OLS model'!$I$8*F15</f>
        <v>23179607.456798606</v>
      </c>
      <c r="O15" s="20">
        <f>'Res OLS model'!$I$9*G15</f>
        <v>0</v>
      </c>
      <c r="P15" s="20">
        <f>'Res OLS model'!$I$10*H15</f>
        <v>-287428.69147432863</v>
      </c>
      <c r="Q15" s="20">
        <f>'Res OLS model'!$I$11*I15</f>
        <v>9601846.9573664814</v>
      </c>
      <c r="R15" s="20">
        <f t="shared" ca="1" si="2"/>
        <v>19197852.609995149</v>
      </c>
    </row>
    <row r="16" spans="1:18">
      <c r="A16" s="22">
        <f>'Monthly Data'!A16</f>
        <v>40238</v>
      </c>
      <c r="B16" s="6">
        <f t="shared" si="1"/>
        <v>2010</v>
      </c>
      <c r="C16" s="20">
        <f ca="1">'Monthly Data'!G16</f>
        <v>18338914.486644384</v>
      </c>
      <c r="D16" s="6">
        <f t="shared" ca="1" si="3"/>
        <v>451.34</v>
      </c>
      <c r="E16" s="6">
        <f t="shared" ca="1" si="3"/>
        <v>0.88000000000000012</v>
      </c>
      <c r="F16" s="6">
        <f>'Monthly Data'!AM16</f>
        <v>31</v>
      </c>
      <c r="G16" s="6">
        <f>'Monthly Data'!BD16</f>
        <v>1</v>
      </c>
      <c r="H16" s="6">
        <f>'Monthly Data'!AO16</f>
        <v>15</v>
      </c>
      <c r="I16" s="6">
        <f>'Monthly Data'!AK16</f>
        <v>143.30000000000001</v>
      </c>
      <c r="K16" s="20">
        <f>'Res OLS model'!$I$5</f>
        <v>-17166149.3850234</v>
      </c>
      <c r="L16" s="20">
        <f ca="1">'Res OLS model'!$I$6*D16</f>
        <v>2920031.2465560376</v>
      </c>
      <c r="M16" s="20">
        <f ca="1">'Res OLS model'!$I$7*E16</f>
        <v>59972.131121719787</v>
      </c>
      <c r="N16" s="20">
        <f>'Res OLS model'!$I$8*F16</f>
        <v>25663136.827169884</v>
      </c>
      <c r="O16" s="20">
        <f>'Res OLS model'!$I$9*G16</f>
        <v>-1889629.0328907201</v>
      </c>
      <c r="P16" s="20">
        <f>'Res OLS model'!$I$10*H16</f>
        <v>-307959.31229392352</v>
      </c>
      <c r="Q16" s="20">
        <f>'Res OLS model'!$I$11*I16</f>
        <v>9456664.391688088</v>
      </c>
      <c r="R16" s="20">
        <f t="shared" ca="1" si="2"/>
        <v>18736066.866327684</v>
      </c>
    </row>
    <row r="17" spans="1:18">
      <c r="A17" s="22">
        <f>'Monthly Data'!A17</f>
        <v>40269</v>
      </c>
      <c r="B17" s="6">
        <f t="shared" si="1"/>
        <v>2010</v>
      </c>
      <c r="C17" s="20">
        <f ca="1">'Monthly Data'!G17</f>
        <v>16457791.552007467</v>
      </c>
      <c r="D17" s="6">
        <f t="shared" ca="1" si="3"/>
        <v>259.5499999999999</v>
      </c>
      <c r="E17" s="6">
        <f t="shared" ca="1" si="3"/>
        <v>2.4500000000000002</v>
      </c>
      <c r="F17" s="6">
        <f>'Monthly Data'!AM17</f>
        <v>30</v>
      </c>
      <c r="G17" s="6">
        <f>'Monthly Data'!BD17</f>
        <v>1</v>
      </c>
      <c r="H17" s="6">
        <f>'Monthly Data'!AO17</f>
        <v>16</v>
      </c>
      <c r="I17" s="6">
        <f>'Monthly Data'!AK17</f>
        <v>146.6</v>
      </c>
      <c r="K17" s="20">
        <f>'Res OLS model'!$I$5</f>
        <v>-17166149.3850234</v>
      </c>
      <c r="L17" s="20">
        <f ca="1">'Res OLS model'!$I$6*D17</f>
        <v>1679208.8227137397</v>
      </c>
      <c r="M17" s="20">
        <f ca="1">'Res OLS model'!$I$7*E17</f>
        <v>166967.86505478804</v>
      </c>
      <c r="N17" s="20">
        <f>'Res OLS model'!$I$8*F17</f>
        <v>24835293.703712791</v>
      </c>
      <c r="O17" s="20">
        <f>'Res OLS model'!$I$9*G17</f>
        <v>-1889629.0328907201</v>
      </c>
      <c r="P17" s="20">
        <f>'Res OLS model'!$I$10*H17</f>
        <v>-328489.9331135184</v>
      </c>
      <c r="Q17" s="20">
        <f>'Res OLS model'!$I$11*I17</f>
        <v>9674438.2402056772</v>
      </c>
      <c r="R17" s="20">
        <f t="shared" ca="1" si="2"/>
        <v>16971640.280659359</v>
      </c>
    </row>
    <row r="18" spans="1:18">
      <c r="A18" s="22">
        <f>'Monthly Data'!A18</f>
        <v>40299</v>
      </c>
      <c r="B18" s="6">
        <f t="shared" si="1"/>
        <v>2010</v>
      </c>
      <c r="C18" s="20">
        <f ca="1">'Monthly Data'!G18</f>
        <v>19877888.578557905</v>
      </c>
      <c r="D18" s="6">
        <f t="shared" ca="1" si="3"/>
        <v>88.880000000000024</v>
      </c>
      <c r="E18" s="6">
        <f t="shared" ca="1" si="3"/>
        <v>43.79999999999999</v>
      </c>
      <c r="F18" s="6">
        <f>'Monthly Data'!AM18</f>
        <v>31</v>
      </c>
      <c r="G18" s="6">
        <f>'Monthly Data'!BD18</f>
        <v>1</v>
      </c>
      <c r="H18" s="6">
        <f>'Monthly Data'!AO18</f>
        <v>17</v>
      </c>
      <c r="I18" s="6">
        <f>'Monthly Data'!AK18</f>
        <v>147.80000000000001</v>
      </c>
      <c r="K18" s="20">
        <f>'Res OLS model'!$I$5</f>
        <v>-17166149.3850234</v>
      </c>
      <c r="L18" s="20">
        <f ca="1">'Res OLS model'!$I$6*D18</f>
        <v>575026.31540280208</v>
      </c>
      <c r="M18" s="20">
        <f ca="1">'Res OLS model'!$I$7*E18</f>
        <v>2984976.5262855976</v>
      </c>
      <c r="N18" s="20">
        <f>'Res OLS model'!$I$8*F18</f>
        <v>25663136.827169884</v>
      </c>
      <c r="O18" s="20">
        <f>'Res OLS model'!$I$9*G18</f>
        <v>-1889629.0328907201</v>
      </c>
      <c r="P18" s="20">
        <f>'Res OLS model'!$I$10*H18</f>
        <v>-349020.55393311329</v>
      </c>
      <c r="Q18" s="20">
        <f>'Res OLS model'!$I$11*I18</f>
        <v>9753628.7305757124</v>
      </c>
      <c r="R18" s="20">
        <f t="shared" ca="1" si="2"/>
        <v>19571969.427586764</v>
      </c>
    </row>
    <row r="19" spans="1:18">
      <c r="A19" s="22">
        <f>'Monthly Data'!A19</f>
        <v>40330</v>
      </c>
      <c r="B19" s="6">
        <f t="shared" si="1"/>
        <v>2010</v>
      </c>
      <c r="C19" s="20">
        <f ca="1">'Monthly Data'!G19</f>
        <v>27745184.765543249</v>
      </c>
      <c r="D19" s="6">
        <f t="shared" ca="1" si="3"/>
        <v>9.77</v>
      </c>
      <c r="E19" s="6">
        <f t="shared" ca="1" si="3"/>
        <v>117.38999999999999</v>
      </c>
      <c r="F19" s="6">
        <f>'Monthly Data'!AM19</f>
        <v>30</v>
      </c>
      <c r="G19" s="6">
        <f>'Monthly Data'!BD19</f>
        <v>0</v>
      </c>
      <c r="H19" s="6">
        <f>'Monthly Data'!AO19</f>
        <v>18</v>
      </c>
      <c r="I19" s="6">
        <f>'Monthly Data'!AK19</f>
        <v>149.9</v>
      </c>
      <c r="K19" s="20">
        <f>'Res OLS model'!$I$5</f>
        <v>-17166149.3850234</v>
      </c>
      <c r="L19" s="20">
        <f ca="1">'Res OLS model'!$I$6*D19</f>
        <v>63208.900781788645</v>
      </c>
      <c r="M19" s="20">
        <f ca="1">'Res OLS model'!$I$7*E19</f>
        <v>8000145.9913394144</v>
      </c>
      <c r="N19" s="20">
        <f>'Res OLS model'!$I$8*F19</f>
        <v>24835293.703712791</v>
      </c>
      <c r="O19" s="20">
        <f>'Res OLS model'!$I$9*G19</f>
        <v>0</v>
      </c>
      <c r="P19" s="20">
        <f>'Res OLS model'!$I$10*H19</f>
        <v>-369551.17475270818</v>
      </c>
      <c r="Q19" s="20">
        <f>'Res OLS model'!$I$11*I19</f>
        <v>9892212.0887232684</v>
      </c>
      <c r="R19" s="20">
        <f t="shared" ca="1" si="2"/>
        <v>25255160.124781154</v>
      </c>
    </row>
    <row r="20" spans="1:18">
      <c r="A20" s="22">
        <f>'Monthly Data'!A20</f>
        <v>40360</v>
      </c>
      <c r="B20" s="6">
        <f t="shared" si="1"/>
        <v>2010</v>
      </c>
      <c r="C20" s="20">
        <f ca="1">'Monthly Data'!G20</f>
        <v>34151513.368632481</v>
      </c>
      <c r="D20" s="6">
        <f t="shared" ca="1" si="3"/>
        <v>0.58000000000000007</v>
      </c>
      <c r="E20" s="6">
        <f t="shared" ca="1" si="3"/>
        <v>179.70999999999998</v>
      </c>
      <c r="F20" s="6">
        <f>'Monthly Data'!AM20</f>
        <v>31</v>
      </c>
      <c r="G20" s="6">
        <f>'Monthly Data'!BD20</f>
        <v>0</v>
      </c>
      <c r="H20" s="6">
        <f>'Monthly Data'!AO20</f>
        <v>19</v>
      </c>
      <c r="I20" s="6">
        <f>'Monthly Data'!AK20</f>
        <v>148.30000000000001</v>
      </c>
      <c r="K20" s="20">
        <f>'Res OLS model'!$I$5</f>
        <v>-17166149.3850234</v>
      </c>
      <c r="L20" s="20">
        <f ca="1">'Res OLS model'!$I$6*D20</f>
        <v>3752.421950198303</v>
      </c>
      <c r="M20" s="20">
        <f ca="1">'Res OLS model'!$I$7*E20</f>
        <v>12247263.277141206</v>
      </c>
      <c r="N20" s="20">
        <f>'Res OLS model'!$I$8*F20</f>
        <v>25663136.827169884</v>
      </c>
      <c r="O20" s="20">
        <f>'Res OLS model'!$I$9*G20</f>
        <v>0</v>
      </c>
      <c r="P20" s="20">
        <f>'Res OLS model'!$I$10*H20</f>
        <v>-390081.79557230312</v>
      </c>
      <c r="Q20" s="20">
        <f>'Res OLS model'!$I$11*I20</f>
        <v>9786624.7682298925</v>
      </c>
      <c r="R20" s="20">
        <f t="shared" ca="1" si="2"/>
        <v>30144546.113895476</v>
      </c>
    </row>
    <row r="21" spans="1:18">
      <c r="A21" s="22">
        <f>'Monthly Data'!A21</f>
        <v>40391</v>
      </c>
      <c r="B21" s="6">
        <f t="shared" si="1"/>
        <v>2010</v>
      </c>
      <c r="C21" s="20">
        <f ca="1">'Monthly Data'!G21</f>
        <v>31520743.190588608</v>
      </c>
      <c r="D21" s="6">
        <f t="shared" ca="1" si="3"/>
        <v>1.7099999999999997</v>
      </c>
      <c r="E21" s="6">
        <f t="shared" ca="1" si="3"/>
        <v>158.1</v>
      </c>
      <c r="F21" s="6">
        <f>'Monthly Data'!AM21</f>
        <v>31</v>
      </c>
      <c r="G21" s="6">
        <f>'Monthly Data'!BD21</f>
        <v>0</v>
      </c>
      <c r="H21" s="6">
        <f>'Monthly Data'!AO21</f>
        <v>20</v>
      </c>
      <c r="I21" s="6">
        <f>'Monthly Data'!AK21</f>
        <v>148.4</v>
      </c>
      <c r="K21" s="20">
        <f>'Res OLS model'!$I$5</f>
        <v>-17166149.3850234</v>
      </c>
      <c r="L21" s="20">
        <f ca="1">'Res OLS model'!$I$6*D21</f>
        <v>11063.175060067408</v>
      </c>
      <c r="M21" s="20">
        <f ca="1">'Res OLS model'!$I$7*E21</f>
        <v>10774538.557208974</v>
      </c>
      <c r="N21" s="20">
        <f>'Res OLS model'!$I$8*F21</f>
        <v>25663136.827169884</v>
      </c>
      <c r="O21" s="20">
        <f>'Res OLS model'!$I$9*G21</f>
        <v>0</v>
      </c>
      <c r="P21" s="20">
        <f>'Res OLS model'!$I$10*H21</f>
        <v>-410612.416391898</v>
      </c>
      <c r="Q21" s="20">
        <f>'Res OLS model'!$I$11*I21</f>
        <v>9793223.9757607281</v>
      </c>
      <c r="R21" s="20">
        <f t="shared" ca="1" si="2"/>
        <v>28665200.733784355</v>
      </c>
    </row>
    <row r="22" spans="1:18">
      <c r="A22" s="22">
        <f>'Monthly Data'!A22</f>
        <v>40422</v>
      </c>
      <c r="B22" s="6">
        <f t="shared" si="1"/>
        <v>2010</v>
      </c>
      <c r="C22" s="20">
        <f ca="1">'Monthly Data'!G22</f>
        <v>21071409.668348346</v>
      </c>
      <c r="D22" s="6">
        <f t="shared" ca="1" si="3"/>
        <v>32.68</v>
      </c>
      <c r="E22" s="6">
        <f t="shared" ca="1" si="3"/>
        <v>67.34</v>
      </c>
      <c r="F22" s="6">
        <f>'Monthly Data'!AM22</f>
        <v>30</v>
      </c>
      <c r="G22" s="6">
        <f>'Monthly Data'!BD22</f>
        <v>0</v>
      </c>
      <c r="H22" s="6">
        <f>'Monthly Data'!AO22</f>
        <v>21</v>
      </c>
      <c r="I22" s="6">
        <f>'Monthly Data'!AK22</f>
        <v>148.69999999999999</v>
      </c>
      <c r="K22" s="20">
        <f>'Res OLS model'!$I$5</f>
        <v>-17166149.3850234</v>
      </c>
      <c r="L22" s="20">
        <f ca="1">'Res OLS model'!$I$6*D22</f>
        <v>211429.56781462161</v>
      </c>
      <c r="M22" s="20">
        <f ca="1">'Res OLS model'!$I$7*E22</f>
        <v>4589231.0337916026</v>
      </c>
      <c r="N22" s="20">
        <f>'Res OLS model'!$I$8*F22</f>
        <v>24835293.703712791</v>
      </c>
      <c r="O22" s="20">
        <f>'Res OLS model'!$I$9*G22</f>
        <v>0</v>
      </c>
      <c r="P22" s="20">
        <f>'Res OLS model'!$I$10*H22</f>
        <v>-431143.03721149289</v>
      </c>
      <c r="Q22" s="20">
        <f>'Res OLS model'!$I$11*I22</f>
        <v>9813021.5983532351</v>
      </c>
      <c r="R22" s="20">
        <f t="shared" ca="1" si="2"/>
        <v>21851683.481437355</v>
      </c>
    </row>
    <row r="23" spans="1:18">
      <c r="A23" s="22">
        <f>'Monthly Data'!A23</f>
        <v>40452</v>
      </c>
      <c r="B23" s="6">
        <f t="shared" si="1"/>
        <v>2010</v>
      </c>
      <c r="C23" s="20">
        <f ca="1">'Monthly Data'!G23</f>
        <v>17208459.015448716</v>
      </c>
      <c r="D23" s="6">
        <f t="shared" ca="1" si="3"/>
        <v>176.42</v>
      </c>
      <c r="E23" s="6">
        <f t="shared" ca="1" si="3"/>
        <v>10.18</v>
      </c>
      <c r="F23" s="6">
        <f>'Monthly Data'!AM23</f>
        <v>31</v>
      </c>
      <c r="G23" s="6">
        <f>'Monthly Data'!BD23</f>
        <v>1</v>
      </c>
      <c r="H23" s="6">
        <f>'Monthly Data'!AO23</f>
        <v>22</v>
      </c>
      <c r="I23" s="6">
        <f>'Monthly Data'!AK23</f>
        <v>149.6</v>
      </c>
      <c r="K23" s="20">
        <f>'Res OLS model'!$I$5</f>
        <v>-17166149.3850234</v>
      </c>
      <c r="L23" s="20">
        <f ca="1">'Res OLS model'!$I$6*D23</f>
        <v>1141383.2421620423</v>
      </c>
      <c r="M23" s="20">
        <f ca="1">'Res OLS model'!$I$7*E23</f>
        <v>693768.5168398947</v>
      </c>
      <c r="N23" s="20">
        <f>'Res OLS model'!$I$8*F23</f>
        <v>25663136.827169884</v>
      </c>
      <c r="O23" s="20">
        <f>'Res OLS model'!$I$9*G23</f>
        <v>-1889629.0328907201</v>
      </c>
      <c r="P23" s="20">
        <f>'Res OLS model'!$I$10*H23</f>
        <v>-451673.65803108783</v>
      </c>
      <c r="Q23" s="20">
        <f>'Res OLS model'!$I$11*I23</f>
        <v>9872414.4661307596</v>
      </c>
      <c r="R23" s="20">
        <f t="shared" ca="1" si="2"/>
        <v>17863250.976357371</v>
      </c>
    </row>
    <row r="24" spans="1:18">
      <c r="A24" s="22">
        <f>'Monthly Data'!A24</f>
        <v>40483</v>
      </c>
      <c r="B24" s="6">
        <f t="shared" si="1"/>
        <v>2010</v>
      </c>
      <c r="C24" s="20">
        <f ca="1">'Monthly Data'!G24</f>
        <v>17984730.026108824</v>
      </c>
      <c r="D24" s="6">
        <f t="shared" ca="1" si="3"/>
        <v>364.2299999999999</v>
      </c>
      <c r="E24" s="6">
        <f t="shared" ca="1" si="3"/>
        <v>0.05</v>
      </c>
      <c r="F24" s="6">
        <f>'Monthly Data'!AM24</f>
        <v>30</v>
      </c>
      <c r="G24" s="6">
        <f>'Monthly Data'!BD24</f>
        <v>1</v>
      </c>
      <c r="H24" s="6">
        <f>'Monthly Data'!AO24</f>
        <v>23</v>
      </c>
      <c r="I24" s="6">
        <f>'Monthly Data'!AK24</f>
        <v>148.9</v>
      </c>
      <c r="K24" s="20">
        <f>'Res OLS model'!$I$5</f>
        <v>-17166149.3850234</v>
      </c>
      <c r="L24" s="20">
        <f ca="1">'Res OLS model'!$I$6*D24</f>
        <v>2356456.2877943576</v>
      </c>
      <c r="M24" s="20">
        <f ca="1">'Res OLS model'!$I$7*E24</f>
        <v>3407.5074500977153</v>
      </c>
      <c r="N24" s="20">
        <f>'Res OLS model'!$I$8*F24</f>
        <v>24835293.703712791</v>
      </c>
      <c r="O24" s="20">
        <f>'Res OLS model'!$I$9*G24</f>
        <v>-1889629.0328907201</v>
      </c>
      <c r="P24" s="20">
        <f>'Res OLS model'!$I$10*H24</f>
        <v>-472204.27885068272</v>
      </c>
      <c r="Q24" s="20">
        <f>'Res OLS model'!$I$11*I24</f>
        <v>9826220.0134149082</v>
      </c>
      <c r="R24" s="20">
        <f t="shared" ca="1" si="2"/>
        <v>17493394.81560735</v>
      </c>
    </row>
    <row r="25" spans="1:18">
      <c r="A25" s="22">
        <f>'Monthly Data'!A25</f>
        <v>40513</v>
      </c>
      <c r="B25" s="6">
        <f t="shared" si="1"/>
        <v>2010</v>
      </c>
      <c r="C25" s="20">
        <f ca="1">'Monthly Data'!G25</f>
        <v>21766502.464284435</v>
      </c>
      <c r="D25" s="6">
        <f t="shared" ca="1" si="3"/>
        <v>552.31000000000006</v>
      </c>
      <c r="E25" s="6">
        <f t="shared" ca="1" si="3"/>
        <v>0</v>
      </c>
      <c r="F25" s="6">
        <f>'Monthly Data'!AM25</f>
        <v>31</v>
      </c>
      <c r="G25" s="6">
        <f>'Monthly Data'!BD25</f>
        <v>0</v>
      </c>
      <c r="H25" s="6">
        <f>'Monthly Data'!AO25</f>
        <v>24</v>
      </c>
      <c r="I25" s="6">
        <f>'Monthly Data'!AK25</f>
        <v>148.1</v>
      </c>
      <c r="K25" s="20">
        <f>'Res OLS model'!$I$5</f>
        <v>-17166149.3850234</v>
      </c>
      <c r="L25" s="20">
        <f ca="1">'Res OLS model'!$I$6*D25</f>
        <v>3573276.150541422</v>
      </c>
      <c r="M25" s="20">
        <f ca="1">'Res OLS model'!$I$7*E25</f>
        <v>0</v>
      </c>
      <c r="N25" s="20">
        <f>'Res OLS model'!$I$8*F25</f>
        <v>25663136.827169884</v>
      </c>
      <c r="O25" s="20">
        <f>'Res OLS model'!$I$9*G25</f>
        <v>0</v>
      </c>
      <c r="P25" s="20">
        <f>'Res OLS model'!$I$10*H25</f>
        <v>-492734.89967027761</v>
      </c>
      <c r="Q25" s="20">
        <f>'Res OLS model'!$I$11*I25</f>
        <v>9773426.3531682193</v>
      </c>
      <c r="R25" s="20">
        <f t="shared" ca="1" si="2"/>
        <v>21350955.046185847</v>
      </c>
    </row>
    <row r="26" spans="1:18">
      <c r="A26" s="22">
        <f>'Monthly Data'!A26</f>
        <v>40544</v>
      </c>
      <c r="B26" s="6">
        <f t="shared" si="1"/>
        <v>2011</v>
      </c>
      <c r="C26" s="20">
        <f ca="1">'Monthly Data'!G26</f>
        <v>22178314.15854536</v>
      </c>
      <c r="D26" s="6">
        <f t="shared" ca="1" si="3"/>
        <v>661.18999999999994</v>
      </c>
      <c r="E26" s="6">
        <f t="shared" ca="1" si="3"/>
        <v>0</v>
      </c>
      <c r="F26" s="6">
        <f>'Monthly Data'!AM26</f>
        <v>31</v>
      </c>
      <c r="G26" s="6">
        <f>'Monthly Data'!BD26</f>
        <v>0</v>
      </c>
      <c r="H26" s="6">
        <f>'Monthly Data'!AO26</f>
        <v>25</v>
      </c>
      <c r="I26" s="6">
        <f>'Monthly Data'!AK26</f>
        <v>148.69999999999999</v>
      </c>
      <c r="K26" s="20">
        <f>'Res OLS model'!$I$5</f>
        <v>-17166149.3850234</v>
      </c>
      <c r="L26" s="20">
        <f ca="1">'Res OLS model'!$I$6*D26</f>
        <v>4277696.326295889</v>
      </c>
      <c r="M26" s="20">
        <f ca="1">'Res OLS model'!$I$7*E26</f>
        <v>0</v>
      </c>
      <c r="N26" s="20">
        <f>'Res OLS model'!$I$8*F26</f>
        <v>25663136.827169884</v>
      </c>
      <c r="O26" s="20">
        <f>'Res OLS model'!$I$9*G26</f>
        <v>0</v>
      </c>
      <c r="P26" s="20">
        <f>'Res OLS model'!$I$10*H26</f>
        <v>-513265.52048987249</v>
      </c>
      <c r="Q26" s="20">
        <f>'Res OLS model'!$I$11*I26</f>
        <v>9813021.5983532351</v>
      </c>
      <c r="R26" s="20">
        <f t="shared" ca="1" si="2"/>
        <v>22074439.846305735</v>
      </c>
    </row>
    <row r="27" spans="1:18">
      <c r="A27" s="22">
        <f>'Monthly Data'!A27</f>
        <v>40575</v>
      </c>
      <c r="B27" s="6">
        <f t="shared" si="1"/>
        <v>2011</v>
      </c>
      <c r="C27" s="20">
        <f ca="1">'Monthly Data'!G27</f>
        <v>18955531.053135466</v>
      </c>
      <c r="D27" s="6">
        <f t="shared" ca="1" si="3"/>
        <v>598.16999999999985</v>
      </c>
      <c r="E27" s="6">
        <f t="shared" ca="1" si="3"/>
        <v>0</v>
      </c>
      <c r="F27" s="6">
        <f>'Monthly Data'!AM27</f>
        <v>28</v>
      </c>
      <c r="G27" s="6">
        <f>'Monthly Data'!BD27</f>
        <v>0</v>
      </c>
      <c r="H27" s="6">
        <f>'Monthly Data'!AO27</f>
        <v>26</v>
      </c>
      <c r="I27" s="6">
        <f>'Monthly Data'!AK27</f>
        <v>146.69999999999999</v>
      </c>
      <c r="K27" s="20">
        <f>'Res OLS model'!$I$5</f>
        <v>-17166149.3850234</v>
      </c>
      <c r="L27" s="20">
        <f ca="1">'Res OLS model'!$I$6*D27</f>
        <v>3869976.27232779</v>
      </c>
      <c r="M27" s="20">
        <f ca="1">'Res OLS model'!$I$7*E27</f>
        <v>0</v>
      </c>
      <c r="N27" s="20">
        <f>'Res OLS model'!$I$8*F27</f>
        <v>23179607.456798606</v>
      </c>
      <c r="O27" s="20">
        <f>'Res OLS model'!$I$9*G27</f>
        <v>0</v>
      </c>
      <c r="P27" s="20">
        <f>'Res OLS model'!$I$10*H27</f>
        <v>-533796.14130946738</v>
      </c>
      <c r="Q27" s="20">
        <f>'Res OLS model'!$I$11*I27</f>
        <v>9681037.4477365129</v>
      </c>
      <c r="R27" s="20">
        <f t="shared" ca="1" si="2"/>
        <v>19030675.65053004</v>
      </c>
    </row>
    <row r="28" spans="1:18">
      <c r="A28" s="22">
        <f>'Monthly Data'!A28</f>
        <v>40603</v>
      </c>
      <c r="B28" s="6">
        <f t="shared" si="1"/>
        <v>2011</v>
      </c>
      <c r="C28" s="20">
        <f ca="1">'Monthly Data'!G28</f>
        <v>19020096.60404275</v>
      </c>
      <c r="D28" s="6">
        <f t="shared" ca="1" si="3"/>
        <v>451.34</v>
      </c>
      <c r="E28" s="6">
        <f t="shared" ca="1" si="3"/>
        <v>0.88000000000000012</v>
      </c>
      <c r="F28" s="6">
        <f>'Monthly Data'!AM28</f>
        <v>31</v>
      </c>
      <c r="G28" s="6">
        <f>'Monthly Data'!BD28</f>
        <v>1</v>
      </c>
      <c r="H28" s="6">
        <f>'Monthly Data'!AO28</f>
        <v>27</v>
      </c>
      <c r="I28" s="6">
        <f>'Monthly Data'!AK28</f>
        <v>145.4</v>
      </c>
      <c r="K28" s="20">
        <f>'Res OLS model'!$I$5</f>
        <v>-17166149.3850234</v>
      </c>
      <c r="L28" s="20">
        <f ca="1">'Res OLS model'!$I$6*D28</f>
        <v>2920031.2465560376</v>
      </c>
      <c r="M28" s="20">
        <f ca="1">'Res OLS model'!$I$7*E28</f>
        <v>59972.131121719787</v>
      </c>
      <c r="N28" s="20">
        <f>'Res OLS model'!$I$8*F28</f>
        <v>25663136.827169884</v>
      </c>
      <c r="O28" s="20">
        <f>'Res OLS model'!$I$9*G28</f>
        <v>-1889629.0328907201</v>
      </c>
      <c r="P28" s="20">
        <f>'Res OLS model'!$I$10*H28</f>
        <v>-554326.76212906232</v>
      </c>
      <c r="Q28" s="20">
        <f>'Res OLS model'!$I$11*I28</f>
        <v>9595247.7498356458</v>
      </c>
      <c r="R28" s="20">
        <f t="shared" ca="1" si="2"/>
        <v>18628282.774640106</v>
      </c>
    </row>
    <row r="29" spans="1:18">
      <c r="A29" s="22">
        <f>'Monthly Data'!A29</f>
        <v>40634</v>
      </c>
      <c r="B29" s="6">
        <f t="shared" si="1"/>
        <v>2011</v>
      </c>
      <c r="C29" s="20">
        <f ca="1">'Monthly Data'!G29</f>
        <v>17125422.053072423</v>
      </c>
      <c r="D29" s="6">
        <f t="shared" ca="1" si="3"/>
        <v>259.5499999999999</v>
      </c>
      <c r="E29" s="6">
        <f t="shared" ca="1" si="3"/>
        <v>2.4500000000000002</v>
      </c>
      <c r="F29" s="6">
        <f>'Monthly Data'!AM29</f>
        <v>30</v>
      </c>
      <c r="G29" s="6">
        <f>'Monthly Data'!BD29</f>
        <v>1</v>
      </c>
      <c r="H29" s="6">
        <f>'Monthly Data'!AO29</f>
        <v>28</v>
      </c>
      <c r="I29" s="6">
        <f>'Monthly Data'!AK29</f>
        <v>144</v>
      </c>
      <c r="K29" s="20">
        <f>'Res OLS model'!$I$5</f>
        <v>-17166149.3850234</v>
      </c>
      <c r="L29" s="20">
        <f ca="1">'Res OLS model'!$I$6*D29</f>
        <v>1679208.8227137397</v>
      </c>
      <c r="M29" s="20">
        <f ca="1">'Res OLS model'!$I$7*E29</f>
        <v>166967.86505478804</v>
      </c>
      <c r="N29" s="20">
        <f>'Res OLS model'!$I$8*F29</f>
        <v>24835293.703712791</v>
      </c>
      <c r="O29" s="20">
        <f>'Res OLS model'!$I$9*G29</f>
        <v>-1889629.0328907201</v>
      </c>
      <c r="P29" s="20">
        <f>'Res OLS model'!$I$10*H29</f>
        <v>-574857.38294865726</v>
      </c>
      <c r="Q29" s="20">
        <f>'Res OLS model'!$I$11*I29</f>
        <v>9502858.8444039412</v>
      </c>
      <c r="R29" s="20">
        <f t="shared" ca="1" si="2"/>
        <v>16553693.435022483</v>
      </c>
    </row>
    <row r="30" spans="1:18">
      <c r="A30" s="22">
        <f>'Monthly Data'!A30</f>
        <v>40664</v>
      </c>
      <c r="B30" s="6">
        <f t="shared" si="1"/>
        <v>2011</v>
      </c>
      <c r="C30" s="20">
        <f ca="1">'Monthly Data'!G30</f>
        <v>18591300.513173018</v>
      </c>
      <c r="D30" s="6">
        <f t="shared" ca="1" si="3"/>
        <v>88.880000000000024</v>
      </c>
      <c r="E30" s="6">
        <f t="shared" ca="1" si="3"/>
        <v>43.79999999999999</v>
      </c>
      <c r="F30" s="6">
        <f>'Monthly Data'!AM30</f>
        <v>31</v>
      </c>
      <c r="G30" s="6">
        <f>'Monthly Data'!BD30</f>
        <v>1</v>
      </c>
      <c r="H30" s="6">
        <f>'Monthly Data'!AO30</f>
        <v>29</v>
      </c>
      <c r="I30" s="6">
        <f>'Monthly Data'!AK30</f>
        <v>144.6</v>
      </c>
      <c r="K30" s="20">
        <f>'Res OLS model'!$I$5</f>
        <v>-17166149.3850234</v>
      </c>
      <c r="L30" s="20">
        <f ca="1">'Res OLS model'!$I$6*D30</f>
        <v>575026.31540280208</v>
      </c>
      <c r="M30" s="20">
        <f ca="1">'Res OLS model'!$I$7*E30</f>
        <v>2984976.5262855976</v>
      </c>
      <c r="N30" s="20">
        <f>'Res OLS model'!$I$8*F30</f>
        <v>25663136.827169884</v>
      </c>
      <c r="O30" s="20">
        <f>'Res OLS model'!$I$9*G30</f>
        <v>-1889629.0328907201</v>
      </c>
      <c r="P30" s="20">
        <f>'Res OLS model'!$I$10*H30</f>
        <v>-595388.00376825209</v>
      </c>
      <c r="Q30" s="20">
        <f>'Res OLS model'!$I$11*I30</f>
        <v>9542454.0895889569</v>
      </c>
      <c r="R30" s="20">
        <f t="shared" ca="1" si="2"/>
        <v>19114427.336764868</v>
      </c>
    </row>
    <row r="31" spans="1:18">
      <c r="A31" s="22">
        <f>'Monthly Data'!A31</f>
        <v>40695</v>
      </c>
      <c r="B31" s="6">
        <f t="shared" si="1"/>
        <v>2011</v>
      </c>
      <c r="C31" s="20">
        <f ca="1">'Monthly Data'!G31</f>
        <v>24888672.212482154</v>
      </c>
      <c r="D31" s="6">
        <f t="shared" ca="1" si="3"/>
        <v>9.77</v>
      </c>
      <c r="E31" s="6">
        <f t="shared" ca="1" si="3"/>
        <v>117.38999999999999</v>
      </c>
      <c r="F31" s="6">
        <f>'Monthly Data'!AM31</f>
        <v>30</v>
      </c>
      <c r="G31" s="6">
        <f>'Monthly Data'!BD31</f>
        <v>0</v>
      </c>
      <c r="H31" s="6">
        <f>'Monthly Data'!AO31</f>
        <v>30</v>
      </c>
      <c r="I31" s="6">
        <f>'Monthly Data'!AK31</f>
        <v>146</v>
      </c>
      <c r="K31" s="20">
        <f>'Res OLS model'!$I$5</f>
        <v>-17166149.3850234</v>
      </c>
      <c r="L31" s="20">
        <f ca="1">'Res OLS model'!$I$6*D31</f>
        <v>63208.900781788645</v>
      </c>
      <c r="M31" s="20">
        <f ca="1">'Res OLS model'!$I$7*E31</f>
        <v>8000145.9913394144</v>
      </c>
      <c r="N31" s="20">
        <f>'Res OLS model'!$I$8*F31</f>
        <v>24835293.703712791</v>
      </c>
      <c r="O31" s="20">
        <f>'Res OLS model'!$I$9*G31</f>
        <v>0</v>
      </c>
      <c r="P31" s="20">
        <f>'Res OLS model'!$I$10*H31</f>
        <v>-615918.62458784704</v>
      </c>
      <c r="Q31" s="20">
        <f>'Res OLS model'!$I$11*I31</f>
        <v>9634842.9950206615</v>
      </c>
      <c r="R31" s="20">
        <f t="shared" ca="1" si="2"/>
        <v>24751423.581243411</v>
      </c>
    </row>
    <row r="32" spans="1:18">
      <c r="A32" s="22">
        <f>'Monthly Data'!A32</f>
        <v>40725</v>
      </c>
      <c r="B32" s="6">
        <f t="shared" si="1"/>
        <v>2011</v>
      </c>
      <c r="C32" s="20">
        <f ca="1">'Monthly Data'!G32</f>
        <v>33358689.098552275</v>
      </c>
      <c r="D32" s="6">
        <f t="shared" ca="1" si="3"/>
        <v>0.58000000000000007</v>
      </c>
      <c r="E32" s="6">
        <f t="shared" ca="1" si="3"/>
        <v>179.70999999999998</v>
      </c>
      <c r="F32" s="6">
        <f>'Monthly Data'!AM32</f>
        <v>31</v>
      </c>
      <c r="G32" s="6">
        <f>'Monthly Data'!BD32</f>
        <v>0</v>
      </c>
      <c r="H32" s="6">
        <f>'Monthly Data'!AO32</f>
        <v>31</v>
      </c>
      <c r="I32" s="6">
        <f>'Monthly Data'!AK32</f>
        <v>147.6</v>
      </c>
      <c r="K32" s="20">
        <f>'Res OLS model'!$I$5</f>
        <v>-17166149.3850234</v>
      </c>
      <c r="L32" s="20">
        <f ca="1">'Res OLS model'!$I$6*D32</f>
        <v>3752.421950198303</v>
      </c>
      <c r="M32" s="20">
        <f ca="1">'Res OLS model'!$I$7*E32</f>
        <v>12247263.277141206</v>
      </c>
      <c r="N32" s="20">
        <f>'Res OLS model'!$I$8*F32</f>
        <v>25663136.827169884</v>
      </c>
      <c r="O32" s="20">
        <f>'Res OLS model'!$I$9*G32</f>
        <v>0</v>
      </c>
      <c r="P32" s="20">
        <f>'Res OLS model'!$I$10*H32</f>
        <v>-636449.24540744186</v>
      </c>
      <c r="Q32" s="20">
        <f>'Res OLS model'!$I$11*I32</f>
        <v>9740430.3155140392</v>
      </c>
      <c r="R32" s="20">
        <f t="shared" ca="1" si="2"/>
        <v>29851984.211344484</v>
      </c>
    </row>
    <row r="33" spans="1:18">
      <c r="A33" s="22">
        <f>'Monthly Data'!A33</f>
        <v>40756</v>
      </c>
      <c r="B33" s="6">
        <f t="shared" si="1"/>
        <v>2011</v>
      </c>
      <c r="C33" s="20">
        <f ca="1">'Monthly Data'!G33</f>
        <v>30414812.49304403</v>
      </c>
      <c r="D33" s="6">
        <f t="shared" ca="1" si="3"/>
        <v>1.7099999999999997</v>
      </c>
      <c r="E33" s="6">
        <f t="shared" ca="1" si="3"/>
        <v>158.1</v>
      </c>
      <c r="F33" s="6">
        <f>'Monthly Data'!AM33</f>
        <v>31</v>
      </c>
      <c r="G33" s="6">
        <f>'Monthly Data'!BD33</f>
        <v>0</v>
      </c>
      <c r="H33" s="6">
        <f>'Monthly Data'!AO33</f>
        <v>32</v>
      </c>
      <c r="I33" s="6">
        <f>'Monthly Data'!AK33</f>
        <v>148.69999999999999</v>
      </c>
      <c r="K33" s="20">
        <f>'Res OLS model'!$I$5</f>
        <v>-17166149.3850234</v>
      </c>
      <c r="L33" s="20">
        <f ca="1">'Res OLS model'!$I$6*D33</f>
        <v>11063.175060067408</v>
      </c>
      <c r="M33" s="20">
        <f ca="1">'Res OLS model'!$I$7*E33</f>
        <v>10774538.557208974</v>
      </c>
      <c r="N33" s="20">
        <f>'Res OLS model'!$I$8*F33</f>
        <v>25663136.827169884</v>
      </c>
      <c r="O33" s="20">
        <f>'Res OLS model'!$I$9*G33</f>
        <v>0</v>
      </c>
      <c r="P33" s="20">
        <f>'Res OLS model'!$I$10*H33</f>
        <v>-656979.86622703681</v>
      </c>
      <c r="Q33" s="20">
        <f>'Res OLS model'!$I$11*I33</f>
        <v>9813021.5983532351</v>
      </c>
      <c r="R33" s="20">
        <f t="shared" ca="1" si="2"/>
        <v>28438630.90654172</v>
      </c>
    </row>
    <row r="34" spans="1:18">
      <c r="A34" s="22">
        <f>'Monthly Data'!A34</f>
        <v>40787</v>
      </c>
      <c r="B34" s="6">
        <f t="shared" si="1"/>
        <v>2011</v>
      </c>
      <c r="C34" s="20">
        <f ca="1">'Monthly Data'!G34</f>
        <v>20929875.731459919</v>
      </c>
      <c r="D34" s="6">
        <f t="shared" ref="D34:E53" ca="1" si="4">D22</f>
        <v>32.68</v>
      </c>
      <c r="E34" s="6">
        <f t="shared" ca="1" si="4"/>
        <v>67.34</v>
      </c>
      <c r="F34" s="6">
        <f>'Monthly Data'!AM34</f>
        <v>30</v>
      </c>
      <c r="G34" s="6">
        <f>'Monthly Data'!BD34</f>
        <v>0</v>
      </c>
      <c r="H34" s="6">
        <f>'Monthly Data'!AO34</f>
        <v>33</v>
      </c>
      <c r="I34" s="6">
        <f>'Monthly Data'!AK34</f>
        <v>148.1</v>
      </c>
      <c r="K34" s="20">
        <f>'Res OLS model'!$I$5</f>
        <v>-17166149.3850234</v>
      </c>
      <c r="L34" s="20">
        <f ca="1">'Res OLS model'!$I$6*D34</f>
        <v>211429.56781462161</v>
      </c>
      <c r="M34" s="20">
        <f ca="1">'Res OLS model'!$I$7*E34</f>
        <v>4589231.0337916026</v>
      </c>
      <c r="N34" s="20">
        <f>'Res OLS model'!$I$8*F34</f>
        <v>24835293.703712791</v>
      </c>
      <c r="O34" s="20">
        <f>'Res OLS model'!$I$9*G34</f>
        <v>0</v>
      </c>
      <c r="P34" s="20">
        <f>'Res OLS model'!$I$10*H34</f>
        <v>-677510.48704663175</v>
      </c>
      <c r="Q34" s="20">
        <f>'Res OLS model'!$I$11*I34</f>
        <v>9773426.3531682193</v>
      </c>
      <c r="R34" s="20">
        <f t="shared" ca="1" si="2"/>
        <v>21565720.786417201</v>
      </c>
    </row>
    <row r="35" spans="1:18">
      <c r="A35" s="22">
        <f>'Monthly Data'!A35</f>
        <v>40817</v>
      </c>
      <c r="B35" s="6">
        <f t="shared" si="1"/>
        <v>2011</v>
      </c>
      <c r="C35" s="20">
        <f ca="1">'Monthly Data'!G35</f>
        <v>17117587.736433852</v>
      </c>
      <c r="D35" s="6">
        <f t="shared" ca="1" si="4"/>
        <v>176.42</v>
      </c>
      <c r="E35" s="6">
        <f t="shared" ca="1" si="4"/>
        <v>10.18</v>
      </c>
      <c r="F35" s="6">
        <f>'Monthly Data'!AM35</f>
        <v>31</v>
      </c>
      <c r="G35" s="6">
        <f>'Monthly Data'!BD35</f>
        <v>1</v>
      </c>
      <c r="H35" s="6">
        <f>'Monthly Data'!AO35</f>
        <v>34</v>
      </c>
      <c r="I35" s="6">
        <f>'Monthly Data'!AK35</f>
        <v>149.1</v>
      </c>
      <c r="K35" s="20">
        <f>'Res OLS model'!$I$5</f>
        <v>-17166149.3850234</v>
      </c>
      <c r="L35" s="20">
        <f ca="1">'Res OLS model'!$I$6*D35</f>
        <v>1141383.2421620423</v>
      </c>
      <c r="M35" s="20">
        <f ca="1">'Res OLS model'!$I$7*E35</f>
        <v>693768.5168398947</v>
      </c>
      <c r="N35" s="20">
        <f>'Res OLS model'!$I$8*F35</f>
        <v>25663136.827169884</v>
      </c>
      <c r="O35" s="20">
        <f>'Res OLS model'!$I$9*G35</f>
        <v>-1889629.0328907201</v>
      </c>
      <c r="P35" s="20">
        <f>'Res OLS model'!$I$10*H35</f>
        <v>-698041.10786622658</v>
      </c>
      <c r="Q35" s="20">
        <f>'Res OLS model'!$I$11*I35</f>
        <v>9839418.4284765795</v>
      </c>
      <c r="R35" s="20">
        <f t="shared" ca="1" si="2"/>
        <v>17583887.488868054</v>
      </c>
    </row>
    <row r="36" spans="1:18">
      <c r="A36" s="22">
        <f>'Monthly Data'!A36</f>
        <v>40848</v>
      </c>
      <c r="B36" s="6">
        <f t="shared" si="1"/>
        <v>2011</v>
      </c>
      <c r="C36" s="20">
        <f ca="1">'Monthly Data'!G36</f>
        <v>17522596.420983914</v>
      </c>
      <c r="D36" s="6">
        <f t="shared" ca="1" si="4"/>
        <v>364.2299999999999</v>
      </c>
      <c r="E36" s="6">
        <f t="shared" ca="1" si="4"/>
        <v>0.05</v>
      </c>
      <c r="F36" s="6">
        <f>'Monthly Data'!AM36</f>
        <v>30</v>
      </c>
      <c r="G36" s="6">
        <f>'Monthly Data'!BD36</f>
        <v>1</v>
      </c>
      <c r="H36" s="6">
        <f>'Monthly Data'!AO36</f>
        <v>35</v>
      </c>
      <c r="I36" s="6">
        <f>'Monthly Data'!AK36</f>
        <v>150.80000000000001</v>
      </c>
      <c r="K36" s="20">
        <f>'Res OLS model'!$I$5</f>
        <v>-17166149.3850234</v>
      </c>
      <c r="L36" s="20">
        <f ca="1">'Res OLS model'!$I$6*D36</f>
        <v>2356456.2877943576</v>
      </c>
      <c r="M36" s="20">
        <f ca="1">'Res OLS model'!$I$7*E36</f>
        <v>3407.5074500977153</v>
      </c>
      <c r="N36" s="20">
        <f>'Res OLS model'!$I$8*F36</f>
        <v>24835293.703712791</v>
      </c>
      <c r="O36" s="20">
        <f>'Res OLS model'!$I$9*G36</f>
        <v>-1889629.0328907201</v>
      </c>
      <c r="P36" s="20">
        <f>'Res OLS model'!$I$10*H36</f>
        <v>-718571.72868582152</v>
      </c>
      <c r="Q36" s="20">
        <f>'Res OLS model'!$I$11*I36</f>
        <v>9951604.9565007947</v>
      </c>
      <c r="R36" s="20">
        <f t="shared" ca="1" si="2"/>
        <v>17372412.3088581</v>
      </c>
    </row>
    <row r="37" spans="1:18">
      <c r="A37" s="22">
        <f>'Monthly Data'!A37</f>
        <v>40878</v>
      </c>
      <c r="B37" s="6">
        <f t="shared" si="1"/>
        <v>2011</v>
      </c>
      <c r="C37" s="20">
        <f ca="1">'Monthly Data'!G37</f>
        <v>20836913.507082358</v>
      </c>
      <c r="D37" s="6">
        <f t="shared" ca="1" si="4"/>
        <v>552.31000000000006</v>
      </c>
      <c r="E37" s="6">
        <f t="shared" ca="1" si="4"/>
        <v>0</v>
      </c>
      <c r="F37" s="6">
        <f>'Monthly Data'!AM37</f>
        <v>31</v>
      </c>
      <c r="G37" s="6">
        <f>'Monthly Data'!BD37</f>
        <v>0</v>
      </c>
      <c r="H37" s="6">
        <f>'Monthly Data'!AO37</f>
        <v>36</v>
      </c>
      <c r="I37" s="6">
        <f>'Monthly Data'!AK37</f>
        <v>152.1</v>
      </c>
      <c r="K37" s="20">
        <f>'Res OLS model'!$I$5</f>
        <v>-17166149.3850234</v>
      </c>
      <c r="L37" s="20">
        <f ca="1">'Res OLS model'!$I$6*D37</f>
        <v>3573276.150541422</v>
      </c>
      <c r="M37" s="20">
        <f ca="1">'Res OLS model'!$I$7*E37</f>
        <v>0</v>
      </c>
      <c r="N37" s="20">
        <f>'Res OLS model'!$I$8*F37</f>
        <v>25663136.827169884</v>
      </c>
      <c r="O37" s="20">
        <f>'Res OLS model'!$I$9*G37</f>
        <v>0</v>
      </c>
      <c r="P37" s="20">
        <f>'Res OLS model'!$I$10*H37</f>
        <v>-739102.34950541635</v>
      </c>
      <c r="Q37" s="20">
        <f>'Res OLS model'!$I$11*I37</f>
        <v>10037394.654401662</v>
      </c>
      <c r="R37" s="20">
        <f t="shared" ca="1" si="2"/>
        <v>21368555.897584148</v>
      </c>
    </row>
    <row r="38" spans="1:18">
      <c r="A38" s="22">
        <f>'Monthly Data'!A38</f>
        <v>40909</v>
      </c>
      <c r="B38" s="6">
        <f t="shared" si="1"/>
        <v>2012</v>
      </c>
      <c r="C38" s="20">
        <f ca="1">'Monthly Data'!G38</f>
        <v>20826549.184631586</v>
      </c>
      <c r="D38" s="6">
        <f t="shared" ca="1" si="4"/>
        <v>661.18999999999994</v>
      </c>
      <c r="E38" s="6">
        <f t="shared" ca="1" si="4"/>
        <v>0</v>
      </c>
      <c r="F38" s="6">
        <f>'Monthly Data'!AM38</f>
        <v>31</v>
      </c>
      <c r="G38" s="6">
        <f>'Monthly Data'!BD38</f>
        <v>0</v>
      </c>
      <c r="H38" s="6">
        <f>'Monthly Data'!AO38</f>
        <v>37</v>
      </c>
      <c r="I38" s="6">
        <f>'Monthly Data'!AK38</f>
        <v>149.5</v>
      </c>
      <c r="K38" s="20">
        <f>'Res OLS model'!$I$5</f>
        <v>-17166149.3850234</v>
      </c>
      <c r="L38" s="20">
        <f ca="1">'Res OLS model'!$I$6*D38</f>
        <v>4277696.326295889</v>
      </c>
      <c r="M38" s="20">
        <f ca="1">'Res OLS model'!$I$7*E38</f>
        <v>0</v>
      </c>
      <c r="N38" s="20">
        <f>'Res OLS model'!$I$8*F38</f>
        <v>25663136.827169884</v>
      </c>
      <c r="O38" s="20">
        <f>'Res OLS model'!$I$9*G38</f>
        <v>0</v>
      </c>
      <c r="P38" s="20">
        <f>'Res OLS model'!$I$10*H38</f>
        <v>-759632.97032501129</v>
      </c>
      <c r="Q38" s="20">
        <f>'Res OLS model'!$I$11*I38</f>
        <v>9865815.2585999239</v>
      </c>
      <c r="R38" s="20">
        <f t="shared" ca="1" si="2"/>
        <v>21880866.056717284</v>
      </c>
    </row>
    <row r="39" spans="1:18">
      <c r="A39" s="22">
        <f>'Monthly Data'!A39</f>
        <v>40940</v>
      </c>
      <c r="B39" s="6">
        <f t="shared" si="1"/>
        <v>2012</v>
      </c>
      <c r="C39" s="20">
        <f ca="1">'Monthly Data'!G39</f>
        <v>18396143.263278905</v>
      </c>
      <c r="D39" s="6">
        <f t="shared" ca="1" si="4"/>
        <v>598.16999999999985</v>
      </c>
      <c r="E39" s="6">
        <f t="shared" ca="1" si="4"/>
        <v>0</v>
      </c>
      <c r="F39" s="6">
        <f>'Monthly Data'!AM39</f>
        <v>29</v>
      </c>
      <c r="G39" s="6">
        <f>'Monthly Data'!BD39</f>
        <v>0</v>
      </c>
      <c r="H39" s="6">
        <f>'Monthly Data'!AO39</f>
        <v>38</v>
      </c>
      <c r="I39" s="6">
        <f>'Monthly Data'!AK39</f>
        <v>148.4</v>
      </c>
      <c r="K39" s="20">
        <f>'Res OLS model'!$I$5</f>
        <v>-17166149.3850234</v>
      </c>
      <c r="L39" s="20">
        <f ca="1">'Res OLS model'!$I$6*D39</f>
        <v>3869976.27232779</v>
      </c>
      <c r="M39" s="20">
        <f ca="1">'Res OLS model'!$I$7*E39</f>
        <v>0</v>
      </c>
      <c r="N39" s="20">
        <f>'Res OLS model'!$I$8*F39</f>
        <v>24007450.580255698</v>
      </c>
      <c r="O39" s="20">
        <f>'Res OLS model'!$I$9*G39</f>
        <v>0</v>
      </c>
      <c r="P39" s="20">
        <f>'Res OLS model'!$I$10*H39</f>
        <v>-780163.59114460624</v>
      </c>
      <c r="Q39" s="20">
        <f>'Res OLS model'!$I$11*I39</f>
        <v>9793223.9757607281</v>
      </c>
      <c r="R39" s="20">
        <f t="shared" ca="1" si="2"/>
        <v>19724337.852176212</v>
      </c>
    </row>
    <row r="40" spans="1:18">
      <c r="A40" s="22">
        <f>'Monthly Data'!A40</f>
        <v>40969</v>
      </c>
      <c r="B40" s="6">
        <f t="shared" si="1"/>
        <v>2012</v>
      </c>
      <c r="C40" s="20">
        <f ca="1">'Monthly Data'!G40</f>
        <v>17464653.067603219</v>
      </c>
      <c r="D40" s="6">
        <f t="shared" ca="1" si="4"/>
        <v>451.34</v>
      </c>
      <c r="E40" s="6">
        <f t="shared" ca="1" si="4"/>
        <v>0.88000000000000012</v>
      </c>
      <c r="F40" s="6">
        <f>'Monthly Data'!AM40</f>
        <v>31</v>
      </c>
      <c r="G40" s="6">
        <f>'Monthly Data'!BD40</f>
        <v>1</v>
      </c>
      <c r="H40" s="6">
        <f>'Monthly Data'!AO40</f>
        <v>39</v>
      </c>
      <c r="I40" s="6">
        <f>'Monthly Data'!AK40</f>
        <v>148.5</v>
      </c>
      <c r="K40" s="20">
        <f>'Res OLS model'!$I$5</f>
        <v>-17166149.3850234</v>
      </c>
      <c r="L40" s="20">
        <f ca="1">'Res OLS model'!$I$6*D40</f>
        <v>2920031.2465560376</v>
      </c>
      <c r="M40" s="20">
        <f ca="1">'Res OLS model'!$I$7*E40</f>
        <v>59972.131121719787</v>
      </c>
      <c r="N40" s="20">
        <f>'Res OLS model'!$I$8*F40</f>
        <v>25663136.827169884</v>
      </c>
      <c r="O40" s="20">
        <f>'Res OLS model'!$I$9*G40</f>
        <v>-1889629.0328907201</v>
      </c>
      <c r="P40" s="20">
        <f>'Res OLS model'!$I$10*H40</f>
        <v>-800694.21196420107</v>
      </c>
      <c r="Q40" s="20">
        <f>'Res OLS model'!$I$11*I40</f>
        <v>9799823.1832915638</v>
      </c>
      <c r="R40" s="20">
        <f t="shared" ca="1" si="2"/>
        <v>18586490.758260883</v>
      </c>
    </row>
    <row r="41" spans="1:18">
      <c r="A41" s="22">
        <f>'Monthly Data'!A41</f>
        <v>41000</v>
      </c>
      <c r="B41" s="6">
        <f t="shared" si="1"/>
        <v>2012</v>
      </c>
      <c r="C41" s="20">
        <f ca="1">'Monthly Data'!G41</f>
        <v>16103149.412524818</v>
      </c>
      <c r="D41" s="6">
        <f t="shared" ca="1" si="4"/>
        <v>259.5499999999999</v>
      </c>
      <c r="E41" s="6">
        <f t="shared" ca="1" si="4"/>
        <v>2.4500000000000002</v>
      </c>
      <c r="F41" s="6">
        <f>'Monthly Data'!AM41</f>
        <v>30</v>
      </c>
      <c r="G41" s="6">
        <f>'Monthly Data'!BD41</f>
        <v>1</v>
      </c>
      <c r="H41" s="6">
        <f>'Monthly Data'!AO41</f>
        <v>40</v>
      </c>
      <c r="I41" s="6">
        <f>'Monthly Data'!AK41</f>
        <v>150.6</v>
      </c>
      <c r="K41" s="20">
        <f>'Res OLS model'!$I$5</f>
        <v>-17166149.3850234</v>
      </c>
      <c r="L41" s="20">
        <f ca="1">'Res OLS model'!$I$6*D41</f>
        <v>1679208.8227137397</v>
      </c>
      <c r="M41" s="20">
        <f ca="1">'Res OLS model'!$I$7*E41</f>
        <v>166967.86505478804</v>
      </c>
      <c r="N41" s="20">
        <f>'Res OLS model'!$I$8*F41</f>
        <v>24835293.703712791</v>
      </c>
      <c r="O41" s="20">
        <f>'Res OLS model'!$I$9*G41</f>
        <v>-1889629.0328907201</v>
      </c>
      <c r="P41" s="20">
        <f>'Res OLS model'!$I$10*H41</f>
        <v>-821224.83278379601</v>
      </c>
      <c r="Q41" s="20">
        <f>'Res OLS model'!$I$11*I41</f>
        <v>9938406.5414391216</v>
      </c>
      <c r="R41" s="20">
        <f t="shared" ca="1" si="2"/>
        <v>16742873.682222525</v>
      </c>
    </row>
    <row r="42" spans="1:18">
      <c r="A42" s="22">
        <f>'Monthly Data'!A42</f>
        <v>41030</v>
      </c>
      <c r="B42" s="6">
        <f t="shared" si="1"/>
        <v>2012</v>
      </c>
      <c r="C42" s="20">
        <f ca="1">'Monthly Data'!G42</f>
        <v>19432613.145942483</v>
      </c>
      <c r="D42" s="6">
        <f t="shared" ca="1" si="4"/>
        <v>88.880000000000024</v>
      </c>
      <c r="E42" s="6">
        <f t="shared" ca="1" si="4"/>
        <v>43.79999999999999</v>
      </c>
      <c r="F42" s="6">
        <f>'Monthly Data'!AM42</f>
        <v>31</v>
      </c>
      <c r="G42" s="6">
        <f>'Monthly Data'!BD42</f>
        <v>1</v>
      </c>
      <c r="H42" s="6">
        <f>'Monthly Data'!AO42</f>
        <v>41</v>
      </c>
      <c r="I42" s="6">
        <f>'Monthly Data'!AK42</f>
        <v>151.1</v>
      </c>
      <c r="K42" s="20">
        <f>'Res OLS model'!$I$5</f>
        <v>-17166149.3850234</v>
      </c>
      <c r="L42" s="20">
        <f ca="1">'Res OLS model'!$I$6*D42</f>
        <v>575026.31540280208</v>
      </c>
      <c r="M42" s="20">
        <f ca="1">'Res OLS model'!$I$7*E42</f>
        <v>2984976.5262855976</v>
      </c>
      <c r="N42" s="20">
        <f>'Res OLS model'!$I$8*F42</f>
        <v>25663136.827169884</v>
      </c>
      <c r="O42" s="20">
        <f>'Res OLS model'!$I$9*G42</f>
        <v>-1889629.0328907201</v>
      </c>
      <c r="P42" s="20">
        <f>'Res OLS model'!$I$10*H42</f>
        <v>-841755.45360339095</v>
      </c>
      <c r="Q42" s="20">
        <f>'Res OLS model'!$I$11*I42</f>
        <v>9971402.5790933017</v>
      </c>
      <c r="R42" s="20">
        <f t="shared" ca="1" si="2"/>
        <v>19297008.376434073</v>
      </c>
    </row>
    <row r="43" spans="1:18">
      <c r="A43" s="22">
        <f>'Monthly Data'!A43</f>
        <v>41061</v>
      </c>
      <c r="B43" s="6">
        <f t="shared" si="1"/>
        <v>2012</v>
      </c>
      <c r="C43" s="20">
        <f ca="1">'Monthly Data'!G43</f>
        <v>27178390.62937149</v>
      </c>
      <c r="D43" s="6">
        <f t="shared" ca="1" si="4"/>
        <v>9.77</v>
      </c>
      <c r="E43" s="6">
        <f t="shared" ca="1" si="4"/>
        <v>117.38999999999999</v>
      </c>
      <c r="F43" s="6">
        <f>'Monthly Data'!AM43</f>
        <v>30</v>
      </c>
      <c r="G43" s="6">
        <f>'Monthly Data'!BD43</f>
        <v>0</v>
      </c>
      <c r="H43" s="6">
        <f>'Monthly Data'!AO43</f>
        <v>42</v>
      </c>
      <c r="I43" s="6">
        <f>'Monthly Data'!AK43</f>
        <v>152.19999999999999</v>
      </c>
      <c r="K43" s="20">
        <f>'Res OLS model'!$I$5</f>
        <v>-17166149.3850234</v>
      </c>
      <c r="L43" s="20">
        <f ca="1">'Res OLS model'!$I$6*D43</f>
        <v>63208.900781788645</v>
      </c>
      <c r="M43" s="20">
        <f ca="1">'Res OLS model'!$I$7*E43</f>
        <v>8000145.9913394144</v>
      </c>
      <c r="N43" s="20">
        <f>'Res OLS model'!$I$8*F43</f>
        <v>24835293.703712791</v>
      </c>
      <c r="O43" s="20">
        <f>'Res OLS model'!$I$9*G43</f>
        <v>0</v>
      </c>
      <c r="P43" s="20">
        <f>'Res OLS model'!$I$10*H43</f>
        <v>-862286.07442298578</v>
      </c>
      <c r="Q43" s="20">
        <f>'Res OLS model'!$I$11*I43</f>
        <v>10043993.861932497</v>
      </c>
      <c r="R43" s="20">
        <f t="shared" ca="1" si="2"/>
        <v>24914206.998320106</v>
      </c>
    </row>
    <row r="44" spans="1:18">
      <c r="A44" s="22">
        <f>'Monthly Data'!A44</f>
        <v>41091</v>
      </c>
      <c r="B44" s="6">
        <f t="shared" si="1"/>
        <v>2012</v>
      </c>
      <c r="C44" s="20">
        <f ca="1">'Monthly Data'!G44</f>
        <v>34122931.733509071</v>
      </c>
      <c r="D44" s="6">
        <f t="shared" ca="1" si="4"/>
        <v>0.58000000000000007</v>
      </c>
      <c r="E44" s="6">
        <f t="shared" ca="1" si="4"/>
        <v>179.70999999999998</v>
      </c>
      <c r="F44" s="6">
        <f>'Monthly Data'!AM44</f>
        <v>31</v>
      </c>
      <c r="G44" s="6">
        <f>'Monthly Data'!BD44</f>
        <v>0</v>
      </c>
      <c r="H44" s="6">
        <f>'Monthly Data'!AO44</f>
        <v>43</v>
      </c>
      <c r="I44" s="6">
        <f>'Monthly Data'!AK44</f>
        <v>153.4</v>
      </c>
      <c r="K44" s="20">
        <f>'Res OLS model'!$I$5</f>
        <v>-17166149.3850234</v>
      </c>
      <c r="L44" s="20">
        <f ca="1">'Res OLS model'!$I$6*D44</f>
        <v>3752.421950198303</v>
      </c>
      <c r="M44" s="20">
        <f ca="1">'Res OLS model'!$I$7*E44</f>
        <v>12247263.277141206</v>
      </c>
      <c r="N44" s="20">
        <f>'Res OLS model'!$I$8*F44</f>
        <v>25663136.827169884</v>
      </c>
      <c r="O44" s="20">
        <f>'Res OLS model'!$I$9*G44</f>
        <v>0</v>
      </c>
      <c r="P44" s="20">
        <f>'Res OLS model'!$I$10*H44</f>
        <v>-882816.69524258072</v>
      </c>
      <c r="Q44" s="20">
        <f>'Res OLS model'!$I$11*I44</f>
        <v>10123184.352302531</v>
      </c>
      <c r="R44" s="20">
        <f t="shared" ca="1" si="2"/>
        <v>29988370.798297837</v>
      </c>
    </row>
    <row r="45" spans="1:18">
      <c r="A45" s="22">
        <f>'Monthly Data'!A45</f>
        <v>41122</v>
      </c>
      <c r="B45" s="6">
        <f t="shared" si="1"/>
        <v>2012</v>
      </c>
      <c r="C45" s="20">
        <f ca="1">'Monthly Data'!G45</f>
        <v>28774043.990622215</v>
      </c>
      <c r="D45" s="6">
        <f t="shared" ca="1" si="4"/>
        <v>1.7099999999999997</v>
      </c>
      <c r="E45" s="6">
        <f t="shared" ca="1" si="4"/>
        <v>158.1</v>
      </c>
      <c r="F45" s="6">
        <f>'Monthly Data'!AM45</f>
        <v>31</v>
      </c>
      <c r="G45" s="6">
        <f>'Monthly Data'!BD45</f>
        <v>0</v>
      </c>
      <c r="H45" s="6">
        <f>'Monthly Data'!AO45</f>
        <v>44</v>
      </c>
      <c r="I45" s="6">
        <f>'Monthly Data'!AK45</f>
        <v>155</v>
      </c>
      <c r="K45" s="20">
        <f>'Res OLS model'!$I$5</f>
        <v>-17166149.3850234</v>
      </c>
      <c r="L45" s="20">
        <f ca="1">'Res OLS model'!$I$6*D45</f>
        <v>11063.175060067408</v>
      </c>
      <c r="M45" s="20">
        <f ca="1">'Res OLS model'!$I$7*E45</f>
        <v>10774538.557208974</v>
      </c>
      <c r="N45" s="20">
        <f>'Res OLS model'!$I$8*F45</f>
        <v>25663136.827169884</v>
      </c>
      <c r="O45" s="20">
        <f>'Res OLS model'!$I$9*G45</f>
        <v>0</v>
      </c>
      <c r="P45" s="20">
        <f>'Res OLS model'!$I$10*H45</f>
        <v>-903347.31606217567</v>
      </c>
      <c r="Q45" s="20">
        <f>'Res OLS model'!$I$11*I45</f>
        <v>10228771.672795909</v>
      </c>
      <c r="R45" s="20">
        <f t="shared" ca="1" si="2"/>
        <v>28608013.531149261</v>
      </c>
    </row>
    <row r="46" spans="1:18">
      <c r="A46" s="22">
        <f>'Monthly Data'!A46</f>
        <v>41153</v>
      </c>
      <c r="B46" s="6">
        <f t="shared" si="1"/>
        <v>2012</v>
      </c>
      <c r="C46" s="20">
        <f ca="1">'Monthly Data'!G46</f>
        <v>21128025.774475966</v>
      </c>
      <c r="D46" s="6">
        <f t="shared" ca="1" si="4"/>
        <v>32.68</v>
      </c>
      <c r="E46" s="6">
        <f t="shared" ca="1" si="4"/>
        <v>67.34</v>
      </c>
      <c r="F46" s="6">
        <f>'Monthly Data'!AM46</f>
        <v>30</v>
      </c>
      <c r="G46" s="6">
        <f>'Monthly Data'!BD46</f>
        <v>0</v>
      </c>
      <c r="H46" s="6">
        <f>'Monthly Data'!AO46</f>
        <v>45</v>
      </c>
      <c r="I46" s="6">
        <f>'Monthly Data'!AK46</f>
        <v>156.9</v>
      </c>
      <c r="K46" s="20">
        <f>'Res OLS model'!$I$5</f>
        <v>-17166149.3850234</v>
      </c>
      <c r="L46" s="20">
        <f ca="1">'Res OLS model'!$I$6*D46</f>
        <v>211429.56781462161</v>
      </c>
      <c r="M46" s="20">
        <f ca="1">'Res OLS model'!$I$7*E46</f>
        <v>4589231.0337916026</v>
      </c>
      <c r="N46" s="20">
        <f>'Res OLS model'!$I$8*F46</f>
        <v>24835293.703712791</v>
      </c>
      <c r="O46" s="20">
        <f>'Res OLS model'!$I$9*G46</f>
        <v>0</v>
      </c>
      <c r="P46" s="20">
        <f>'Res OLS model'!$I$10*H46</f>
        <v>-923877.9368817705</v>
      </c>
      <c r="Q46" s="20">
        <f>'Res OLS model'!$I$11*I46</f>
        <v>10354156.615881793</v>
      </c>
      <c r="R46" s="20">
        <f t="shared" ca="1" si="2"/>
        <v>21900083.599295639</v>
      </c>
    </row>
    <row r="47" spans="1:18">
      <c r="A47" s="22">
        <f>'Monthly Data'!A47</f>
        <v>41183</v>
      </c>
      <c r="B47" s="6">
        <f t="shared" si="1"/>
        <v>2012</v>
      </c>
      <c r="C47" s="20">
        <f ca="1">'Monthly Data'!G47</f>
        <v>17095388.657426659</v>
      </c>
      <c r="D47" s="6">
        <f t="shared" ca="1" si="4"/>
        <v>176.42</v>
      </c>
      <c r="E47" s="6">
        <f t="shared" ca="1" si="4"/>
        <v>10.18</v>
      </c>
      <c r="F47" s="6">
        <f>'Monthly Data'!AM47</f>
        <v>31</v>
      </c>
      <c r="G47" s="6">
        <f>'Monthly Data'!BD47</f>
        <v>1</v>
      </c>
      <c r="H47" s="6">
        <f>'Monthly Data'!AO47</f>
        <v>46</v>
      </c>
      <c r="I47" s="6">
        <f>'Monthly Data'!AK47</f>
        <v>157.5</v>
      </c>
      <c r="K47" s="20">
        <f>'Res OLS model'!$I$5</f>
        <v>-17166149.3850234</v>
      </c>
      <c r="L47" s="20">
        <f ca="1">'Res OLS model'!$I$6*D47</f>
        <v>1141383.2421620423</v>
      </c>
      <c r="M47" s="20">
        <f ca="1">'Res OLS model'!$I$7*E47</f>
        <v>693768.5168398947</v>
      </c>
      <c r="N47" s="20">
        <f>'Res OLS model'!$I$8*F47</f>
        <v>25663136.827169884</v>
      </c>
      <c r="O47" s="20">
        <f>'Res OLS model'!$I$9*G47</f>
        <v>-1889629.0328907201</v>
      </c>
      <c r="P47" s="20">
        <f>'Res OLS model'!$I$10*H47</f>
        <v>-944408.55770136544</v>
      </c>
      <c r="Q47" s="20">
        <f>'Res OLS model'!$I$11*I47</f>
        <v>10393751.861066811</v>
      </c>
      <c r="R47" s="20">
        <f t="shared" ca="1" si="2"/>
        <v>17891853.471623145</v>
      </c>
    </row>
    <row r="48" spans="1:18">
      <c r="A48" s="22">
        <f>'Monthly Data'!A48</f>
        <v>41214</v>
      </c>
      <c r="B48" s="6">
        <f t="shared" si="1"/>
        <v>2012</v>
      </c>
      <c r="C48" s="20">
        <f ca="1">'Monthly Data'!G48</f>
        <v>18002983.69606806</v>
      </c>
      <c r="D48" s="6">
        <f t="shared" ca="1" si="4"/>
        <v>364.2299999999999</v>
      </c>
      <c r="E48" s="6">
        <f t="shared" ca="1" si="4"/>
        <v>0.05</v>
      </c>
      <c r="F48" s="6">
        <f>'Monthly Data'!AM48</f>
        <v>30</v>
      </c>
      <c r="G48" s="6">
        <f>'Monthly Data'!BD48</f>
        <v>1</v>
      </c>
      <c r="H48" s="6">
        <f>'Monthly Data'!AO48</f>
        <v>47</v>
      </c>
      <c r="I48" s="6">
        <f>'Monthly Data'!AK48</f>
        <v>157.6</v>
      </c>
      <c r="K48" s="20">
        <f>'Res OLS model'!$I$5</f>
        <v>-17166149.3850234</v>
      </c>
      <c r="L48" s="20">
        <f ca="1">'Res OLS model'!$I$6*D48</f>
        <v>2356456.2877943576</v>
      </c>
      <c r="M48" s="20">
        <f ca="1">'Res OLS model'!$I$7*E48</f>
        <v>3407.5074500977153</v>
      </c>
      <c r="N48" s="20">
        <f>'Res OLS model'!$I$8*F48</f>
        <v>24835293.703712791</v>
      </c>
      <c r="O48" s="20">
        <f>'Res OLS model'!$I$9*G48</f>
        <v>-1889629.0328907201</v>
      </c>
      <c r="P48" s="20">
        <f>'Res OLS model'!$I$10*H48</f>
        <v>-964939.17852096027</v>
      </c>
      <c r="Q48" s="20">
        <f>'Res OLS model'!$I$11*I48</f>
        <v>10400351.068597646</v>
      </c>
      <c r="R48" s="20">
        <f t="shared" ca="1" si="2"/>
        <v>17574790.971119814</v>
      </c>
    </row>
    <row r="49" spans="1:18">
      <c r="A49" s="22">
        <f>'Monthly Data'!A49</f>
        <v>41244</v>
      </c>
      <c r="B49" s="6">
        <f t="shared" si="1"/>
        <v>2012</v>
      </c>
      <c r="C49" s="20">
        <f ca="1">'Monthly Data'!G49</f>
        <v>20724891.456826214</v>
      </c>
      <c r="D49" s="6">
        <f t="shared" ca="1" si="4"/>
        <v>552.31000000000006</v>
      </c>
      <c r="E49" s="6">
        <f t="shared" ca="1" si="4"/>
        <v>0</v>
      </c>
      <c r="F49" s="6">
        <f>'Monthly Data'!AM49</f>
        <v>31</v>
      </c>
      <c r="G49" s="6">
        <f>'Monthly Data'!BD49</f>
        <v>0</v>
      </c>
      <c r="H49" s="6">
        <f>'Monthly Data'!AO49</f>
        <v>48</v>
      </c>
      <c r="I49" s="6">
        <f>'Monthly Data'!AK49</f>
        <v>155.5</v>
      </c>
      <c r="K49" s="20">
        <f>'Res OLS model'!$I$5</f>
        <v>-17166149.3850234</v>
      </c>
      <c r="L49" s="20">
        <f ca="1">'Res OLS model'!$I$6*D49</f>
        <v>3573276.150541422</v>
      </c>
      <c r="M49" s="20">
        <f ca="1">'Res OLS model'!$I$7*E49</f>
        <v>0</v>
      </c>
      <c r="N49" s="20">
        <f>'Res OLS model'!$I$8*F49</f>
        <v>25663136.827169884</v>
      </c>
      <c r="O49" s="20">
        <f>'Res OLS model'!$I$9*G49</f>
        <v>0</v>
      </c>
      <c r="P49" s="20">
        <f>'Res OLS model'!$I$10*H49</f>
        <v>-985469.79934055521</v>
      </c>
      <c r="Q49" s="20">
        <f>'Res OLS model'!$I$11*I49</f>
        <v>10261767.710450089</v>
      </c>
      <c r="R49" s="20">
        <f t="shared" ca="1" si="2"/>
        <v>21346561.503797438</v>
      </c>
    </row>
    <row r="50" spans="1:18">
      <c r="A50" s="22">
        <f>'Monthly Data'!A50</f>
        <v>41275</v>
      </c>
      <c r="B50" s="6">
        <f t="shared" si="1"/>
        <v>2013</v>
      </c>
      <c r="C50" s="20">
        <f ca="1">'Monthly Data'!G50</f>
        <v>21175039.85558828</v>
      </c>
      <c r="D50" s="6">
        <f t="shared" ca="1" si="4"/>
        <v>661.18999999999994</v>
      </c>
      <c r="E50" s="6">
        <f t="shared" ca="1" si="4"/>
        <v>0</v>
      </c>
      <c r="F50" s="6">
        <f>'Monthly Data'!AM50</f>
        <v>31</v>
      </c>
      <c r="G50" s="6">
        <f>'Monthly Data'!BD50</f>
        <v>0</v>
      </c>
      <c r="H50" s="6">
        <f>'Monthly Data'!AO50</f>
        <v>49</v>
      </c>
      <c r="I50" s="6">
        <f>'Monthly Data'!AK50</f>
        <v>151.1</v>
      </c>
      <c r="K50" s="20">
        <f>'Res OLS model'!$I$5</f>
        <v>-17166149.3850234</v>
      </c>
      <c r="L50" s="20">
        <f ca="1">'Res OLS model'!$I$6*D50</f>
        <v>4277696.326295889</v>
      </c>
      <c r="M50" s="20">
        <f ca="1">'Res OLS model'!$I$7*E50</f>
        <v>0</v>
      </c>
      <c r="N50" s="20">
        <f>'Res OLS model'!$I$8*F50</f>
        <v>25663136.827169884</v>
      </c>
      <c r="O50" s="20">
        <f>'Res OLS model'!$I$9*G50</f>
        <v>0</v>
      </c>
      <c r="P50" s="20">
        <f>'Res OLS model'!$I$10*H50</f>
        <v>-1006000.4201601502</v>
      </c>
      <c r="Q50" s="20">
        <f>'Res OLS model'!$I$11*I50</f>
        <v>9971402.5790933017</v>
      </c>
      <c r="R50" s="20">
        <f t="shared" ca="1" si="2"/>
        <v>21740085.927375525</v>
      </c>
    </row>
    <row r="51" spans="1:18">
      <c r="A51" s="22">
        <f>'Monthly Data'!A51</f>
        <v>41306</v>
      </c>
      <c r="B51" s="6">
        <f t="shared" si="1"/>
        <v>2013</v>
      </c>
      <c r="C51" s="20">
        <f ca="1">'Monthly Data'!G51</f>
        <v>18639689.622604229</v>
      </c>
      <c r="D51" s="6">
        <f t="shared" ca="1" si="4"/>
        <v>598.16999999999985</v>
      </c>
      <c r="E51" s="6">
        <f t="shared" ca="1" si="4"/>
        <v>0</v>
      </c>
      <c r="F51" s="6">
        <f>'Monthly Data'!AM51</f>
        <v>28</v>
      </c>
      <c r="G51" s="6">
        <f>'Monthly Data'!BD51</f>
        <v>0</v>
      </c>
      <c r="H51" s="6">
        <f>'Monthly Data'!AO51</f>
        <v>50</v>
      </c>
      <c r="I51" s="6">
        <f>'Monthly Data'!AK51</f>
        <v>150.19999999999999</v>
      </c>
      <c r="K51" s="20">
        <f>'Res OLS model'!$I$5</f>
        <v>-17166149.3850234</v>
      </c>
      <c r="L51" s="20">
        <f ca="1">'Res OLS model'!$I$6*D51</f>
        <v>3869976.27232779</v>
      </c>
      <c r="M51" s="20">
        <f ca="1">'Res OLS model'!$I$7*E51</f>
        <v>0</v>
      </c>
      <c r="N51" s="20">
        <f>'Res OLS model'!$I$8*F51</f>
        <v>23179607.456798606</v>
      </c>
      <c r="O51" s="20">
        <f>'Res OLS model'!$I$9*G51</f>
        <v>0</v>
      </c>
      <c r="P51" s="20">
        <f>'Res OLS model'!$I$10*H51</f>
        <v>-1026531.040979745</v>
      </c>
      <c r="Q51" s="20">
        <f>'Res OLS model'!$I$11*I51</f>
        <v>9912009.7113157753</v>
      </c>
      <c r="R51" s="20">
        <f t="shared" ca="1" si="2"/>
        <v>18768913.014439024</v>
      </c>
    </row>
    <row r="52" spans="1:18">
      <c r="A52" s="22">
        <f>'Monthly Data'!A52</f>
        <v>41334</v>
      </c>
      <c r="B52" s="6">
        <f t="shared" si="1"/>
        <v>2013</v>
      </c>
      <c r="C52" s="20">
        <f ca="1">'Monthly Data'!G52</f>
        <v>19203289.13178562</v>
      </c>
      <c r="D52" s="6">
        <f t="shared" ca="1" si="4"/>
        <v>451.34</v>
      </c>
      <c r="E52" s="6">
        <f t="shared" ca="1" si="4"/>
        <v>0.88000000000000012</v>
      </c>
      <c r="F52" s="6">
        <f>'Monthly Data'!AM52</f>
        <v>31</v>
      </c>
      <c r="G52" s="6">
        <f>'Monthly Data'!BD52</f>
        <v>1</v>
      </c>
      <c r="H52" s="6">
        <f>'Monthly Data'!AO52</f>
        <v>51</v>
      </c>
      <c r="I52" s="6">
        <f>'Monthly Data'!AK52</f>
        <v>149.4</v>
      </c>
      <c r="K52" s="20">
        <f>'Res OLS model'!$I$5</f>
        <v>-17166149.3850234</v>
      </c>
      <c r="L52" s="20">
        <f ca="1">'Res OLS model'!$I$6*D52</f>
        <v>2920031.2465560376</v>
      </c>
      <c r="M52" s="20">
        <f ca="1">'Res OLS model'!$I$7*E52</f>
        <v>59972.131121719787</v>
      </c>
      <c r="N52" s="20">
        <f>'Res OLS model'!$I$8*F52</f>
        <v>25663136.827169884</v>
      </c>
      <c r="O52" s="20">
        <f>'Res OLS model'!$I$9*G52</f>
        <v>-1889629.0328907201</v>
      </c>
      <c r="P52" s="20">
        <f>'Res OLS model'!$I$10*H52</f>
        <v>-1047061.6617993399</v>
      </c>
      <c r="Q52" s="20">
        <f>'Res OLS model'!$I$11*I52</f>
        <v>9859216.0510690883</v>
      </c>
      <c r="R52" s="20">
        <f t="shared" ca="1" si="2"/>
        <v>18399516.17620327</v>
      </c>
    </row>
    <row r="53" spans="1:18">
      <c r="A53" s="22">
        <f>'Monthly Data'!A53</f>
        <v>41365</v>
      </c>
      <c r="B53" s="6">
        <f t="shared" si="1"/>
        <v>2013</v>
      </c>
      <c r="C53" s="20">
        <f ca="1">'Monthly Data'!G53</f>
        <v>17076984.319236379</v>
      </c>
      <c r="D53" s="6">
        <f t="shared" ca="1" si="4"/>
        <v>259.5499999999999</v>
      </c>
      <c r="E53" s="6">
        <f t="shared" ca="1" si="4"/>
        <v>2.4500000000000002</v>
      </c>
      <c r="F53" s="6">
        <f>'Monthly Data'!AM53</f>
        <v>30</v>
      </c>
      <c r="G53" s="6">
        <f>'Monthly Data'!BD53</f>
        <v>1</v>
      </c>
      <c r="H53" s="6">
        <f>'Monthly Data'!AO53</f>
        <v>52</v>
      </c>
      <c r="I53" s="6">
        <f>'Monthly Data'!AK53</f>
        <v>152.6</v>
      </c>
      <c r="K53" s="20">
        <f>'Res OLS model'!$I$5</f>
        <v>-17166149.3850234</v>
      </c>
      <c r="L53" s="20">
        <f ca="1">'Res OLS model'!$I$6*D53</f>
        <v>1679208.8227137397</v>
      </c>
      <c r="M53" s="20">
        <f ca="1">'Res OLS model'!$I$7*E53</f>
        <v>166967.86505478804</v>
      </c>
      <c r="N53" s="20">
        <f>'Res OLS model'!$I$8*F53</f>
        <v>24835293.703712791</v>
      </c>
      <c r="O53" s="20">
        <f>'Res OLS model'!$I$9*G53</f>
        <v>-1889629.0328907201</v>
      </c>
      <c r="P53" s="20">
        <f>'Res OLS model'!$I$10*H53</f>
        <v>-1067592.2826189348</v>
      </c>
      <c r="Q53" s="20">
        <f>'Res OLS model'!$I$11*I53</f>
        <v>10070390.692055842</v>
      </c>
      <c r="R53" s="20">
        <f t="shared" ca="1" si="2"/>
        <v>16628490.383004107</v>
      </c>
    </row>
    <row r="54" spans="1:18">
      <c r="A54" s="22">
        <f>'Monthly Data'!A54</f>
        <v>41395</v>
      </c>
      <c r="B54" s="6">
        <f t="shared" si="1"/>
        <v>2013</v>
      </c>
      <c r="C54" s="20">
        <f ca="1">'Monthly Data'!G54</f>
        <v>18457139.291948661</v>
      </c>
      <c r="D54" s="6">
        <f t="shared" ref="D54:E73" ca="1" si="5">D42</f>
        <v>88.880000000000024</v>
      </c>
      <c r="E54" s="6">
        <f t="shared" ca="1" si="5"/>
        <v>43.79999999999999</v>
      </c>
      <c r="F54" s="6">
        <f>'Monthly Data'!AM54</f>
        <v>31</v>
      </c>
      <c r="G54" s="6">
        <f>'Monthly Data'!BD54</f>
        <v>1</v>
      </c>
      <c r="H54" s="6">
        <f>'Monthly Data'!AO54</f>
        <v>53</v>
      </c>
      <c r="I54" s="6">
        <f>'Monthly Data'!AK54</f>
        <v>154</v>
      </c>
      <c r="K54" s="20">
        <f>'Res OLS model'!$I$5</f>
        <v>-17166149.3850234</v>
      </c>
      <c r="L54" s="20">
        <f ca="1">'Res OLS model'!$I$6*D54</f>
        <v>575026.31540280208</v>
      </c>
      <c r="M54" s="20">
        <f ca="1">'Res OLS model'!$I$7*E54</f>
        <v>2984976.5262855976</v>
      </c>
      <c r="N54" s="20">
        <f>'Res OLS model'!$I$8*F54</f>
        <v>25663136.827169884</v>
      </c>
      <c r="O54" s="20">
        <f>'Res OLS model'!$I$9*G54</f>
        <v>-1889629.0328907201</v>
      </c>
      <c r="P54" s="20">
        <f>'Res OLS model'!$I$10*H54</f>
        <v>-1088122.9034385297</v>
      </c>
      <c r="Q54" s="20">
        <f>'Res OLS model'!$I$11*I54</f>
        <v>10162779.597487548</v>
      </c>
      <c r="R54" s="20">
        <f t="shared" ca="1" si="2"/>
        <v>19242017.944993183</v>
      </c>
    </row>
    <row r="55" spans="1:18">
      <c r="A55" s="22">
        <f>'Monthly Data'!A55</f>
        <v>41426</v>
      </c>
      <c r="B55" s="6">
        <f t="shared" si="1"/>
        <v>2013</v>
      </c>
      <c r="C55" s="20">
        <f ca="1">'Monthly Data'!G55</f>
        <v>23738163.011233285</v>
      </c>
      <c r="D55" s="6">
        <f t="shared" ca="1" si="5"/>
        <v>9.77</v>
      </c>
      <c r="E55" s="6">
        <f t="shared" ca="1" si="5"/>
        <v>117.38999999999999</v>
      </c>
      <c r="F55" s="6">
        <f>'Monthly Data'!AM55</f>
        <v>30</v>
      </c>
      <c r="G55" s="6">
        <f>'Monthly Data'!BD55</f>
        <v>0</v>
      </c>
      <c r="H55" s="6">
        <f>'Monthly Data'!AO55</f>
        <v>54</v>
      </c>
      <c r="I55" s="6">
        <f>'Monthly Data'!AK55</f>
        <v>155.9</v>
      </c>
      <c r="K55" s="20">
        <f>'Res OLS model'!$I$5</f>
        <v>-17166149.3850234</v>
      </c>
      <c r="L55" s="20">
        <f ca="1">'Res OLS model'!$I$6*D55</f>
        <v>63208.900781788645</v>
      </c>
      <c r="M55" s="20">
        <f ca="1">'Res OLS model'!$I$7*E55</f>
        <v>8000145.9913394144</v>
      </c>
      <c r="N55" s="20">
        <f>'Res OLS model'!$I$8*F55</f>
        <v>24835293.703712791</v>
      </c>
      <c r="O55" s="20">
        <f>'Res OLS model'!$I$9*G55</f>
        <v>0</v>
      </c>
      <c r="P55" s="20">
        <f>'Res OLS model'!$I$10*H55</f>
        <v>-1108653.5242581246</v>
      </c>
      <c r="Q55" s="20">
        <f>'Res OLS model'!$I$11*I55</f>
        <v>10288164.540573433</v>
      </c>
      <c r="R55" s="20">
        <f t="shared" ca="1" si="2"/>
        <v>24912010.227125902</v>
      </c>
    </row>
    <row r="56" spans="1:18">
      <c r="A56" s="22">
        <f>'Monthly Data'!A56</f>
        <v>41456</v>
      </c>
      <c r="B56" s="6">
        <f t="shared" si="1"/>
        <v>2013</v>
      </c>
      <c r="C56" s="20">
        <f ca="1">'Monthly Data'!G56</f>
        <v>28992560.436643723</v>
      </c>
      <c r="D56" s="6">
        <f t="shared" ca="1" si="5"/>
        <v>0.58000000000000007</v>
      </c>
      <c r="E56" s="6">
        <f t="shared" ca="1" si="5"/>
        <v>179.70999999999998</v>
      </c>
      <c r="F56" s="6">
        <f>'Monthly Data'!AM56</f>
        <v>31</v>
      </c>
      <c r="G56" s="6">
        <f>'Monthly Data'!BD56</f>
        <v>0</v>
      </c>
      <c r="H56" s="6">
        <f>'Monthly Data'!AO56</f>
        <v>55</v>
      </c>
      <c r="I56" s="6">
        <f>'Monthly Data'!AK56</f>
        <v>156.6</v>
      </c>
      <c r="K56" s="20">
        <f>'Res OLS model'!$I$5</f>
        <v>-17166149.3850234</v>
      </c>
      <c r="L56" s="20">
        <f ca="1">'Res OLS model'!$I$6*D56</f>
        <v>3752.421950198303</v>
      </c>
      <c r="M56" s="20">
        <f ca="1">'Res OLS model'!$I$7*E56</f>
        <v>12247263.277141206</v>
      </c>
      <c r="N56" s="20">
        <f>'Res OLS model'!$I$8*F56</f>
        <v>25663136.827169884</v>
      </c>
      <c r="O56" s="20">
        <f>'Res OLS model'!$I$9*G56</f>
        <v>0</v>
      </c>
      <c r="P56" s="20">
        <f>'Res OLS model'!$I$10*H56</f>
        <v>-1129184.1450777196</v>
      </c>
      <c r="Q56" s="20">
        <f>'Res OLS model'!$I$11*I56</f>
        <v>10334358.993289284</v>
      </c>
      <c r="R56" s="20">
        <f t="shared" ca="1" si="2"/>
        <v>29953177.989449453</v>
      </c>
    </row>
    <row r="57" spans="1:18">
      <c r="A57" s="22">
        <f>'Monthly Data'!A57</f>
        <v>41487</v>
      </c>
      <c r="B57" s="6">
        <f t="shared" si="1"/>
        <v>2013</v>
      </c>
      <c r="C57" s="20">
        <f ca="1">'Monthly Data'!G57</f>
        <v>26394506.736268964</v>
      </c>
      <c r="D57" s="6">
        <f t="shared" ca="1" si="5"/>
        <v>1.7099999999999997</v>
      </c>
      <c r="E57" s="6">
        <f t="shared" ca="1" si="5"/>
        <v>158.1</v>
      </c>
      <c r="F57" s="6">
        <f>'Monthly Data'!AM57</f>
        <v>31</v>
      </c>
      <c r="G57" s="6">
        <f>'Monthly Data'!BD57</f>
        <v>0</v>
      </c>
      <c r="H57" s="6">
        <f>'Monthly Data'!AO57</f>
        <v>56</v>
      </c>
      <c r="I57" s="6">
        <f>'Monthly Data'!AK57</f>
        <v>156.5</v>
      </c>
      <c r="K57" s="20">
        <f>'Res OLS model'!$I$5</f>
        <v>-17166149.3850234</v>
      </c>
      <c r="L57" s="20">
        <f ca="1">'Res OLS model'!$I$6*D57</f>
        <v>11063.175060067408</v>
      </c>
      <c r="M57" s="20">
        <f ca="1">'Res OLS model'!$I$7*E57</f>
        <v>10774538.557208974</v>
      </c>
      <c r="N57" s="20">
        <f>'Res OLS model'!$I$8*F57</f>
        <v>25663136.827169884</v>
      </c>
      <c r="O57" s="20">
        <f>'Res OLS model'!$I$9*G57</f>
        <v>0</v>
      </c>
      <c r="P57" s="20">
        <f>'Res OLS model'!$I$10*H57</f>
        <v>-1149714.7658973145</v>
      </c>
      <c r="Q57" s="20">
        <f>'Res OLS model'!$I$11*I57</f>
        <v>10327759.785758449</v>
      </c>
      <c r="R57" s="20">
        <f t="shared" ca="1" si="2"/>
        <v>28460634.194276661</v>
      </c>
    </row>
    <row r="58" spans="1:18">
      <c r="A58" s="22">
        <f>'Monthly Data'!A58</f>
        <v>41518</v>
      </c>
      <c r="B58" s="6">
        <f t="shared" si="1"/>
        <v>2013</v>
      </c>
      <c r="C58" s="20">
        <f ca="1">'Monthly Data'!G58</f>
        <v>22082821.70344121</v>
      </c>
      <c r="D58" s="6">
        <f t="shared" ca="1" si="5"/>
        <v>32.68</v>
      </c>
      <c r="E58" s="6">
        <f t="shared" ca="1" si="5"/>
        <v>67.34</v>
      </c>
      <c r="F58" s="6">
        <f>'Monthly Data'!AM58</f>
        <v>30</v>
      </c>
      <c r="G58" s="6">
        <f>'Monthly Data'!BD58</f>
        <v>0</v>
      </c>
      <c r="H58" s="6">
        <f>'Monthly Data'!AO58</f>
        <v>57</v>
      </c>
      <c r="I58" s="6">
        <f>'Monthly Data'!AK58</f>
        <v>154.6</v>
      </c>
      <c r="K58" s="20">
        <f>'Res OLS model'!$I$5</f>
        <v>-17166149.3850234</v>
      </c>
      <c r="L58" s="20">
        <f ca="1">'Res OLS model'!$I$6*D58</f>
        <v>211429.56781462161</v>
      </c>
      <c r="M58" s="20">
        <f ca="1">'Res OLS model'!$I$7*E58</f>
        <v>4589231.0337916026</v>
      </c>
      <c r="N58" s="20">
        <f>'Res OLS model'!$I$8*F58</f>
        <v>24835293.703712791</v>
      </c>
      <c r="O58" s="20">
        <f>'Res OLS model'!$I$9*G58</f>
        <v>0</v>
      </c>
      <c r="P58" s="20">
        <f>'Res OLS model'!$I$10*H58</f>
        <v>-1170245.3867169092</v>
      </c>
      <c r="Q58" s="20">
        <f>'Res OLS model'!$I$11*I58</f>
        <v>10202374.842672564</v>
      </c>
      <c r="R58" s="20">
        <f t="shared" ca="1" si="2"/>
        <v>21501934.376251269</v>
      </c>
    </row>
    <row r="59" spans="1:18">
      <c r="A59" s="22">
        <f>'Monthly Data'!A59</f>
        <v>41548</v>
      </c>
      <c r="B59" s="6">
        <f t="shared" si="1"/>
        <v>2013</v>
      </c>
      <c r="C59" s="20">
        <f ca="1">'Monthly Data'!G59</f>
        <v>17752714.709292348</v>
      </c>
      <c r="D59" s="6">
        <f t="shared" ca="1" si="5"/>
        <v>176.42</v>
      </c>
      <c r="E59" s="6">
        <f t="shared" ca="1" si="5"/>
        <v>10.18</v>
      </c>
      <c r="F59" s="6">
        <f>'Monthly Data'!AM59</f>
        <v>31</v>
      </c>
      <c r="G59" s="6">
        <f>'Monthly Data'!BD59</f>
        <v>1</v>
      </c>
      <c r="H59" s="6">
        <f>'Monthly Data'!AO59</f>
        <v>58</v>
      </c>
      <c r="I59" s="6">
        <f>'Monthly Data'!AK59</f>
        <v>155.80000000000001</v>
      </c>
      <c r="K59" s="20">
        <f>'Res OLS model'!$I$5</f>
        <v>-17166149.3850234</v>
      </c>
      <c r="L59" s="20">
        <f ca="1">'Res OLS model'!$I$6*D59</f>
        <v>1141383.2421620423</v>
      </c>
      <c r="M59" s="20">
        <f ca="1">'Res OLS model'!$I$7*E59</f>
        <v>693768.5168398947</v>
      </c>
      <c r="N59" s="20">
        <f>'Res OLS model'!$I$8*F59</f>
        <v>25663136.827169884</v>
      </c>
      <c r="O59" s="20">
        <f>'Res OLS model'!$I$9*G59</f>
        <v>-1889629.0328907201</v>
      </c>
      <c r="P59" s="20">
        <f>'Res OLS model'!$I$10*H59</f>
        <v>-1190776.0075365042</v>
      </c>
      <c r="Q59" s="20">
        <f>'Res OLS model'!$I$11*I59</f>
        <v>10281565.333042597</v>
      </c>
      <c r="R59" s="20">
        <f t="shared" ca="1" si="2"/>
        <v>17533299.493763793</v>
      </c>
    </row>
    <row r="60" spans="1:18">
      <c r="A60" s="22">
        <f>'Monthly Data'!A60</f>
        <v>41579</v>
      </c>
      <c r="B60" s="6">
        <f t="shared" si="1"/>
        <v>2013</v>
      </c>
      <c r="C60" s="20">
        <f ca="1">'Monthly Data'!G60</f>
        <v>18589259.601015333</v>
      </c>
      <c r="D60" s="6">
        <f t="shared" ca="1" si="5"/>
        <v>364.2299999999999</v>
      </c>
      <c r="E60" s="6">
        <f t="shared" ca="1" si="5"/>
        <v>0.05</v>
      </c>
      <c r="F60" s="6">
        <f>'Monthly Data'!AM60</f>
        <v>30</v>
      </c>
      <c r="G60" s="6">
        <f>'Monthly Data'!BD60</f>
        <v>1</v>
      </c>
      <c r="H60" s="6">
        <f>'Monthly Data'!AO60</f>
        <v>59</v>
      </c>
      <c r="I60" s="6">
        <f>'Monthly Data'!AK60</f>
        <v>156.69999999999999</v>
      </c>
      <c r="K60" s="20">
        <f>'Res OLS model'!$I$5</f>
        <v>-17166149.3850234</v>
      </c>
      <c r="L60" s="20">
        <f ca="1">'Res OLS model'!$I$6*D60</f>
        <v>2356456.2877943576</v>
      </c>
      <c r="M60" s="20">
        <f ca="1">'Res OLS model'!$I$7*E60</f>
        <v>3407.5074500977153</v>
      </c>
      <c r="N60" s="20">
        <f>'Res OLS model'!$I$8*F60</f>
        <v>24835293.703712791</v>
      </c>
      <c r="O60" s="20">
        <f>'Res OLS model'!$I$9*G60</f>
        <v>-1889629.0328907201</v>
      </c>
      <c r="P60" s="20">
        <f>'Res OLS model'!$I$10*H60</f>
        <v>-1211306.6283560991</v>
      </c>
      <c r="Q60" s="20">
        <f>'Res OLS model'!$I$11*I60</f>
        <v>10340958.20082012</v>
      </c>
      <c r="R60" s="20">
        <f t="shared" ca="1" si="2"/>
        <v>17269030.653507147</v>
      </c>
    </row>
    <row r="61" spans="1:18">
      <c r="A61" s="22">
        <f>'Monthly Data'!A61</f>
        <v>41609</v>
      </c>
      <c r="B61" s="6">
        <f t="shared" si="1"/>
        <v>2013</v>
      </c>
      <c r="C61" s="20">
        <f ca="1">'Monthly Data'!G61</f>
        <v>22190029.702539392</v>
      </c>
      <c r="D61" s="6">
        <f t="shared" ca="1" si="5"/>
        <v>552.31000000000006</v>
      </c>
      <c r="E61" s="6">
        <f t="shared" ca="1" si="5"/>
        <v>0</v>
      </c>
      <c r="F61" s="6">
        <f>'Monthly Data'!AM61</f>
        <v>31</v>
      </c>
      <c r="G61" s="6">
        <f>'Monthly Data'!BD61</f>
        <v>0</v>
      </c>
      <c r="H61" s="6">
        <f>'Monthly Data'!AO61</f>
        <v>60</v>
      </c>
      <c r="I61" s="6">
        <f>'Monthly Data'!AK61</f>
        <v>159.19999999999999</v>
      </c>
      <c r="K61" s="20">
        <f>'Res OLS model'!$I$5</f>
        <v>-17166149.3850234</v>
      </c>
      <c r="L61" s="20">
        <f ca="1">'Res OLS model'!$I$6*D61</f>
        <v>3573276.150541422</v>
      </c>
      <c r="M61" s="20">
        <f ca="1">'Res OLS model'!$I$7*E61</f>
        <v>0</v>
      </c>
      <c r="N61" s="20">
        <f>'Res OLS model'!$I$8*F61</f>
        <v>25663136.827169884</v>
      </c>
      <c r="O61" s="20">
        <f>'Res OLS model'!$I$9*G61</f>
        <v>0</v>
      </c>
      <c r="P61" s="20">
        <f>'Res OLS model'!$I$10*H61</f>
        <v>-1231837.2491756941</v>
      </c>
      <c r="Q61" s="20">
        <f>'Res OLS model'!$I$11*I61</f>
        <v>10505938.389091022</v>
      </c>
      <c r="R61" s="20">
        <f t="shared" ca="1" si="2"/>
        <v>21344364.732603233</v>
      </c>
    </row>
    <row r="62" spans="1:18">
      <c r="A62" s="22">
        <f>'Monthly Data'!A62</f>
        <v>41640</v>
      </c>
      <c r="B62" s="6">
        <f t="shared" si="1"/>
        <v>2014</v>
      </c>
      <c r="C62" s="20">
        <f ca="1">'Monthly Data'!G62</f>
        <v>22841547.431234065</v>
      </c>
      <c r="D62" s="6">
        <f t="shared" ca="1" si="5"/>
        <v>661.18999999999994</v>
      </c>
      <c r="E62" s="6">
        <f t="shared" ca="1" si="5"/>
        <v>0</v>
      </c>
      <c r="F62" s="6">
        <f>'Monthly Data'!AM62</f>
        <v>31</v>
      </c>
      <c r="G62" s="6">
        <f>'Monthly Data'!BD62</f>
        <v>0</v>
      </c>
      <c r="H62" s="6">
        <f>'Monthly Data'!AO62</f>
        <v>61</v>
      </c>
      <c r="I62" s="6">
        <f>'Monthly Data'!AK62</f>
        <v>157.1</v>
      </c>
      <c r="K62" s="20">
        <f>'Res OLS model'!$I$5</f>
        <v>-17166149.3850234</v>
      </c>
      <c r="L62" s="20">
        <f ca="1">'Res OLS model'!$I$6*D62</f>
        <v>4277696.326295889</v>
      </c>
      <c r="M62" s="20">
        <f ca="1">'Res OLS model'!$I$7*E62</f>
        <v>0</v>
      </c>
      <c r="N62" s="20">
        <f>'Res OLS model'!$I$8*F62</f>
        <v>25663136.827169884</v>
      </c>
      <c r="O62" s="20">
        <f>'Res OLS model'!$I$9*G62</f>
        <v>0</v>
      </c>
      <c r="P62" s="20">
        <f>'Res OLS model'!$I$10*H62</f>
        <v>-1252367.869995289</v>
      </c>
      <c r="Q62" s="20">
        <f>'Res OLS model'!$I$11*I62</f>
        <v>10367355.030943464</v>
      </c>
      <c r="R62" s="20">
        <f t="shared" ca="1" si="2"/>
        <v>21889670.92939055</v>
      </c>
    </row>
    <row r="63" spans="1:18">
      <c r="A63" s="22">
        <f>'Monthly Data'!A63</f>
        <v>41671</v>
      </c>
      <c r="B63" s="6">
        <f t="shared" si="1"/>
        <v>2014</v>
      </c>
      <c r="C63" s="20">
        <f ca="1">'Monthly Data'!G63</f>
        <v>19788010.013485562</v>
      </c>
      <c r="D63" s="6">
        <f t="shared" ca="1" si="5"/>
        <v>598.16999999999985</v>
      </c>
      <c r="E63" s="6">
        <f t="shared" ca="1" si="5"/>
        <v>0</v>
      </c>
      <c r="F63" s="6">
        <f>'Monthly Data'!AM63</f>
        <v>28</v>
      </c>
      <c r="G63" s="6">
        <f>'Monthly Data'!BD63</f>
        <v>0</v>
      </c>
      <c r="H63" s="6">
        <f>'Monthly Data'!AO63</f>
        <v>62</v>
      </c>
      <c r="I63" s="6">
        <f>'Monthly Data'!AK63</f>
        <v>154.69999999999999</v>
      </c>
      <c r="K63" s="20">
        <f>'Res OLS model'!$I$5</f>
        <v>-17166149.3850234</v>
      </c>
      <c r="L63" s="20">
        <f ca="1">'Res OLS model'!$I$6*D63</f>
        <v>3869976.27232779</v>
      </c>
      <c r="M63" s="20">
        <f ca="1">'Res OLS model'!$I$7*E63</f>
        <v>0</v>
      </c>
      <c r="N63" s="20">
        <f>'Res OLS model'!$I$8*F63</f>
        <v>23179607.456798606</v>
      </c>
      <c r="O63" s="20">
        <f>'Res OLS model'!$I$9*G63</f>
        <v>0</v>
      </c>
      <c r="P63" s="20">
        <f>'Res OLS model'!$I$10*H63</f>
        <v>-1272898.4908148837</v>
      </c>
      <c r="Q63" s="20">
        <f>'Res OLS model'!$I$11*I63</f>
        <v>10208974.0502034</v>
      </c>
      <c r="R63" s="20">
        <f t="shared" ca="1" si="2"/>
        <v>18819509.903491512</v>
      </c>
    </row>
    <row r="64" spans="1:18">
      <c r="A64" s="22">
        <f>'Monthly Data'!A64</f>
        <v>41699</v>
      </c>
      <c r="B64" s="6">
        <f t="shared" si="1"/>
        <v>2014</v>
      </c>
      <c r="C64" s="20">
        <f ca="1">'Monthly Data'!G64</f>
        <v>19723646.263600551</v>
      </c>
      <c r="D64" s="6">
        <f t="shared" ca="1" si="5"/>
        <v>451.34</v>
      </c>
      <c r="E64" s="6">
        <f t="shared" ca="1" si="5"/>
        <v>0.88000000000000012</v>
      </c>
      <c r="F64" s="6">
        <f>'Monthly Data'!AM64</f>
        <v>31</v>
      </c>
      <c r="G64" s="6">
        <f>'Monthly Data'!BD64</f>
        <v>1</v>
      </c>
      <c r="H64" s="6">
        <f>'Monthly Data'!AO64</f>
        <v>63</v>
      </c>
      <c r="I64" s="6">
        <f>'Monthly Data'!AK64</f>
        <v>152.4</v>
      </c>
      <c r="K64" s="20">
        <f>'Res OLS model'!$I$5</f>
        <v>-17166149.3850234</v>
      </c>
      <c r="L64" s="20">
        <f ca="1">'Res OLS model'!$I$6*D64</f>
        <v>2920031.2465560376</v>
      </c>
      <c r="M64" s="20">
        <f ca="1">'Res OLS model'!$I$7*E64</f>
        <v>59972.131121719787</v>
      </c>
      <c r="N64" s="20">
        <f>'Res OLS model'!$I$8*F64</f>
        <v>25663136.827169884</v>
      </c>
      <c r="O64" s="20">
        <f>'Res OLS model'!$I$9*G64</f>
        <v>-1889629.0328907201</v>
      </c>
      <c r="P64" s="20">
        <f>'Res OLS model'!$I$10*H64</f>
        <v>-1293429.1116344787</v>
      </c>
      <c r="Q64" s="20">
        <f>'Res OLS model'!$I$11*I64</f>
        <v>10057192.276994171</v>
      </c>
      <c r="R64" s="20">
        <f t="shared" ca="1" si="2"/>
        <v>18351124.952293213</v>
      </c>
    </row>
    <row r="65" spans="1:18">
      <c r="A65" s="22">
        <f>'Monthly Data'!A65</f>
        <v>41730</v>
      </c>
      <c r="B65" s="6">
        <f t="shared" si="1"/>
        <v>2014</v>
      </c>
      <c r="C65" s="20">
        <f ca="1">'Monthly Data'!G65</f>
        <v>16641111.8668398</v>
      </c>
      <c r="D65" s="6">
        <f t="shared" ca="1" si="5"/>
        <v>259.5499999999999</v>
      </c>
      <c r="E65" s="6">
        <f t="shared" ca="1" si="5"/>
        <v>2.4500000000000002</v>
      </c>
      <c r="F65" s="6">
        <f>'Monthly Data'!AM65</f>
        <v>30</v>
      </c>
      <c r="G65" s="6">
        <f>'Monthly Data'!BD65</f>
        <v>1</v>
      </c>
      <c r="H65" s="6">
        <f>'Monthly Data'!AO65</f>
        <v>64</v>
      </c>
      <c r="I65" s="6">
        <f>'Monthly Data'!AK65</f>
        <v>151.1</v>
      </c>
      <c r="K65" s="20">
        <f>'Res OLS model'!$I$5</f>
        <v>-17166149.3850234</v>
      </c>
      <c r="L65" s="20">
        <f ca="1">'Res OLS model'!$I$6*D65</f>
        <v>1679208.8227137397</v>
      </c>
      <c r="M65" s="20">
        <f ca="1">'Res OLS model'!$I$7*E65</f>
        <v>166967.86505478804</v>
      </c>
      <c r="N65" s="20">
        <f>'Res OLS model'!$I$8*F65</f>
        <v>24835293.703712791</v>
      </c>
      <c r="O65" s="20">
        <f>'Res OLS model'!$I$9*G65</f>
        <v>-1889629.0328907201</v>
      </c>
      <c r="P65" s="20">
        <f>'Res OLS model'!$I$10*H65</f>
        <v>-1313959.7324540736</v>
      </c>
      <c r="Q65" s="20">
        <f>'Res OLS model'!$I$11*I65</f>
        <v>9971402.5790933017</v>
      </c>
      <c r="R65" s="20">
        <f t="shared" ca="1" si="2"/>
        <v>16283134.820206426</v>
      </c>
    </row>
    <row r="66" spans="1:18">
      <c r="A66" s="22">
        <f>'Monthly Data'!A66</f>
        <v>41760</v>
      </c>
      <c r="B66" s="6">
        <f t="shared" si="1"/>
        <v>2014</v>
      </c>
      <c r="C66" s="20">
        <f ca="1">'Monthly Data'!G66</f>
        <v>17829710.566903893</v>
      </c>
      <c r="D66" s="6">
        <f t="shared" ca="1" si="5"/>
        <v>88.880000000000024</v>
      </c>
      <c r="E66" s="6">
        <f t="shared" ca="1" si="5"/>
        <v>43.79999999999999</v>
      </c>
      <c r="F66" s="6">
        <f>'Monthly Data'!AM66</f>
        <v>31</v>
      </c>
      <c r="G66" s="6">
        <f>'Monthly Data'!BD66</f>
        <v>1</v>
      </c>
      <c r="H66" s="6">
        <f>'Monthly Data'!AO66</f>
        <v>65</v>
      </c>
      <c r="I66" s="6">
        <f>'Monthly Data'!AK66</f>
        <v>151.19999999999999</v>
      </c>
      <c r="K66" s="20">
        <f>'Res OLS model'!$I$5</f>
        <v>-17166149.3850234</v>
      </c>
      <c r="L66" s="20">
        <f ca="1">'Res OLS model'!$I$6*D66</f>
        <v>575026.31540280208</v>
      </c>
      <c r="M66" s="20">
        <f ca="1">'Res OLS model'!$I$7*E66</f>
        <v>2984976.5262855976</v>
      </c>
      <c r="N66" s="20">
        <f>'Res OLS model'!$I$8*F66</f>
        <v>25663136.827169884</v>
      </c>
      <c r="O66" s="20">
        <f>'Res OLS model'!$I$9*G66</f>
        <v>-1889629.0328907201</v>
      </c>
      <c r="P66" s="20">
        <f>'Res OLS model'!$I$10*H66</f>
        <v>-1334490.3532736686</v>
      </c>
      <c r="Q66" s="20">
        <f>'Res OLS model'!$I$11*I66</f>
        <v>9978001.7866241373</v>
      </c>
      <c r="R66" s="20">
        <f t="shared" ca="1" si="2"/>
        <v>18810872.684294634</v>
      </c>
    </row>
    <row r="67" spans="1:18">
      <c r="A67" s="22">
        <f>'Monthly Data'!A67</f>
        <v>41791</v>
      </c>
      <c r="B67" s="6">
        <f t="shared" ref="B67:B121" si="6">YEAR(A67)</f>
        <v>2014</v>
      </c>
      <c r="C67" s="20">
        <f ca="1">'Monthly Data'!G67</f>
        <v>23632986.106066652</v>
      </c>
      <c r="D67" s="6">
        <f t="shared" ca="1" si="5"/>
        <v>9.77</v>
      </c>
      <c r="E67" s="6">
        <f t="shared" ca="1" si="5"/>
        <v>117.38999999999999</v>
      </c>
      <c r="F67" s="6">
        <f>'Monthly Data'!AM67</f>
        <v>30</v>
      </c>
      <c r="G67" s="6">
        <f>'Monthly Data'!BD67</f>
        <v>0</v>
      </c>
      <c r="H67" s="6">
        <f>'Monthly Data'!AO67</f>
        <v>66</v>
      </c>
      <c r="I67" s="6">
        <f>'Monthly Data'!AK67</f>
        <v>150.9</v>
      </c>
      <c r="K67" s="20">
        <f>'Res OLS model'!$I$5</f>
        <v>-17166149.3850234</v>
      </c>
      <c r="L67" s="20">
        <f ca="1">'Res OLS model'!$I$6*D67</f>
        <v>63208.900781788645</v>
      </c>
      <c r="M67" s="20">
        <f ca="1">'Res OLS model'!$I$7*E67</f>
        <v>8000145.9913394144</v>
      </c>
      <c r="N67" s="20">
        <f>'Res OLS model'!$I$8*F67</f>
        <v>24835293.703712791</v>
      </c>
      <c r="O67" s="20">
        <f>'Res OLS model'!$I$9*G67</f>
        <v>0</v>
      </c>
      <c r="P67" s="20">
        <f>'Res OLS model'!$I$10*H67</f>
        <v>-1355020.9740932635</v>
      </c>
      <c r="Q67" s="20">
        <f>'Res OLS model'!$I$11*I67</f>
        <v>9958204.1640316304</v>
      </c>
      <c r="R67" s="20">
        <f t="shared" ref="R67:R121" ca="1" si="7">SUM(K67:Q67)</f>
        <v>24335682.400748961</v>
      </c>
    </row>
    <row r="68" spans="1:18">
      <c r="A68" s="22">
        <f>'Monthly Data'!A68</f>
        <v>41821</v>
      </c>
      <c r="B68" s="6">
        <f t="shared" si="6"/>
        <v>2014</v>
      </c>
      <c r="C68" s="20">
        <f ca="1">'Monthly Data'!G68</f>
        <v>26634565.643123828</v>
      </c>
      <c r="D68" s="6">
        <f t="shared" ca="1" si="5"/>
        <v>0.58000000000000007</v>
      </c>
      <c r="E68" s="6">
        <f t="shared" ca="1" si="5"/>
        <v>179.70999999999998</v>
      </c>
      <c r="F68" s="6">
        <f>'Monthly Data'!AM68</f>
        <v>31</v>
      </c>
      <c r="G68" s="6">
        <f>'Monthly Data'!BD68</f>
        <v>0</v>
      </c>
      <c r="H68" s="6">
        <f>'Monthly Data'!AO68</f>
        <v>67</v>
      </c>
      <c r="I68" s="6">
        <f>'Monthly Data'!AK68</f>
        <v>153.6</v>
      </c>
      <c r="K68" s="20">
        <f>'Res OLS model'!$I$5</f>
        <v>-17166149.3850234</v>
      </c>
      <c r="L68" s="20">
        <f ca="1">'Res OLS model'!$I$6*D68</f>
        <v>3752.421950198303</v>
      </c>
      <c r="M68" s="20">
        <f ca="1">'Res OLS model'!$I$7*E68</f>
        <v>12247263.277141206</v>
      </c>
      <c r="N68" s="20">
        <f>'Res OLS model'!$I$8*F68</f>
        <v>25663136.827169884</v>
      </c>
      <c r="O68" s="20">
        <f>'Res OLS model'!$I$9*G68</f>
        <v>0</v>
      </c>
      <c r="P68" s="20">
        <f>'Res OLS model'!$I$10*H68</f>
        <v>-1375551.5949128582</v>
      </c>
      <c r="Q68" s="20">
        <f>'Res OLS model'!$I$11*I68</f>
        <v>10136382.767364202</v>
      </c>
      <c r="R68" s="20">
        <f t="shared" ca="1" si="7"/>
        <v>29508834.313689232</v>
      </c>
    </row>
    <row r="69" spans="1:18">
      <c r="A69" s="22">
        <f>'Monthly Data'!A69</f>
        <v>41852</v>
      </c>
      <c r="B69" s="6">
        <f t="shared" si="6"/>
        <v>2014</v>
      </c>
      <c r="C69" s="20">
        <f ca="1">'Monthly Data'!G69</f>
        <v>26081906.981533043</v>
      </c>
      <c r="D69" s="6">
        <f t="shared" ca="1" si="5"/>
        <v>1.7099999999999997</v>
      </c>
      <c r="E69" s="6">
        <f t="shared" ca="1" si="5"/>
        <v>158.1</v>
      </c>
      <c r="F69" s="6">
        <f>'Monthly Data'!AM69</f>
        <v>31</v>
      </c>
      <c r="G69" s="6">
        <f>'Monthly Data'!BD69</f>
        <v>0</v>
      </c>
      <c r="H69" s="6">
        <f>'Monthly Data'!AO69</f>
        <v>68</v>
      </c>
      <c r="I69" s="6">
        <f>'Monthly Data'!AK69</f>
        <v>154.5</v>
      </c>
      <c r="K69" s="20">
        <f>'Res OLS model'!$I$5</f>
        <v>-17166149.3850234</v>
      </c>
      <c r="L69" s="20">
        <f ca="1">'Res OLS model'!$I$6*D69</f>
        <v>11063.175060067408</v>
      </c>
      <c r="M69" s="20">
        <f ca="1">'Res OLS model'!$I$7*E69</f>
        <v>10774538.557208974</v>
      </c>
      <c r="N69" s="20">
        <f>'Res OLS model'!$I$8*F69</f>
        <v>25663136.827169884</v>
      </c>
      <c r="O69" s="20">
        <f>'Res OLS model'!$I$9*G69</f>
        <v>0</v>
      </c>
      <c r="P69" s="20">
        <f>'Res OLS model'!$I$10*H69</f>
        <v>-1396082.2157324532</v>
      </c>
      <c r="Q69" s="20">
        <f>'Res OLS model'!$I$11*I69</f>
        <v>10195775.635141728</v>
      </c>
      <c r="R69" s="20">
        <f t="shared" ca="1" si="7"/>
        <v>28082282.593824804</v>
      </c>
    </row>
    <row r="70" spans="1:18">
      <c r="A70" s="22">
        <f>'Monthly Data'!A70</f>
        <v>41883</v>
      </c>
      <c r="B70" s="6">
        <f t="shared" si="6"/>
        <v>2014</v>
      </c>
      <c r="C70" s="20">
        <f ca="1">'Monthly Data'!G70</f>
        <v>20850948.143452179</v>
      </c>
      <c r="D70" s="6">
        <f t="shared" ca="1" si="5"/>
        <v>32.68</v>
      </c>
      <c r="E70" s="6">
        <f t="shared" ca="1" si="5"/>
        <v>67.34</v>
      </c>
      <c r="F70" s="6">
        <f>'Monthly Data'!AM70</f>
        <v>30</v>
      </c>
      <c r="G70" s="6">
        <f>'Monthly Data'!BD70</f>
        <v>0</v>
      </c>
      <c r="H70" s="6">
        <f>'Monthly Data'!AO70</f>
        <v>69</v>
      </c>
      <c r="I70" s="6">
        <f>'Monthly Data'!AK70</f>
        <v>156.6</v>
      </c>
      <c r="K70" s="20">
        <f>'Res OLS model'!$I$5</f>
        <v>-17166149.3850234</v>
      </c>
      <c r="L70" s="20">
        <f ca="1">'Res OLS model'!$I$6*D70</f>
        <v>211429.56781462161</v>
      </c>
      <c r="M70" s="20">
        <f ca="1">'Res OLS model'!$I$7*E70</f>
        <v>4589231.0337916026</v>
      </c>
      <c r="N70" s="20">
        <f>'Res OLS model'!$I$8*F70</f>
        <v>24835293.703712791</v>
      </c>
      <c r="O70" s="20">
        <f>'Res OLS model'!$I$9*G70</f>
        <v>0</v>
      </c>
      <c r="P70" s="20">
        <f>'Res OLS model'!$I$10*H70</f>
        <v>-1416612.8365520481</v>
      </c>
      <c r="Q70" s="20">
        <f>'Res OLS model'!$I$11*I70</f>
        <v>10334358.993289284</v>
      </c>
      <c r="R70" s="20">
        <f t="shared" ca="1" si="7"/>
        <v>21387551.077032849</v>
      </c>
    </row>
    <row r="71" spans="1:18">
      <c r="A71" s="22">
        <f>'Monthly Data'!A71</f>
        <v>41913</v>
      </c>
      <c r="B71" s="6">
        <f t="shared" si="6"/>
        <v>2014</v>
      </c>
      <c r="C71" s="20">
        <f ca="1">'Monthly Data'!G71</f>
        <v>16908660.489088871</v>
      </c>
      <c r="D71" s="6">
        <f t="shared" ca="1" si="5"/>
        <v>176.42</v>
      </c>
      <c r="E71" s="6">
        <f t="shared" ca="1" si="5"/>
        <v>10.18</v>
      </c>
      <c r="F71" s="6">
        <f>'Monthly Data'!AM71</f>
        <v>31</v>
      </c>
      <c r="G71" s="6">
        <f>'Monthly Data'!BD71</f>
        <v>1</v>
      </c>
      <c r="H71" s="6">
        <f>'Monthly Data'!AO71</f>
        <v>70</v>
      </c>
      <c r="I71" s="6">
        <f>'Monthly Data'!AK71</f>
        <v>158.30000000000001</v>
      </c>
      <c r="K71" s="20">
        <f>'Res OLS model'!$I$5</f>
        <v>-17166149.3850234</v>
      </c>
      <c r="L71" s="20">
        <f ca="1">'Res OLS model'!$I$6*D71</f>
        <v>1141383.2421620423</v>
      </c>
      <c r="M71" s="20">
        <f ca="1">'Res OLS model'!$I$7*E71</f>
        <v>693768.5168398947</v>
      </c>
      <c r="N71" s="20">
        <f>'Res OLS model'!$I$8*F71</f>
        <v>25663136.827169884</v>
      </c>
      <c r="O71" s="20">
        <f>'Res OLS model'!$I$9*G71</f>
        <v>-1889629.0328907201</v>
      </c>
      <c r="P71" s="20">
        <f>'Res OLS model'!$I$10*H71</f>
        <v>-1437143.457371643</v>
      </c>
      <c r="Q71" s="20">
        <f>'Res OLS model'!$I$11*I71</f>
        <v>10446545.5213135</v>
      </c>
      <c r="R71" s="20">
        <f t="shared" ca="1" si="7"/>
        <v>17451912.232199557</v>
      </c>
    </row>
    <row r="72" spans="1:18">
      <c r="A72" s="22">
        <f>'Monthly Data'!A72</f>
        <v>41944</v>
      </c>
      <c r="B72" s="6">
        <f t="shared" si="6"/>
        <v>2014</v>
      </c>
      <c r="C72" s="20">
        <f ca="1">'Monthly Data'!G72</f>
        <v>18563212.718194302</v>
      </c>
      <c r="D72" s="6">
        <f t="shared" ca="1" si="5"/>
        <v>364.2299999999999</v>
      </c>
      <c r="E72" s="6">
        <f t="shared" ca="1" si="5"/>
        <v>0.05</v>
      </c>
      <c r="F72" s="6">
        <f>'Monthly Data'!AM72</f>
        <v>30</v>
      </c>
      <c r="G72" s="6">
        <f>'Monthly Data'!BD72</f>
        <v>1</v>
      </c>
      <c r="H72" s="6">
        <f>'Monthly Data'!AO72</f>
        <v>71</v>
      </c>
      <c r="I72" s="6">
        <f>'Monthly Data'!AK72</f>
        <v>159.30000000000001</v>
      </c>
      <c r="K72" s="20">
        <f>'Res OLS model'!$I$5</f>
        <v>-17166149.3850234</v>
      </c>
      <c r="L72" s="20">
        <f ca="1">'Res OLS model'!$I$6*D72</f>
        <v>2356456.2877943576</v>
      </c>
      <c r="M72" s="20">
        <f ca="1">'Res OLS model'!$I$7*E72</f>
        <v>3407.5074500977153</v>
      </c>
      <c r="N72" s="20">
        <f>'Res OLS model'!$I$8*F72</f>
        <v>24835293.703712791</v>
      </c>
      <c r="O72" s="20">
        <f>'Res OLS model'!$I$9*G72</f>
        <v>-1889629.0328907201</v>
      </c>
      <c r="P72" s="20">
        <f>'Res OLS model'!$I$10*H72</f>
        <v>-1457674.078191238</v>
      </c>
      <c r="Q72" s="20">
        <f>'Res OLS model'!$I$11*I72</f>
        <v>10512537.59662186</v>
      </c>
      <c r="R72" s="20">
        <f t="shared" ca="1" si="7"/>
        <v>17194242.599473748</v>
      </c>
    </row>
    <row r="73" spans="1:18">
      <c r="A73" s="22">
        <f>'Monthly Data'!A73</f>
        <v>41974</v>
      </c>
      <c r="B73" s="6">
        <f t="shared" si="6"/>
        <v>2014</v>
      </c>
      <c r="C73" s="20">
        <f ca="1">'Monthly Data'!G73</f>
        <v>20971941.927321982</v>
      </c>
      <c r="D73" s="6">
        <f t="shared" ca="1" si="5"/>
        <v>552.31000000000006</v>
      </c>
      <c r="E73" s="6">
        <f t="shared" ca="1" si="5"/>
        <v>0</v>
      </c>
      <c r="F73" s="6">
        <f>'Monthly Data'!AM73</f>
        <v>31</v>
      </c>
      <c r="G73" s="6">
        <f>'Monthly Data'!BD73</f>
        <v>0</v>
      </c>
      <c r="H73" s="6">
        <f>'Monthly Data'!AO73</f>
        <v>72</v>
      </c>
      <c r="I73" s="6">
        <f>'Monthly Data'!AK73</f>
        <v>161.1</v>
      </c>
      <c r="K73" s="20">
        <f>'Res OLS model'!$I$5</f>
        <v>-17166149.3850234</v>
      </c>
      <c r="L73" s="20">
        <f ca="1">'Res OLS model'!$I$6*D73</f>
        <v>3573276.150541422</v>
      </c>
      <c r="M73" s="20">
        <f ca="1">'Res OLS model'!$I$7*E73</f>
        <v>0</v>
      </c>
      <c r="N73" s="20">
        <f>'Res OLS model'!$I$8*F73</f>
        <v>25663136.827169884</v>
      </c>
      <c r="O73" s="20">
        <f>'Res OLS model'!$I$9*G73</f>
        <v>0</v>
      </c>
      <c r="P73" s="20">
        <f>'Res OLS model'!$I$10*H73</f>
        <v>-1478204.6990108327</v>
      </c>
      <c r="Q73" s="20">
        <f>'Res OLS model'!$I$11*I73</f>
        <v>10631323.332176909</v>
      </c>
      <c r="R73" s="20">
        <f t="shared" ca="1" si="7"/>
        <v>21223382.22585398</v>
      </c>
    </row>
    <row r="74" spans="1:18">
      <c r="A74" s="22">
        <f>'Monthly Data'!A74</f>
        <v>42005</v>
      </c>
      <c r="B74" s="6">
        <f t="shared" si="6"/>
        <v>2015</v>
      </c>
      <c r="C74" s="20">
        <f ca="1">'Monthly Data'!G74</f>
        <v>21649989.759603012</v>
      </c>
      <c r="D74" s="6">
        <f t="shared" ref="D74:E93" ca="1" si="8">D62</f>
        <v>661.18999999999994</v>
      </c>
      <c r="E74" s="6">
        <f t="shared" ca="1" si="8"/>
        <v>0</v>
      </c>
      <c r="F74" s="6">
        <f>'Monthly Data'!AM74</f>
        <v>31</v>
      </c>
      <c r="G74" s="6">
        <f>'Monthly Data'!BD74</f>
        <v>0</v>
      </c>
      <c r="H74" s="6">
        <f>'Monthly Data'!AO74</f>
        <v>73</v>
      </c>
      <c r="I74" s="6">
        <f>'Monthly Data'!AK74</f>
        <v>159.30000000000001</v>
      </c>
      <c r="K74" s="20">
        <f>'Res OLS model'!$I$5</f>
        <v>-17166149.3850234</v>
      </c>
      <c r="L74" s="20">
        <f ca="1">'Res OLS model'!$I$6*D74</f>
        <v>4277696.326295889</v>
      </c>
      <c r="M74" s="20">
        <f ca="1">'Res OLS model'!$I$7*E74</f>
        <v>0</v>
      </c>
      <c r="N74" s="20">
        <f>'Res OLS model'!$I$8*F74</f>
        <v>25663136.827169884</v>
      </c>
      <c r="O74" s="20">
        <f>'Res OLS model'!$I$9*G74</f>
        <v>0</v>
      </c>
      <c r="P74" s="20">
        <f>'Res OLS model'!$I$10*H74</f>
        <v>-1498735.3198304276</v>
      </c>
      <c r="Q74" s="20">
        <f>'Res OLS model'!$I$11*I74</f>
        <v>10512537.59662186</v>
      </c>
      <c r="R74" s="20">
        <f t="shared" ca="1" si="7"/>
        <v>21788486.045233808</v>
      </c>
    </row>
    <row r="75" spans="1:18">
      <c r="A75" s="22">
        <f>'Monthly Data'!A75</f>
        <v>42036</v>
      </c>
      <c r="B75" s="6">
        <f t="shared" si="6"/>
        <v>2015</v>
      </c>
      <c r="C75" s="20">
        <f ca="1">'Monthly Data'!G75</f>
        <v>19486683.702997562</v>
      </c>
      <c r="D75" s="6">
        <f t="shared" ca="1" si="8"/>
        <v>598.16999999999985</v>
      </c>
      <c r="E75" s="6">
        <f t="shared" ca="1" si="8"/>
        <v>0</v>
      </c>
      <c r="F75" s="6">
        <f>'Monthly Data'!AM75</f>
        <v>28</v>
      </c>
      <c r="G75" s="6">
        <f>'Monthly Data'!BD75</f>
        <v>0</v>
      </c>
      <c r="H75" s="6">
        <f>'Monthly Data'!AO75</f>
        <v>74</v>
      </c>
      <c r="I75" s="6">
        <f>'Monthly Data'!AK75</f>
        <v>159.1</v>
      </c>
      <c r="K75" s="20">
        <f>'Res OLS model'!$I$5</f>
        <v>-17166149.3850234</v>
      </c>
      <c r="L75" s="20">
        <f ca="1">'Res OLS model'!$I$6*D75</f>
        <v>3869976.27232779</v>
      </c>
      <c r="M75" s="20">
        <f ca="1">'Res OLS model'!$I$7*E75</f>
        <v>0</v>
      </c>
      <c r="N75" s="20">
        <f>'Res OLS model'!$I$8*F75</f>
        <v>23179607.456798606</v>
      </c>
      <c r="O75" s="20">
        <f>'Res OLS model'!$I$9*G75</f>
        <v>0</v>
      </c>
      <c r="P75" s="20">
        <f>'Res OLS model'!$I$10*H75</f>
        <v>-1519265.9406500226</v>
      </c>
      <c r="Q75" s="20">
        <f>'Res OLS model'!$I$11*I75</f>
        <v>10499339.181560187</v>
      </c>
      <c r="R75" s="20">
        <f t="shared" ca="1" si="7"/>
        <v>18863507.585013159</v>
      </c>
    </row>
    <row r="76" spans="1:18">
      <c r="A76" s="22">
        <f>'Monthly Data'!A76</f>
        <v>42064</v>
      </c>
      <c r="B76" s="6">
        <f t="shared" si="6"/>
        <v>2015</v>
      </c>
      <c r="C76" s="20">
        <f ca="1">'Monthly Data'!G76</f>
        <v>18973860.261144333</v>
      </c>
      <c r="D76" s="6">
        <f t="shared" ca="1" si="8"/>
        <v>451.34</v>
      </c>
      <c r="E76" s="6">
        <f t="shared" ca="1" si="8"/>
        <v>0.88000000000000012</v>
      </c>
      <c r="F76" s="6">
        <f>'Monthly Data'!AM76</f>
        <v>31</v>
      </c>
      <c r="G76" s="6">
        <f>'Monthly Data'!BD76</f>
        <v>1</v>
      </c>
      <c r="H76" s="6">
        <f>'Monthly Data'!AO76</f>
        <v>75</v>
      </c>
      <c r="I76" s="6">
        <f>'Monthly Data'!AK76</f>
        <v>156.1</v>
      </c>
      <c r="K76" s="20">
        <f>'Res OLS model'!$I$5</f>
        <v>-17166149.3850234</v>
      </c>
      <c r="L76" s="20">
        <f ca="1">'Res OLS model'!$I$6*D76</f>
        <v>2920031.2465560376</v>
      </c>
      <c r="M76" s="20">
        <f ca="1">'Res OLS model'!$I$7*E76</f>
        <v>59972.131121719787</v>
      </c>
      <c r="N76" s="20">
        <f>'Res OLS model'!$I$8*F76</f>
        <v>25663136.827169884</v>
      </c>
      <c r="O76" s="20">
        <f>'Res OLS model'!$I$9*G76</f>
        <v>-1889629.0328907201</v>
      </c>
      <c r="P76" s="20">
        <f>'Res OLS model'!$I$10*H76</f>
        <v>-1539796.5614696175</v>
      </c>
      <c r="Q76" s="20">
        <f>'Res OLS model'!$I$11*I76</f>
        <v>10301362.955635104</v>
      </c>
      <c r="R76" s="20">
        <f t="shared" ca="1" si="7"/>
        <v>18348928.181099009</v>
      </c>
    </row>
    <row r="77" spans="1:18">
      <c r="A77" s="22">
        <f>'Monthly Data'!A77</f>
        <v>42095</v>
      </c>
      <c r="B77" s="6">
        <f t="shared" si="6"/>
        <v>2015</v>
      </c>
      <c r="C77" s="20">
        <f ca="1">'Monthly Data'!G77</f>
        <v>16365087.530337434</v>
      </c>
      <c r="D77" s="6">
        <f t="shared" ca="1" si="8"/>
        <v>259.5499999999999</v>
      </c>
      <c r="E77" s="6">
        <f t="shared" ca="1" si="8"/>
        <v>2.4500000000000002</v>
      </c>
      <c r="F77" s="6">
        <f>'Monthly Data'!AM77</f>
        <v>30</v>
      </c>
      <c r="G77" s="6">
        <f>'Monthly Data'!BD77</f>
        <v>1</v>
      </c>
      <c r="H77" s="6">
        <f>'Monthly Data'!AO77</f>
        <v>76</v>
      </c>
      <c r="I77" s="6">
        <f>'Monthly Data'!AK77</f>
        <v>156.4</v>
      </c>
      <c r="K77" s="20">
        <f>'Res OLS model'!$I$5</f>
        <v>-17166149.3850234</v>
      </c>
      <c r="L77" s="20">
        <f ca="1">'Res OLS model'!$I$6*D77</f>
        <v>1679208.8227137397</v>
      </c>
      <c r="M77" s="20">
        <f ca="1">'Res OLS model'!$I$7*E77</f>
        <v>166967.86505478804</v>
      </c>
      <c r="N77" s="20">
        <f>'Res OLS model'!$I$8*F77</f>
        <v>24835293.703712791</v>
      </c>
      <c r="O77" s="20">
        <f>'Res OLS model'!$I$9*G77</f>
        <v>-1889629.0328907201</v>
      </c>
      <c r="P77" s="20">
        <f>'Res OLS model'!$I$10*H77</f>
        <v>-1560327.1822892125</v>
      </c>
      <c r="Q77" s="20">
        <f>'Res OLS model'!$I$11*I77</f>
        <v>10321160.578227613</v>
      </c>
      <c r="R77" s="20">
        <f t="shared" ca="1" si="7"/>
        <v>16386525.369505599</v>
      </c>
    </row>
    <row r="78" spans="1:18">
      <c r="A78" s="22">
        <f>'Monthly Data'!A78</f>
        <v>42125</v>
      </c>
      <c r="B78" s="6">
        <f t="shared" si="6"/>
        <v>2015</v>
      </c>
      <c r="C78" s="20">
        <f ca="1">'Monthly Data'!G78</f>
        <v>18651758.220492445</v>
      </c>
      <c r="D78" s="6">
        <f t="shared" ca="1" si="8"/>
        <v>88.880000000000024</v>
      </c>
      <c r="E78" s="6">
        <f t="shared" ca="1" si="8"/>
        <v>43.79999999999999</v>
      </c>
      <c r="F78" s="6">
        <f>'Monthly Data'!AM78</f>
        <v>31</v>
      </c>
      <c r="G78" s="6">
        <f>'Monthly Data'!BD78</f>
        <v>1</v>
      </c>
      <c r="H78" s="6">
        <f>'Monthly Data'!AO78</f>
        <v>77</v>
      </c>
      <c r="I78" s="6">
        <f>'Monthly Data'!AK78</f>
        <v>159.1</v>
      </c>
      <c r="K78" s="20">
        <f>'Res OLS model'!$I$5</f>
        <v>-17166149.3850234</v>
      </c>
      <c r="L78" s="20">
        <f ca="1">'Res OLS model'!$I$6*D78</f>
        <v>575026.31540280208</v>
      </c>
      <c r="M78" s="20">
        <f ca="1">'Res OLS model'!$I$7*E78</f>
        <v>2984976.5262855976</v>
      </c>
      <c r="N78" s="20">
        <f>'Res OLS model'!$I$8*F78</f>
        <v>25663136.827169884</v>
      </c>
      <c r="O78" s="20">
        <f>'Res OLS model'!$I$9*G78</f>
        <v>-1889629.0328907201</v>
      </c>
      <c r="P78" s="20">
        <f>'Res OLS model'!$I$10*H78</f>
        <v>-1580857.8031088074</v>
      </c>
      <c r="Q78" s="20">
        <f>'Res OLS model'!$I$11*I78</f>
        <v>10499339.181560187</v>
      </c>
      <c r="R78" s="20">
        <f t="shared" ca="1" si="7"/>
        <v>19085842.629395545</v>
      </c>
    </row>
    <row r="79" spans="1:18">
      <c r="A79" s="22">
        <f>'Monthly Data'!A79</f>
        <v>42156</v>
      </c>
      <c r="B79" s="6">
        <f t="shared" si="6"/>
        <v>2015</v>
      </c>
      <c r="C79" s="20">
        <f ca="1">'Monthly Data'!G79</f>
        <v>22183132.397238649</v>
      </c>
      <c r="D79" s="6">
        <f t="shared" ca="1" si="8"/>
        <v>9.77</v>
      </c>
      <c r="E79" s="6">
        <f t="shared" ca="1" si="8"/>
        <v>117.38999999999999</v>
      </c>
      <c r="F79" s="6">
        <f>'Monthly Data'!AM79</f>
        <v>30</v>
      </c>
      <c r="G79" s="6">
        <f>'Monthly Data'!BD79</f>
        <v>0</v>
      </c>
      <c r="H79" s="6">
        <f>'Monthly Data'!AO79</f>
        <v>78</v>
      </c>
      <c r="I79" s="6">
        <f>'Monthly Data'!AK79</f>
        <v>163.9</v>
      </c>
      <c r="K79" s="20">
        <f>'Res OLS model'!$I$5</f>
        <v>-17166149.3850234</v>
      </c>
      <c r="L79" s="20">
        <f ca="1">'Res OLS model'!$I$6*D79</f>
        <v>63208.900781788645</v>
      </c>
      <c r="M79" s="20">
        <f ca="1">'Res OLS model'!$I$7*E79</f>
        <v>8000145.9913394144</v>
      </c>
      <c r="N79" s="20">
        <f>'Res OLS model'!$I$8*F79</f>
        <v>24835293.703712791</v>
      </c>
      <c r="O79" s="20">
        <f>'Res OLS model'!$I$9*G79</f>
        <v>0</v>
      </c>
      <c r="P79" s="20">
        <f>'Res OLS model'!$I$10*H79</f>
        <v>-1601388.4239284021</v>
      </c>
      <c r="Q79" s="20">
        <f>'Res OLS model'!$I$11*I79</f>
        <v>10816101.143040318</v>
      </c>
      <c r="R79" s="20">
        <f t="shared" ca="1" si="7"/>
        <v>24947211.92992251</v>
      </c>
    </row>
    <row r="80" spans="1:18">
      <c r="A80" s="22">
        <f>'Monthly Data'!A80</f>
        <v>42186</v>
      </c>
      <c r="B80" s="6">
        <f t="shared" si="6"/>
        <v>2015</v>
      </c>
      <c r="C80" s="20">
        <f ca="1">'Monthly Data'!G80</f>
        <v>27993055.489478592</v>
      </c>
      <c r="D80" s="6">
        <f t="shared" ca="1" si="8"/>
        <v>0.58000000000000007</v>
      </c>
      <c r="E80" s="6">
        <f t="shared" ca="1" si="8"/>
        <v>179.70999999999998</v>
      </c>
      <c r="F80" s="6">
        <f>'Monthly Data'!AM80</f>
        <v>31</v>
      </c>
      <c r="G80" s="6">
        <f>'Monthly Data'!BD80</f>
        <v>0</v>
      </c>
      <c r="H80" s="6">
        <f>'Monthly Data'!AO80</f>
        <v>79</v>
      </c>
      <c r="I80" s="6">
        <f>'Monthly Data'!AK80</f>
        <v>164.8</v>
      </c>
      <c r="K80" s="20">
        <f>'Res OLS model'!$I$5</f>
        <v>-17166149.3850234</v>
      </c>
      <c r="L80" s="20">
        <f ca="1">'Res OLS model'!$I$6*D80</f>
        <v>3752.421950198303</v>
      </c>
      <c r="M80" s="20">
        <f ca="1">'Res OLS model'!$I$7*E80</f>
        <v>12247263.277141206</v>
      </c>
      <c r="N80" s="20">
        <f>'Res OLS model'!$I$8*F80</f>
        <v>25663136.827169884</v>
      </c>
      <c r="O80" s="20">
        <f>'Res OLS model'!$I$9*G80</f>
        <v>0</v>
      </c>
      <c r="P80" s="20">
        <f>'Res OLS model'!$I$10*H80</f>
        <v>-1621919.0447479971</v>
      </c>
      <c r="Q80" s="20">
        <f>'Res OLS model'!$I$11*I80</f>
        <v>10875494.010817844</v>
      </c>
      <c r="R80" s="20">
        <f t="shared" ca="1" si="7"/>
        <v>30001578.107307736</v>
      </c>
    </row>
    <row r="81" spans="1:18">
      <c r="A81" s="22">
        <f>'Monthly Data'!A81</f>
        <v>42217</v>
      </c>
      <c r="B81" s="6">
        <f t="shared" si="6"/>
        <v>2015</v>
      </c>
      <c r="C81" s="20">
        <f ca="1">'Monthly Data'!G81</f>
        <v>28703608.706477717</v>
      </c>
      <c r="D81" s="6">
        <f t="shared" ca="1" si="8"/>
        <v>1.7099999999999997</v>
      </c>
      <c r="E81" s="6">
        <f t="shared" ca="1" si="8"/>
        <v>158.1</v>
      </c>
      <c r="F81" s="6">
        <f>'Monthly Data'!AM81</f>
        <v>31</v>
      </c>
      <c r="G81" s="6">
        <f>'Monthly Data'!BD81</f>
        <v>0</v>
      </c>
      <c r="H81" s="6">
        <f>'Monthly Data'!AO81</f>
        <v>80</v>
      </c>
      <c r="I81" s="6">
        <f>'Monthly Data'!AK81</f>
        <v>160.80000000000001</v>
      </c>
      <c r="K81" s="20">
        <f>'Res OLS model'!$I$5</f>
        <v>-17166149.3850234</v>
      </c>
      <c r="L81" s="20">
        <f ca="1">'Res OLS model'!$I$6*D81</f>
        <v>11063.175060067408</v>
      </c>
      <c r="M81" s="20">
        <f ca="1">'Res OLS model'!$I$7*E81</f>
        <v>10774538.557208974</v>
      </c>
      <c r="N81" s="20">
        <f>'Res OLS model'!$I$8*F81</f>
        <v>25663136.827169884</v>
      </c>
      <c r="O81" s="20">
        <f>'Res OLS model'!$I$9*G81</f>
        <v>0</v>
      </c>
      <c r="P81" s="20">
        <f>'Res OLS model'!$I$10*H81</f>
        <v>-1642449.665567592</v>
      </c>
      <c r="Q81" s="20">
        <f>'Res OLS model'!$I$11*I81</f>
        <v>10611525.7095844</v>
      </c>
      <c r="R81" s="20">
        <f t="shared" ca="1" si="7"/>
        <v>28251665.218432333</v>
      </c>
    </row>
    <row r="82" spans="1:18">
      <c r="A82" s="22">
        <f>'Monthly Data'!A82</f>
        <v>42248</v>
      </c>
      <c r="B82" s="6">
        <f t="shared" si="6"/>
        <v>2015</v>
      </c>
      <c r="C82" s="20">
        <f ca="1">'Monthly Data'!G82</f>
        <v>22815455.466654569</v>
      </c>
      <c r="D82" s="6">
        <f t="shared" ca="1" si="8"/>
        <v>32.68</v>
      </c>
      <c r="E82" s="6">
        <f t="shared" ca="1" si="8"/>
        <v>67.34</v>
      </c>
      <c r="F82" s="6">
        <f>'Monthly Data'!AM82</f>
        <v>30</v>
      </c>
      <c r="G82" s="6">
        <f>'Monthly Data'!BD82</f>
        <v>0</v>
      </c>
      <c r="H82" s="6">
        <f>'Monthly Data'!AO82</f>
        <v>81</v>
      </c>
      <c r="I82" s="6">
        <f>'Monthly Data'!AK82</f>
        <v>156.69999999999999</v>
      </c>
      <c r="K82" s="20">
        <f>'Res OLS model'!$I$5</f>
        <v>-17166149.3850234</v>
      </c>
      <c r="L82" s="20">
        <f ca="1">'Res OLS model'!$I$6*D82</f>
        <v>211429.56781462161</v>
      </c>
      <c r="M82" s="20">
        <f ca="1">'Res OLS model'!$I$7*E82</f>
        <v>4589231.0337916026</v>
      </c>
      <c r="N82" s="20">
        <f>'Res OLS model'!$I$8*F82</f>
        <v>24835293.703712791</v>
      </c>
      <c r="O82" s="20">
        <f>'Res OLS model'!$I$9*G82</f>
        <v>0</v>
      </c>
      <c r="P82" s="20">
        <f>'Res OLS model'!$I$10*H82</f>
        <v>-1662980.286387187</v>
      </c>
      <c r="Q82" s="20">
        <f>'Res OLS model'!$I$11*I82</f>
        <v>10340958.20082012</v>
      </c>
      <c r="R82" s="20">
        <f t="shared" ca="1" si="7"/>
        <v>21147782.834728546</v>
      </c>
    </row>
    <row r="83" spans="1:18">
      <c r="A83" s="22">
        <f>'Monthly Data'!A83</f>
        <v>42278</v>
      </c>
      <c r="B83" s="6">
        <f t="shared" si="6"/>
        <v>2015</v>
      </c>
      <c r="C83" s="20">
        <f ca="1">'Monthly Data'!G83</f>
        <v>17314651.390864406</v>
      </c>
      <c r="D83" s="6">
        <f t="shared" ca="1" si="8"/>
        <v>176.42</v>
      </c>
      <c r="E83" s="6">
        <f t="shared" ca="1" si="8"/>
        <v>10.18</v>
      </c>
      <c r="F83" s="6">
        <f>'Monthly Data'!AM83</f>
        <v>31</v>
      </c>
      <c r="G83" s="6">
        <f>'Monthly Data'!BD83</f>
        <v>1</v>
      </c>
      <c r="H83" s="6">
        <f>'Monthly Data'!AO83</f>
        <v>82</v>
      </c>
      <c r="I83" s="6">
        <f>'Monthly Data'!AK83</f>
        <v>155.1</v>
      </c>
      <c r="K83" s="20">
        <f>'Res OLS model'!$I$5</f>
        <v>-17166149.3850234</v>
      </c>
      <c r="L83" s="20">
        <f ca="1">'Res OLS model'!$I$6*D83</f>
        <v>1141383.2421620423</v>
      </c>
      <c r="M83" s="20">
        <f ca="1">'Res OLS model'!$I$7*E83</f>
        <v>693768.5168398947</v>
      </c>
      <c r="N83" s="20">
        <f>'Res OLS model'!$I$8*F83</f>
        <v>25663136.827169884</v>
      </c>
      <c r="O83" s="20">
        <f>'Res OLS model'!$I$9*G83</f>
        <v>-1889629.0328907201</v>
      </c>
      <c r="P83" s="20">
        <f>'Res OLS model'!$I$10*H83</f>
        <v>-1683510.9072067819</v>
      </c>
      <c r="Q83" s="20">
        <f>'Res OLS model'!$I$11*I83</f>
        <v>10235370.880326744</v>
      </c>
      <c r="R83" s="20">
        <f t="shared" ca="1" si="7"/>
        <v>16994370.141377661</v>
      </c>
    </row>
    <row r="84" spans="1:18">
      <c r="A84" s="22">
        <f>'Monthly Data'!A84</f>
        <v>42309</v>
      </c>
      <c r="B84" s="6">
        <f t="shared" si="6"/>
        <v>2015</v>
      </c>
      <c r="C84" s="20">
        <f ca="1">'Monthly Data'!G84</f>
        <v>17016965.168729268</v>
      </c>
      <c r="D84" s="6">
        <f t="shared" ca="1" si="8"/>
        <v>364.2299999999999</v>
      </c>
      <c r="E84" s="6">
        <f t="shared" ca="1" si="8"/>
        <v>0.05</v>
      </c>
      <c r="F84" s="6">
        <f>'Monthly Data'!AM84</f>
        <v>30</v>
      </c>
      <c r="G84" s="6">
        <f>'Monthly Data'!BD84</f>
        <v>1</v>
      </c>
      <c r="H84" s="6">
        <f>'Monthly Data'!AO84</f>
        <v>83</v>
      </c>
      <c r="I84" s="6">
        <f>'Monthly Data'!AK84</f>
        <v>155.19999999999999</v>
      </c>
      <c r="K84" s="20">
        <f>'Res OLS model'!$I$5</f>
        <v>-17166149.3850234</v>
      </c>
      <c r="L84" s="20">
        <f ca="1">'Res OLS model'!$I$6*D84</f>
        <v>2356456.2877943576</v>
      </c>
      <c r="M84" s="20">
        <f ca="1">'Res OLS model'!$I$7*E84</f>
        <v>3407.5074500977153</v>
      </c>
      <c r="N84" s="20">
        <f>'Res OLS model'!$I$8*F84</f>
        <v>24835293.703712791</v>
      </c>
      <c r="O84" s="20">
        <f>'Res OLS model'!$I$9*G84</f>
        <v>-1889629.0328907201</v>
      </c>
      <c r="P84" s="20">
        <f>'Res OLS model'!$I$10*H84</f>
        <v>-1704041.5280263766</v>
      </c>
      <c r="Q84" s="20">
        <f>'Res OLS model'!$I$11*I84</f>
        <v>10241970.08785758</v>
      </c>
      <c r="R84" s="20">
        <f t="shared" ca="1" si="7"/>
        <v>16677307.64087433</v>
      </c>
    </row>
    <row r="85" spans="1:18">
      <c r="A85" s="22">
        <f>'Monthly Data'!A85</f>
        <v>42339</v>
      </c>
      <c r="B85" s="6">
        <f t="shared" si="6"/>
        <v>2015</v>
      </c>
      <c r="C85" s="20">
        <f ca="1">'Monthly Data'!G85</f>
        <v>19664038.057087231</v>
      </c>
      <c r="D85" s="6">
        <f t="shared" ca="1" si="8"/>
        <v>552.31000000000006</v>
      </c>
      <c r="E85" s="6">
        <f t="shared" ca="1" si="8"/>
        <v>0</v>
      </c>
      <c r="F85" s="6">
        <f>'Monthly Data'!AM85</f>
        <v>31</v>
      </c>
      <c r="G85" s="6">
        <f>'Monthly Data'!BD85</f>
        <v>0</v>
      </c>
      <c r="H85" s="6">
        <f>'Monthly Data'!AO85</f>
        <v>84</v>
      </c>
      <c r="I85" s="6">
        <f>'Monthly Data'!AK85</f>
        <v>155.19999999999999</v>
      </c>
      <c r="K85" s="20">
        <f>'Res OLS model'!$I$5</f>
        <v>-17166149.3850234</v>
      </c>
      <c r="L85" s="20">
        <f ca="1">'Res OLS model'!$I$6*D85</f>
        <v>3573276.150541422</v>
      </c>
      <c r="M85" s="20">
        <f ca="1">'Res OLS model'!$I$7*E85</f>
        <v>0</v>
      </c>
      <c r="N85" s="20">
        <f>'Res OLS model'!$I$8*F85</f>
        <v>25663136.827169884</v>
      </c>
      <c r="O85" s="20">
        <f>'Res OLS model'!$I$9*G85</f>
        <v>0</v>
      </c>
      <c r="P85" s="20">
        <f>'Res OLS model'!$I$10*H85</f>
        <v>-1724572.1488459716</v>
      </c>
      <c r="Q85" s="20">
        <f>'Res OLS model'!$I$11*I85</f>
        <v>10241970.08785758</v>
      </c>
      <c r="R85" s="20">
        <f t="shared" ca="1" si="7"/>
        <v>20587661.531699516</v>
      </c>
    </row>
    <row r="86" spans="1:18">
      <c r="A86" s="22">
        <f>'Monthly Data'!A86</f>
        <v>42370</v>
      </c>
      <c r="B86" s="6">
        <f t="shared" si="6"/>
        <v>2016</v>
      </c>
      <c r="C86" s="20">
        <f ca="1">'Monthly Data'!G86</f>
        <v>20601636.758254569</v>
      </c>
      <c r="D86" s="6">
        <f t="shared" ca="1" si="8"/>
        <v>661.18999999999994</v>
      </c>
      <c r="E86" s="6">
        <f t="shared" ca="1" si="8"/>
        <v>0</v>
      </c>
      <c r="F86" s="6">
        <f>'Monthly Data'!AM86</f>
        <v>31</v>
      </c>
      <c r="G86" s="6">
        <f>'Monthly Data'!BD86</f>
        <v>0</v>
      </c>
      <c r="H86" s="6">
        <f>'Monthly Data'!AO86</f>
        <v>85</v>
      </c>
      <c r="I86" s="6">
        <f>'Monthly Data'!AK86</f>
        <v>155</v>
      </c>
      <c r="K86" s="20">
        <f>'Res OLS model'!$I$5</f>
        <v>-17166149.3850234</v>
      </c>
      <c r="L86" s="20">
        <f ca="1">'Res OLS model'!$I$6*D86</f>
        <v>4277696.326295889</v>
      </c>
      <c r="M86" s="20">
        <f ca="1">'Res OLS model'!$I$7*E86</f>
        <v>0</v>
      </c>
      <c r="N86" s="20">
        <f>'Res OLS model'!$I$8*F86</f>
        <v>25663136.827169884</v>
      </c>
      <c r="O86" s="20">
        <f>'Res OLS model'!$I$9*G86</f>
        <v>0</v>
      </c>
      <c r="P86" s="20">
        <f>'Res OLS model'!$I$10*H86</f>
        <v>-1745102.7696655665</v>
      </c>
      <c r="Q86" s="20">
        <f>'Res OLS model'!$I$11*I86</f>
        <v>10228771.672795909</v>
      </c>
      <c r="R86" s="20">
        <f t="shared" ca="1" si="7"/>
        <v>21258352.671572715</v>
      </c>
    </row>
    <row r="87" spans="1:18">
      <c r="A87" s="22">
        <f>'Monthly Data'!A87</f>
        <v>42401</v>
      </c>
      <c r="B87" s="6">
        <f t="shared" si="6"/>
        <v>2016</v>
      </c>
      <c r="C87" s="20">
        <f ca="1">'Monthly Data'!G87</f>
        <v>18346878.747394856</v>
      </c>
      <c r="D87" s="6">
        <f t="shared" ca="1" si="8"/>
        <v>598.16999999999985</v>
      </c>
      <c r="E87" s="6">
        <f t="shared" ca="1" si="8"/>
        <v>0</v>
      </c>
      <c r="F87" s="6">
        <f>'Monthly Data'!AM87</f>
        <v>29</v>
      </c>
      <c r="G87" s="6">
        <f>'Monthly Data'!BD87</f>
        <v>0</v>
      </c>
      <c r="H87" s="6">
        <f>'Monthly Data'!AO87</f>
        <v>86</v>
      </c>
      <c r="I87" s="6">
        <f>'Monthly Data'!AK87</f>
        <v>156</v>
      </c>
      <c r="K87" s="20">
        <f>'Res OLS model'!$I$5</f>
        <v>-17166149.3850234</v>
      </c>
      <c r="L87" s="20">
        <f ca="1">'Res OLS model'!$I$6*D87</f>
        <v>3869976.27232779</v>
      </c>
      <c r="M87" s="20">
        <f ca="1">'Res OLS model'!$I$7*E87</f>
        <v>0</v>
      </c>
      <c r="N87" s="20">
        <f>'Res OLS model'!$I$8*F87</f>
        <v>24007450.580255698</v>
      </c>
      <c r="O87" s="20">
        <f>'Res OLS model'!$I$9*G87</f>
        <v>0</v>
      </c>
      <c r="P87" s="20">
        <f>'Res OLS model'!$I$10*H87</f>
        <v>-1765633.3904851614</v>
      </c>
      <c r="Q87" s="20">
        <f>'Res OLS model'!$I$11*I87</f>
        <v>10294763.748104269</v>
      </c>
      <c r="R87" s="20">
        <f t="shared" ca="1" si="7"/>
        <v>19240407.825179197</v>
      </c>
    </row>
    <row r="88" spans="1:18">
      <c r="A88" s="22">
        <f>'Monthly Data'!A88</f>
        <v>42430</v>
      </c>
      <c r="B88" s="6">
        <f t="shared" si="6"/>
        <v>2016</v>
      </c>
      <c r="C88" s="20">
        <f ca="1">'Monthly Data'!G88</f>
        <v>17956001.716218144</v>
      </c>
      <c r="D88" s="6">
        <f t="shared" ca="1" si="8"/>
        <v>451.34</v>
      </c>
      <c r="E88" s="6">
        <f t="shared" ca="1" si="8"/>
        <v>0.88000000000000012</v>
      </c>
      <c r="F88" s="6">
        <f>'Monthly Data'!AM88</f>
        <v>31</v>
      </c>
      <c r="G88" s="6">
        <f>'Monthly Data'!BD88</f>
        <v>1</v>
      </c>
      <c r="H88" s="6">
        <f>'Monthly Data'!AO88</f>
        <v>87</v>
      </c>
      <c r="I88" s="6">
        <f>'Monthly Data'!AK88</f>
        <v>156.80000000000001</v>
      </c>
      <c r="K88" s="20">
        <f>'Res OLS model'!$I$5</f>
        <v>-17166149.3850234</v>
      </c>
      <c r="L88" s="20">
        <f ca="1">'Res OLS model'!$I$6*D88</f>
        <v>2920031.2465560376</v>
      </c>
      <c r="M88" s="20">
        <f ca="1">'Res OLS model'!$I$7*E88</f>
        <v>59972.131121719787</v>
      </c>
      <c r="N88" s="20">
        <f>'Res OLS model'!$I$8*F88</f>
        <v>25663136.827169884</v>
      </c>
      <c r="O88" s="20">
        <f>'Res OLS model'!$I$9*G88</f>
        <v>-1889629.0328907201</v>
      </c>
      <c r="P88" s="20">
        <f>'Res OLS model'!$I$10*H88</f>
        <v>-1786164.0113047564</v>
      </c>
      <c r="Q88" s="20">
        <f>'Res OLS model'!$I$11*I88</f>
        <v>10347557.408350958</v>
      </c>
      <c r="R88" s="20">
        <f t="shared" ca="1" si="7"/>
        <v>18148755.18397972</v>
      </c>
    </row>
    <row r="89" spans="1:18">
      <c r="A89" s="22">
        <f>'Monthly Data'!A89</f>
        <v>42461</v>
      </c>
      <c r="B89" s="6">
        <f t="shared" si="6"/>
        <v>2016</v>
      </c>
      <c r="C89" s="20">
        <f ca="1">'Monthly Data'!G89</f>
        <v>16392981.032851683</v>
      </c>
      <c r="D89" s="6">
        <f t="shared" ca="1" si="8"/>
        <v>259.5499999999999</v>
      </c>
      <c r="E89" s="6">
        <f t="shared" ca="1" si="8"/>
        <v>2.4500000000000002</v>
      </c>
      <c r="F89" s="6">
        <f>'Monthly Data'!AM89</f>
        <v>30</v>
      </c>
      <c r="G89" s="6">
        <f>'Monthly Data'!BD89</f>
        <v>1</v>
      </c>
      <c r="H89" s="6">
        <f>'Monthly Data'!AO89</f>
        <v>88</v>
      </c>
      <c r="I89" s="6">
        <f>'Monthly Data'!AK89</f>
        <v>159.30000000000001</v>
      </c>
      <c r="K89" s="20">
        <f>'Res OLS model'!$I$5</f>
        <v>-17166149.3850234</v>
      </c>
      <c r="L89" s="20">
        <f ca="1">'Res OLS model'!$I$6*D89</f>
        <v>1679208.8227137397</v>
      </c>
      <c r="M89" s="20">
        <f ca="1">'Res OLS model'!$I$7*E89</f>
        <v>166967.86505478804</v>
      </c>
      <c r="N89" s="20">
        <f>'Res OLS model'!$I$8*F89</f>
        <v>24835293.703712791</v>
      </c>
      <c r="O89" s="20">
        <f>'Res OLS model'!$I$9*G89</f>
        <v>-1889629.0328907201</v>
      </c>
      <c r="P89" s="20">
        <f>'Res OLS model'!$I$10*H89</f>
        <v>-1806694.6321243513</v>
      </c>
      <c r="Q89" s="20">
        <f>'Res OLS model'!$I$11*I89</f>
        <v>10512537.59662186</v>
      </c>
      <c r="R89" s="20">
        <f t="shared" ca="1" si="7"/>
        <v>16331534.938064707</v>
      </c>
    </row>
    <row r="90" spans="1:18">
      <c r="A90" s="22">
        <f>'Monthly Data'!A90</f>
        <v>42491</v>
      </c>
      <c r="B90" s="6">
        <f t="shared" si="6"/>
        <v>2016</v>
      </c>
      <c r="C90" s="20">
        <f ca="1">'Monthly Data'!G90</f>
        <v>18911404.750367332</v>
      </c>
      <c r="D90" s="6">
        <f t="shared" ca="1" si="8"/>
        <v>88.880000000000024</v>
      </c>
      <c r="E90" s="6">
        <f t="shared" ca="1" si="8"/>
        <v>43.79999999999999</v>
      </c>
      <c r="F90" s="6">
        <f>'Monthly Data'!AM90</f>
        <v>31</v>
      </c>
      <c r="G90" s="6">
        <f>'Monthly Data'!BD90</f>
        <v>1</v>
      </c>
      <c r="H90" s="6">
        <f>'Monthly Data'!AO90</f>
        <v>89</v>
      </c>
      <c r="I90" s="6">
        <f>'Monthly Data'!AK90</f>
        <v>162.1</v>
      </c>
      <c r="K90" s="20">
        <f>'Res OLS model'!$I$5</f>
        <v>-17166149.3850234</v>
      </c>
      <c r="L90" s="20">
        <f ca="1">'Res OLS model'!$I$6*D90</f>
        <v>575026.31540280208</v>
      </c>
      <c r="M90" s="20">
        <f ca="1">'Res OLS model'!$I$7*E90</f>
        <v>2984976.5262855976</v>
      </c>
      <c r="N90" s="20">
        <f>'Res OLS model'!$I$8*F90</f>
        <v>25663136.827169884</v>
      </c>
      <c r="O90" s="20">
        <f>'Res OLS model'!$I$9*G90</f>
        <v>-1889629.0328907201</v>
      </c>
      <c r="P90" s="20">
        <f>'Res OLS model'!$I$10*H90</f>
        <v>-1827225.252943946</v>
      </c>
      <c r="Q90" s="20">
        <f>'Res OLS model'!$I$11*I90</f>
        <v>10697315.407485269</v>
      </c>
      <c r="R90" s="20">
        <f t="shared" ca="1" si="7"/>
        <v>19037451.405485488</v>
      </c>
    </row>
    <row r="91" spans="1:18">
      <c r="A91" s="22">
        <f>'Monthly Data'!A91</f>
        <v>42522</v>
      </c>
      <c r="B91" s="6">
        <f t="shared" si="6"/>
        <v>2016</v>
      </c>
      <c r="C91" s="20">
        <f ca="1">'Monthly Data'!G91</f>
        <v>25541820.802852735</v>
      </c>
      <c r="D91" s="6">
        <f t="shared" ca="1" si="8"/>
        <v>9.77</v>
      </c>
      <c r="E91" s="6">
        <f t="shared" ca="1" si="8"/>
        <v>117.38999999999999</v>
      </c>
      <c r="F91" s="6">
        <f>'Monthly Data'!AM91</f>
        <v>30</v>
      </c>
      <c r="G91" s="6">
        <f>'Monthly Data'!BD91</f>
        <v>0</v>
      </c>
      <c r="H91" s="6">
        <f>'Monthly Data'!AO91</f>
        <v>90</v>
      </c>
      <c r="I91" s="6">
        <f>'Monthly Data'!AK91</f>
        <v>166.7</v>
      </c>
      <c r="K91" s="20">
        <f>'Res OLS model'!$I$5</f>
        <v>-17166149.3850234</v>
      </c>
      <c r="L91" s="20">
        <f ca="1">'Res OLS model'!$I$6*D91</f>
        <v>63208.900781788645</v>
      </c>
      <c r="M91" s="20">
        <f ca="1">'Res OLS model'!$I$7*E91</f>
        <v>8000145.9913394144</v>
      </c>
      <c r="N91" s="20">
        <f>'Res OLS model'!$I$8*F91</f>
        <v>24835293.703712791</v>
      </c>
      <c r="O91" s="20">
        <f>'Res OLS model'!$I$9*G91</f>
        <v>0</v>
      </c>
      <c r="P91" s="20">
        <f>'Res OLS model'!$I$10*H91</f>
        <v>-1847755.873763541</v>
      </c>
      <c r="Q91" s="20">
        <f>'Res OLS model'!$I$11*I91</f>
        <v>11000878.953903727</v>
      </c>
      <c r="R91" s="20">
        <f t="shared" ca="1" si="7"/>
        <v>24885622.290950783</v>
      </c>
    </row>
    <row r="92" spans="1:18">
      <c r="A92" s="22">
        <f>'Monthly Data'!A92</f>
        <v>42552</v>
      </c>
      <c r="B92" s="6">
        <f t="shared" si="6"/>
        <v>2016</v>
      </c>
      <c r="C92" s="20">
        <f ca="1">'Monthly Data'!G92</f>
        <v>32875458.838660937</v>
      </c>
      <c r="D92" s="6">
        <f t="shared" ca="1" si="8"/>
        <v>0.58000000000000007</v>
      </c>
      <c r="E92" s="6">
        <f t="shared" ca="1" si="8"/>
        <v>179.70999999999998</v>
      </c>
      <c r="F92" s="6">
        <f>'Monthly Data'!AM92</f>
        <v>31</v>
      </c>
      <c r="G92" s="6">
        <f>'Monthly Data'!BD92</f>
        <v>0</v>
      </c>
      <c r="H92" s="6">
        <f>'Monthly Data'!AO92</f>
        <v>91</v>
      </c>
      <c r="I92" s="6">
        <f>'Monthly Data'!AK92</f>
        <v>169.9</v>
      </c>
      <c r="K92" s="20">
        <f>'Res OLS model'!$I$5</f>
        <v>-17166149.3850234</v>
      </c>
      <c r="L92" s="20">
        <f ca="1">'Res OLS model'!$I$6*D92</f>
        <v>3752.421950198303</v>
      </c>
      <c r="M92" s="20">
        <f ca="1">'Res OLS model'!$I$7*E92</f>
        <v>12247263.277141206</v>
      </c>
      <c r="N92" s="20">
        <f>'Res OLS model'!$I$8*F92</f>
        <v>25663136.827169884</v>
      </c>
      <c r="O92" s="20">
        <f>'Res OLS model'!$I$9*G92</f>
        <v>0</v>
      </c>
      <c r="P92" s="20">
        <f>'Res OLS model'!$I$10*H92</f>
        <v>-1868286.4945831359</v>
      </c>
      <c r="Q92" s="20">
        <f>'Res OLS model'!$I$11*I92</f>
        <v>11212053.594890483</v>
      </c>
      <c r="R92" s="20">
        <f t="shared" ca="1" si="7"/>
        <v>30091770.241545234</v>
      </c>
    </row>
    <row r="93" spans="1:18">
      <c r="A93" s="22">
        <f>'Monthly Data'!A93</f>
        <v>42583</v>
      </c>
      <c r="B93" s="6">
        <f t="shared" si="6"/>
        <v>2016</v>
      </c>
      <c r="C93" s="20">
        <f ca="1">'Monthly Data'!G93</f>
        <v>32826624.542499222</v>
      </c>
      <c r="D93" s="6">
        <f t="shared" ca="1" si="8"/>
        <v>1.7099999999999997</v>
      </c>
      <c r="E93" s="6">
        <f t="shared" ca="1" si="8"/>
        <v>158.1</v>
      </c>
      <c r="F93" s="6">
        <f>'Monthly Data'!AM93</f>
        <v>31</v>
      </c>
      <c r="G93" s="6">
        <f>'Monthly Data'!BD93</f>
        <v>0</v>
      </c>
      <c r="H93" s="6">
        <f>'Monthly Data'!AO93</f>
        <v>92</v>
      </c>
      <c r="I93" s="6">
        <f>'Monthly Data'!AK93</f>
        <v>171.7</v>
      </c>
      <c r="K93" s="20">
        <f>'Res OLS model'!$I$5</f>
        <v>-17166149.3850234</v>
      </c>
      <c r="L93" s="20">
        <f ca="1">'Res OLS model'!$I$6*D93</f>
        <v>11063.175060067408</v>
      </c>
      <c r="M93" s="20">
        <f ca="1">'Res OLS model'!$I$7*E93</f>
        <v>10774538.557208974</v>
      </c>
      <c r="N93" s="20">
        <f>'Res OLS model'!$I$8*F93</f>
        <v>25663136.827169884</v>
      </c>
      <c r="O93" s="20">
        <f>'Res OLS model'!$I$9*G93</f>
        <v>0</v>
      </c>
      <c r="P93" s="20">
        <f>'Res OLS model'!$I$10*H93</f>
        <v>-1888817.1154027309</v>
      </c>
      <c r="Q93" s="20">
        <f>'Res OLS model'!$I$11*I93</f>
        <v>11330839.330445532</v>
      </c>
      <c r="R93" s="20">
        <f t="shared" ca="1" si="7"/>
        <v>28724611.389458325</v>
      </c>
    </row>
    <row r="94" spans="1:18">
      <c r="A94" s="22">
        <f>'Monthly Data'!A94</f>
        <v>42614</v>
      </c>
      <c r="B94" s="6">
        <f t="shared" si="6"/>
        <v>2016</v>
      </c>
      <c r="C94" s="20">
        <f ca="1">'Monthly Data'!G94</f>
        <v>24014017.40842779</v>
      </c>
      <c r="D94" s="6">
        <f t="shared" ref="D94:E113" ca="1" si="9">D82</f>
        <v>32.68</v>
      </c>
      <c r="E94" s="6">
        <f t="shared" ca="1" si="9"/>
        <v>67.34</v>
      </c>
      <c r="F94" s="6">
        <f>'Monthly Data'!AM94</f>
        <v>30</v>
      </c>
      <c r="G94" s="6">
        <f>'Monthly Data'!BD94</f>
        <v>0</v>
      </c>
      <c r="H94" s="6">
        <f>'Monthly Data'!AO94</f>
        <v>93</v>
      </c>
      <c r="I94" s="6">
        <f>'Monthly Data'!AK94</f>
        <v>170.5</v>
      </c>
      <c r="K94" s="20">
        <f>'Res OLS model'!$I$5</f>
        <v>-17166149.3850234</v>
      </c>
      <c r="L94" s="20">
        <f ca="1">'Res OLS model'!$I$6*D94</f>
        <v>211429.56781462161</v>
      </c>
      <c r="M94" s="20">
        <f ca="1">'Res OLS model'!$I$7*E94</f>
        <v>4589231.0337916026</v>
      </c>
      <c r="N94" s="20">
        <f>'Res OLS model'!$I$8*F94</f>
        <v>24835293.703712791</v>
      </c>
      <c r="O94" s="20">
        <f>'Res OLS model'!$I$9*G94</f>
        <v>0</v>
      </c>
      <c r="P94" s="20">
        <f>'Res OLS model'!$I$10*H94</f>
        <v>-1909347.7362223258</v>
      </c>
      <c r="Q94" s="20">
        <f>'Res OLS model'!$I$11*I94</f>
        <v>11251648.840075498</v>
      </c>
      <c r="R94" s="20">
        <f t="shared" ca="1" si="7"/>
        <v>21812106.024148785</v>
      </c>
    </row>
    <row r="95" spans="1:18">
      <c r="A95" s="22">
        <f>'Monthly Data'!A95</f>
        <v>42644</v>
      </c>
      <c r="B95" s="6">
        <f t="shared" si="6"/>
        <v>2016</v>
      </c>
      <c r="C95" s="20">
        <f ca="1">'Monthly Data'!G95</f>
        <v>18276477.462164998</v>
      </c>
      <c r="D95" s="6">
        <f t="shared" ca="1" si="9"/>
        <v>176.42</v>
      </c>
      <c r="E95" s="6">
        <f t="shared" ca="1" si="9"/>
        <v>10.18</v>
      </c>
      <c r="F95" s="6">
        <f>'Monthly Data'!AM95</f>
        <v>31</v>
      </c>
      <c r="G95" s="6">
        <f>'Monthly Data'!BD95</f>
        <v>1</v>
      </c>
      <c r="H95" s="6">
        <f>'Monthly Data'!AO95</f>
        <v>94</v>
      </c>
      <c r="I95" s="6">
        <f>'Monthly Data'!AK95</f>
        <v>169.2</v>
      </c>
      <c r="K95" s="20">
        <f>'Res OLS model'!$I$5</f>
        <v>-17166149.3850234</v>
      </c>
      <c r="L95" s="20">
        <f ca="1">'Res OLS model'!$I$6*D95</f>
        <v>1141383.2421620423</v>
      </c>
      <c r="M95" s="20">
        <f ca="1">'Res OLS model'!$I$7*E95</f>
        <v>693768.5168398947</v>
      </c>
      <c r="N95" s="20">
        <f>'Res OLS model'!$I$8*F95</f>
        <v>25663136.827169884</v>
      </c>
      <c r="O95" s="20">
        <f>'Res OLS model'!$I$9*G95</f>
        <v>-1889629.0328907201</v>
      </c>
      <c r="P95" s="20">
        <f>'Res OLS model'!$I$10*H95</f>
        <v>-1929878.3570419205</v>
      </c>
      <c r="Q95" s="20">
        <f>'Res OLS model'!$I$11*I95</f>
        <v>11165859.142174629</v>
      </c>
      <c r="R95" s="20">
        <f t="shared" ca="1" si="7"/>
        <v>17678490.953390408</v>
      </c>
    </row>
    <row r="96" spans="1:18">
      <c r="A96" s="22">
        <f>'Monthly Data'!A96</f>
        <v>42675</v>
      </c>
      <c r="B96" s="6">
        <f t="shared" si="6"/>
        <v>2016</v>
      </c>
      <c r="C96" s="20">
        <f ca="1">'Monthly Data'!G96</f>
        <v>17199045.550591063</v>
      </c>
      <c r="D96" s="6">
        <f t="shared" ca="1" si="9"/>
        <v>364.2299999999999</v>
      </c>
      <c r="E96" s="6">
        <f t="shared" ca="1" si="9"/>
        <v>0.05</v>
      </c>
      <c r="F96" s="6">
        <f>'Monthly Data'!AM96</f>
        <v>30</v>
      </c>
      <c r="G96" s="6">
        <f>'Monthly Data'!BD96</f>
        <v>1</v>
      </c>
      <c r="H96" s="6">
        <f>'Monthly Data'!AO96</f>
        <v>95</v>
      </c>
      <c r="I96" s="137">
        <f>'Monthly Data'!AK96</f>
        <v>165.5</v>
      </c>
      <c r="K96" s="20">
        <f>'Res OLS model'!$I$5</f>
        <v>-17166149.3850234</v>
      </c>
      <c r="L96" s="20">
        <f ca="1">'Res OLS model'!$I$6*D96</f>
        <v>2356456.2877943576</v>
      </c>
      <c r="M96" s="20">
        <f ca="1">'Res OLS model'!$I$7*E96</f>
        <v>3407.5074500977153</v>
      </c>
      <c r="N96" s="20">
        <f>'Res OLS model'!$I$8*F96</f>
        <v>24835293.703712791</v>
      </c>
      <c r="O96" s="20">
        <f>'Res OLS model'!$I$9*G96</f>
        <v>-1889629.0328907201</v>
      </c>
      <c r="P96" s="20">
        <f>'Res OLS model'!$I$10*H96</f>
        <v>-1950408.9778615155</v>
      </c>
      <c r="Q96" s="20">
        <f>'Res OLS model'!$I$11*I96</f>
        <v>10921688.463533696</v>
      </c>
      <c r="R96" s="20">
        <f t="shared" ca="1" si="7"/>
        <v>17110658.566715308</v>
      </c>
    </row>
    <row r="97" spans="1:18">
      <c r="A97" s="22">
        <f>'Monthly Data'!A97</f>
        <v>42705</v>
      </c>
      <c r="B97" s="6">
        <f t="shared" si="6"/>
        <v>2016</v>
      </c>
      <c r="C97" s="20">
        <f ca="1">'Monthly Data'!G97</f>
        <v>20674864.277921565</v>
      </c>
      <c r="D97" s="6">
        <f t="shared" ca="1" si="9"/>
        <v>552.31000000000006</v>
      </c>
      <c r="E97" s="6">
        <f t="shared" ca="1" si="9"/>
        <v>0</v>
      </c>
      <c r="F97" s="6">
        <f>'Monthly Data'!AM97</f>
        <v>31</v>
      </c>
      <c r="G97" s="6">
        <f>'Monthly Data'!BD97</f>
        <v>0</v>
      </c>
      <c r="H97" s="6">
        <f>'Monthly Data'!AO97</f>
        <v>96</v>
      </c>
      <c r="I97" s="137">
        <f>'Monthly Data'!AK97</f>
        <v>162.5</v>
      </c>
      <c r="K97" s="20">
        <f>'Res OLS model'!$I$5</f>
        <v>-17166149.3850234</v>
      </c>
      <c r="L97" s="20">
        <f ca="1">'Res OLS model'!$I$6*D97</f>
        <v>3573276.150541422</v>
      </c>
      <c r="M97" s="20">
        <f ca="1">'Res OLS model'!$I$7*E97</f>
        <v>0</v>
      </c>
      <c r="N97" s="20">
        <f>'Res OLS model'!$I$8*F97</f>
        <v>25663136.827169884</v>
      </c>
      <c r="O97" s="20">
        <f>'Res OLS model'!$I$9*G97</f>
        <v>0</v>
      </c>
      <c r="P97" s="20">
        <f>'Res OLS model'!$I$10*H97</f>
        <v>-1970939.5986811104</v>
      </c>
      <c r="Q97" s="20">
        <f>'Res OLS model'!$I$11*I97</f>
        <v>10723712.237608613</v>
      </c>
      <c r="R97" s="20">
        <f t="shared" ca="1" si="7"/>
        <v>20823036.231615409</v>
      </c>
    </row>
    <row r="98" spans="1:18">
      <c r="A98" s="22">
        <v>42736</v>
      </c>
      <c r="B98" s="6">
        <f t="shared" si="6"/>
        <v>2017</v>
      </c>
      <c r="D98" s="6">
        <f t="shared" ca="1" si="9"/>
        <v>661.18999999999994</v>
      </c>
      <c r="E98" s="6">
        <f t="shared" ca="1" si="9"/>
        <v>0</v>
      </c>
      <c r="F98" s="6">
        <f>F50</f>
        <v>31</v>
      </c>
      <c r="G98" s="6">
        <f>G50</f>
        <v>0</v>
      </c>
      <c r="H98" s="6">
        <f>H97+1</f>
        <v>97</v>
      </c>
      <c r="I98" s="137">
        <f>'Monthly Data'!AK98</f>
        <v>160.69999999999999</v>
      </c>
      <c r="K98" s="20">
        <f>'Res OLS model'!$I$5</f>
        <v>-17166149.3850234</v>
      </c>
      <c r="L98" s="20">
        <f ca="1">'Res OLS model'!$I$6*D98</f>
        <v>4277696.326295889</v>
      </c>
      <c r="M98" s="20">
        <f ca="1">'Res OLS model'!$I$7*E98</f>
        <v>0</v>
      </c>
      <c r="N98" s="20">
        <f>'Res OLS model'!$I$8*F98</f>
        <v>25663136.827169884</v>
      </c>
      <c r="O98" s="20">
        <f>'Res OLS model'!$I$9*G98</f>
        <v>0</v>
      </c>
      <c r="P98" s="20">
        <f>'Res OLS model'!$I$10*H98</f>
        <v>-1991470.2195007054</v>
      </c>
      <c r="Q98" s="20">
        <f>'Res OLS model'!$I$11*I98</f>
        <v>10604926.502053563</v>
      </c>
      <c r="R98" s="20">
        <f t="shared" ca="1" si="7"/>
        <v>21388140.050995231</v>
      </c>
    </row>
    <row r="99" spans="1:18">
      <c r="A99" s="22">
        <v>42767</v>
      </c>
      <c r="B99" s="6">
        <f t="shared" si="6"/>
        <v>2017</v>
      </c>
      <c r="D99" s="6">
        <f t="shared" ca="1" si="9"/>
        <v>598.16999999999985</v>
      </c>
      <c r="E99" s="6">
        <f t="shared" ca="1" si="9"/>
        <v>0</v>
      </c>
      <c r="F99" s="6">
        <f t="shared" ref="F99:G121" si="10">F51</f>
        <v>28</v>
      </c>
      <c r="G99" s="6">
        <f t="shared" si="10"/>
        <v>0</v>
      </c>
      <c r="H99" s="6">
        <f t="shared" ref="H99:H121" si="11">H98+1</f>
        <v>98</v>
      </c>
      <c r="I99" s="137">
        <f>'Monthly Data'!AK99</f>
        <v>158.80000000000001</v>
      </c>
      <c r="K99" s="20">
        <f>'Res OLS model'!$I$5</f>
        <v>-17166149.3850234</v>
      </c>
      <c r="L99" s="20">
        <f ca="1">'Res OLS model'!$I$6*D99</f>
        <v>3869976.27232779</v>
      </c>
      <c r="M99" s="20">
        <f ca="1">'Res OLS model'!$I$7*E99</f>
        <v>0</v>
      </c>
      <c r="N99" s="20">
        <f>'Res OLS model'!$I$8*F99</f>
        <v>23179607.456798606</v>
      </c>
      <c r="O99" s="20">
        <f>'Res OLS model'!$I$9*G99</f>
        <v>0</v>
      </c>
      <c r="P99" s="20">
        <f>'Res OLS model'!$I$10*H99</f>
        <v>-2012000.8403203003</v>
      </c>
      <c r="Q99" s="20">
        <f>'Res OLS model'!$I$11*I99</f>
        <v>10479541.55896768</v>
      </c>
      <c r="R99" s="20">
        <f t="shared" ca="1" si="7"/>
        <v>18350975.062750377</v>
      </c>
    </row>
    <row r="100" spans="1:18">
      <c r="A100" s="22">
        <v>42795</v>
      </c>
      <c r="B100" s="6">
        <f t="shared" si="6"/>
        <v>2017</v>
      </c>
      <c r="D100" s="6">
        <f t="shared" ca="1" si="9"/>
        <v>451.34</v>
      </c>
      <c r="E100" s="6">
        <f t="shared" ca="1" si="9"/>
        <v>0.88000000000000012</v>
      </c>
      <c r="F100" s="6">
        <f t="shared" si="10"/>
        <v>31</v>
      </c>
      <c r="G100" s="6">
        <f t="shared" si="10"/>
        <v>1</v>
      </c>
      <c r="H100" s="6">
        <f t="shared" si="11"/>
        <v>99</v>
      </c>
      <c r="I100" s="137">
        <f>'Monthly Data'!AK100</f>
        <v>157.6</v>
      </c>
      <c r="K100" s="20">
        <f>'Res OLS model'!$I$5</f>
        <v>-17166149.3850234</v>
      </c>
      <c r="L100" s="20">
        <f ca="1">'Res OLS model'!$I$6*D100</f>
        <v>2920031.2465560376</v>
      </c>
      <c r="M100" s="20">
        <f ca="1">'Res OLS model'!$I$7*E100</f>
        <v>59972.131121719787</v>
      </c>
      <c r="N100" s="20">
        <f>'Res OLS model'!$I$8*F100</f>
        <v>25663136.827169884</v>
      </c>
      <c r="O100" s="20">
        <f>'Res OLS model'!$I$9*G100</f>
        <v>-1889629.0328907201</v>
      </c>
      <c r="P100" s="20">
        <f>'Res OLS model'!$I$10*H100</f>
        <v>-2032531.461139895</v>
      </c>
      <c r="Q100" s="20">
        <f>'Res OLS model'!$I$11*I100</f>
        <v>10400351.068597646</v>
      </c>
      <c r="R100" s="20">
        <f t="shared" ca="1" si="7"/>
        <v>17955181.394391272</v>
      </c>
    </row>
    <row r="101" spans="1:18">
      <c r="A101" s="22">
        <v>42826</v>
      </c>
      <c r="B101" s="6">
        <f t="shared" si="6"/>
        <v>2017</v>
      </c>
      <c r="D101" s="6">
        <f t="shared" ca="1" si="9"/>
        <v>259.5499999999999</v>
      </c>
      <c r="E101" s="6">
        <f t="shared" ca="1" si="9"/>
        <v>2.4500000000000002</v>
      </c>
      <c r="F101" s="6">
        <f t="shared" si="10"/>
        <v>30</v>
      </c>
      <c r="G101" s="6">
        <f t="shared" si="10"/>
        <v>1</v>
      </c>
      <c r="H101" s="6">
        <f t="shared" si="11"/>
        <v>100</v>
      </c>
      <c r="I101" s="137">
        <f>'Monthly Data'!AK101</f>
        <v>156.80000000000001</v>
      </c>
      <c r="K101" s="20">
        <f>'Res OLS model'!$I$5</f>
        <v>-17166149.3850234</v>
      </c>
      <c r="L101" s="20">
        <f ca="1">'Res OLS model'!$I$6*D101</f>
        <v>1679208.8227137397</v>
      </c>
      <c r="M101" s="20">
        <f ca="1">'Res OLS model'!$I$7*E101</f>
        <v>166967.86505478804</v>
      </c>
      <c r="N101" s="20">
        <f>'Res OLS model'!$I$8*F101</f>
        <v>24835293.703712791</v>
      </c>
      <c r="O101" s="20">
        <f>'Res OLS model'!$I$9*G101</f>
        <v>-1889629.0328907201</v>
      </c>
      <c r="P101" s="20">
        <f>'Res OLS model'!$I$10*H101</f>
        <v>-2053062.08195949</v>
      </c>
      <c r="Q101" s="20">
        <f>'Res OLS model'!$I$11*I101</f>
        <v>10347557.408350958</v>
      </c>
      <c r="R101" s="20">
        <f t="shared" ca="1" si="7"/>
        <v>15920187.299958667</v>
      </c>
    </row>
    <row r="102" spans="1:18">
      <c r="A102" s="22">
        <v>42856</v>
      </c>
      <c r="B102" s="6">
        <f t="shared" si="6"/>
        <v>2017</v>
      </c>
      <c r="D102" s="6">
        <f t="shared" ca="1" si="9"/>
        <v>88.880000000000024</v>
      </c>
      <c r="E102" s="6">
        <f t="shared" ca="1" si="9"/>
        <v>43.79999999999999</v>
      </c>
      <c r="F102" s="6">
        <f t="shared" si="10"/>
        <v>31</v>
      </c>
      <c r="G102" s="6">
        <f t="shared" si="10"/>
        <v>1</v>
      </c>
      <c r="H102" s="6">
        <f t="shared" si="11"/>
        <v>101</v>
      </c>
      <c r="I102" s="137">
        <f>'Monthly Data'!AK102</f>
        <v>157.69999999999999</v>
      </c>
      <c r="K102" s="20">
        <f>'Res OLS model'!$I$5</f>
        <v>-17166149.3850234</v>
      </c>
      <c r="L102" s="20">
        <f ca="1">'Res OLS model'!$I$6*D102</f>
        <v>575026.31540280208</v>
      </c>
      <c r="M102" s="20">
        <f ca="1">'Res OLS model'!$I$7*E102</f>
        <v>2984976.5262855976</v>
      </c>
      <c r="N102" s="20">
        <f>'Res OLS model'!$I$8*F102</f>
        <v>25663136.827169884</v>
      </c>
      <c r="O102" s="20">
        <f>'Res OLS model'!$I$9*G102</f>
        <v>-1889629.0328907201</v>
      </c>
      <c r="P102" s="20">
        <f>'Res OLS model'!$I$10*H102</f>
        <v>-2073592.7027790849</v>
      </c>
      <c r="Q102" s="20">
        <f>'Res OLS model'!$I$11*I102</f>
        <v>10406950.276128482</v>
      </c>
      <c r="R102" s="20">
        <f t="shared" ca="1" si="7"/>
        <v>18500718.824293561</v>
      </c>
    </row>
    <row r="103" spans="1:18">
      <c r="A103" s="22">
        <v>42887</v>
      </c>
      <c r="B103" s="6">
        <f t="shared" si="6"/>
        <v>2017</v>
      </c>
      <c r="D103" s="6">
        <f t="shared" ca="1" si="9"/>
        <v>9.77</v>
      </c>
      <c r="E103" s="6">
        <f t="shared" ca="1" si="9"/>
        <v>117.38999999999999</v>
      </c>
      <c r="F103" s="6">
        <f t="shared" si="10"/>
        <v>30</v>
      </c>
      <c r="G103" s="6">
        <f t="shared" si="10"/>
        <v>0</v>
      </c>
      <c r="H103" s="6">
        <f t="shared" si="11"/>
        <v>102</v>
      </c>
      <c r="I103" s="137">
        <f>'Monthly Data'!AK103</f>
        <v>161.19999999999999</v>
      </c>
      <c r="K103" s="20">
        <f>'Res OLS model'!$I$5</f>
        <v>-17166149.3850234</v>
      </c>
      <c r="L103" s="20">
        <f ca="1">'Res OLS model'!$I$6*D103</f>
        <v>63208.900781788645</v>
      </c>
      <c r="M103" s="20">
        <f ca="1">'Res OLS model'!$I$7*E103</f>
        <v>8000145.9913394144</v>
      </c>
      <c r="N103" s="20">
        <f>'Res OLS model'!$I$8*F103</f>
        <v>24835293.703712791</v>
      </c>
      <c r="O103" s="20">
        <f>'Res OLS model'!$I$9*G103</f>
        <v>0</v>
      </c>
      <c r="P103" s="20">
        <f>'Res OLS model'!$I$10*H103</f>
        <v>-2094123.3235986799</v>
      </c>
      <c r="Q103" s="20">
        <f>'Res OLS model'!$I$11*I103</f>
        <v>10637922.539707744</v>
      </c>
      <c r="R103" s="20">
        <f t="shared" ca="1" si="7"/>
        <v>24276298.426919661</v>
      </c>
    </row>
    <row r="104" spans="1:18">
      <c r="A104" s="22">
        <v>42917</v>
      </c>
      <c r="B104" s="6">
        <f t="shared" si="6"/>
        <v>2017</v>
      </c>
      <c r="D104" s="6">
        <f t="shared" ca="1" si="9"/>
        <v>0.58000000000000007</v>
      </c>
      <c r="E104" s="6">
        <f t="shared" ca="1" si="9"/>
        <v>179.70999999999998</v>
      </c>
      <c r="F104" s="6">
        <f t="shared" si="10"/>
        <v>31</v>
      </c>
      <c r="G104" s="6">
        <f t="shared" si="10"/>
        <v>0</v>
      </c>
      <c r="H104" s="6">
        <f t="shared" si="11"/>
        <v>103</v>
      </c>
      <c r="I104" s="137">
        <f>'Monthly Data'!AK104</f>
        <v>163.19999999999999</v>
      </c>
      <c r="K104" s="20">
        <f>'Res OLS model'!$I$5</f>
        <v>-17166149.3850234</v>
      </c>
      <c r="L104" s="20">
        <f ca="1">'Res OLS model'!$I$6*D104</f>
        <v>3752.421950198303</v>
      </c>
      <c r="M104" s="20">
        <f ca="1">'Res OLS model'!$I$7*E104</f>
        <v>12247263.277141206</v>
      </c>
      <c r="N104" s="20">
        <f>'Res OLS model'!$I$8*F104</f>
        <v>25663136.827169884</v>
      </c>
      <c r="O104" s="20">
        <f>'Res OLS model'!$I$9*G104</f>
        <v>0</v>
      </c>
      <c r="P104" s="20">
        <f>'Res OLS model'!$I$10*H104</f>
        <v>-2114653.9444182748</v>
      </c>
      <c r="Q104" s="20">
        <f>'Res OLS model'!$I$11*I104</f>
        <v>10769906.690324465</v>
      </c>
      <c r="R104" s="20">
        <f t="shared" ca="1" si="7"/>
        <v>29403255.887144081</v>
      </c>
    </row>
    <row r="105" spans="1:18">
      <c r="A105" s="22">
        <v>42948</v>
      </c>
      <c r="B105" s="6">
        <f t="shared" si="6"/>
        <v>2017</v>
      </c>
      <c r="D105" s="6">
        <f t="shared" ca="1" si="9"/>
        <v>1.7099999999999997</v>
      </c>
      <c r="E105" s="6">
        <f t="shared" ca="1" si="9"/>
        <v>158.1</v>
      </c>
      <c r="F105" s="6">
        <f t="shared" si="10"/>
        <v>31</v>
      </c>
      <c r="G105" s="6">
        <f t="shared" si="10"/>
        <v>0</v>
      </c>
      <c r="H105" s="6">
        <f t="shared" si="11"/>
        <v>104</v>
      </c>
      <c r="I105" s="137">
        <f>'Monthly Data'!AK105</f>
        <v>167.5</v>
      </c>
      <c r="K105" s="20">
        <f>'Res OLS model'!$I$5</f>
        <v>-17166149.3850234</v>
      </c>
      <c r="L105" s="20">
        <f ca="1">'Res OLS model'!$I$6*D105</f>
        <v>11063.175060067408</v>
      </c>
      <c r="M105" s="20">
        <f ca="1">'Res OLS model'!$I$7*E105</f>
        <v>10774538.557208974</v>
      </c>
      <c r="N105" s="20">
        <f>'Res OLS model'!$I$8*F105</f>
        <v>25663136.827169884</v>
      </c>
      <c r="O105" s="20">
        <f>'Res OLS model'!$I$9*G105</f>
        <v>0</v>
      </c>
      <c r="P105" s="20">
        <f>'Res OLS model'!$I$10*H105</f>
        <v>-2135184.5652378695</v>
      </c>
      <c r="Q105" s="20">
        <f>'Res OLS model'!$I$11*I105</f>
        <v>11053672.614150416</v>
      </c>
      <c r="R105" s="20">
        <f t="shared" ca="1" si="7"/>
        <v>28201077.223328073</v>
      </c>
    </row>
    <row r="106" spans="1:18">
      <c r="A106" s="22">
        <v>42979</v>
      </c>
      <c r="B106" s="6">
        <f t="shared" si="6"/>
        <v>2017</v>
      </c>
      <c r="D106" s="6">
        <f t="shared" ca="1" si="9"/>
        <v>32.68</v>
      </c>
      <c r="E106" s="6">
        <f t="shared" ca="1" si="9"/>
        <v>67.34</v>
      </c>
      <c r="F106" s="6">
        <f t="shared" si="10"/>
        <v>30</v>
      </c>
      <c r="G106" s="6">
        <f t="shared" si="10"/>
        <v>0</v>
      </c>
      <c r="H106" s="6">
        <f t="shared" si="11"/>
        <v>105</v>
      </c>
      <c r="I106" s="137">
        <f>'Monthly Data'!AK106</f>
        <v>168.1</v>
      </c>
      <c r="K106" s="20">
        <f>'Res OLS model'!$I$5</f>
        <v>-17166149.3850234</v>
      </c>
      <c r="L106" s="20">
        <f ca="1">'Res OLS model'!$I$6*D106</f>
        <v>211429.56781462161</v>
      </c>
      <c r="M106" s="20">
        <f ca="1">'Res OLS model'!$I$7*E106</f>
        <v>4589231.0337916026</v>
      </c>
      <c r="N106" s="20">
        <f>'Res OLS model'!$I$8*F106</f>
        <v>24835293.703712791</v>
      </c>
      <c r="O106" s="20">
        <f>'Res OLS model'!$I$9*G106</f>
        <v>0</v>
      </c>
      <c r="P106" s="20">
        <f>'Res OLS model'!$I$10*H106</f>
        <v>-2155715.1860574647</v>
      </c>
      <c r="Q106" s="20">
        <f>'Res OLS model'!$I$11*I106</f>
        <v>11093267.859335434</v>
      </c>
      <c r="R106" s="20">
        <f t="shared" ca="1" si="7"/>
        <v>21407357.593573585</v>
      </c>
    </row>
    <row r="107" spans="1:18">
      <c r="A107" s="22">
        <v>43009</v>
      </c>
      <c r="B107" s="6">
        <f t="shared" si="6"/>
        <v>2017</v>
      </c>
      <c r="D107" s="6">
        <f t="shared" ca="1" si="9"/>
        <v>176.42</v>
      </c>
      <c r="E107" s="6">
        <f t="shared" ca="1" si="9"/>
        <v>10.18</v>
      </c>
      <c r="F107" s="6">
        <f t="shared" si="10"/>
        <v>31</v>
      </c>
      <c r="G107" s="6">
        <f t="shared" si="10"/>
        <v>1</v>
      </c>
      <c r="H107" s="6">
        <f t="shared" si="11"/>
        <v>106</v>
      </c>
      <c r="I107" s="137">
        <f>'Monthly Data'!AK107</f>
        <v>165.1</v>
      </c>
      <c r="K107" s="20">
        <f>'Res OLS model'!$I$5</f>
        <v>-17166149.3850234</v>
      </c>
      <c r="L107" s="20">
        <f ca="1">'Res OLS model'!$I$6*D107</f>
        <v>1141383.2421620423</v>
      </c>
      <c r="M107" s="20">
        <f ca="1">'Res OLS model'!$I$7*E107</f>
        <v>693768.5168398947</v>
      </c>
      <c r="N107" s="20">
        <f>'Res OLS model'!$I$8*F107</f>
        <v>25663136.827169884</v>
      </c>
      <c r="O107" s="20">
        <f>'Res OLS model'!$I$9*G107</f>
        <v>-1889629.0328907201</v>
      </c>
      <c r="P107" s="20">
        <f>'Res OLS model'!$I$10*H107</f>
        <v>-2176245.8068770594</v>
      </c>
      <c r="Q107" s="20">
        <f>'Res OLS model'!$I$11*I107</f>
        <v>10895291.633410351</v>
      </c>
      <c r="R107" s="20">
        <f t="shared" ca="1" si="7"/>
        <v>17161555.994790994</v>
      </c>
    </row>
    <row r="108" spans="1:18">
      <c r="A108" s="22">
        <v>43040</v>
      </c>
      <c r="B108" s="6">
        <f t="shared" si="6"/>
        <v>2017</v>
      </c>
      <c r="D108" s="6">
        <f t="shared" ca="1" si="9"/>
        <v>364.2299999999999</v>
      </c>
      <c r="E108" s="6">
        <f t="shared" ca="1" si="9"/>
        <v>0.05</v>
      </c>
      <c r="F108" s="6">
        <f t="shared" si="10"/>
        <v>30</v>
      </c>
      <c r="G108" s="6">
        <f t="shared" si="10"/>
        <v>1</v>
      </c>
      <c r="H108" s="6">
        <f t="shared" si="11"/>
        <v>107</v>
      </c>
      <c r="I108" s="137">
        <f>'Monthly Data'!AK108</f>
        <v>164.7</v>
      </c>
      <c r="K108" s="20">
        <f>'Res OLS model'!$I$5</f>
        <v>-17166149.3850234</v>
      </c>
      <c r="L108" s="20">
        <f ca="1">'Res OLS model'!$I$6*D108</f>
        <v>2356456.2877943576</v>
      </c>
      <c r="M108" s="20">
        <f ca="1">'Res OLS model'!$I$7*E108</f>
        <v>3407.5074500977153</v>
      </c>
      <c r="N108" s="20">
        <f>'Res OLS model'!$I$8*F108</f>
        <v>24835293.703712791</v>
      </c>
      <c r="O108" s="20">
        <f>'Res OLS model'!$I$9*G108</f>
        <v>-1889629.0328907201</v>
      </c>
      <c r="P108" s="20">
        <f>'Res OLS model'!$I$10*H108</f>
        <v>-2196776.4276966541</v>
      </c>
      <c r="Q108" s="20">
        <f>'Res OLS model'!$I$11*I108</f>
        <v>10868894.803287007</v>
      </c>
      <c r="R108" s="20">
        <f t="shared" ca="1" si="7"/>
        <v>16811497.456633478</v>
      </c>
    </row>
    <row r="109" spans="1:18">
      <c r="A109" s="22">
        <v>43070</v>
      </c>
      <c r="B109" s="6">
        <f t="shared" si="6"/>
        <v>2017</v>
      </c>
      <c r="D109" s="6">
        <f t="shared" ca="1" si="9"/>
        <v>552.31000000000006</v>
      </c>
      <c r="E109" s="6">
        <f t="shared" ca="1" si="9"/>
        <v>0</v>
      </c>
      <c r="F109" s="6">
        <f t="shared" si="10"/>
        <v>31</v>
      </c>
      <c r="G109" s="6">
        <f t="shared" si="10"/>
        <v>0</v>
      </c>
      <c r="H109" s="6">
        <f t="shared" si="11"/>
        <v>108</v>
      </c>
      <c r="I109" s="137">
        <f>'Monthly Data'!AK109</f>
        <v>164.3</v>
      </c>
      <c r="K109" s="20">
        <f>'Res OLS model'!$I$5</f>
        <v>-17166149.3850234</v>
      </c>
      <c r="L109" s="20">
        <f ca="1">'Res OLS model'!$I$6*D109</f>
        <v>3573276.150541422</v>
      </c>
      <c r="M109" s="20">
        <f ca="1">'Res OLS model'!$I$7*E109</f>
        <v>0</v>
      </c>
      <c r="N109" s="20">
        <f>'Res OLS model'!$I$8*F109</f>
        <v>25663136.827169884</v>
      </c>
      <c r="O109" s="20">
        <f>'Res OLS model'!$I$9*G109</f>
        <v>0</v>
      </c>
      <c r="P109" s="20">
        <f>'Res OLS model'!$I$10*H109</f>
        <v>-2217307.0485162493</v>
      </c>
      <c r="Q109" s="20">
        <f>'Res OLS model'!$I$11*I109</f>
        <v>10842497.973163662</v>
      </c>
      <c r="R109" s="20">
        <f t="shared" ca="1" si="7"/>
        <v>20695454.517335318</v>
      </c>
    </row>
    <row r="110" spans="1:18">
      <c r="A110" s="22">
        <v>43101</v>
      </c>
      <c r="B110" s="6">
        <f t="shared" si="6"/>
        <v>2018</v>
      </c>
      <c r="D110" s="6">
        <f t="shared" ca="1" si="9"/>
        <v>661.18999999999994</v>
      </c>
      <c r="E110" s="6">
        <f t="shared" ca="1" si="9"/>
        <v>0</v>
      </c>
      <c r="F110" s="6">
        <f t="shared" si="10"/>
        <v>31</v>
      </c>
      <c r="G110" s="6">
        <f t="shared" si="10"/>
        <v>0</v>
      </c>
      <c r="H110" s="6">
        <f t="shared" si="11"/>
        <v>109</v>
      </c>
      <c r="I110" s="136">
        <f>I98*(1+Employment!$J$14)</f>
        <v>163.11049999999997</v>
      </c>
      <c r="K110" s="20">
        <f>'Res OLS model'!$I$5</f>
        <v>-17166149.3850234</v>
      </c>
      <c r="L110" s="20">
        <f ca="1">'Res OLS model'!$I$6*D110</f>
        <v>4277696.326295889</v>
      </c>
      <c r="M110" s="20">
        <f ca="1">'Res OLS model'!$I$7*E110</f>
        <v>0</v>
      </c>
      <c r="N110" s="20">
        <f>'Res OLS model'!$I$8*F110</f>
        <v>25663136.827169884</v>
      </c>
      <c r="O110" s="20">
        <f>'Res OLS model'!$I$9*G110</f>
        <v>0</v>
      </c>
      <c r="P110" s="20">
        <f>'Res OLS model'!$I$10*H110</f>
        <v>-2237837.669335844</v>
      </c>
      <c r="Q110" s="20">
        <f>'Res OLS model'!$I$11*I110</f>
        <v>10764000.399584366</v>
      </c>
      <c r="R110" s="20">
        <f t="shared" ca="1" si="7"/>
        <v>21300846.498690896</v>
      </c>
    </row>
    <row r="111" spans="1:18">
      <c r="A111" s="22">
        <v>43132</v>
      </c>
      <c r="B111" s="6">
        <f t="shared" si="6"/>
        <v>2018</v>
      </c>
      <c r="D111" s="6">
        <f t="shared" ca="1" si="9"/>
        <v>598.16999999999985</v>
      </c>
      <c r="E111" s="6">
        <f t="shared" ca="1" si="9"/>
        <v>0</v>
      </c>
      <c r="F111" s="6">
        <f t="shared" si="10"/>
        <v>28</v>
      </c>
      <c r="G111" s="6">
        <f t="shared" si="10"/>
        <v>0</v>
      </c>
      <c r="H111" s="6">
        <f t="shared" si="11"/>
        <v>110</v>
      </c>
      <c r="I111" s="136">
        <f>I99*(1+Employment!$J$14)</f>
        <v>161.18199999999999</v>
      </c>
      <c r="K111" s="20">
        <f>'Res OLS model'!$I$5</f>
        <v>-17166149.3850234</v>
      </c>
      <c r="L111" s="20">
        <f ca="1">'Res OLS model'!$I$6*D111</f>
        <v>3869976.27232779</v>
      </c>
      <c r="M111" s="20">
        <f ca="1">'Res OLS model'!$I$7*E111</f>
        <v>0</v>
      </c>
      <c r="N111" s="20">
        <f>'Res OLS model'!$I$8*F111</f>
        <v>23179607.456798606</v>
      </c>
      <c r="O111" s="20">
        <f>'Res OLS model'!$I$9*G111</f>
        <v>0</v>
      </c>
      <c r="P111" s="20">
        <f>'Res OLS model'!$I$10*H111</f>
        <v>-2258368.2901554392</v>
      </c>
      <c r="Q111" s="20">
        <f>'Res OLS model'!$I$11*I111</f>
        <v>10636734.682352193</v>
      </c>
      <c r="R111" s="20">
        <f t="shared" ca="1" si="7"/>
        <v>18261800.736299749</v>
      </c>
    </row>
    <row r="112" spans="1:18">
      <c r="A112" s="22">
        <v>43160</v>
      </c>
      <c r="B112" s="6">
        <f t="shared" si="6"/>
        <v>2018</v>
      </c>
      <c r="D112" s="6">
        <f t="shared" ca="1" si="9"/>
        <v>451.34</v>
      </c>
      <c r="E112" s="6">
        <f t="shared" ca="1" si="9"/>
        <v>0.88000000000000012</v>
      </c>
      <c r="F112" s="6">
        <f t="shared" si="10"/>
        <v>31</v>
      </c>
      <c r="G112" s="6">
        <f t="shared" si="10"/>
        <v>1</v>
      </c>
      <c r="H112" s="6">
        <f t="shared" si="11"/>
        <v>111</v>
      </c>
      <c r="I112" s="136">
        <f>I100*(1+Employment!$J$14)</f>
        <v>159.96399999999997</v>
      </c>
      <c r="K112" s="20">
        <f>'Res OLS model'!$I$5</f>
        <v>-17166149.3850234</v>
      </c>
      <c r="L112" s="20">
        <f ca="1">'Res OLS model'!$I$6*D112</f>
        <v>2920031.2465560376</v>
      </c>
      <c r="M112" s="20">
        <f ca="1">'Res OLS model'!$I$7*E112</f>
        <v>59972.131121719787</v>
      </c>
      <c r="N112" s="20">
        <f>'Res OLS model'!$I$8*F112</f>
        <v>25663136.827169884</v>
      </c>
      <c r="O112" s="20">
        <f>'Res OLS model'!$I$9*G112</f>
        <v>-1889629.0328907201</v>
      </c>
      <c r="P112" s="20">
        <f>'Res OLS model'!$I$10*H112</f>
        <v>-2278898.9109750339</v>
      </c>
      <c r="Q112" s="20">
        <f>'Res OLS model'!$I$11*I112</f>
        <v>10556356.334626609</v>
      </c>
      <c r="R112" s="20">
        <f t="shared" ca="1" si="7"/>
        <v>17864819.210585095</v>
      </c>
    </row>
    <row r="113" spans="1:18">
      <c r="A113" s="22">
        <v>43191</v>
      </c>
      <c r="B113" s="6">
        <f t="shared" si="6"/>
        <v>2018</v>
      </c>
      <c r="D113" s="6">
        <f t="shared" ca="1" si="9"/>
        <v>259.5499999999999</v>
      </c>
      <c r="E113" s="6">
        <f t="shared" ca="1" si="9"/>
        <v>2.4500000000000002</v>
      </c>
      <c r="F113" s="6">
        <f t="shared" si="10"/>
        <v>30</v>
      </c>
      <c r="G113" s="6">
        <f t="shared" si="10"/>
        <v>1</v>
      </c>
      <c r="H113" s="6">
        <f t="shared" si="11"/>
        <v>112</v>
      </c>
      <c r="I113" s="136">
        <f>I101*(1+Employment!$J$14)</f>
        <v>159.15199999999999</v>
      </c>
      <c r="K113" s="20">
        <f>'Res OLS model'!$I$5</f>
        <v>-17166149.3850234</v>
      </c>
      <c r="L113" s="20">
        <f ca="1">'Res OLS model'!$I$6*D113</f>
        <v>1679208.8227137397</v>
      </c>
      <c r="M113" s="20">
        <f ca="1">'Res OLS model'!$I$7*E113</f>
        <v>166967.86505478804</v>
      </c>
      <c r="N113" s="20">
        <f>'Res OLS model'!$I$8*F113</f>
        <v>24835293.703712791</v>
      </c>
      <c r="O113" s="20">
        <f>'Res OLS model'!$I$9*G113</f>
        <v>-1889629.0328907201</v>
      </c>
      <c r="P113" s="20">
        <f>'Res OLS model'!$I$10*H113</f>
        <v>-2299429.5317946291</v>
      </c>
      <c r="Q113" s="20">
        <f>'Res OLS model'!$I$11*I113</f>
        <v>10502770.76947622</v>
      </c>
      <c r="R113" s="20">
        <f t="shared" ca="1" si="7"/>
        <v>15829033.211248789</v>
      </c>
    </row>
    <row r="114" spans="1:18">
      <c r="A114" s="22">
        <v>43221</v>
      </c>
      <c r="B114" s="6">
        <f t="shared" si="6"/>
        <v>2018</v>
      </c>
      <c r="D114" s="6">
        <f t="shared" ref="D114:E121" ca="1" si="12">D102</f>
        <v>88.880000000000024</v>
      </c>
      <c r="E114" s="6">
        <f t="shared" ca="1" si="12"/>
        <v>43.79999999999999</v>
      </c>
      <c r="F114" s="6">
        <f t="shared" si="10"/>
        <v>31</v>
      </c>
      <c r="G114" s="6">
        <f t="shared" si="10"/>
        <v>1</v>
      </c>
      <c r="H114" s="6">
        <f t="shared" si="11"/>
        <v>113</v>
      </c>
      <c r="I114" s="136">
        <f>I102*(1+Employment!$J$14)</f>
        <v>160.06549999999999</v>
      </c>
      <c r="K114" s="20">
        <f>'Res OLS model'!$I$5</f>
        <v>-17166149.3850234</v>
      </c>
      <c r="L114" s="20">
        <f ca="1">'Res OLS model'!$I$6*D114</f>
        <v>575026.31540280208</v>
      </c>
      <c r="M114" s="20">
        <f ca="1">'Res OLS model'!$I$7*E114</f>
        <v>2984976.5262855976</v>
      </c>
      <c r="N114" s="20">
        <f>'Res OLS model'!$I$8*F114</f>
        <v>25663136.827169884</v>
      </c>
      <c r="O114" s="20">
        <f>'Res OLS model'!$I$9*G114</f>
        <v>-1889629.0328907201</v>
      </c>
      <c r="P114" s="20">
        <f>'Res OLS model'!$I$10*H114</f>
        <v>-2319960.1526142238</v>
      </c>
      <c r="Q114" s="20">
        <f>'Res OLS model'!$I$11*I114</f>
        <v>10563054.530270409</v>
      </c>
      <c r="R114" s="20">
        <f t="shared" ca="1" si="7"/>
        <v>18410455.628600348</v>
      </c>
    </row>
    <row r="115" spans="1:18">
      <c r="A115" s="22">
        <v>43252</v>
      </c>
      <c r="B115" s="6">
        <f t="shared" si="6"/>
        <v>2018</v>
      </c>
      <c r="D115" s="6">
        <f t="shared" ca="1" si="12"/>
        <v>9.77</v>
      </c>
      <c r="E115" s="6">
        <f t="shared" ca="1" si="12"/>
        <v>117.38999999999999</v>
      </c>
      <c r="F115" s="6">
        <f t="shared" si="10"/>
        <v>30</v>
      </c>
      <c r="G115" s="6">
        <f t="shared" si="10"/>
        <v>0</v>
      </c>
      <c r="H115" s="6">
        <f t="shared" si="11"/>
        <v>114</v>
      </c>
      <c r="I115" s="136">
        <f>I103*(1+Employment!$J$14)</f>
        <v>163.61799999999997</v>
      </c>
      <c r="K115" s="20">
        <f>'Res OLS model'!$I$5</f>
        <v>-17166149.3850234</v>
      </c>
      <c r="L115" s="20">
        <f ca="1">'Res OLS model'!$I$6*D115</f>
        <v>63208.900781788645</v>
      </c>
      <c r="M115" s="20">
        <f ca="1">'Res OLS model'!$I$7*E115</f>
        <v>8000145.9913394144</v>
      </c>
      <c r="N115" s="20">
        <f>'Res OLS model'!$I$8*F115</f>
        <v>24835293.703712791</v>
      </c>
      <c r="O115" s="20">
        <f>'Res OLS model'!$I$9*G115</f>
        <v>0</v>
      </c>
      <c r="P115" s="20">
        <f>'Res OLS model'!$I$10*H115</f>
        <v>-2340490.7734338185</v>
      </c>
      <c r="Q115" s="20">
        <f>'Res OLS model'!$I$11*I115</f>
        <v>10797491.377803359</v>
      </c>
      <c r="R115" s="20">
        <f t="shared" ca="1" si="7"/>
        <v>24189499.815180134</v>
      </c>
    </row>
    <row r="116" spans="1:18">
      <c r="A116" s="22">
        <v>43282</v>
      </c>
      <c r="B116" s="6">
        <f t="shared" si="6"/>
        <v>2018</v>
      </c>
      <c r="D116" s="6">
        <f t="shared" ca="1" si="12"/>
        <v>0.58000000000000007</v>
      </c>
      <c r="E116" s="6">
        <f t="shared" ca="1" si="12"/>
        <v>179.70999999999998</v>
      </c>
      <c r="F116" s="6">
        <f t="shared" si="10"/>
        <v>31</v>
      </c>
      <c r="G116" s="6">
        <f t="shared" si="10"/>
        <v>0</v>
      </c>
      <c r="H116" s="6">
        <f t="shared" si="11"/>
        <v>115</v>
      </c>
      <c r="I116" s="136">
        <f>I104*(1+Employment!$J$14)</f>
        <v>165.64799999999997</v>
      </c>
      <c r="K116" s="20">
        <f>'Res OLS model'!$I$5</f>
        <v>-17166149.3850234</v>
      </c>
      <c r="L116" s="20">
        <f ca="1">'Res OLS model'!$I$6*D116</f>
        <v>3752.421950198303</v>
      </c>
      <c r="M116" s="20">
        <f ca="1">'Res OLS model'!$I$7*E116</f>
        <v>12247263.277141206</v>
      </c>
      <c r="N116" s="20">
        <f>'Res OLS model'!$I$8*F116</f>
        <v>25663136.827169884</v>
      </c>
      <c r="O116" s="20">
        <f>'Res OLS model'!$I$9*G116</f>
        <v>0</v>
      </c>
      <c r="P116" s="20">
        <f>'Res OLS model'!$I$10*H116</f>
        <v>-2361021.3942534137</v>
      </c>
      <c r="Q116" s="20">
        <f>'Res OLS model'!$I$11*I116</f>
        <v>10931455.29067933</v>
      </c>
      <c r="R116" s="20">
        <f t="shared" ca="1" si="7"/>
        <v>29318437.037663803</v>
      </c>
    </row>
    <row r="117" spans="1:18">
      <c r="A117" s="22">
        <v>43313</v>
      </c>
      <c r="B117" s="6">
        <f t="shared" si="6"/>
        <v>2018</v>
      </c>
      <c r="D117" s="6">
        <f t="shared" ca="1" si="12"/>
        <v>1.7099999999999997</v>
      </c>
      <c r="E117" s="6">
        <f t="shared" ca="1" si="12"/>
        <v>158.1</v>
      </c>
      <c r="F117" s="6">
        <f t="shared" si="10"/>
        <v>31</v>
      </c>
      <c r="G117" s="6">
        <f t="shared" si="10"/>
        <v>0</v>
      </c>
      <c r="H117" s="6">
        <f t="shared" si="11"/>
        <v>116</v>
      </c>
      <c r="I117" s="136">
        <f>I105*(1+Employment!$J$14)</f>
        <v>170.01249999999999</v>
      </c>
      <c r="K117" s="20">
        <f>'Res OLS model'!$I$5</f>
        <v>-17166149.3850234</v>
      </c>
      <c r="L117" s="20">
        <f ca="1">'Res OLS model'!$I$6*D117</f>
        <v>11063.175060067408</v>
      </c>
      <c r="M117" s="20">
        <f ca="1">'Res OLS model'!$I$7*E117</f>
        <v>10774538.557208974</v>
      </c>
      <c r="N117" s="20">
        <f>'Res OLS model'!$I$8*F117</f>
        <v>25663136.827169884</v>
      </c>
      <c r="O117" s="20">
        <f>'Res OLS model'!$I$9*G117</f>
        <v>0</v>
      </c>
      <c r="P117" s="20">
        <f>'Res OLS model'!$I$10*H117</f>
        <v>-2381552.0150730084</v>
      </c>
      <c r="Q117" s="20">
        <f>'Res OLS model'!$I$11*I117</f>
        <v>11219477.703362672</v>
      </c>
      <c r="R117" s="20">
        <f t="shared" ca="1" si="7"/>
        <v>28120514.862705186</v>
      </c>
    </row>
    <row r="118" spans="1:18">
      <c r="A118" s="22">
        <v>43344</v>
      </c>
      <c r="B118" s="6">
        <f t="shared" si="6"/>
        <v>2018</v>
      </c>
      <c r="D118" s="6">
        <f t="shared" ca="1" si="12"/>
        <v>32.68</v>
      </c>
      <c r="E118" s="6">
        <f t="shared" ca="1" si="12"/>
        <v>67.34</v>
      </c>
      <c r="F118" s="6">
        <f t="shared" si="10"/>
        <v>30</v>
      </c>
      <c r="G118" s="6">
        <f t="shared" si="10"/>
        <v>0</v>
      </c>
      <c r="H118" s="6">
        <f t="shared" si="11"/>
        <v>117</v>
      </c>
      <c r="I118" s="136">
        <f>I106*(1+Employment!$J$14)</f>
        <v>170.62149999999997</v>
      </c>
      <c r="K118" s="20">
        <f>'Res OLS model'!$I$5</f>
        <v>-17166149.3850234</v>
      </c>
      <c r="L118" s="20">
        <f ca="1">'Res OLS model'!$I$6*D118</f>
        <v>211429.56781462161</v>
      </c>
      <c r="M118" s="20">
        <f ca="1">'Res OLS model'!$I$7*E118</f>
        <v>4589231.0337916026</v>
      </c>
      <c r="N118" s="20">
        <f>'Res OLS model'!$I$8*F118</f>
        <v>24835293.703712791</v>
      </c>
      <c r="O118" s="20">
        <f>'Res OLS model'!$I$9*G118</f>
        <v>0</v>
      </c>
      <c r="P118" s="20">
        <f>'Res OLS model'!$I$10*H118</f>
        <v>-2402082.6358926035</v>
      </c>
      <c r="Q118" s="20">
        <f>'Res OLS model'!$I$11*I118</f>
        <v>11259666.877225462</v>
      </c>
      <c r="R118" s="20">
        <f t="shared" ca="1" si="7"/>
        <v>21327389.161628474</v>
      </c>
    </row>
    <row r="119" spans="1:18">
      <c r="A119" s="22">
        <v>43374</v>
      </c>
      <c r="B119" s="6">
        <f t="shared" si="6"/>
        <v>2018</v>
      </c>
      <c r="D119" s="6">
        <f t="shared" ca="1" si="12"/>
        <v>176.42</v>
      </c>
      <c r="E119" s="6">
        <f t="shared" ca="1" si="12"/>
        <v>10.18</v>
      </c>
      <c r="F119" s="6">
        <f t="shared" si="10"/>
        <v>31</v>
      </c>
      <c r="G119" s="6">
        <f t="shared" si="10"/>
        <v>1</v>
      </c>
      <c r="H119" s="6">
        <f t="shared" si="11"/>
        <v>118</v>
      </c>
      <c r="I119" s="136">
        <f>I107*(1+Employment!$J$14)</f>
        <v>167.57649999999998</v>
      </c>
      <c r="K119" s="20">
        <f>'Res OLS model'!$I$5</f>
        <v>-17166149.3850234</v>
      </c>
      <c r="L119" s="20">
        <f ca="1">'Res OLS model'!$I$6*D119</f>
        <v>1141383.2421620423</v>
      </c>
      <c r="M119" s="20">
        <f ca="1">'Res OLS model'!$I$7*E119</f>
        <v>693768.5168398947</v>
      </c>
      <c r="N119" s="20">
        <f>'Res OLS model'!$I$8*F119</f>
        <v>25663136.827169884</v>
      </c>
      <c r="O119" s="20">
        <f>'Res OLS model'!$I$9*G119</f>
        <v>-1889629.0328907201</v>
      </c>
      <c r="P119" s="20">
        <f>'Res OLS model'!$I$10*H119</f>
        <v>-2422613.2567121983</v>
      </c>
      <c r="Q119" s="20">
        <f>'Res OLS model'!$I$11*I119</f>
        <v>11058721.007911505</v>
      </c>
      <c r="R119" s="20">
        <f t="shared" ca="1" si="7"/>
        <v>17078617.919457007</v>
      </c>
    </row>
    <row r="120" spans="1:18">
      <c r="A120" s="22">
        <v>43405</v>
      </c>
      <c r="B120" s="6">
        <f t="shared" si="6"/>
        <v>2018</v>
      </c>
      <c r="D120" s="6">
        <f t="shared" ca="1" si="12"/>
        <v>364.2299999999999</v>
      </c>
      <c r="E120" s="6">
        <f t="shared" ca="1" si="12"/>
        <v>0.05</v>
      </c>
      <c r="F120" s="6">
        <f t="shared" si="10"/>
        <v>30</v>
      </c>
      <c r="G120" s="6">
        <f t="shared" si="10"/>
        <v>1</v>
      </c>
      <c r="H120" s="6">
        <f t="shared" si="11"/>
        <v>119</v>
      </c>
      <c r="I120" s="136">
        <f>I108*(1+Employment!$J$14)</f>
        <v>167.17049999999998</v>
      </c>
      <c r="K120" s="20">
        <f>'Res OLS model'!$I$5</f>
        <v>-17166149.3850234</v>
      </c>
      <c r="L120" s="20">
        <f ca="1">'Res OLS model'!$I$6*D120</f>
        <v>2356456.2877943576</v>
      </c>
      <c r="M120" s="20">
        <f ca="1">'Res OLS model'!$I$7*E120</f>
        <v>3407.5074500977153</v>
      </c>
      <c r="N120" s="20">
        <f>'Res OLS model'!$I$8*F120</f>
        <v>24835293.703712791</v>
      </c>
      <c r="O120" s="20">
        <f>'Res OLS model'!$I$9*G120</f>
        <v>-1889629.0328907201</v>
      </c>
      <c r="P120" s="20">
        <f>'Res OLS model'!$I$10*H120</f>
        <v>-2443143.877531793</v>
      </c>
      <c r="Q120" s="20">
        <f>'Res OLS model'!$I$11*I120</f>
        <v>11031928.22533631</v>
      </c>
      <c r="R120" s="20">
        <f t="shared" ca="1" si="7"/>
        <v>16728163.428847643</v>
      </c>
    </row>
    <row r="121" spans="1:18">
      <c r="A121" s="22">
        <v>43435</v>
      </c>
      <c r="B121" s="6">
        <f t="shared" si="6"/>
        <v>2018</v>
      </c>
      <c r="D121" s="6">
        <f t="shared" ca="1" si="12"/>
        <v>552.31000000000006</v>
      </c>
      <c r="E121" s="6">
        <f t="shared" ca="1" si="12"/>
        <v>0</v>
      </c>
      <c r="F121" s="6">
        <f t="shared" si="10"/>
        <v>31</v>
      </c>
      <c r="G121" s="6">
        <f t="shared" si="10"/>
        <v>0</v>
      </c>
      <c r="H121" s="6">
        <f t="shared" si="11"/>
        <v>120</v>
      </c>
      <c r="I121" s="136">
        <f>I109*(1+Employment!$J$14)</f>
        <v>166.7645</v>
      </c>
      <c r="K121" s="20">
        <f>'Res OLS model'!$I$5</f>
        <v>-17166149.3850234</v>
      </c>
      <c r="L121" s="20">
        <f ca="1">'Res OLS model'!$I$6*D121</f>
        <v>3573276.150541422</v>
      </c>
      <c r="M121" s="20">
        <f ca="1">'Res OLS model'!$I$7*E121</f>
        <v>0</v>
      </c>
      <c r="N121" s="20">
        <f>'Res OLS model'!$I$8*F121</f>
        <v>25663136.827169884</v>
      </c>
      <c r="O121" s="20">
        <f>'Res OLS model'!$I$9*G121</f>
        <v>0</v>
      </c>
      <c r="P121" s="20">
        <f>'Res OLS model'!$I$10*H121</f>
        <v>-2463674.4983513881</v>
      </c>
      <c r="Q121" s="20">
        <f>'Res OLS model'!$I$11*I121</f>
        <v>11005135.442761118</v>
      </c>
      <c r="R121" s="20">
        <f t="shared" ca="1" si="7"/>
        <v>20611724.537097633</v>
      </c>
    </row>
  </sheetData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T121"/>
  <sheetViews>
    <sheetView topLeftCell="A2" workbookViewId="0">
      <selection activeCell="T2" sqref="T2"/>
    </sheetView>
  </sheetViews>
  <sheetFormatPr defaultColWidth="8.85546875" defaultRowHeight="12.75"/>
  <cols>
    <col min="1" max="1" width="10.28515625" style="6" bestFit="1" customWidth="1"/>
    <col min="2" max="2" width="5" style="6" bestFit="1" customWidth="1"/>
    <col min="3" max="3" width="12.85546875" style="6" bestFit="1" customWidth="1"/>
    <col min="4" max="5" width="7" style="6" bestFit="1" customWidth="1"/>
    <col min="6" max="6" width="11.7109375" style="6" bestFit="1" customWidth="1"/>
    <col min="7" max="7" width="10.7109375" style="6" bestFit="1" customWidth="1"/>
    <col min="8" max="8" width="7.7109375" style="6" bestFit="1" customWidth="1"/>
    <col min="9" max="9" width="5.85546875" style="6" bestFit="1" customWidth="1"/>
    <col min="10" max="10" width="8.85546875" style="6" bestFit="1" customWidth="1"/>
    <col min="11" max="11" width="8.85546875" style="6"/>
    <col min="12" max="12" width="11.140625" style="6" customWidth="1"/>
    <col min="13" max="13" width="9.28515625" style="6" customWidth="1"/>
    <col min="14" max="14" width="10" style="6" bestFit="1" customWidth="1"/>
    <col min="15" max="15" width="12.7109375" style="6" bestFit="1" customWidth="1"/>
    <col min="16" max="16" width="12.42578125" style="6" bestFit="1" customWidth="1"/>
    <col min="17" max="17" width="9.28515625" style="6" bestFit="1" customWidth="1"/>
    <col min="18" max="18" width="8.5703125" style="6" bestFit="1" customWidth="1"/>
    <col min="19" max="19" width="10.42578125" style="6" bestFit="1" customWidth="1"/>
    <col min="20" max="20" width="15.7109375" style="6" bestFit="1" customWidth="1"/>
    <col min="21" max="16384" width="8.85546875" style="6"/>
  </cols>
  <sheetData>
    <row r="1" spans="1:20" ht="15">
      <c r="A1" s="6" t="str">
        <f>'Monthly Data'!A1</f>
        <v>Date</v>
      </c>
      <c r="B1" s="6" t="s">
        <v>83</v>
      </c>
      <c r="C1" s="20" t="str">
        <f>'Monthly Data'!K1</f>
        <v>Gross_GSlt50</v>
      </c>
      <c r="D1" s="6" t="str">
        <f>'Monthly Data'!AH1</f>
        <v>HDD</v>
      </c>
      <c r="E1" s="6" t="str">
        <f>'Monthly Data'!AI1</f>
        <v>CDD</v>
      </c>
      <c r="F1" s="6" t="str">
        <f>'Monthly Data'!AK1</f>
        <v>Windsor_FTE</v>
      </c>
      <c r="G1" s="6" t="str">
        <f>'Monthly Data'!AM1</f>
        <v>Month_Days</v>
      </c>
      <c r="H1" s="6" t="str">
        <f>'Monthly Data'!BD1</f>
        <v>Shoulder</v>
      </c>
      <c r="I1" s="6" t="str">
        <f>'Monthly Data'!AR1</f>
        <v>March</v>
      </c>
      <c r="J1" s="6" t="str">
        <f>'Monthly Data'!BA1</f>
        <v>December</v>
      </c>
      <c r="L1" s="20" t="s">
        <v>67</v>
      </c>
      <c r="M1" s="20" t="str">
        <f t="shared" ref="M1:S1" si="0">D1</f>
        <v>HDD</v>
      </c>
      <c r="N1" s="20" t="str">
        <f t="shared" si="0"/>
        <v>CDD</v>
      </c>
      <c r="O1" s="20" t="str">
        <f t="shared" si="0"/>
        <v>Windsor_FTE</v>
      </c>
      <c r="P1" s="20" t="str">
        <f t="shared" si="0"/>
        <v>Month_Days</v>
      </c>
      <c r="Q1" s="20" t="str">
        <f t="shared" si="0"/>
        <v>Shoulder</v>
      </c>
      <c r="R1" s="20" t="str">
        <f t="shared" si="0"/>
        <v>March</v>
      </c>
      <c r="S1" s="20" t="str">
        <f t="shared" si="0"/>
        <v>December</v>
      </c>
      <c r="T1" s="20" t="s">
        <v>96</v>
      </c>
    </row>
    <row r="2" spans="1:20" ht="15">
      <c r="A2" s="22">
        <f>'Monthly Data'!A2</f>
        <v>39814</v>
      </c>
      <c r="B2" s="6">
        <f>YEAR(A2)</f>
        <v>2009</v>
      </c>
      <c r="C2" s="20">
        <f ca="1">'Monthly Data'!K2</f>
        <v>6180599.9418864548</v>
      </c>
      <c r="D2" s="6">
        <f ca="1">Weather!G69</f>
        <v>661.18999999999994</v>
      </c>
      <c r="E2" s="6">
        <f ca="1">Weather!H69</f>
        <v>0</v>
      </c>
      <c r="F2" s="6">
        <f>'Monthly Data'!AK2</f>
        <v>151.5</v>
      </c>
      <c r="G2" s="6">
        <f>'Monthly Data'!AM2</f>
        <v>31</v>
      </c>
      <c r="H2" s="6">
        <f>'Monthly Data'!BD2</f>
        <v>0</v>
      </c>
      <c r="I2" s="6">
        <f>'Monthly Data'!AR2</f>
        <v>0</v>
      </c>
      <c r="J2" s="6">
        <f>'Monthly Data'!BA2</f>
        <v>0</v>
      </c>
      <c r="L2" s="20">
        <f>'GS &lt; 50 OLS model'!$I$5</f>
        <v>-1348055.69881657</v>
      </c>
      <c r="M2" s="20">
        <f ca="1">'GS &lt; 50 OLS model'!$I$6*D2</f>
        <v>682359.09264301334</v>
      </c>
      <c r="N2" s="20">
        <f ca="1">'GS &lt; 50 OLS model'!$I$7*E2</f>
        <v>0</v>
      </c>
      <c r="O2" s="20">
        <f>'GS &lt; 50 OLS model'!$I$8*F2</f>
        <v>2016363.2439270341</v>
      </c>
      <c r="P2" s="20">
        <f>'GS &lt; 50 OLS model'!$I$9*G2</f>
        <v>4609129.5106277745</v>
      </c>
      <c r="Q2" s="20">
        <f>'GS &lt; 50 OLS model'!$I$10*H2</f>
        <v>0</v>
      </c>
      <c r="R2" s="20">
        <f>'GS &lt; 50 OLS model'!$I$11*I2</f>
        <v>0</v>
      </c>
      <c r="S2" s="20">
        <f>'GS &lt; 50 OLS model'!$I$12*J2</f>
        <v>0</v>
      </c>
      <c r="T2" s="20">
        <f ca="1">SUM(L2:S2)</f>
        <v>5959796.1483812518</v>
      </c>
    </row>
    <row r="3" spans="1:20" ht="15">
      <c r="A3" s="22">
        <f>'Monthly Data'!A3</f>
        <v>39845</v>
      </c>
      <c r="B3" s="6">
        <f t="shared" ref="B3:B66" si="1">YEAR(A3)</f>
        <v>2009</v>
      </c>
      <c r="C3" s="20">
        <f ca="1">'Monthly Data'!K3</f>
        <v>5531247.4825260816</v>
      </c>
      <c r="D3" s="6">
        <f ca="1">Weather!G70</f>
        <v>598.16999999999985</v>
      </c>
      <c r="E3" s="6">
        <f ca="1">Weather!H70</f>
        <v>0</v>
      </c>
      <c r="F3" s="6">
        <f>'Monthly Data'!AK3</f>
        <v>147.5</v>
      </c>
      <c r="G3" s="6">
        <f>'Monthly Data'!AM3</f>
        <v>28</v>
      </c>
      <c r="H3" s="6">
        <f>'Monthly Data'!BD3</f>
        <v>0</v>
      </c>
      <c r="I3" s="6">
        <f>'Monthly Data'!AR3</f>
        <v>0</v>
      </c>
      <c r="J3" s="6">
        <f>'Monthly Data'!BA3</f>
        <v>0</v>
      </c>
      <c r="L3" s="20">
        <f>'GS &lt; 50 OLS model'!$I$5</f>
        <v>-1348055.69881657</v>
      </c>
      <c r="M3" s="20">
        <f ca="1">'GS &lt; 50 OLS model'!$I$6*D3</f>
        <v>617321.40299501084</v>
      </c>
      <c r="N3" s="20">
        <f ca="1">'GS &lt; 50 OLS model'!$I$7*E3</f>
        <v>0</v>
      </c>
      <c r="O3" s="20">
        <f>'GS &lt; 50 OLS model'!$I$8*F3</f>
        <v>1963125.9305560233</v>
      </c>
      <c r="P3" s="20">
        <f>'GS &lt; 50 OLS model'!$I$9*G3</f>
        <v>4163084.7192767002</v>
      </c>
      <c r="Q3" s="20">
        <f>'GS &lt; 50 OLS model'!$I$10*H3</f>
        <v>0</v>
      </c>
      <c r="R3" s="20">
        <f>'GS &lt; 50 OLS model'!$I$11*I3</f>
        <v>0</v>
      </c>
      <c r="S3" s="20">
        <f>'GS &lt; 50 OLS model'!$I$12*J3</f>
        <v>0</v>
      </c>
      <c r="T3" s="20">
        <f t="shared" ref="T3:T33" ca="1" si="2">SUM(L3:S3)</f>
        <v>5395476.354011164</v>
      </c>
    </row>
    <row r="4" spans="1:20" ht="15">
      <c r="A4" s="22">
        <f>'Monthly Data'!A4</f>
        <v>39873</v>
      </c>
      <c r="B4" s="6">
        <f t="shared" si="1"/>
        <v>2009</v>
      </c>
      <c r="C4" s="20">
        <f ca="1">'Monthly Data'!K4</f>
        <v>5678036.4363599839</v>
      </c>
      <c r="D4" s="6">
        <f ca="1">Weather!G71</f>
        <v>451.34</v>
      </c>
      <c r="E4" s="6">
        <f ca="1">Weather!H71</f>
        <v>0.88000000000000012</v>
      </c>
      <c r="F4" s="6">
        <f>'Monthly Data'!AK4</f>
        <v>142.9</v>
      </c>
      <c r="G4" s="6">
        <f>'Monthly Data'!AM4</f>
        <v>31</v>
      </c>
      <c r="H4" s="6">
        <f>'Monthly Data'!BD4</f>
        <v>1</v>
      </c>
      <c r="I4" s="6">
        <f>'Monthly Data'!AR4</f>
        <v>1</v>
      </c>
      <c r="J4" s="6">
        <f>'Monthly Data'!BA4</f>
        <v>0</v>
      </c>
      <c r="L4" s="20">
        <f>'GS &lt; 50 OLS model'!$I$5</f>
        <v>-1348055.69881657</v>
      </c>
      <c r="M4" s="20">
        <f ca="1">'GS &lt; 50 OLS model'!$I$6*D4</f>
        <v>465790.39742509357</v>
      </c>
      <c r="N4" s="20">
        <f ca="1">'GS &lt; 50 OLS model'!$I$7*E4</f>
        <v>6751.0830153711922</v>
      </c>
      <c r="O4" s="20">
        <f>'GS &lt; 50 OLS model'!$I$8*F4</f>
        <v>1901903.0201793609</v>
      </c>
      <c r="P4" s="20">
        <f>'GS &lt; 50 OLS model'!$I$9*G4</f>
        <v>4609129.5106277745</v>
      </c>
      <c r="Q4" s="20">
        <f>'GS &lt; 50 OLS model'!$I$10*H4</f>
        <v>-267670.55098135502</v>
      </c>
      <c r="R4" s="20">
        <f>'GS &lt; 50 OLS model'!$I$11*I4</f>
        <v>186511.19475200301</v>
      </c>
      <c r="S4" s="20">
        <f>'GS &lt; 50 OLS model'!$I$12*J4</f>
        <v>0</v>
      </c>
      <c r="T4" s="20">
        <f t="shared" ca="1" si="2"/>
        <v>5554358.9562016781</v>
      </c>
    </row>
    <row r="5" spans="1:20" ht="15">
      <c r="A5" s="22">
        <f>'Monthly Data'!A5</f>
        <v>39904</v>
      </c>
      <c r="B5" s="6">
        <f t="shared" si="1"/>
        <v>2009</v>
      </c>
      <c r="C5" s="20">
        <f ca="1">'Monthly Data'!K5</f>
        <v>5165756.2748493869</v>
      </c>
      <c r="D5" s="6">
        <f ca="1">Weather!G72</f>
        <v>259.5499999999999</v>
      </c>
      <c r="E5" s="6">
        <f ca="1">Weather!H72</f>
        <v>2.4500000000000002</v>
      </c>
      <c r="F5" s="6">
        <f>'Monthly Data'!AK5</f>
        <v>144.80000000000001</v>
      </c>
      <c r="G5" s="6">
        <f>'Monthly Data'!AM5</f>
        <v>30</v>
      </c>
      <c r="H5" s="6">
        <f>'Monthly Data'!BD5</f>
        <v>1</v>
      </c>
      <c r="I5" s="6">
        <f>'Monthly Data'!AR5</f>
        <v>0</v>
      </c>
      <c r="J5" s="6">
        <f>'Monthly Data'!BA5</f>
        <v>0</v>
      </c>
      <c r="L5" s="20">
        <f>'GS &lt; 50 OLS model'!$I$5</f>
        <v>-1348055.69881657</v>
      </c>
      <c r="M5" s="20">
        <f ca="1">'GS &lt; 50 OLS model'!$I$6*D5</f>
        <v>267859.9230107746</v>
      </c>
      <c r="N5" s="20">
        <f ca="1">'GS &lt; 50 OLS model'!$I$7*E5</f>
        <v>18795.628849612975</v>
      </c>
      <c r="O5" s="20">
        <f>'GS &lt; 50 OLS model'!$I$8*F5</f>
        <v>1927190.7440305911</v>
      </c>
      <c r="P5" s="20">
        <f>'GS &lt; 50 OLS model'!$I$9*G5</f>
        <v>4460447.91351075</v>
      </c>
      <c r="Q5" s="20">
        <f>'GS &lt; 50 OLS model'!$I$10*H5</f>
        <v>-267670.55098135502</v>
      </c>
      <c r="R5" s="20">
        <f>'GS &lt; 50 OLS model'!$I$11*I5</f>
        <v>0</v>
      </c>
      <c r="S5" s="20">
        <f>'GS &lt; 50 OLS model'!$I$12*J5</f>
        <v>0</v>
      </c>
      <c r="T5" s="20">
        <f t="shared" ca="1" si="2"/>
        <v>5058567.9596038042</v>
      </c>
    </row>
    <row r="6" spans="1:20" ht="15">
      <c r="A6" s="22">
        <f>'Monthly Data'!A6</f>
        <v>39934</v>
      </c>
      <c r="B6" s="6">
        <f t="shared" si="1"/>
        <v>2009</v>
      </c>
      <c r="C6" s="20">
        <f ca="1">'Monthly Data'!K6</f>
        <v>5358760.0193285467</v>
      </c>
      <c r="D6" s="6">
        <f ca="1">Weather!G73</f>
        <v>88.880000000000024</v>
      </c>
      <c r="E6" s="6">
        <f ca="1">Weather!H73</f>
        <v>43.79999999999999</v>
      </c>
      <c r="F6" s="6">
        <f>'Monthly Data'!AK6</f>
        <v>145</v>
      </c>
      <c r="G6" s="6">
        <f>'Monthly Data'!AM6</f>
        <v>31</v>
      </c>
      <c r="H6" s="6">
        <f>'Monthly Data'!BD6</f>
        <v>1</v>
      </c>
      <c r="I6" s="6">
        <f>'Monthly Data'!AR6</f>
        <v>0</v>
      </c>
      <c r="J6" s="6">
        <f>'Monthly Data'!BA6</f>
        <v>0</v>
      </c>
      <c r="L6" s="20">
        <f>'GS &lt; 50 OLS model'!$I$5</f>
        <v>-1348055.69881657</v>
      </c>
      <c r="M6" s="20">
        <f ca="1">'GS &lt; 50 OLS model'!$I$6*D6</f>
        <v>91725.640366779655</v>
      </c>
      <c r="N6" s="20">
        <f ca="1">'GS &lt; 50 OLS model'!$I$7*E6</f>
        <v>336019.8137196115</v>
      </c>
      <c r="O6" s="20">
        <f>'GS &lt; 50 OLS model'!$I$8*F6</f>
        <v>1929852.6096991415</v>
      </c>
      <c r="P6" s="20">
        <f>'GS &lt; 50 OLS model'!$I$9*G6</f>
        <v>4609129.5106277745</v>
      </c>
      <c r="Q6" s="20">
        <f>'GS &lt; 50 OLS model'!$I$10*H6</f>
        <v>-267670.55098135502</v>
      </c>
      <c r="R6" s="20">
        <f>'GS &lt; 50 OLS model'!$I$11*I6</f>
        <v>0</v>
      </c>
      <c r="S6" s="20">
        <f>'GS &lt; 50 OLS model'!$I$12*J6</f>
        <v>0</v>
      </c>
      <c r="T6" s="20">
        <f t="shared" ca="1" si="2"/>
        <v>5351001.3246153826</v>
      </c>
    </row>
    <row r="7" spans="1:20" ht="15">
      <c r="A7" s="22">
        <f>'Monthly Data'!A7</f>
        <v>39965</v>
      </c>
      <c r="B7" s="6">
        <f t="shared" si="1"/>
        <v>2009</v>
      </c>
      <c r="C7" s="20">
        <f ca="1">'Monthly Data'!K7</f>
        <v>5663326.2574443072</v>
      </c>
      <c r="D7" s="6">
        <f ca="1">Weather!G74</f>
        <v>9.77</v>
      </c>
      <c r="E7" s="6">
        <f ca="1">Weather!H74</f>
        <v>117.38999999999999</v>
      </c>
      <c r="F7" s="6">
        <f>'Monthly Data'!AK7</f>
        <v>145.69999999999999</v>
      </c>
      <c r="G7" s="6">
        <f>'Monthly Data'!AM7</f>
        <v>30</v>
      </c>
      <c r="H7" s="6">
        <f>'Monthly Data'!BD7</f>
        <v>0</v>
      </c>
      <c r="I7" s="6">
        <f>'Monthly Data'!AR7</f>
        <v>0</v>
      </c>
      <c r="J7" s="6">
        <f>'Monthly Data'!BA7</f>
        <v>0</v>
      </c>
      <c r="L7" s="20">
        <f>'GS &lt; 50 OLS model'!$I$5</f>
        <v>-1348055.69881657</v>
      </c>
      <c r="M7" s="20">
        <f ca="1">'GS &lt; 50 OLS model'!$I$6*D7</f>
        <v>10082.802727086375</v>
      </c>
      <c r="N7" s="20">
        <f ca="1">'GS &lt; 50 OLS model'!$I$7*E7</f>
        <v>900579.13088002731</v>
      </c>
      <c r="O7" s="20">
        <f>'GS &lt; 50 OLS model'!$I$8*F7</f>
        <v>1939169.1395390683</v>
      </c>
      <c r="P7" s="20">
        <f>'GS &lt; 50 OLS model'!$I$9*G7</f>
        <v>4460447.91351075</v>
      </c>
      <c r="Q7" s="20">
        <f>'GS &lt; 50 OLS model'!$I$10*H7</f>
        <v>0</v>
      </c>
      <c r="R7" s="20">
        <f>'GS &lt; 50 OLS model'!$I$11*I7</f>
        <v>0</v>
      </c>
      <c r="S7" s="20">
        <f>'GS &lt; 50 OLS model'!$I$12*J7</f>
        <v>0</v>
      </c>
      <c r="T7" s="20">
        <f t="shared" ca="1" si="2"/>
        <v>5962223.2878403626</v>
      </c>
    </row>
    <row r="8" spans="1:20" ht="15">
      <c r="A8" s="22">
        <f>'Monthly Data'!A8</f>
        <v>39995</v>
      </c>
      <c r="B8" s="6">
        <f t="shared" si="1"/>
        <v>2009</v>
      </c>
      <c r="C8" s="20">
        <f ca="1">'Monthly Data'!K8</f>
        <v>6200335.1519909399</v>
      </c>
      <c r="D8" s="6">
        <f ca="1">Weather!G75</f>
        <v>0.58000000000000007</v>
      </c>
      <c r="E8" s="6">
        <f ca="1">Weather!H75</f>
        <v>179.70999999999998</v>
      </c>
      <c r="F8" s="6">
        <f>'Monthly Data'!AK8</f>
        <v>144.30000000000001</v>
      </c>
      <c r="G8" s="6">
        <f>'Monthly Data'!AM8</f>
        <v>31</v>
      </c>
      <c r="H8" s="6">
        <f>'Monthly Data'!BD8</f>
        <v>0</v>
      </c>
      <c r="I8" s="6">
        <f>'Monthly Data'!AR8</f>
        <v>0</v>
      </c>
      <c r="J8" s="6">
        <f>'Monthly Data'!BA8</f>
        <v>0</v>
      </c>
      <c r="L8" s="20">
        <f>'GS &lt; 50 OLS model'!$I$5</f>
        <v>-1348055.69881657</v>
      </c>
      <c r="M8" s="20">
        <f ca="1">'GS &lt; 50 OLS model'!$I$6*D8</f>
        <v>598.56966035927314</v>
      </c>
      <c r="N8" s="20">
        <f ca="1">'GS &lt; 50 OLS model'!$I$7*E8</f>
        <v>1378678.5553322234</v>
      </c>
      <c r="O8" s="20">
        <f>'GS &lt; 50 OLS model'!$I$8*F8</f>
        <v>1920536.0798592148</v>
      </c>
      <c r="P8" s="20">
        <f>'GS &lt; 50 OLS model'!$I$9*G8</f>
        <v>4609129.5106277745</v>
      </c>
      <c r="Q8" s="20">
        <f>'GS &lt; 50 OLS model'!$I$10*H8</f>
        <v>0</v>
      </c>
      <c r="R8" s="20">
        <f>'GS &lt; 50 OLS model'!$I$11*I8</f>
        <v>0</v>
      </c>
      <c r="S8" s="20">
        <f>'GS &lt; 50 OLS model'!$I$12*J8</f>
        <v>0</v>
      </c>
      <c r="T8" s="20">
        <f t="shared" ca="1" si="2"/>
        <v>6560887.0166630019</v>
      </c>
    </row>
    <row r="9" spans="1:20" ht="15">
      <c r="A9" s="22">
        <f>'Monthly Data'!A9</f>
        <v>40026</v>
      </c>
      <c r="B9" s="6">
        <f t="shared" si="1"/>
        <v>2009</v>
      </c>
      <c r="C9" s="20">
        <f ca="1">'Monthly Data'!K9</f>
        <v>6260864.1239666771</v>
      </c>
      <c r="D9" s="6">
        <f ca="1">Weather!G76</f>
        <v>1.7099999999999997</v>
      </c>
      <c r="E9" s="6">
        <f ca="1">Weather!H76</f>
        <v>158.1</v>
      </c>
      <c r="F9" s="6">
        <f>'Monthly Data'!AK9</f>
        <v>145.1</v>
      </c>
      <c r="G9" s="6">
        <f>'Monthly Data'!AM9</f>
        <v>31</v>
      </c>
      <c r="H9" s="6">
        <f>'Monthly Data'!BD9</f>
        <v>0</v>
      </c>
      <c r="I9" s="6">
        <f>'Monthly Data'!AR9</f>
        <v>0</v>
      </c>
      <c r="J9" s="6">
        <f>'Monthly Data'!BA9</f>
        <v>0</v>
      </c>
      <c r="L9" s="20">
        <f>'GS &lt; 50 OLS model'!$I$5</f>
        <v>-1348055.69881657</v>
      </c>
      <c r="M9" s="20">
        <f ca="1">'GS &lt; 50 OLS model'!$I$6*D9</f>
        <v>1764.7484814040633</v>
      </c>
      <c r="N9" s="20">
        <f ca="1">'GS &lt; 50 OLS model'!$I$7*E9</f>
        <v>1212893.4371933923</v>
      </c>
      <c r="O9" s="20">
        <f>'GS &lt; 50 OLS model'!$I$8*F9</f>
        <v>1931183.5425334168</v>
      </c>
      <c r="P9" s="20">
        <f>'GS &lt; 50 OLS model'!$I$9*G9</f>
        <v>4609129.5106277745</v>
      </c>
      <c r="Q9" s="20">
        <f>'GS &lt; 50 OLS model'!$I$10*H9</f>
        <v>0</v>
      </c>
      <c r="R9" s="20">
        <f>'GS &lt; 50 OLS model'!$I$11*I9</f>
        <v>0</v>
      </c>
      <c r="S9" s="20">
        <f>'GS &lt; 50 OLS model'!$I$12*J9</f>
        <v>0</v>
      </c>
      <c r="T9" s="20">
        <f t="shared" ca="1" si="2"/>
        <v>6406915.5400194172</v>
      </c>
    </row>
    <row r="10" spans="1:20" ht="15">
      <c r="A10" s="22">
        <f>'Monthly Data'!A10</f>
        <v>40057</v>
      </c>
      <c r="B10" s="6">
        <f t="shared" si="1"/>
        <v>2009</v>
      </c>
      <c r="C10" s="20">
        <f ca="1">'Monthly Data'!K10</f>
        <v>5590921.3744961126</v>
      </c>
      <c r="D10" s="6">
        <f ca="1">Weather!G77</f>
        <v>32.68</v>
      </c>
      <c r="E10" s="6">
        <f ca="1">Weather!H77</f>
        <v>67.34</v>
      </c>
      <c r="F10" s="6">
        <f>'Monthly Data'!AK10</f>
        <v>146.80000000000001</v>
      </c>
      <c r="G10" s="6">
        <f>'Monthly Data'!AM10</f>
        <v>30</v>
      </c>
      <c r="H10" s="6">
        <f>'Monthly Data'!BD10</f>
        <v>0</v>
      </c>
      <c r="I10" s="6">
        <f>'Monthly Data'!AR10</f>
        <v>0</v>
      </c>
      <c r="J10" s="6">
        <f>'Monthly Data'!BA10</f>
        <v>0</v>
      </c>
      <c r="L10" s="20">
        <f>'GS &lt; 50 OLS model'!$I$5</f>
        <v>-1348055.69881657</v>
      </c>
      <c r="M10" s="20">
        <f ca="1">'GS &lt; 50 OLS model'!$I$6*D10</f>
        <v>33726.304311277658</v>
      </c>
      <c r="N10" s="20">
        <f ca="1">'GS &lt; 50 OLS model'!$I$7*E10</f>
        <v>516611.28438079095</v>
      </c>
      <c r="O10" s="20">
        <f>'GS &lt; 50 OLS model'!$I$8*F10</f>
        <v>1953809.4007160966</v>
      </c>
      <c r="P10" s="20">
        <f>'GS &lt; 50 OLS model'!$I$9*G10</f>
        <v>4460447.91351075</v>
      </c>
      <c r="Q10" s="20">
        <f>'GS &lt; 50 OLS model'!$I$10*H10</f>
        <v>0</v>
      </c>
      <c r="R10" s="20">
        <f>'GS &lt; 50 OLS model'!$I$11*I10</f>
        <v>0</v>
      </c>
      <c r="S10" s="20">
        <f>'GS &lt; 50 OLS model'!$I$12*J10</f>
        <v>0</v>
      </c>
      <c r="T10" s="20">
        <f t="shared" ca="1" si="2"/>
        <v>5616539.2041023448</v>
      </c>
    </row>
    <row r="11" spans="1:20" ht="15">
      <c r="A11" s="22">
        <f>'Monthly Data'!A11</f>
        <v>40087</v>
      </c>
      <c r="B11" s="6">
        <f t="shared" si="1"/>
        <v>2009</v>
      </c>
      <c r="C11" s="20">
        <f ca="1">'Monthly Data'!K11</f>
        <v>5185699.0044068033</v>
      </c>
      <c r="D11" s="6">
        <f ca="1">Weather!G78</f>
        <v>176.42</v>
      </c>
      <c r="E11" s="6">
        <f ca="1">Weather!H78</f>
        <v>10.18</v>
      </c>
      <c r="F11" s="6">
        <f>'Monthly Data'!AK11</f>
        <v>149.19999999999999</v>
      </c>
      <c r="G11" s="6">
        <f>'Monthly Data'!AM11</f>
        <v>31</v>
      </c>
      <c r="H11" s="6">
        <f>'Monthly Data'!BD11</f>
        <v>1</v>
      </c>
      <c r="I11" s="6">
        <f>'Monthly Data'!AR11</f>
        <v>0</v>
      </c>
      <c r="J11" s="6">
        <f>'Monthly Data'!BA11</f>
        <v>0</v>
      </c>
      <c r="L11" s="20">
        <f>'GS &lt; 50 OLS model'!$I$5</f>
        <v>-1348055.69881657</v>
      </c>
      <c r="M11" s="20">
        <f ca="1">'GS &lt; 50 OLS model'!$I$6*D11</f>
        <v>182068.37841479818</v>
      </c>
      <c r="N11" s="20">
        <f ca="1">'GS &lt; 50 OLS model'!$I$7*E11</f>
        <v>78097.755791453092</v>
      </c>
      <c r="O11" s="20">
        <f>'GS &lt; 50 OLS model'!$I$8*F11</f>
        <v>1985751.7887387027</v>
      </c>
      <c r="P11" s="20">
        <f>'GS &lt; 50 OLS model'!$I$9*G11</f>
        <v>4609129.5106277745</v>
      </c>
      <c r="Q11" s="20">
        <f>'GS &lt; 50 OLS model'!$I$10*H11</f>
        <v>-267670.55098135502</v>
      </c>
      <c r="R11" s="20">
        <f>'GS &lt; 50 OLS model'!$I$11*I11</f>
        <v>0</v>
      </c>
      <c r="S11" s="20">
        <f>'GS &lt; 50 OLS model'!$I$12*J11</f>
        <v>0</v>
      </c>
      <c r="T11" s="20">
        <f t="shared" ca="1" si="2"/>
        <v>5239321.1837748038</v>
      </c>
    </row>
    <row r="12" spans="1:20" ht="15">
      <c r="A12" s="22">
        <f>'Monthly Data'!A12</f>
        <v>40118</v>
      </c>
      <c r="B12" s="6">
        <f t="shared" si="1"/>
        <v>2009</v>
      </c>
      <c r="C12" s="20">
        <f ca="1">'Monthly Data'!K12</f>
        <v>5131204.807266444</v>
      </c>
      <c r="D12" s="6">
        <f ca="1">Weather!G79</f>
        <v>364.2299999999999</v>
      </c>
      <c r="E12" s="6">
        <f ca="1">Weather!H79</f>
        <v>0.05</v>
      </c>
      <c r="F12" s="6">
        <f>'Monthly Data'!AK12</f>
        <v>150.1</v>
      </c>
      <c r="G12" s="6">
        <f>'Monthly Data'!AM12</f>
        <v>30</v>
      </c>
      <c r="H12" s="6">
        <f>'Monthly Data'!BD12</f>
        <v>1</v>
      </c>
      <c r="I12" s="6">
        <f>'Monthly Data'!AR12</f>
        <v>0</v>
      </c>
      <c r="J12" s="6">
        <f>'Monthly Data'!BA12</f>
        <v>0</v>
      </c>
      <c r="L12" s="20">
        <f>'GS &lt; 50 OLS model'!$I$5</f>
        <v>-1348055.69881657</v>
      </c>
      <c r="M12" s="20">
        <f ca="1">'GS &lt; 50 OLS model'!$I$6*D12</f>
        <v>375891.42653906549</v>
      </c>
      <c r="N12" s="20">
        <f ca="1">'GS &lt; 50 OLS model'!$I$7*E12</f>
        <v>383.58426223699951</v>
      </c>
      <c r="O12" s="20">
        <f>'GS &lt; 50 OLS model'!$I$8*F12</f>
        <v>1997730.1842471804</v>
      </c>
      <c r="P12" s="20">
        <f>'GS &lt; 50 OLS model'!$I$9*G12</f>
        <v>4460447.91351075</v>
      </c>
      <c r="Q12" s="20">
        <f>'GS &lt; 50 OLS model'!$I$10*H12</f>
        <v>-267670.55098135502</v>
      </c>
      <c r="R12" s="20">
        <f>'GS &lt; 50 OLS model'!$I$11*I12</f>
        <v>0</v>
      </c>
      <c r="S12" s="20">
        <f>'GS &lt; 50 OLS model'!$I$12*J12</f>
        <v>0</v>
      </c>
      <c r="T12" s="20">
        <f t="shared" ca="1" si="2"/>
        <v>5218726.8587613078</v>
      </c>
    </row>
    <row r="13" spans="1:20" ht="15">
      <c r="A13" s="22">
        <f>'Monthly Data'!A13</f>
        <v>40148</v>
      </c>
      <c r="B13" s="6">
        <f t="shared" si="1"/>
        <v>2009</v>
      </c>
      <c r="C13" s="20">
        <f ca="1">'Monthly Data'!K13</f>
        <v>5688515.449409673</v>
      </c>
      <c r="D13" s="6">
        <f ca="1">Weather!G80</f>
        <v>552.31000000000006</v>
      </c>
      <c r="E13" s="6">
        <f ca="1">Weather!H80</f>
        <v>0</v>
      </c>
      <c r="F13" s="6">
        <f>'Monthly Data'!AK13</f>
        <v>150.19999999999999</v>
      </c>
      <c r="G13" s="6">
        <f>'Monthly Data'!AM13</f>
        <v>31</v>
      </c>
      <c r="H13" s="6">
        <f>'Monthly Data'!BD13</f>
        <v>0</v>
      </c>
      <c r="I13" s="6">
        <f>'Monthly Data'!AR13</f>
        <v>0</v>
      </c>
      <c r="J13" s="6">
        <f>'Monthly Data'!BA13</f>
        <v>1</v>
      </c>
      <c r="L13" s="20">
        <f>'GS &lt; 50 OLS model'!$I$5</f>
        <v>-1348055.69881657</v>
      </c>
      <c r="M13" s="20">
        <f ca="1">'GS &lt; 50 OLS model'!$I$6*D13</f>
        <v>569993.11916039675</v>
      </c>
      <c r="N13" s="20">
        <f ca="1">'GS &lt; 50 OLS model'!$I$7*E13</f>
        <v>0</v>
      </c>
      <c r="O13" s="20">
        <f>'GS &lt; 50 OLS model'!$I$8*F13</f>
        <v>1999061.1170814554</v>
      </c>
      <c r="P13" s="20">
        <f>'GS &lt; 50 OLS model'!$I$9*G13</f>
        <v>4609129.5106277745</v>
      </c>
      <c r="Q13" s="20">
        <f>'GS &lt; 50 OLS model'!$I$10*H13</f>
        <v>0</v>
      </c>
      <c r="R13" s="20">
        <f>'GS &lt; 50 OLS model'!$I$11*I13</f>
        <v>0</v>
      </c>
      <c r="S13" s="20">
        <f>'GS &lt; 50 OLS model'!$I$12*J13</f>
        <v>-201228.923645601</v>
      </c>
      <c r="T13" s="20">
        <f t="shared" ca="1" si="2"/>
        <v>5628899.1244074563</v>
      </c>
    </row>
    <row r="14" spans="1:20" ht="15">
      <c r="A14" s="22">
        <f>'Monthly Data'!A14</f>
        <v>40179</v>
      </c>
      <c r="B14" s="6">
        <f t="shared" si="1"/>
        <v>2010</v>
      </c>
      <c r="C14" s="20">
        <f ca="1">'Monthly Data'!K14</f>
        <v>5896501.9011723185</v>
      </c>
      <c r="D14" s="6">
        <f t="shared" ref="D14:E29" ca="1" si="3">D2</f>
        <v>661.18999999999994</v>
      </c>
      <c r="E14" s="6">
        <f t="shared" ca="1" si="3"/>
        <v>0</v>
      </c>
      <c r="F14" s="6">
        <f>'Monthly Data'!AK14</f>
        <v>146.80000000000001</v>
      </c>
      <c r="G14" s="6">
        <f>'Monthly Data'!AM14</f>
        <v>31</v>
      </c>
      <c r="H14" s="6">
        <f>'Monthly Data'!BD14</f>
        <v>0</v>
      </c>
      <c r="I14" s="6">
        <f>'Monthly Data'!AR14</f>
        <v>0</v>
      </c>
      <c r="J14" s="6">
        <f>'Monthly Data'!BA14</f>
        <v>0</v>
      </c>
      <c r="L14" s="20">
        <f>'GS &lt; 50 OLS model'!$I$5</f>
        <v>-1348055.69881657</v>
      </c>
      <c r="M14" s="20">
        <f ca="1">'GS &lt; 50 OLS model'!$I$6*D14</f>
        <v>682359.09264301334</v>
      </c>
      <c r="N14" s="20">
        <f ca="1">'GS &lt; 50 OLS model'!$I$7*E14</f>
        <v>0</v>
      </c>
      <c r="O14" s="20">
        <f>'GS &lt; 50 OLS model'!$I$8*F14</f>
        <v>1953809.4007160966</v>
      </c>
      <c r="P14" s="20">
        <f>'GS &lt; 50 OLS model'!$I$9*G14</f>
        <v>4609129.5106277745</v>
      </c>
      <c r="Q14" s="20">
        <f>'GS &lt; 50 OLS model'!$I$10*H14</f>
        <v>0</v>
      </c>
      <c r="R14" s="20">
        <f>'GS &lt; 50 OLS model'!$I$11*I14</f>
        <v>0</v>
      </c>
      <c r="S14" s="20">
        <f>'GS &lt; 50 OLS model'!$I$12*J14</f>
        <v>0</v>
      </c>
      <c r="T14" s="20">
        <f t="shared" ca="1" si="2"/>
        <v>5897242.3051703144</v>
      </c>
    </row>
    <row r="15" spans="1:20" ht="15">
      <c r="A15" s="22">
        <f>'Monthly Data'!A15</f>
        <v>40210</v>
      </c>
      <c r="B15" s="6">
        <f t="shared" si="1"/>
        <v>2010</v>
      </c>
      <c r="C15" s="20">
        <f ca="1">'Monthly Data'!K15</f>
        <v>5282460.4406652441</v>
      </c>
      <c r="D15" s="6">
        <f t="shared" ca="1" si="3"/>
        <v>598.16999999999985</v>
      </c>
      <c r="E15" s="6">
        <f t="shared" ca="1" si="3"/>
        <v>0</v>
      </c>
      <c r="F15" s="6">
        <f>'Monthly Data'!AK15</f>
        <v>145.5</v>
      </c>
      <c r="G15" s="6">
        <f>'Monthly Data'!AM15</f>
        <v>28</v>
      </c>
      <c r="H15" s="6">
        <f>'Monthly Data'!BD15</f>
        <v>0</v>
      </c>
      <c r="I15" s="6">
        <f>'Monthly Data'!AR15</f>
        <v>0</v>
      </c>
      <c r="J15" s="6">
        <f>'Monthly Data'!BA15</f>
        <v>0</v>
      </c>
      <c r="L15" s="20">
        <f>'GS &lt; 50 OLS model'!$I$5</f>
        <v>-1348055.69881657</v>
      </c>
      <c r="M15" s="20">
        <f ca="1">'GS &lt; 50 OLS model'!$I$6*D15</f>
        <v>617321.40299501084</v>
      </c>
      <c r="N15" s="20">
        <f ca="1">'GS &lt; 50 OLS model'!$I$7*E15</f>
        <v>0</v>
      </c>
      <c r="O15" s="20">
        <f>'GS &lt; 50 OLS model'!$I$8*F15</f>
        <v>1936507.273870518</v>
      </c>
      <c r="P15" s="20">
        <f>'GS &lt; 50 OLS model'!$I$9*G15</f>
        <v>4163084.7192767002</v>
      </c>
      <c r="Q15" s="20">
        <f>'GS &lt; 50 OLS model'!$I$10*H15</f>
        <v>0</v>
      </c>
      <c r="R15" s="20">
        <f>'GS &lt; 50 OLS model'!$I$11*I15</f>
        <v>0</v>
      </c>
      <c r="S15" s="20">
        <f>'GS &lt; 50 OLS model'!$I$12*J15</f>
        <v>0</v>
      </c>
      <c r="T15" s="20">
        <f t="shared" ca="1" si="2"/>
        <v>5368857.697325659</v>
      </c>
    </row>
    <row r="16" spans="1:20" ht="15">
      <c r="A16" s="22">
        <f>'Monthly Data'!A16</f>
        <v>40238</v>
      </c>
      <c r="B16" s="6">
        <f t="shared" si="1"/>
        <v>2010</v>
      </c>
      <c r="C16" s="20">
        <f ca="1">'Monthly Data'!K16</f>
        <v>5367265.7782861628</v>
      </c>
      <c r="D16" s="6">
        <f t="shared" ca="1" si="3"/>
        <v>451.34</v>
      </c>
      <c r="E16" s="6">
        <f t="shared" ca="1" si="3"/>
        <v>0.88000000000000012</v>
      </c>
      <c r="F16" s="6">
        <f>'Monthly Data'!AK16</f>
        <v>143.30000000000001</v>
      </c>
      <c r="G16" s="6">
        <f>'Monthly Data'!AM16</f>
        <v>31</v>
      </c>
      <c r="H16" s="6">
        <f>'Monthly Data'!BD16</f>
        <v>1</v>
      </c>
      <c r="I16" s="6">
        <f>'Monthly Data'!AR16</f>
        <v>1</v>
      </c>
      <c r="J16" s="6">
        <f>'Monthly Data'!BA16</f>
        <v>0</v>
      </c>
      <c r="L16" s="20">
        <f>'GS &lt; 50 OLS model'!$I$5</f>
        <v>-1348055.69881657</v>
      </c>
      <c r="M16" s="20">
        <f ca="1">'GS &lt; 50 OLS model'!$I$6*D16</f>
        <v>465790.39742509357</v>
      </c>
      <c r="N16" s="20">
        <f ca="1">'GS &lt; 50 OLS model'!$I$7*E16</f>
        <v>6751.0830153711922</v>
      </c>
      <c r="O16" s="20">
        <f>'GS &lt; 50 OLS model'!$I$8*F16</f>
        <v>1907226.7515164621</v>
      </c>
      <c r="P16" s="20">
        <f>'GS &lt; 50 OLS model'!$I$9*G16</f>
        <v>4609129.5106277745</v>
      </c>
      <c r="Q16" s="20">
        <f>'GS &lt; 50 OLS model'!$I$10*H16</f>
        <v>-267670.55098135502</v>
      </c>
      <c r="R16" s="20">
        <f>'GS &lt; 50 OLS model'!$I$11*I16</f>
        <v>186511.19475200301</v>
      </c>
      <c r="S16" s="20">
        <f>'GS &lt; 50 OLS model'!$I$12*J16</f>
        <v>0</v>
      </c>
      <c r="T16" s="20">
        <f t="shared" ca="1" si="2"/>
        <v>5559682.6875387793</v>
      </c>
    </row>
    <row r="17" spans="1:20" ht="15">
      <c r="A17" s="22">
        <f>'Monthly Data'!A17</f>
        <v>40269</v>
      </c>
      <c r="B17" s="6">
        <f t="shared" si="1"/>
        <v>2010</v>
      </c>
      <c r="C17" s="20">
        <f ca="1">'Monthly Data'!K17</f>
        <v>5048654.5806024112</v>
      </c>
      <c r="D17" s="6">
        <f t="shared" ca="1" si="3"/>
        <v>259.5499999999999</v>
      </c>
      <c r="E17" s="6">
        <f t="shared" ca="1" si="3"/>
        <v>2.4500000000000002</v>
      </c>
      <c r="F17" s="6">
        <f>'Monthly Data'!AK17</f>
        <v>146.6</v>
      </c>
      <c r="G17" s="6">
        <f>'Monthly Data'!AM17</f>
        <v>30</v>
      </c>
      <c r="H17" s="6">
        <f>'Monthly Data'!BD17</f>
        <v>1</v>
      </c>
      <c r="I17" s="6">
        <f>'Monthly Data'!AR17</f>
        <v>0</v>
      </c>
      <c r="J17" s="6">
        <f>'Monthly Data'!BA17</f>
        <v>0</v>
      </c>
      <c r="L17" s="20">
        <f>'GS &lt; 50 OLS model'!$I$5</f>
        <v>-1348055.69881657</v>
      </c>
      <c r="M17" s="20">
        <f ca="1">'GS &lt; 50 OLS model'!$I$6*D17</f>
        <v>267859.9230107746</v>
      </c>
      <c r="N17" s="20">
        <f ca="1">'GS &lt; 50 OLS model'!$I$7*E17</f>
        <v>18795.628849612975</v>
      </c>
      <c r="O17" s="20">
        <f>'GS &lt; 50 OLS model'!$I$8*F17</f>
        <v>1951147.5350475458</v>
      </c>
      <c r="P17" s="20">
        <f>'GS &lt; 50 OLS model'!$I$9*G17</f>
        <v>4460447.91351075</v>
      </c>
      <c r="Q17" s="20">
        <f>'GS &lt; 50 OLS model'!$I$10*H17</f>
        <v>-267670.55098135502</v>
      </c>
      <c r="R17" s="20">
        <f>'GS &lt; 50 OLS model'!$I$11*I17</f>
        <v>0</v>
      </c>
      <c r="S17" s="20">
        <f>'GS &lt; 50 OLS model'!$I$12*J17</f>
        <v>0</v>
      </c>
      <c r="T17" s="20">
        <f t="shared" ca="1" si="2"/>
        <v>5082524.7506207591</v>
      </c>
    </row>
    <row r="18" spans="1:20" ht="15">
      <c r="A18" s="22">
        <f>'Monthly Data'!A18</f>
        <v>40299</v>
      </c>
      <c r="B18" s="6">
        <f t="shared" si="1"/>
        <v>2010</v>
      </c>
      <c r="C18" s="20">
        <f ca="1">'Monthly Data'!K18</f>
        <v>5629447.9636161011</v>
      </c>
      <c r="D18" s="6">
        <f t="shared" ca="1" si="3"/>
        <v>88.880000000000024</v>
      </c>
      <c r="E18" s="6">
        <f t="shared" ca="1" si="3"/>
        <v>43.79999999999999</v>
      </c>
      <c r="F18" s="6">
        <f>'Monthly Data'!AK18</f>
        <v>147.80000000000001</v>
      </c>
      <c r="G18" s="6">
        <f>'Monthly Data'!AM18</f>
        <v>31</v>
      </c>
      <c r="H18" s="6">
        <f>'Monthly Data'!BD18</f>
        <v>1</v>
      </c>
      <c r="I18" s="6">
        <f>'Monthly Data'!AR18</f>
        <v>0</v>
      </c>
      <c r="J18" s="6">
        <f>'Monthly Data'!BA18</f>
        <v>0</v>
      </c>
      <c r="L18" s="20">
        <f>'GS &lt; 50 OLS model'!$I$5</f>
        <v>-1348055.69881657</v>
      </c>
      <c r="M18" s="20">
        <f ca="1">'GS &lt; 50 OLS model'!$I$6*D18</f>
        <v>91725.640366779655</v>
      </c>
      <c r="N18" s="20">
        <f ca="1">'GS &lt; 50 OLS model'!$I$7*E18</f>
        <v>336019.8137196115</v>
      </c>
      <c r="O18" s="20">
        <f>'GS &lt; 50 OLS model'!$I$8*F18</f>
        <v>1967118.7290588492</v>
      </c>
      <c r="P18" s="20">
        <f>'GS &lt; 50 OLS model'!$I$9*G18</f>
        <v>4609129.5106277745</v>
      </c>
      <c r="Q18" s="20">
        <f>'GS &lt; 50 OLS model'!$I$10*H18</f>
        <v>-267670.55098135502</v>
      </c>
      <c r="R18" s="20">
        <f>'GS &lt; 50 OLS model'!$I$11*I18</f>
        <v>0</v>
      </c>
      <c r="S18" s="20">
        <f>'GS &lt; 50 OLS model'!$I$12*J18</f>
        <v>0</v>
      </c>
      <c r="T18" s="20">
        <f t="shared" ca="1" si="2"/>
        <v>5388267.44397509</v>
      </c>
    </row>
    <row r="19" spans="1:20" ht="15">
      <c r="A19" s="22">
        <f>'Monthly Data'!A19</f>
        <v>40330</v>
      </c>
      <c r="B19" s="6">
        <f t="shared" si="1"/>
        <v>2010</v>
      </c>
      <c r="C19" s="20">
        <f ca="1">'Monthly Data'!K19</f>
        <v>6292517.6784429774</v>
      </c>
      <c r="D19" s="6">
        <f t="shared" ca="1" si="3"/>
        <v>9.77</v>
      </c>
      <c r="E19" s="6">
        <f t="shared" ca="1" si="3"/>
        <v>117.38999999999999</v>
      </c>
      <c r="F19" s="6">
        <f>'Monthly Data'!AK19</f>
        <v>149.9</v>
      </c>
      <c r="G19" s="6">
        <f>'Monthly Data'!AM19</f>
        <v>30</v>
      </c>
      <c r="H19" s="6">
        <f>'Monthly Data'!BD19</f>
        <v>0</v>
      </c>
      <c r="I19" s="6">
        <f>'Monthly Data'!AR19</f>
        <v>0</v>
      </c>
      <c r="J19" s="6">
        <f>'Monthly Data'!BA19</f>
        <v>0</v>
      </c>
      <c r="L19" s="20">
        <f>'GS &lt; 50 OLS model'!$I$5</f>
        <v>-1348055.69881657</v>
      </c>
      <c r="M19" s="20">
        <f ca="1">'GS &lt; 50 OLS model'!$I$6*D19</f>
        <v>10082.802727086375</v>
      </c>
      <c r="N19" s="20">
        <f ca="1">'GS &lt; 50 OLS model'!$I$7*E19</f>
        <v>900579.13088002731</v>
      </c>
      <c r="O19" s="20">
        <f>'GS &lt; 50 OLS model'!$I$8*F19</f>
        <v>1995068.3185786298</v>
      </c>
      <c r="P19" s="20">
        <f>'GS &lt; 50 OLS model'!$I$9*G19</f>
        <v>4460447.91351075</v>
      </c>
      <c r="Q19" s="20">
        <f>'GS &lt; 50 OLS model'!$I$10*H19</f>
        <v>0</v>
      </c>
      <c r="R19" s="20">
        <f>'GS &lt; 50 OLS model'!$I$11*I19</f>
        <v>0</v>
      </c>
      <c r="S19" s="20">
        <f>'GS &lt; 50 OLS model'!$I$12*J19</f>
        <v>0</v>
      </c>
      <c r="T19" s="20">
        <f t="shared" ca="1" si="2"/>
        <v>6018122.4668799238</v>
      </c>
    </row>
    <row r="20" spans="1:20" ht="15">
      <c r="A20" s="22">
        <f>'Monthly Data'!A20</f>
        <v>40360</v>
      </c>
      <c r="B20" s="6">
        <f t="shared" si="1"/>
        <v>2010</v>
      </c>
      <c r="C20" s="20">
        <f ca="1">'Monthly Data'!K20</f>
        <v>7051776.6779211387</v>
      </c>
      <c r="D20" s="6">
        <f t="shared" ca="1" si="3"/>
        <v>0.58000000000000007</v>
      </c>
      <c r="E20" s="6">
        <f t="shared" ca="1" si="3"/>
        <v>179.70999999999998</v>
      </c>
      <c r="F20" s="6">
        <f>'Monthly Data'!AK20</f>
        <v>148.30000000000001</v>
      </c>
      <c r="G20" s="6">
        <f>'Monthly Data'!AM20</f>
        <v>31</v>
      </c>
      <c r="H20" s="6">
        <f>'Monthly Data'!BD20</f>
        <v>0</v>
      </c>
      <c r="I20" s="6">
        <f>'Monthly Data'!AR20</f>
        <v>0</v>
      </c>
      <c r="J20" s="6">
        <f>'Monthly Data'!BA20</f>
        <v>0</v>
      </c>
      <c r="L20" s="20">
        <f>'GS &lt; 50 OLS model'!$I$5</f>
        <v>-1348055.69881657</v>
      </c>
      <c r="M20" s="20">
        <f ca="1">'GS &lt; 50 OLS model'!$I$6*D20</f>
        <v>598.56966035927314</v>
      </c>
      <c r="N20" s="20">
        <f ca="1">'GS &lt; 50 OLS model'!$I$7*E20</f>
        <v>1378678.5553322234</v>
      </c>
      <c r="O20" s="20">
        <f>'GS &lt; 50 OLS model'!$I$8*F20</f>
        <v>1973773.3932302257</v>
      </c>
      <c r="P20" s="20">
        <f>'GS &lt; 50 OLS model'!$I$9*G20</f>
        <v>4609129.5106277745</v>
      </c>
      <c r="Q20" s="20">
        <f>'GS &lt; 50 OLS model'!$I$10*H20</f>
        <v>0</v>
      </c>
      <c r="R20" s="20">
        <f>'GS &lt; 50 OLS model'!$I$11*I20</f>
        <v>0</v>
      </c>
      <c r="S20" s="20">
        <f>'GS &lt; 50 OLS model'!$I$12*J20</f>
        <v>0</v>
      </c>
      <c r="T20" s="20">
        <f t="shared" ca="1" si="2"/>
        <v>6614124.3300340129</v>
      </c>
    </row>
    <row r="21" spans="1:20" ht="15">
      <c r="A21" s="22">
        <f>'Monthly Data'!A21</f>
        <v>40391</v>
      </c>
      <c r="B21" s="6">
        <f t="shared" si="1"/>
        <v>2010</v>
      </c>
      <c r="C21" s="20">
        <f ca="1">'Monthly Data'!K21</f>
        <v>6891570.3434989201</v>
      </c>
      <c r="D21" s="6">
        <f t="shared" ca="1" si="3"/>
        <v>1.7099999999999997</v>
      </c>
      <c r="E21" s="6">
        <f t="shared" ca="1" si="3"/>
        <v>158.1</v>
      </c>
      <c r="F21" s="6">
        <f>'Monthly Data'!AK21</f>
        <v>148.4</v>
      </c>
      <c r="G21" s="6">
        <f>'Monthly Data'!AM21</f>
        <v>31</v>
      </c>
      <c r="H21" s="6">
        <f>'Monthly Data'!BD21</f>
        <v>0</v>
      </c>
      <c r="I21" s="6">
        <f>'Monthly Data'!AR21</f>
        <v>0</v>
      </c>
      <c r="J21" s="6">
        <f>'Monthly Data'!BA21</f>
        <v>0</v>
      </c>
      <c r="L21" s="20">
        <f>'GS &lt; 50 OLS model'!$I$5</f>
        <v>-1348055.69881657</v>
      </c>
      <c r="M21" s="20">
        <f ca="1">'GS &lt; 50 OLS model'!$I$6*D21</f>
        <v>1764.7484814040633</v>
      </c>
      <c r="N21" s="20">
        <f ca="1">'GS &lt; 50 OLS model'!$I$7*E21</f>
        <v>1212893.4371933923</v>
      </c>
      <c r="O21" s="20">
        <f>'GS &lt; 50 OLS model'!$I$8*F21</f>
        <v>1975104.3260645007</v>
      </c>
      <c r="P21" s="20">
        <f>'GS &lt; 50 OLS model'!$I$9*G21</f>
        <v>4609129.5106277745</v>
      </c>
      <c r="Q21" s="20">
        <f>'GS &lt; 50 OLS model'!$I$10*H21</f>
        <v>0</v>
      </c>
      <c r="R21" s="20">
        <f>'GS &lt; 50 OLS model'!$I$11*I21</f>
        <v>0</v>
      </c>
      <c r="S21" s="20">
        <f>'GS &lt; 50 OLS model'!$I$12*J21</f>
        <v>0</v>
      </c>
      <c r="T21" s="20">
        <f t="shared" ca="1" si="2"/>
        <v>6450836.3235505018</v>
      </c>
    </row>
    <row r="22" spans="1:20" ht="15">
      <c r="A22" s="22">
        <f>'Monthly Data'!A22</f>
        <v>40422</v>
      </c>
      <c r="B22" s="6">
        <f t="shared" si="1"/>
        <v>2010</v>
      </c>
      <c r="C22" s="20">
        <f ca="1">'Monthly Data'!K22</f>
        <v>5651782.3575958619</v>
      </c>
      <c r="D22" s="6">
        <f t="shared" ca="1" si="3"/>
        <v>32.68</v>
      </c>
      <c r="E22" s="6">
        <f t="shared" ca="1" si="3"/>
        <v>67.34</v>
      </c>
      <c r="F22" s="6">
        <f>'Monthly Data'!AK22</f>
        <v>148.69999999999999</v>
      </c>
      <c r="G22" s="6">
        <f>'Monthly Data'!AM22</f>
        <v>30</v>
      </c>
      <c r="H22" s="6">
        <f>'Monthly Data'!BD22</f>
        <v>0</v>
      </c>
      <c r="I22" s="6">
        <f>'Monthly Data'!AR22</f>
        <v>0</v>
      </c>
      <c r="J22" s="6">
        <f>'Monthly Data'!BA22</f>
        <v>0</v>
      </c>
      <c r="L22" s="20">
        <f>'GS &lt; 50 OLS model'!$I$5</f>
        <v>-1348055.69881657</v>
      </c>
      <c r="M22" s="20">
        <f ca="1">'GS &lt; 50 OLS model'!$I$6*D22</f>
        <v>33726.304311277658</v>
      </c>
      <c r="N22" s="20">
        <f ca="1">'GS &lt; 50 OLS model'!$I$7*E22</f>
        <v>516611.28438079095</v>
      </c>
      <c r="O22" s="20">
        <f>'GS &lt; 50 OLS model'!$I$8*F22</f>
        <v>1979097.1245673264</v>
      </c>
      <c r="P22" s="20">
        <f>'GS &lt; 50 OLS model'!$I$9*G22</f>
        <v>4460447.91351075</v>
      </c>
      <c r="Q22" s="20">
        <f>'GS &lt; 50 OLS model'!$I$10*H22</f>
        <v>0</v>
      </c>
      <c r="R22" s="20">
        <f>'GS &lt; 50 OLS model'!$I$11*I22</f>
        <v>0</v>
      </c>
      <c r="S22" s="20">
        <f>'GS &lt; 50 OLS model'!$I$12*J22</f>
        <v>0</v>
      </c>
      <c r="T22" s="20">
        <f t="shared" ca="1" si="2"/>
        <v>5641826.9279535748</v>
      </c>
    </row>
    <row r="23" spans="1:20" ht="15">
      <c r="A23" s="22">
        <f>'Monthly Data'!A23</f>
        <v>40452</v>
      </c>
      <c r="B23" s="6">
        <f t="shared" si="1"/>
        <v>2010</v>
      </c>
      <c r="C23" s="20">
        <f ca="1">'Monthly Data'!K23</f>
        <v>5255156.9166128142</v>
      </c>
      <c r="D23" s="6">
        <f t="shared" ca="1" si="3"/>
        <v>176.42</v>
      </c>
      <c r="E23" s="6">
        <f t="shared" ca="1" si="3"/>
        <v>10.18</v>
      </c>
      <c r="F23" s="6">
        <f>'Monthly Data'!AK23</f>
        <v>149.6</v>
      </c>
      <c r="G23" s="6">
        <f>'Monthly Data'!AM23</f>
        <v>31</v>
      </c>
      <c r="H23" s="6">
        <f>'Monthly Data'!BD23</f>
        <v>1</v>
      </c>
      <c r="I23" s="6">
        <f>'Monthly Data'!AR23</f>
        <v>0</v>
      </c>
      <c r="J23" s="6">
        <f>'Monthly Data'!BA23</f>
        <v>0</v>
      </c>
      <c r="L23" s="20">
        <f>'GS &lt; 50 OLS model'!$I$5</f>
        <v>-1348055.69881657</v>
      </c>
      <c r="M23" s="20">
        <f ca="1">'GS &lt; 50 OLS model'!$I$6*D23</f>
        <v>182068.37841479818</v>
      </c>
      <c r="N23" s="20">
        <f ca="1">'GS &lt; 50 OLS model'!$I$7*E23</f>
        <v>78097.755791453092</v>
      </c>
      <c r="O23" s="20">
        <f>'GS &lt; 50 OLS model'!$I$8*F23</f>
        <v>1991075.5200758039</v>
      </c>
      <c r="P23" s="20">
        <f>'GS &lt; 50 OLS model'!$I$9*G23</f>
        <v>4609129.5106277745</v>
      </c>
      <c r="Q23" s="20">
        <f>'GS &lt; 50 OLS model'!$I$10*H23</f>
        <v>-267670.55098135502</v>
      </c>
      <c r="R23" s="20">
        <f>'GS &lt; 50 OLS model'!$I$11*I23</f>
        <v>0</v>
      </c>
      <c r="S23" s="20">
        <f>'GS &lt; 50 OLS model'!$I$12*J23</f>
        <v>0</v>
      </c>
      <c r="T23" s="20">
        <f t="shared" ca="1" si="2"/>
        <v>5244644.915111905</v>
      </c>
    </row>
    <row r="24" spans="1:20" ht="15">
      <c r="A24" s="22">
        <f>'Monthly Data'!A24</f>
        <v>40483</v>
      </c>
      <c r="B24" s="6">
        <f t="shared" si="1"/>
        <v>2010</v>
      </c>
      <c r="C24" s="20">
        <f ca="1">'Monthly Data'!K24</f>
        <v>5251525.9795399467</v>
      </c>
      <c r="D24" s="6">
        <f t="shared" ca="1" si="3"/>
        <v>364.2299999999999</v>
      </c>
      <c r="E24" s="6">
        <f t="shared" ca="1" si="3"/>
        <v>0.05</v>
      </c>
      <c r="F24" s="6">
        <f>'Monthly Data'!AK24</f>
        <v>148.9</v>
      </c>
      <c r="G24" s="6">
        <f>'Monthly Data'!AM24</f>
        <v>30</v>
      </c>
      <c r="H24" s="6">
        <f>'Monthly Data'!BD24</f>
        <v>1</v>
      </c>
      <c r="I24" s="6">
        <f>'Monthly Data'!AR24</f>
        <v>0</v>
      </c>
      <c r="J24" s="6">
        <f>'Monthly Data'!BA24</f>
        <v>0</v>
      </c>
      <c r="L24" s="20">
        <f>'GS &lt; 50 OLS model'!$I$5</f>
        <v>-1348055.69881657</v>
      </c>
      <c r="M24" s="20">
        <f ca="1">'GS &lt; 50 OLS model'!$I$6*D24</f>
        <v>375891.42653906549</v>
      </c>
      <c r="N24" s="20">
        <f ca="1">'GS &lt; 50 OLS model'!$I$7*E24</f>
        <v>383.58426223699951</v>
      </c>
      <c r="O24" s="20">
        <f>'GS &lt; 50 OLS model'!$I$8*F24</f>
        <v>1981758.9902358772</v>
      </c>
      <c r="P24" s="20">
        <f>'GS &lt; 50 OLS model'!$I$9*G24</f>
        <v>4460447.91351075</v>
      </c>
      <c r="Q24" s="20">
        <f>'GS &lt; 50 OLS model'!$I$10*H24</f>
        <v>-267670.55098135502</v>
      </c>
      <c r="R24" s="20">
        <f>'GS &lt; 50 OLS model'!$I$11*I24</f>
        <v>0</v>
      </c>
      <c r="S24" s="20">
        <f>'GS &lt; 50 OLS model'!$I$12*J24</f>
        <v>0</v>
      </c>
      <c r="T24" s="20">
        <f t="shared" ca="1" si="2"/>
        <v>5202755.6647500051</v>
      </c>
    </row>
    <row r="25" spans="1:20" ht="15">
      <c r="A25" s="22">
        <f>'Monthly Data'!A25</f>
        <v>40513</v>
      </c>
      <c r="B25" s="6">
        <f t="shared" si="1"/>
        <v>2010</v>
      </c>
      <c r="C25" s="20">
        <f ca="1">'Monthly Data'!K25</f>
        <v>5844905.3892598506</v>
      </c>
      <c r="D25" s="6">
        <f t="shared" ca="1" si="3"/>
        <v>552.31000000000006</v>
      </c>
      <c r="E25" s="6">
        <f t="shared" ca="1" si="3"/>
        <v>0</v>
      </c>
      <c r="F25" s="6">
        <f>'Monthly Data'!AK25</f>
        <v>148.1</v>
      </c>
      <c r="G25" s="6">
        <f>'Monthly Data'!AM25</f>
        <v>31</v>
      </c>
      <c r="H25" s="6">
        <f>'Monthly Data'!BD25</f>
        <v>0</v>
      </c>
      <c r="I25" s="6">
        <f>'Monthly Data'!AR25</f>
        <v>0</v>
      </c>
      <c r="J25" s="6">
        <f>'Monthly Data'!BA25</f>
        <v>1</v>
      </c>
      <c r="L25" s="20">
        <f>'GS &lt; 50 OLS model'!$I$5</f>
        <v>-1348055.69881657</v>
      </c>
      <c r="M25" s="20">
        <f ca="1">'GS &lt; 50 OLS model'!$I$6*D25</f>
        <v>569993.11916039675</v>
      </c>
      <c r="N25" s="20">
        <f ca="1">'GS &lt; 50 OLS model'!$I$7*E25</f>
        <v>0</v>
      </c>
      <c r="O25" s="20">
        <f>'GS &lt; 50 OLS model'!$I$8*F25</f>
        <v>1971111.5275616748</v>
      </c>
      <c r="P25" s="20">
        <f>'GS &lt; 50 OLS model'!$I$9*G25</f>
        <v>4609129.5106277745</v>
      </c>
      <c r="Q25" s="20">
        <f>'GS &lt; 50 OLS model'!$I$10*H25</f>
        <v>0</v>
      </c>
      <c r="R25" s="20">
        <f>'GS &lt; 50 OLS model'!$I$11*I25</f>
        <v>0</v>
      </c>
      <c r="S25" s="20">
        <f>'GS &lt; 50 OLS model'!$I$12*J25</f>
        <v>-201228.923645601</v>
      </c>
      <c r="T25" s="20">
        <f t="shared" ca="1" si="2"/>
        <v>5600949.5348876752</v>
      </c>
    </row>
    <row r="26" spans="1:20" ht="15">
      <c r="A26" s="22">
        <f>'Monthly Data'!A26</f>
        <v>40544</v>
      </c>
      <c r="B26" s="6">
        <f t="shared" si="1"/>
        <v>2011</v>
      </c>
      <c r="C26" s="20">
        <f ca="1">'Monthly Data'!K26</f>
        <v>6026588.3635599045</v>
      </c>
      <c r="D26" s="6">
        <f t="shared" ca="1" si="3"/>
        <v>661.18999999999994</v>
      </c>
      <c r="E26" s="6">
        <f t="shared" ca="1" si="3"/>
        <v>0</v>
      </c>
      <c r="F26" s="6">
        <f>'Monthly Data'!AK26</f>
        <v>148.69999999999999</v>
      </c>
      <c r="G26" s="6">
        <f>'Monthly Data'!AM26</f>
        <v>31</v>
      </c>
      <c r="H26" s="6">
        <f>'Monthly Data'!BD26</f>
        <v>0</v>
      </c>
      <c r="I26" s="6">
        <f>'Monthly Data'!AR26</f>
        <v>0</v>
      </c>
      <c r="J26" s="6">
        <f>'Monthly Data'!BA26</f>
        <v>0</v>
      </c>
      <c r="L26" s="20">
        <f>'GS &lt; 50 OLS model'!$I$5</f>
        <v>-1348055.69881657</v>
      </c>
      <c r="M26" s="20">
        <f ca="1">'GS &lt; 50 OLS model'!$I$6*D26</f>
        <v>682359.09264301334</v>
      </c>
      <c r="N26" s="20">
        <f ca="1">'GS &lt; 50 OLS model'!$I$7*E26</f>
        <v>0</v>
      </c>
      <c r="O26" s="20">
        <f>'GS &lt; 50 OLS model'!$I$8*F26</f>
        <v>1979097.1245673264</v>
      </c>
      <c r="P26" s="20">
        <f>'GS &lt; 50 OLS model'!$I$9*G26</f>
        <v>4609129.5106277745</v>
      </c>
      <c r="Q26" s="20">
        <f>'GS &lt; 50 OLS model'!$I$10*H26</f>
        <v>0</v>
      </c>
      <c r="R26" s="20">
        <f>'GS &lt; 50 OLS model'!$I$11*I26</f>
        <v>0</v>
      </c>
      <c r="S26" s="20">
        <f>'GS &lt; 50 OLS model'!$I$12*J26</f>
        <v>0</v>
      </c>
      <c r="T26" s="20">
        <f t="shared" ca="1" si="2"/>
        <v>5922530.0290215444</v>
      </c>
    </row>
    <row r="27" spans="1:20" ht="15">
      <c r="A27" s="22">
        <f>'Monthly Data'!A27</f>
        <v>40575</v>
      </c>
      <c r="B27" s="6">
        <f t="shared" si="1"/>
        <v>2011</v>
      </c>
      <c r="C27" s="20">
        <f ca="1">'Monthly Data'!K27</f>
        <v>5362970.5444677435</v>
      </c>
      <c r="D27" s="6">
        <f t="shared" ca="1" si="3"/>
        <v>598.16999999999985</v>
      </c>
      <c r="E27" s="6">
        <f t="shared" ca="1" si="3"/>
        <v>0</v>
      </c>
      <c r="F27" s="6">
        <f>'Monthly Data'!AK27</f>
        <v>146.69999999999999</v>
      </c>
      <c r="G27" s="6">
        <f>'Monthly Data'!AM27</f>
        <v>28</v>
      </c>
      <c r="H27" s="6">
        <f>'Monthly Data'!BD27</f>
        <v>0</v>
      </c>
      <c r="I27" s="6">
        <f>'Monthly Data'!AR27</f>
        <v>0</v>
      </c>
      <c r="J27" s="6">
        <f>'Monthly Data'!BA27</f>
        <v>0</v>
      </c>
      <c r="L27" s="20">
        <f>'GS &lt; 50 OLS model'!$I$5</f>
        <v>-1348055.69881657</v>
      </c>
      <c r="M27" s="20">
        <f ca="1">'GS &lt; 50 OLS model'!$I$6*D27</f>
        <v>617321.40299501084</v>
      </c>
      <c r="N27" s="20">
        <f ca="1">'GS &lt; 50 OLS model'!$I$7*E27</f>
        <v>0</v>
      </c>
      <c r="O27" s="20">
        <f>'GS &lt; 50 OLS model'!$I$8*F27</f>
        <v>1952478.4678818211</v>
      </c>
      <c r="P27" s="20">
        <f>'GS &lt; 50 OLS model'!$I$9*G27</f>
        <v>4163084.7192767002</v>
      </c>
      <c r="Q27" s="20">
        <f>'GS &lt; 50 OLS model'!$I$10*H27</f>
        <v>0</v>
      </c>
      <c r="R27" s="20">
        <f>'GS &lt; 50 OLS model'!$I$11*I27</f>
        <v>0</v>
      </c>
      <c r="S27" s="20">
        <f>'GS &lt; 50 OLS model'!$I$12*J27</f>
        <v>0</v>
      </c>
      <c r="T27" s="20">
        <f t="shared" ca="1" si="2"/>
        <v>5384828.8913369626</v>
      </c>
    </row>
    <row r="28" spans="1:20" ht="15">
      <c r="A28" s="22">
        <f>'Monthly Data'!A28</f>
        <v>40603</v>
      </c>
      <c r="B28" s="6">
        <f t="shared" si="1"/>
        <v>2011</v>
      </c>
      <c r="C28" s="20">
        <f ca="1">'Monthly Data'!K28</f>
        <v>5630900.4388400922</v>
      </c>
      <c r="D28" s="6">
        <f t="shared" ca="1" si="3"/>
        <v>451.34</v>
      </c>
      <c r="E28" s="6">
        <f t="shared" ca="1" si="3"/>
        <v>0.88000000000000012</v>
      </c>
      <c r="F28" s="6">
        <f>'Monthly Data'!AK28</f>
        <v>145.4</v>
      </c>
      <c r="G28" s="6">
        <f>'Monthly Data'!AM28</f>
        <v>31</v>
      </c>
      <c r="H28" s="6">
        <f>'Monthly Data'!BD28</f>
        <v>1</v>
      </c>
      <c r="I28" s="6">
        <f>'Monthly Data'!AR28</f>
        <v>1</v>
      </c>
      <c r="J28" s="6">
        <f>'Monthly Data'!BA28</f>
        <v>0</v>
      </c>
      <c r="L28" s="20">
        <f>'GS &lt; 50 OLS model'!$I$5</f>
        <v>-1348055.69881657</v>
      </c>
      <c r="M28" s="20">
        <f ca="1">'GS &lt; 50 OLS model'!$I$6*D28</f>
        <v>465790.39742509357</v>
      </c>
      <c r="N28" s="20">
        <f ca="1">'GS &lt; 50 OLS model'!$I$7*E28</f>
        <v>6751.0830153711922</v>
      </c>
      <c r="O28" s="20">
        <f>'GS &lt; 50 OLS model'!$I$8*F28</f>
        <v>1935176.3410362427</v>
      </c>
      <c r="P28" s="20">
        <f>'GS &lt; 50 OLS model'!$I$9*G28</f>
        <v>4609129.5106277745</v>
      </c>
      <c r="Q28" s="20">
        <f>'GS &lt; 50 OLS model'!$I$10*H28</f>
        <v>-267670.55098135502</v>
      </c>
      <c r="R28" s="20">
        <f>'GS &lt; 50 OLS model'!$I$11*I28</f>
        <v>186511.19475200301</v>
      </c>
      <c r="S28" s="20">
        <f>'GS &lt; 50 OLS model'!$I$12*J28</f>
        <v>0</v>
      </c>
      <c r="T28" s="20">
        <f t="shared" ca="1" si="2"/>
        <v>5587632.2770585604</v>
      </c>
    </row>
    <row r="29" spans="1:20" ht="15">
      <c r="A29" s="22">
        <f>'Monthly Data'!A29</f>
        <v>40634</v>
      </c>
      <c r="B29" s="6">
        <f t="shared" si="1"/>
        <v>2011</v>
      </c>
      <c r="C29" s="20">
        <f ca="1">'Monthly Data'!K29</f>
        <v>5175082.1278635412</v>
      </c>
      <c r="D29" s="6">
        <f t="shared" ca="1" si="3"/>
        <v>259.5499999999999</v>
      </c>
      <c r="E29" s="6">
        <f t="shared" ca="1" si="3"/>
        <v>2.4500000000000002</v>
      </c>
      <c r="F29" s="6">
        <f>'Monthly Data'!AK29</f>
        <v>144</v>
      </c>
      <c r="G29" s="6">
        <f>'Monthly Data'!AM29</f>
        <v>30</v>
      </c>
      <c r="H29" s="6">
        <f>'Monthly Data'!BD29</f>
        <v>1</v>
      </c>
      <c r="I29" s="6">
        <f>'Monthly Data'!AR29</f>
        <v>0</v>
      </c>
      <c r="J29" s="6">
        <f>'Monthly Data'!BA29</f>
        <v>0</v>
      </c>
      <c r="L29" s="20">
        <f>'GS &lt; 50 OLS model'!$I$5</f>
        <v>-1348055.69881657</v>
      </c>
      <c r="M29" s="20">
        <f ca="1">'GS &lt; 50 OLS model'!$I$6*D29</f>
        <v>267859.9230107746</v>
      </c>
      <c r="N29" s="20">
        <f ca="1">'GS &lt; 50 OLS model'!$I$7*E29</f>
        <v>18795.628849612975</v>
      </c>
      <c r="O29" s="20">
        <f>'GS &lt; 50 OLS model'!$I$8*F29</f>
        <v>1916543.2813563889</v>
      </c>
      <c r="P29" s="20">
        <f>'GS &lt; 50 OLS model'!$I$9*G29</f>
        <v>4460447.91351075</v>
      </c>
      <c r="Q29" s="20">
        <f>'GS &lt; 50 OLS model'!$I$10*H29</f>
        <v>-267670.55098135502</v>
      </c>
      <c r="R29" s="20">
        <f>'GS &lt; 50 OLS model'!$I$11*I29</f>
        <v>0</v>
      </c>
      <c r="S29" s="20">
        <f>'GS &lt; 50 OLS model'!$I$12*J29</f>
        <v>0</v>
      </c>
      <c r="T29" s="20">
        <f t="shared" ca="1" si="2"/>
        <v>5047920.4969296018</v>
      </c>
    </row>
    <row r="30" spans="1:20" ht="15">
      <c r="A30" s="22">
        <f>'Monthly Data'!A30</f>
        <v>40664</v>
      </c>
      <c r="B30" s="6">
        <f t="shared" si="1"/>
        <v>2011</v>
      </c>
      <c r="C30" s="20">
        <f ca="1">'Monthly Data'!K30</f>
        <v>5463133.8059784928</v>
      </c>
      <c r="D30" s="6">
        <f t="shared" ref="D30:E45" ca="1" si="4">D18</f>
        <v>88.880000000000024</v>
      </c>
      <c r="E30" s="6">
        <f t="shared" ca="1" si="4"/>
        <v>43.79999999999999</v>
      </c>
      <c r="F30" s="6">
        <f>'Monthly Data'!AK30</f>
        <v>144.6</v>
      </c>
      <c r="G30" s="6">
        <f>'Monthly Data'!AM30</f>
        <v>31</v>
      </c>
      <c r="H30" s="6">
        <f>'Monthly Data'!BD30</f>
        <v>1</v>
      </c>
      <c r="I30" s="6">
        <f>'Monthly Data'!AR30</f>
        <v>0</v>
      </c>
      <c r="J30" s="6">
        <f>'Monthly Data'!BA30</f>
        <v>0</v>
      </c>
      <c r="L30" s="20">
        <f>'GS &lt; 50 OLS model'!$I$5</f>
        <v>-1348055.69881657</v>
      </c>
      <c r="M30" s="20">
        <f ca="1">'GS &lt; 50 OLS model'!$I$6*D30</f>
        <v>91725.640366779655</v>
      </c>
      <c r="N30" s="20">
        <f ca="1">'GS &lt; 50 OLS model'!$I$7*E30</f>
        <v>336019.8137196115</v>
      </c>
      <c r="O30" s="20">
        <f>'GS &lt; 50 OLS model'!$I$8*F30</f>
        <v>1924528.8783620405</v>
      </c>
      <c r="P30" s="20">
        <f>'GS &lt; 50 OLS model'!$I$9*G30</f>
        <v>4609129.5106277745</v>
      </c>
      <c r="Q30" s="20">
        <f>'GS &lt; 50 OLS model'!$I$10*H30</f>
        <v>-267670.55098135502</v>
      </c>
      <c r="R30" s="20">
        <f>'GS &lt; 50 OLS model'!$I$11*I30</f>
        <v>0</v>
      </c>
      <c r="S30" s="20">
        <f>'GS &lt; 50 OLS model'!$I$12*J30</f>
        <v>0</v>
      </c>
      <c r="T30" s="20">
        <f t="shared" ca="1" si="2"/>
        <v>5345677.5932782814</v>
      </c>
    </row>
    <row r="31" spans="1:20" ht="15">
      <c r="A31" s="22">
        <f>'Monthly Data'!A31</f>
        <v>40695</v>
      </c>
      <c r="B31" s="6">
        <f t="shared" si="1"/>
        <v>2011</v>
      </c>
      <c r="C31" s="20">
        <f ca="1">'Monthly Data'!K31</f>
        <v>5976127.300790932</v>
      </c>
      <c r="D31" s="6">
        <f t="shared" ca="1" si="4"/>
        <v>9.77</v>
      </c>
      <c r="E31" s="6">
        <f t="shared" ca="1" si="4"/>
        <v>117.38999999999999</v>
      </c>
      <c r="F31" s="6">
        <f>'Monthly Data'!AK31</f>
        <v>146</v>
      </c>
      <c r="G31" s="6">
        <f>'Monthly Data'!AM31</f>
        <v>30</v>
      </c>
      <c r="H31" s="6">
        <f>'Monthly Data'!BD31</f>
        <v>0</v>
      </c>
      <c r="I31" s="6">
        <f>'Monthly Data'!AR31</f>
        <v>0</v>
      </c>
      <c r="J31" s="6">
        <f>'Monthly Data'!BA31</f>
        <v>0</v>
      </c>
      <c r="L31" s="20">
        <f>'GS &lt; 50 OLS model'!$I$5</f>
        <v>-1348055.69881657</v>
      </c>
      <c r="M31" s="20">
        <f ca="1">'GS &lt; 50 OLS model'!$I$6*D31</f>
        <v>10082.802727086375</v>
      </c>
      <c r="N31" s="20">
        <f ca="1">'GS &lt; 50 OLS model'!$I$7*E31</f>
        <v>900579.13088002731</v>
      </c>
      <c r="O31" s="20">
        <f>'GS &lt; 50 OLS model'!$I$8*F31</f>
        <v>1943161.9380418942</v>
      </c>
      <c r="P31" s="20">
        <f>'GS &lt; 50 OLS model'!$I$9*G31</f>
        <v>4460447.91351075</v>
      </c>
      <c r="Q31" s="20">
        <f>'GS &lt; 50 OLS model'!$I$10*H31</f>
        <v>0</v>
      </c>
      <c r="R31" s="20">
        <f>'GS &lt; 50 OLS model'!$I$11*I31</f>
        <v>0</v>
      </c>
      <c r="S31" s="20">
        <f>'GS &lt; 50 OLS model'!$I$12*J31</f>
        <v>0</v>
      </c>
      <c r="T31" s="20">
        <f t="shared" ca="1" si="2"/>
        <v>5966216.0863431878</v>
      </c>
    </row>
    <row r="32" spans="1:20" ht="15">
      <c r="A32" s="22">
        <f>'Monthly Data'!A32</f>
        <v>40725</v>
      </c>
      <c r="B32" s="6">
        <f t="shared" si="1"/>
        <v>2011</v>
      </c>
      <c r="C32" s="20">
        <f ca="1">'Monthly Data'!K32</f>
        <v>6877540.0657793824</v>
      </c>
      <c r="D32" s="6">
        <f t="shared" ca="1" si="4"/>
        <v>0.58000000000000007</v>
      </c>
      <c r="E32" s="6">
        <f t="shared" ca="1" si="4"/>
        <v>179.70999999999998</v>
      </c>
      <c r="F32" s="6">
        <f>'Monthly Data'!AK32</f>
        <v>147.6</v>
      </c>
      <c r="G32" s="6">
        <f>'Monthly Data'!AM32</f>
        <v>31</v>
      </c>
      <c r="H32" s="6">
        <f>'Monthly Data'!BD32</f>
        <v>0</v>
      </c>
      <c r="I32" s="6">
        <f>'Monthly Data'!AR32</f>
        <v>0</v>
      </c>
      <c r="J32" s="6">
        <f>'Monthly Data'!BA32</f>
        <v>0</v>
      </c>
      <c r="L32" s="20">
        <f>'GS &lt; 50 OLS model'!$I$5</f>
        <v>-1348055.69881657</v>
      </c>
      <c r="M32" s="20">
        <f ca="1">'GS &lt; 50 OLS model'!$I$6*D32</f>
        <v>598.56966035927314</v>
      </c>
      <c r="N32" s="20">
        <f ca="1">'GS &lt; 50 OLS model'!$I$7*E32</f>
        <v>1378678.5553322234</v>
      </c>
      <c r="O32" s="20">
        <f>'GS &lt; 50 OLS model'!$I$8*F32</f>
        <v>1964456.8633902986</v>
      </c>
      <c r="P32" s="20">
        <f>'GS &lt; 50 OLS model'!$I$9*G32</f>
        <v>4609129.5106277745</v>
      </c>
      <c r="Q32" s="20">
        <f>'GS &lt; 50 OLS model'!$I$10*H32</f>
        <v>0</v>
      </c>
      <c r="R32" s="20">
        <f>'GS &lt; 50 OLS model'!$I$11*I32</f>
        <v>0</v>
      </c>
      <c r="S32" s="20">
        <f>'GS &lt; 50 OLS model'!$I$12*J32</f>
        <v>0</v>
      </c>
      <c r="T32" s="20">
        <f t="shared" ca="1" si="2"/>
        <v>6604807.8001940856</v>
      </c>
    </row>
    <row r="33" spans="1:20" ht="15">
      <c r="A33" s="22">
        <f>'Monthly Data'!A33</f>
        <v>40756</v>
      </c>
      <c r="B33" s="6">
        <f t="shared" si="1"/>
        <v>2011</v>
      </c>
      <c r="C33" s="20">
        <f ca="1">'Monthly Data'!K33</f>
        <v>6603628.8820340019</v>
      </c>
      <c r="D33" s="6">
        <f t="shared" ca="1" si="4"/>
        <v>1.7099999999999997</v>
      </c>
      <c r="E33" s="6">
        <f t="shared" ca="1" si="4"/>
        <v>158.1</v>
      </c>
      <c r="F33" s="6">
        <f>'Monthly Data'!AK33</f>
        <v>148.69999999999999</v>
      </c>
      <c r="G33" s="6">
        <f>'Monthly Data'!AM33</f>
        <v>31</v>
      </c>
      <c r="H33" s="6">
        <f>'Monthly Data'!BD33</f>
        <v>0</v>
      </c>
      <c r="I33" s="6">
        <f>'Monthly Data'!AR33</f>
        <v>0</v>
      </c>
      <c r="J33" s="6">
        <f>'Monthly Data'!BA33</f>
        <v>0</v>
      </c>
      <c r="L33" s="20">
        <f>'GS &lt; 50 OLS model'!$I$5</f>
        <v>-1348055.69881657</v>
      </c>
      <c r="M33" s="20">
        <f ca="1">'GS &lt; 50 OLS model'!$I$6*D33</f>
        <v>1764.7484814040633</v>
      </c>
      <c r="N33" s="20">
        <f ca="1">'GS &lt; 50 OLS model'!$I$7*E33</f>
        <v>1212893.4371933923</v>
      </c>
      <c r="O33" s="20">
        <f>'GS &lt; 50 OLS model'!$I$8*F33</f>
        <v>1979097.1245673264</v>
      </c>
      <c r="P33" s="20">
        <f>'GS &lt; 50 OLS model'!$I$9*G33</f>
        <v>4609129.5106277745</v>
      </c>
      <c r="Q33" s="20">
        <f>'GS &lt; 50 OLS model'!$I$10*H33</f>
        <v>0</v>
      </c>
      <c r="R33" s="20">
        <f>'GS &lt; 50 OLS model'!$I$11*I33</f>
        <v>0</v>
      </c>
      <c r="S33" s="20">
        <f>'GS &lt; 50 OLS model'!$I$12*J33</f>
        <v>0</v>
      </c>
      <c r="T33" s="20">
        <f t="shared" ca="1" si="2"/>
        <v>6454829.122053327</v>
      </c>
    </row>
    <row r="34" spans="1:20" ht="15">
      <c r="A34" s="22">
        <f>'Monthly Data'!A34</f>
        <v>40787</v>
      </c>
      <c r="B34" s="6">
        <f t="shared" si="1"/>
        <v>2011</v>
      </c>
      <c r="C34" s="20">
        <f ca="1">'Monthly Data'!K34</f>
        <v>5618306.5975156222</v>
      </c>
      <c r="D34" s="6">
        <f t="shared" ca="1" si="4"/>
        <v>32.68</v>
      </c>
      <c r="E34" s="6">
        <f t="shared" ca="1" si="4"/>
        <v>67.34</v>
      </c>
      <c r="F34" s="6">
        <f>'Monthly Data'!AK34</f>
        <v>148.1</v>
      </c>
      <c r="G34" s="6">
        <f>'Monthly Data'!AM34</f>
        <v>30</v>
      </c>
      <c r="H34" s="6">
        <f>'Monthly Data'!BD34</f>
        <v>0</v>
      </c>
      <c r="I34" s="6">
        <f>'Monthly Data'!AR34</f>
        <v>0</v>
      </c>
      <c r="J34" s="6">
        <f>'Monthly Data'!BA34</f>
        <v>0</v>
      </c>
      <c r="L34" s="20">
        <f>'GS &lt; 50 OLS model'!$I$5</f>
        <v>-1348055.69881657</v>
      </c>
      <c r="M34" s="20">
        <f ca="1">'GS &lt; 50 OLS model'!$I$6*D34</f>
        <v>33726.304311277658</v>
      </c>
      <c r="N34" s="20">
        <f ca="1">'GS &lt; 50 OLS model'!$I$7*E34</f>
        <v>516611.28438079095</v>
      </c>
      <c r="O34" s="20">
        <f>'GS &lt; 50 OLS model'!$I$8*F34</f>
        <v>1971111.5275616748</v>
      </c>
      <c r="P34" s="20">
        <f>'GS &lt; 50 OLS model'!$I$9*G34</f>
        <v>4460447.91351075</v>
      </c>
      <c r="Q34" s="20">
        <f>'GS &lt; 50 OLS model'!$I$10*H34</f>
        <v>0</v>
      </c>
      <c r="R34" s="20">
        <f>'GS &lt; 50 OLS model'!$I$11*I34</f>
        <v>0</v>
      </c>
      <c r="S34" s="20">
        <f>'GS &lt; 50 OLS model'!$I$12*J34</f>
        <v>0</v>
      </c>
      <c r="T34" s="20">
        <f t="shared" ref="T34:T65" ca="1" si="5">SUM(L34:S34)</f>
        <v>5633841.3309479235</v>
      </c>
    </row>
    <row r="35" spans="1:20" ht="15">
      <c r="A35" s="22">
        <f>'Monthly Data'!A35</f>
        <v>40817</v>
      </c>
      <c r="B35" s="6">
        <f t="shared" si="1"/>
        <v>2011</v>
      </c>
      <c r="C35" s="20">
        <f ca="1">'Monthly Data'!K35</f>
        <v>5113557.1313079717</v>
      </c>
      <c r="D35" s="6">
        <f t="shared" ca="1" si="4"/>
        <v>176.42</v>
      </c>
      <c r="E35" s="6">
        <f t="shared" ca="1" si="4"/>
        <v>10.18</v>
      </c>
      <c r="F35" s="6">
        <f>'Monthly Data'!AK35</f>
        <v>149.1</v>
      </c>
      <c r="G35" s="6">
        <f>'Monthly Data'!AM35</f>
        <v>31</v>
      </c>
      <c r="H35" s="6">
        <f>'Monthly Data'!BD35</f>
        <v>1</v>
      </c>
      <c r="I35" s="6">
        <f>'Monthly Data'!AR35</f>
        <v>0</v>
      </c>
      <c r="J35" s="6">
        <f>'Monthly Data'!BA35</f>
        <v>0</v>
      </c>
      <c r="L35" s="20">
        <f>'GS &lt; 50 OLS model'!$I$5</f>
        <v>-1348055.69881657</v>
      </c>
      <c r="M35" s="20">
        <f ca="1">'GS &lt; 50 OLS model'!$I$6*D35</f>
        <v>182068.37841479818</v>
      </c>
      <c r="N35" s="20">
        <f ca="1">'GS &lt; 50 OLS model'!$I$7*E35</f>
        <v>78097.755791453092</v>
      </c>
      <c r="O35" s="20">
        <f>'GS &lt; 50 OLS model'!$I$8*F35</f>
        <v>1984420.8559044276</v>
      </c>
      <c r="P35" s="20">
        <f>'GS &lt; 50 OLS model'!$I$9*G35</f>
        <v>4609129.5106277745</v>
      </c>
      <c r="Q35" s="20">
        <f>'GS &lt; 50 OLS model'!$I$10*H35</f>
        <v>-267670.55098135502</v>
      </c>
      <c r="R35" s="20">
        <f>'GS &lt; 50 OLS model'!$I$11*I35</f>
        <v>0</v>
      </c>
      <c r="S35" s="20">
        <f>'GS &lt; 50 OLS model'!$I$12*J35</f>
        <v>0</v>
      </c>
      <c r="T35" s="20">
        <f t="shared" ca="1" si="5"/>
        <v>5237990.2509405287</v>
      </c>
    </row>
    <row r="36" spans="1:20" ht="15">
      <c r="A36" s="22">
        <f>'Monthly Data'!A36</f>
        <v>40848</v>
      </c>
      <c r="B36" s="6">
        <f t="shared" si="1"/>
        <v>2011</v>
      </c>
      <c r="C36" s="20">
        <f ca="1">'Monthly Data'!K36</f>
        <v>5112407.7414213624</v>
      </c>
      <c r="D36" s="6">
        <f t="shared" ca="1" si="4"/>
        <v>364.2299999999999</v>
      </c>
      <c r="E36" s="6">
        <f t="shared" ca="1" si="4"/>
        <v>0.05</v>
      </c>
      <c r="F36" s="6">
        <f>'Monthly Data'!AK36</f>
        <v>150.80000000000001</v>
      </c>
      <c r="G36" s="6">
        <f>'Monthly Data'!AM36</f>
        <v>30</v>
      </c>
      <c r="H36" s="6">
        <f>'Monthly Data'!BD36</f>
        <v>1</v>
      </c>
      <c r="I36" s="6">
        <f>'Monthly Data'!AR36</f>
        <v>0</v>
      </c>
      <c r="J36" s="6">
        <f>'Monthly Data'!BA36</f>
        <v>0</v>
      </c>
      <c r="L36" s="20">
        <f>'GS &lt; 50 OLS model'!$I$5</f>
        <v>-1348055.69881657</v>
      </c>
      <c r="M36" s="20">
        <f ca="1">'GS &lt; 50 OLS model'!$I$6*D36</f>
        <v>375891.42653906549</v>
      </c>
      <c r="N36" s="20">
        <f ca="1">'GS &lt; 50 OLS model'!$I$7*E36</f>
        <v>383.58426223699951</v>
      </c>
      <c r="O36" s="20">
        <f>'GS &lt; 50 OLS model'!$I$8*F36</f>
        <v>2007046.7140871075</v>
      </c>
      <c r="P36" s="20">
        <f>'GS &lt; 50 OLS model'!$I$9*G36</f>
        <v>4460447.91351075</v>
      </c>
      <c r="Q36" s="20">
        <f>'GS &lt; 50 OLS model'!$I$10*H36</f>
        <v>-267670.55098135502</v>
      </c>
      <c r="R36" s="20">
        <f>'GS &lt; 50 OLS model'!$I$11*I36</f>
        <v>0</v>
      </c>
      <c r="S36" s="20">
        <f>'GS &lt; 50 OLS model'!$I$12*J36</f>
        <v>0</v>
      </c>
      <c r="T36" s="20">
        <f t="shared" ca="1" si="5"/>
        <v>5228043.3886012351</v>
      </c>
    </row>
    <row r="37" spans="1:20" ht="15">
      <c r="A37" s="22">
        <f>'Monthly Data'!A37</f>
        <v>40878</v>
      </c>
      <c r="B37" s="6">
        <f t="shared" si="1"/>
        <v>2011</v>
      </c>
      <c r="C37" s="20">
        <f ca="1">'Monthly Data'!K37</f>
        <v>5620143.3445212664</v>
      </c>
      <c r="D37" s="6">
        <f t="shared" ca="1" si="4"/>
        <v>552.31000000000006</v>
      </c>
      <c r="E37" s="6">
        <f t="shared" ca="1" si="4"/>
        <v>0</v>
      </c>
      <c r="F37" s="6">
        <f>'Monthly Data'!AK37</f>
        <v>152.1</v>
      </c>
      <c r="G37" s="6">
        <f>'Monthly Data'!AM37</f>
        <v>31</v>
      </c>
      <c r="H37" s="6">
        <f>'Monthly Data'!BD37</f>
        <v>0</v>
      </c>
      <c r="I37" s="6">
        <f>'Monthly Data'!AR37</f>
        <v>0</v>
      </c>
      <c r="J37" s="6">
        <f>'Monthly Data'!BA37</f>
        <v>1</v>
      </c>
      <c r="L37" s="20">
        <f>'GS &lt; 50 OLS model'!$I$5</f>
        <v>-1348055.69881657</v>
      </c>
      <c r="M37" s="20">
        <f ca="1">'GS &lt; 50 OLS model'!$I$6*D37</f>
        <v>569993.11916039675</v>
      </c>
      <c r="N37" s="20">
        <f ca="1">'GS &lt; 50 OLS model'!$I$7*E37</f>
        <v>0</v>
      </c>
      <c r="O37" s="20">
        <f>'GS &lt; 50 OLS model'!$I$8*F37</f>
        <v>2024348.8409326856</v>
      </c>
      <c r="P37" s="20">
        <f>'GS &lt; 50 OLS model'!$I$9*G37</f>
        <v>4609129.5106277745</v>
      </c>
      <c r="Q37" s="20">
        <f>'GS &lt; 50 OLS model'!$I$10*H37</f>
        <v>0</v>
      </c>
      <c r="R37" s="20">
        <f>'GS &lt; 50 OLS model'!$I$11*I37</f>
        <v>0</v>
      </c>
      <c r="S37" s="20">
        <f>'GS &lt; 50 OLS model'!$I$12*J37</f>
        <v>-201228.923645601</v>
      </c>
      <c r="T37" s="20">
        <f t="shared" ca="1" si="5"/>
        <v>5654186.8482586863</v>
      </c>
    </row>
    <row r="38" spans="1:20" ht="15">
      <c r="A38" s="22">
        <f>'Monthly Data'!A38</f>
        <v>40909</v>
      </c>
      <c r="B38" s="6">
        <f t="shared" si="1"/>
        <v>2012</v>
      </c>
      <c r="C38" s="20">
        <f ca="1">'Monthly Data'!K38</f>
        <v>5678473.7393108159</v>
      </c>
      <c r="D38" s="6">
        <f t="shared" ca="1" si="4"/>
        <v>661.18999999999994</v>
      </c>
      <c r="E38" s="6">
        <f t="shared" ca="1" si="4"/>
        <v>0</v>
      </c>
      <c r="F38" s="6">
        <f>'Monthly Data'!AK38</f>
        <v>149.5</v>
      </c>
      <c r="G38" s="6">
        <f>'Monthly Data'!AM38</f>
        <v>31</v>
      </c>
      <c r="H38" s="6">
        <f>'Monthly Data'!BD38</f>
        <v>0</v>
      </c>
      <c r="I38" s="6">
        <f>'Monthly Data'!AR38</f>
        <v>0</v>
      </c>
      <c r="J38" s="6">
        <f>'Monthly Data'!BA38</f>
        <v>0</v>
      </c>
      <c r="L38" s="20">
        <f>'GS &lt; 50 OLS model'!$I$5</f>
        <v>-1348055.69881657</v>
      </c>
      <c r="M38" s="20">
        <f ca="1">'GS &lt; 50 OLS model'!$I$6*D38</f>
        <v>682359.09264301334</v>
      </c>
      <c r="N38" s="20">
        <f ca="1">'GS &lt; 50 OLS model'!$I$7*E38</f>
        <v>0</v>
      </c>
      <c r="O38" s="20">
        <f>'GS &lt; 50 OLS model'!$I$8*F38</f>
        <v>1989744.5872415288</v>
      </c>
      <c r="P38" s="20">
        <f>'GS &lt; 50 OLS model'!$I$9*G38</f>
        <v>4609129.5106277745</v>
      </c>
      <c r="Q38" s="20">
        <f>'GS &lt; 50 OLS model'!$I$10*H38</f>
        <v>0</v>
      </c>
      <c r="R38" s="20">
        <f>'GS &lt; 50 OLS model'!$I$11*I38</f>
        <v>0</v>
      </c>
      <c r="S38" s="20">
        <f>'GS &lt; 50 OLS model'!$I$12*J38</f>
        <v>0</v>
      </c>
      <c r="T38" s="20">
        <f t="shared" ca="1" si="5"/>
        <v>5933177.4916957468</v>
      </c>
    </row>
    <row r="39" spans="1:20" ht="15">
      <c r="A39" s="22">
        <f>'Monthly Data'!A39</f>
        <v>40940</v>
      </c>
      <c r="B39" s="6">
        <f t="shared" si="1"/>
        <v>2012</v>
      </c>
      <c r="C39" s="20">
        <f ca="1">'Monthly Data'!K39</f>
        <v>5379271.6074002506</v>
      </c>
      <c r="D39" s="6">
        <f t="shared" ca="1" si="4"/>
        <v>598.16999999999985</v>
      </c>
      <c r="E39" s="6">
        <f t="shared" ca="1" si="4"/>
        <v>0</v>
      </c>
      <c r="F39" s="6">
        <f>'Monthly Data'!AK39</f>
        <v>148.4</v>
      </c>
      <c r="G39" s="6">
        <f>'Monthly Data'!AM39</f>
        <v>29</v>
      </c>
      <c r="H39" s="6">
        <f>'Monthly Data'!BD39</f>
        <v>0</v>
      </c>
      <c r="I39" s="6">
        <f>'Monthly Data'!AR39</f>
        <v>0</v>
      </c>
      <c r="J39" s="6">
        <f>'Monthly Data'!BA39</f>
        <v>0</v>
      </c>
      <c r="L39" s="20">
        <f>'GS &lt; 50 OLS model'!$I$5</f>
        <v>-1348055.69881657</v>
      </c>
      <c r="M39" s="20">
        <f ca="1">'GS &lt; 50 OLS model'!$I$6*D39</f>
        <v>617321.40299501084</v>
      </c>
      <c r="N39" s="20">
        <f ca="1">'GS &lt; 50 OLS model'!$I$7*E39</f>
        <v>0</v>
      </c>
      <c r="O39" s="20">
        <f>'GS &lt; 50 OLS model'!$I$8*F39</f>
        <v>1975104.3260645007</v>
      </c>
      <c r="P39" s="20">
        <f>'GS &lt; 50 OLS model'!$I$9*G39</f>
        <v>4311766.3163937246</v>
      </c>
      <c r="Q39" s="20">
        <f>'GS &lt; 50 OLS model'!$I$10*H39</f>
        <v>0</v>
      </c>
      <c r="R39" s="20">
        <f>'GS &lt; 50 OLS model'!$I$11*I39</f>
        <v>0</v>
      </c>
      <c r="S39" s="20">
        <f>'GS &lt; 50 OLS model'!$I$12*J39</f>
        <v>0</v>
      </c>
      <c r="T39" s="20">
        <f t="shared" ca="1" si="5"/>
        <v>5556136.346636666</v>
      </c>
    </row>
    <row r="40" spans="1:20" ht="15">
      <c r="A40" s="22">
        <f>'Monthly Data'!A40</f>
        <v>40969</v>
      </c>
      <c r="B40" s="6">
        <f t="shared" si="1"/>
        <v>2012</v>
      </c>
      <c r="C40" s="20">
        <f ca="1">'Monthly Data'!K40</f>
        <v>5431638.8336107414</v>
      </c>
      <c r="D40" s="6">
        <f t="shared" ca="1" si="4"/>
        <v>451.34</v>
      </c>
      <c r="E40" s="6">
        <f t="shared" ca="1" si="4"/>
        <v>0.88000000000000012</v>
      </c>
      <c r="F40" s="6">
        <f>'Monthly Data'!AK40</f>
        <v>148.5</v>
      </c>
      <c r="G40" s="6">
        <f>'Monthly Data'!AM40</f>
        <v>31</v>
      </c>
      <c r="H40" s="6">
        <f>'Monthly Data'!BD40</f>
        <v>1</v>
      </c>
      <c r="I40" s="6">
        <f>'Monthly Data'!AR40</f>
        <v>1</v>
      </c>
      <c r="J40" s="6">
        <f>'Monthly Data'!BA40</f>
        <v>0</v>
      </c>
      <c r="L40" s="20">
        <f>'GS &lt; 50 OLS model'!$I$5</f>
        <v>-1348055.69881657</v>
      </c>
      <c r="M40" s="20">
        <f ca="1">'GS &lt; 50 OLS model'!$I$6*D40</f>
        <v>465790.39742509357</v>
      </c>
      <c r="N40" s="20">
        <f ca="1">'GS &lt; 50 OLS model'!$I$7*E40</f>
        <v>6751.0830153711922</v>
      </c>
      <c r="O40" s="20">
        <f>'GS &lt; 50 OLS model'!$I$8*F40</f>
        <v>1976435.258898776</v>
      </c>
      <c r="P40" s="20">
        <f>'GS &lt; 50 OLS model'!$I$9*G40</f>
        <v>4609129.5106277745</v>
      </c>
      <c r="Q40" s="20">
        <f>'GS &lt; 50 OLS model'!$I$10*H40</f>
        <v>-267670.55098135502</v>
      </c>
      <c r="R40" s="20">
        <f>'GS &lt; 50 OLS model'!$I$11*I40</f>
        <v>186511.19475200301</v>
      </c>
      <c r="S40" s="20">
        <f>'GS &lt; 50 OLS model'!$I$12*J40</f>
        <v>0</v>
      </c>
      <c r="T40" s="20">
        <f t="shared" ca="1" si="5"/>
        <v>5628891.1949210931</v>
      </c>
    </row>
    <row r="41" spans="1:20" ht="15">
      <c r="A41" s="22">
        <f>'Monthly Data'!A41</f>
        <v>41000</v>
      </c>
      <c r="B41" s="6">
        <f t="shared" si="1"/>
        <v>2012</v>
      </c>
      <c r="C41" s="20">
        <f ca="1">'Monthly Data'!K41</f>
        <v>4996283.2985174851</v>
      </c>
      <c r="D41" s="6">
        <f t="shared" ca="1" si="4"/>
        <v>259.5499999999999</v>
      </c>
      <c r="E41" s="6">
        <f t="shared" ca="1" si="4"/>
        <v>2.4500000000000002</v>
      </c>
      <c r="F41" s="6">
        <f>'Monthly Data'!AK41</f>
        <v>150.6</v>
      </c>
      <c r="G41" s="6">
        <f>'Monthly Data'!AM41</f>
        <v>30</v>
      </c>
      <c r="H41" s="6">
        <f>'Monthly Data'!BD41</f>
        <v>1</v>
      </c>
      <c r="I41" s="6">
        <f>'Monthly Data'!AR41</f>
        <v>0</v>
      </c>
      <c r="J41" s="6">
        <f>'Monthly Data'!BA41</f>
        <v>0</v>
      </c>
      <c r="L41" s="20">
        <f>'GS &lt; 50 OLS model'!$I$5</f>
        <v>-1348055.69881657</v>
      </c>
      <c r="M41" s="20">
        <f ca="1">'GS &lt; 50 OLS model'!$I$6*D41</f>
        <v>267859.9230107746</v>
      </c>
      <c r="N41" s="20">
        <f ca="1">'GS &lt; 50 OLS model'!$I$7*E41</f>
        <v>18795.628849612975</v>
      </c>
      <c r="O41" s="20">
        <f>'GS &lt; 50 OLS model'!$I$8*F41</f>
        <v>2004384.8484185566</v>
      </c>
      <c r="P41" s="20">
        <f>'GS &lt; 50 OLS model'!$I$9*G41</f>
        <v>4460447.91351075</v>
      </c>
      <c r="Q41" s="20">
        <f>'GS &lt; 50 OLS model'!$I$10*H41</f>
        <v>-267670.55098135502</v>
      </c>
      <c r="R41" s="20">
        <f>'GS &lt; 50 OLS model'!$I$11*I41</f>
        <v>0</v>
      </c>
      <c r="S41" s="20">
        <f>'GS &lt; 50 OLS model'!$I$12*J41</f>
        <v>0</v>
      </c>
      <c r="T41" s="20">
        <f t="shared" ca="1" si="5"/>
        <v>5135762.0639917692</v>
      </c>
    </row>
    <row r="42" spans="1:20" ht="15">
      <c r="A42" s="22">
        <f>'Monthly Data'!A42</f>
        <v>41030</v>
      </c>
      <c r="B42" s="6">
        <f t="shared" si="1"/>
        <v>2012</v>
      </c>
      <c r="C42" s="20">
        <f ca="1">'Monthly Data'!K42</f>
        <v>5646499.9793941975</v>
      </c>
      <c r="D42" s="6">
        <f t="shared" ca="1" si="4"/>
        <v>88.880000000000024</v>
      </c>
      <c r="E42" s="6">
        <f t="shared" ca="1" si="4"/>
        <v>43.79999999999999</v>
      </c>
      <c r="F42" s="6">
        <f>'Monthly Data'!AK42</f>
        <v>151.1</v>
      </c>
      <c r="G42" s="6">
        <f>'Monthly Data'!AM42</f>
        <v>31</v>
      </c>
      <c r="H42" s="6">
        <f>'Monthly Data'!BD42</f>
        <v>1</v>
      </c>
      <c r="I42" s="6">
        <f>'Monthly Data'!AR42</f>
        <v>0</v>
      </c>
      <c r="J42" s="6">
        <f>'Monthly Data'!BA42</f>
        <v>0</v>
      </c>
      <c r="L42" s="20">
        <f>'GS &lt; 50 OLS model'!$I$5</f>
        <v>-1348055.69881657</v>
      </c>
      <c r="M42" s="20">
        <f ca="1">'GS &lt; 50 OLS model'!$I$6*D42</f>
        <v>91725.640366779655</v>
      </c>
      <c r="N42" s="20">
        <f ca="1">'GS &lt; 50 OLS model'!$I$7*E42</f>
        <v>336019.8137196115</v>
      </c>
      <c r="O42" s="20">
        <f>'GS &lt; 50 OLS model'!$I$8*F42</f>
        <v>2011039.5125899329</v>
      </c>
      <c r="P42" s="20">
        <f>'GS &lt; 50 OLS model'!$I$9*G42</f>
        <v>4609129.5106277745</v>
      </c>
      <c r="Q42" s="20">
        <f>'GS &lt; 50 OLS model'!$I$10*H42</f>
        <v>-267670.55098135502</v>
      </c>
      <c r="R42" s="20">
        <f>'GS &lt; 50 OLS model'!$I$11*I42</f>
        <v>0</v>
      </c>
      <c r="S42" s="20">
        <f>'GS &lt; 50 OLS model'!$I$12*J42</f>
        <v>0</v>
      </c>
      <c r="T42" s="20">
        <f t="shared" ca="1" si="5"/>
        <v>5432188.2275061738</v>
      </c>
    </row>
    <row r="43" spans="1:20" ht="15">
      <c r="A43" s="22">
        <f>'Monthly Data'!A43</f>
        <v>41061</v>
      </c>
      <c r="B43" s="6">
        <f t="shared" si="1"/>
        <v>2012</v>
      </c>
      <c r="C43" s="20">
        <f ca="1">'Monthly Data'!K43</f>
        <v>6382835.9578270745</v>
      </c>
      <c r="D43" s="6">
        <f t="shared" ca="1" si="4"/>
        <v>9.77</v>
      </c>
      <c r="E43" s="6">
        <f t="shared" ca="1" si="4"/>
        <v>117.38999999999999</v>
      </c>
      <c r="F43" s="6">
        <f>'Monthly Data'!AK43</f>
        <v>152.19999999999999</v>
      </c>
      <c r="G43" s="6">
        <f>'Monthly Data'!AM43</f>
        <v>30</v>
      </c>
      <c r="H43" s="6">
        <f>'Monthly Data'!BD43</f>
        <v>0</v>
      </c>
      <c r="I43" s="6">
        <f>'Monthly Data'!AR43</f>
        <v>0</v>
      </c>
      <c r="J43" s="6">
        <f>'Monthly Data'!BA43</f>
        <v>0</v>
      </c>
      <c r="L43" s="20">
        <f>'GS &lt; 50 OLS model'!$I$5</f>
        <v>-1348055.69881657</v>
      </c>
      <c r="M43" s="20">
        <f ca="1">'GS &lt; 50 OLS model'!$I$6*D43</f>
        <v>10082.802727086375</v>
      </c>
      <c r="N43" s="20">
        <f ca="1">'GS &lt; 50 OLS model'!$I$7*E43</f>
        <v>900579.13088002731</v>
      </c>
      <c r="O43" s="20">
        <f>'GS &lt; 50 OLS model'!$I$8*F43</f>
        <v>2025679.7737669609</v>
      </c>
      <c r="P43" s="20">
        <f>'GS &lt; 50 OLS model'!$I$9*G43</f>
        <v>4460447.91351075</v>
      </c>
      <c r="Q43" s="20">
        <f>'GS &lt; 50 OLS model'!$I$10*H43</f>
        <v>0</v>
      </c>
      <c r="R43" s="20">
        <f>'GS &lt; 50 OLS model'!$I$11*I43</f>
        <v>0</v>
      </c>
      <c r="S43" s="20">
        <f>'GS &lt; 50 OLS model'!$I$12*J43</f>
        <v>0</v>
      </c>
      <c r="T43" s="20">
        <f t="shared" ca="1" si="5"/>
        <v>6048733.922068255</v>
      </c>
    </row>
    <row r="44" spans="1:20" ht="15">
      <c r="A44" s="22">
        <f>'Monthly Data'!A44</f>
        <v>41091</v>
      </c>
      <c r="B44" s="6">
        <f t="shared" si="1"/>
        <v>2012</v>
      </c>
      <c r="C44" s="20">
        <f ca="1">'Monthly Data'!K44</f>
        <v>7118049.1198525634</v>
      </c>
      <c r="D44" s="6">
        <f t="shared" ca="1" si="4"/>
        <v>0.58000000000000007</v>
      </c>
      <c r="E44" s="6">
        <f t="shared" ca="1" si="4"/>
        <v>179.70999999999998</v>
      </c>
      <c r="F44" s="6">
        <f>'Monthly Data'!AK44</f>
        <v>153.4</v>
      </c>
      <c r="G44" s="6">
        <f>'Monthly Data'!AM44</f>
        <v>31</v>
      </c>
      <c r="H44" s="6">
        <f>'Monthly Data'!BD44</f>
        <v>0</v>
      </c>
      <c r="I44" s="6">
        <f>'Monthly Data'!AR44</f>
        <v>0</v>
      </c>
      <c r="J44" s="6">
        <f>'Monthly Data'!BA44</f>
        <v>0</v>
      </c>
      <c r="L44" s="20">
        <f>'GS &lt; 50 OLS model'!$I$5</f>
        <v>-1348055.69881657</v>
      </c>
      <c r="M44" s="20">
        <f ca="1">'GS &lt; 50 OLS model'!$I$6*D44</f>
        <v>598.56966035927314</v>
      </c>
      <c r="N44" s="20">
        <f ca="1">'GS &lt; 50 OLS model'!$I$7*E44</f>
        <v>1378678.5553322234</v>
      </c>
      <c r="O44" s="20">
        <f>'GS &lt; 50 OLS model'!$I$8*F44</f>
        <v>2041650.9677782643</v>
      </c>
      <c r="P44" s="20">
        <f>'GS &lt; 50 OLS model'!$I$9*G44</f>
        <v>4609129.5106277745</v>
      </c>
      <c r="Q44" s="20">
        <f>'GS &lt; 50 OLS model'!$I$10*H44</f>
        <v>0</v>
      </c>
      <c r="R44" s="20">
        <f>'GS &lt; 50 OLS model'!$I$11*I44</f>
        <v>0</v>
      </c>
      <c r="S44" s="20">
        <f>'GS &lt; 50 OLS model'!$I$12*J44</f>
        <v>0</v>
      </c>
      <c r="T44" s="20">
        <f t="shared" ca="1" si="5"/>
        <v>6682001.9045820516</v>
      </c>
    </row>
    <row r="45" spans="1:20" ht="15">
      <c r="A45" s="22">
        <f>'Monthly Data'!A45</f>
        <v>41122</v>
      </c>
      <c r="B45" s="6">
        <f t="shared" si="1"/>
        <v>2012</v>
      </c>
      <c r="C45" s="20">
        <f ca="1">'Monthly Data'!K45</f>
        <v>6559336.0869305413</v>
      </c>
      <c r="D45" s="6">
        <f t="shared" ca="1" si="4"/>
        <v>1.7099999999999997</v>
      </c>
      <c r="E45" s="6">
        <f t="shared" ca="1" si="4"/>
        <v>158.1</v>
      </c>
      <c r="F45" s="6">
        <f>'Monthly Data'!AK45</f>
        <v>155</v>
      </c>
      <c r="G45" s="6">
        <f>'Monthly Data'!AM45</f>
        <v>31</v>
      </c>
      <c r="H45" s="6">
        <f>'Monthly Data'!BD45</f>
        <v>0</v>
      </c>
      <c r="I45" s="6">
        <f>'Monthly Data'!AR45</f>
        <v>0</v>
      </c>
      <c r="J45" s="6">
        <f>'Monthly Data'!BA45</f>
        <v>0</v>
      </c>
      <c r="L45" s="20">
        <f>'GS &lt; 50 OLS model'!$I$5</f>
        <v>-1348055.69881657</v>
      </c>
      <c r="M45" s="20">
        <f ca="1">'GS &lt; 50 OLS model'!$I$6*D45</f>
        <v>1764.7484814040633</v>
      </c>
      <c r="N45" s="20">
        <f ca="1">'GS &lt; 50 OLS model'!$I$7*E45</f>
        <v>1212893.4371933923</v>
      </c>
      <c r="O45" s="20">
        <f>'GS &lt; 50 OLS model'!$I$8*F45</f>
        <v>2062945.8931266686</v>
      </c>
      <c r="P45" s="20">
        <f>'GS &lt; 50 OLS model'!$I$9*G45</f>
        <v>4609129.5106277745</v>
      </c>
      <c r="Q45" s="20">
        <f>'GS &lt; 50 OLS model'!$I$10*H45</f>
        <v>0</v>
      </c>
      <c r="R45" s="20">
        <f>'GS &lt; 50 OLS model'!$I$11*I45</f>
        <v>0</v>
      </c>
      <c r="S45" s="20">
        <f>'GS &lt; 50 OLS model'!$I$12*J45</f>
        <v>0</v>
      </c>
      <c r="T45" s="20">
        <f t="shared" ca="1" si="5"/>
        <v>6538677.8906126693</v>
      </c>
    </row>
    <row r="46" spans="1:20" ht="15">
      <c r="A46" s="22">
        <f>'Monthly Data'!A46</f>
        <v>41153</v>
      </c>
      <c r="B46" s="6">
        <f t="shared" si="1"/>
        <v>2012</v>
      </c>
      <c r="C46" s="20">
        <f ca="1">'Monthly Data'!K46</f>
        <v>5578962.0305964015</v>
      </c>
      <c r="D46" s="6">
        <f t="shared" ref="D46:E61" ca="1" si="6">D34</f>
        <v>32.68</v>
      </c>
      <c r="E46" s="6">
        <f t="shared" ca="1" si="6"/>
        <v>67.34</v>
      </c>
      <c r="F46" s="6">
        <f>'Monthly Data'!AK46</f>
        <v>156.9</v>
      </c>
      <c r="G46" s="6">
        <f>'Monthly Data'!AM46</f>
        <v>30</v>
      </c>
      <c r="H46" s="6">
        <f>'Monthly Data'!BD46</f>
        <v>0</v>
      </c>
      <c r="I46" s="6">
        <f>'Monthly Data'!AR46</f>
        <v>0</v>
      </c>
      <c r="J46" s="6">
        <f>'Monthly Data'!BA46</f>
        <v>0</v>
      </c>
      <c r="L46" s="20">
        <f>'GS &lt; 50 OLS model'!$I$5</f>
        <v>-1348055.69881657</v>
      </c>
      <c r="M46" s="20">
        <f ca="1">'GS &lt; 50 OLS model'!$I$6*D46</f>
        <v>33726.304311277658</v>
      </c>
      <c r="N46" s="20">
        <f ca="1">'GS &lt; 50 OLS model'!$I$7*E46</f>
        <v>516611.28438079095</v>
      </c>
      <c r="O46" s="20">
        <f>'GS &lt; 50 OLS model'!$I$8*F46</f>
        <v>2088233.6169778989</v>
      </c>
      <c r="P46" s="20">
        <f>'GS &lt; 50 OLS model'!$I$9*G46</f>
        <v>4460447.91351075</v>
      </c>
      <c r="Q46" s="20">
        <f>'GS &lt; 50 OLS model'!$I$10*H46</f>
        <v>0</v>
      </c>
      <c r="R46" s="20">
        <f>'GS &lt; 50 OLS model'!$I$11*I46</f>
        <v>0</v>
      </c>
      <c r="S46" s="20">
        <f>'GS &lt; 50 OLS model'!$I$12*J46</f>
        <v>0</v>
      </c>
      <c r="T46" s="20">
        <f t="shared" ca="1" si="5"/>
        <v>5750963.4203641471</v>
      </c>
    </row>
    <row r="47" spans="1:20" ht="15">
      <c r="A47" s="22">
        <f>'Monthly Data'!A47</f>
        <v>41183</v>
      </c>
      <c r="B47" s="6">
        <f t="shared" si="1"/>
        <v>2012</v>
      </c>
      <c r="C47" s="20">
        <f ca="1">'Monthly Data'!K47</f>
        <v>5153415.156241239</v>
      </c>
      <c r="D47" s="6">
        <f t="shared" ca="1" si="6"/>
        <v>176.42</v>
      </c>
      <c r="E47" s="6">
        <f t="shared" ca="1" si="6"/>
        <v>10.18</v>
      </c>
      <c r="F47" s="6">
        <f>'Monthly Data'!AK47</f>
        <v>157.5</v>
      </c>
      <c r="G47" s="6">
        <f>'Monthly Data'!AM47</f>
        <v>31</v>
      </c>
      <c r="H47" s="6">
        <f>'Monthly Data'!BD47</f>
        <v>1</v>
      </c>
      <c r="I47" s="6">
        <f>'Monthly Data'!AR47</f>
        <v>0</v>
      </c>
      <c r="J47" s="6">
        <f>'Monthly Data'!BA47</f>
        <v>0</v>
      </c>
      <c r="L47" s="20">
        <f>'GS &lt; 50 OLS model'!$I$5</f>
        <v>-1348055.69881657</v>
      </c>
      <c r="M47" s="20">
        <f ca="1">'GS &lt; 50 OLS model'!$I$6*D47</f>
        <v>182068.37841479818</v>
      </c>
      <c r="N47" s="20">
        <f ca="1">'GS &lt; 50 OLS model'!$I$7*E47</f>
        <v>78097.755791453092</v>
      </c>
      <c r="O47" s="20">
        <f>'GS &lt; 50 OLS model'!$I$8*F47</f>
        <v>2096219.2139835502</v>
      </c>
      <c r="P47" s="20">
        <f>'GS &lt; 50 OLS model'!$I$9*G47</f>
        <v>4609129.5106277745</v>
      </c>
      <c r="Q47" s="20">
        <f>'GS &lt; 50 OLS model'!$I$10*H47</f>
        <v>-267670.55098135502</v>
      </c>
      <c r="R47" s="20">
        <f>'GS &lt; 50 OLS model'!$I$11*I47</f>
        <v>0</v>
      </c>
      <c r="S47" s="20">
        <f>'GS &lt; 50 OLS model'!$I$12*J47</f>
        <v>0</v>
      </c>
      <c r="T47" s="20">
        <f t="shared" ca="1" si="5"/>
        <v>5349788.6090196511</v>
      </c>
    </row>
    <row r="48" spans="1:20" ht="15">
      <c r="A48" s="22">
        <f>'Monthly Data'!A48</f>
        <v>41214</v>
      </c>
      <c r="B48" s="6">
        <f t="shared" si="1"/>
        <v>2012</v>
      </c>
      <c r="C48" s="20">
        <f ca="1">'Monthly Data'!K48</f>
        <v>5140839.870752953</v>
      </c>
      <c r="D48" s="6">
        <f t="shared" ca="1" si="6"/>
        <v>364.2299999999999</v>
      </c>
      <c r="E48" s="6">
        <f t="shared" ca="1" si="6"/>
        <v>0.05</v>
      </c>
      <c r="F48" s="6">
        <f>'Monthly Data'!AK48</f>
        <v>157.6</v>
      </c>
      <c r="G48" s="6">
        <f>'Monthly Data'!AM48</f>
        <v>30</v>
      </c>
      <c r="H48" s="6">
        <f>'Monthly Data'!BD48</f>
        <v>1</v>
      </c>
      <c r="I48" s="6">
        <f>'Monthly Data'!AR48</f>
        <v>0</v>
      </c>
      <c r="J48" s="6">
        <f>'Monthly Data'!BA48</f>
        <v>0</v>
      </c>
      <c r="L48" s="20">
        <f>'GS &lt; 50 OLS model'!$I$5</f>
        <v>-1348055.69881657</v>
      </c>
      <c r="M48" s="20">
        <f ca="1">'GS &lt; 50 OLS model'!$I$6*D48</f>
        <v>375891.42653906549</v>
      </c>
      <c r="N48" s="20">
        <f ca="1">'GS &lt; 50 OLS model'!$I$7*E48</f>
        <v>383.58426223699951</v>
      </c>
      <c r="O48" s="20">
        <f>'GS &lt; 50 OLS model'!$I$8*F48</f>
        <v>2097550.1468178253</v>
      </c>
      <c r="P48" s="20">
        <f>'GS &lt; 50 OLS model'!$I$9*G48</f>
        <v>4460447.91351075</v>
      </c>
      <c r="Q48" s="20">
        <f>'GS &lt; 50 OLS model'!$I$10*H48</f>
        <v>-267670.55098135502</v>
      </c>
      <c r="R48" s="20">
        <f>'GS &lt; 50 OLS model'!$I$11*I48</f>
        <v>0</v>
      </c>
      <c r="S48" s="20">
        <f>'GS &lt; 50 OLS model'!$I$12*J48</f>
        <v>0</v>
      </c>
      <c r="T48" s="20">
        <f t="shared" ca="1" si="5"/>
        <v>5318546.8213319527</v>
      </c>
    </row>
    <row r="49" spans="1:20" ht="15">
      <c r="A49" s="22">
        <f>'Monthly Data'!A49</f>
        <v>41244</v>
      </c>
      <c r="B49" s="6">
        <f t="shared" si="1"/>
        <v>2012</v>
      </c>
      <c r="C49" s="20">
        <f ca="1">'Monthly Data'!K49</f>
        <v>5435911.5977635086</v>
      </c>
      <c r="D49" s="6">
        <f t="shared" ca="1" si="6"/>
        <v>552.31000000000006</v>
      </c>
      <c r="E49" s="6">
        <f t="shared" ca="1" si="6"/>
        <v>0</v>
      </c>
      <c r="F49" s="6">
        <f>'Monthly Data'!AK49</f>
        <v>155.5</v>
      </c>
      <c r="G49" s="6">
        <f>'Monthly Data'!AM49</f>
        <v>31</v>
      </c>
      <c r="H49" s="6">
        <f>'Monthly Data'!BD49</f>
        <v>0</v>
      </c>
      <c r="I49" s="6">
        <f>'Monthly Data'!AR49</f>
        <v>0</v>
      </c>
      <c r="J49" s="6">
        <f>'Monthly Data'!BA49</f>
        <v>1</v>
      </c>
      <c r="L49" s="20">
        <f>'GS &lt; 50 OLS model'!$I$5</f>
        <v>-1348055.69881657</v>
      </c>
      <c r="M49" s="20">
        <f ca="1">'GS &lt; 50 OLS model'!$I$6*D49</f>
        <v>569993.11916039675</v>
      </c>
      <c r="N49" s="20">
        <f ca="1">'GS &lt; 50 OLS model'!$I$7*E49</f>
        <v>0</v>
      </c>
      <c r="O49" s="20">
        <f>'GS &lt; 50 OLS model'!$I$8*F49</f>
        <v>2069600.5572980449</v>
      </c>
      <c r="P49" s="20">
        <f>'GS &lt; 50 OLS model'!$I$9*G49</f>
        <v>4609129.5106277745</v>
      </c>
      <c r="Q49" s="20">
        <f>'GS &lt; 50 OLS model'!$I$10*H49</f>
        <v>0</v>
      </c>
      <c r="R49" s="20">
        <f>'GS &lt; 50 OLS model'!$I$11*I49</f>
        <v>0</v>
      </c>
      <c r="S49" s="20">
        <f>'GS &lt; 50 OLS model'!$I$12*J49</f>
        <v>-201228.923645601</v>
      </c>
      <c r="T49" s="20">
        <f t="shared" ca="1" si="5"/>
        <v>5699438.564624045</v>
      </c>
    </row>
    <row r="50" spans="1:20" ht="15">
      <c r="A50" s="22">
        <f>'Monthly Data'!A50</f>
        <v>41275</v>
      </c>
      <c r="B50" s="6">
        <f t="shared" si="1"/>
        <v>2013</v>
      </c>
      <c r="C50" s="20">
        <f ca="1">'Monthly Data'!K50</f>
        <v>5731939.4442237746</v>
      </c>
      <c r="D50" s="6">
        <f t="shared" ca="1" si="6"/>
        <v>661.18999999999994</v>
      </c>
      <c r="E50" s="6">
        <f t="shared" ca="1" si="6"/>
        <v>0</v>
      </c>
      <c r="F50" s="6">
        <f>'Monthly Data'!AK50</f>
        <v>151.1</v>
      </c>
      <c r="G50" s="6">
        <f>'Monthly Data'!AM50</f>
        <v>31</v>
      </c>
      <c r="H50" s="6">
        <f>'Monthly Data'!BD50</f>
        <v>0</v>
      </c>
      <c r="I50" s="6">
        <f>'Monthly Data'!AR50</f>
        <v>0</v>
      </c>
      <c r="J50" s="6">
        <f>'Monthly Data'!BA50</f>
        <v>0</v>
      </c>
      <c r="L50" s="20">
        <f>'GS &lt; 50 OLS model'!$I$5</f>
        <v>-1348055.69881657</v>
      </c>
      <c r="M50" s="20">
        <f ca="1">'GS &lt; 50 OLS model'!$I$6*D50</f>
        <v>682359.09264301334</v>
      </c>
      <c r="N50" s="20">
        <f ca="1">'GS &lt; 50 OLS model'!$I$7*E50</f>
        <v>0</v>
      </c>
      <c r="O50" s="20">
        <f>'GS &lt; 50 OLS model'!$I$8*F50</f>
        <v>2011039.5125899329</v>
      </c>
      <c r="P50" s="20">
        <f>'GS &lt; 50 OLS model'!$I$9*G50</f>
        <v>4609129.5106277745</v>
      </c>
      <c r="Q50" s="20">
        <f>'GS &lt; 50 OLS model'!$I$10*H50</f>
        <v>0</v>
      </c>
      <c r="R50" s="20">
        <f>'GS &lt; 50 OLS model'!$I$11*I50</f>
        <v>0</v>
      </c>
      <c r="S50" s="20">
        <f>'GS &lt; 50 OLS model'!$I$12*J50</f>
        <v>0</v>
      </c>
      <c r="T50" s="20">
        <f t="shared" ca="1" si="5"/>
        <v>5954472.4170441506</v>
      </c>
    </row>
    <row r="51" spans="1:20" ht="15">
      <c r="A51" s="22">
        <f>'Monthly Data'!A51</f>
        <v>41306</v>
      </c>
      <c r="B51" s="6">
        <f t="shared" si="1"/>
        <v>2013</v>
      </c>
      <c r="C51" s="20">
        <f ca="1">'Monthly Data'!K51</f>
        <v>5288814.8620550148</v>
      </c>
      <c r="D51" s="6">
        <f t="shared" ca="1" si="6"/>
        <v>598.16999999999985</v>
      </c>
      <c r="E51" s="6">
        <f t="shared" ca="1" si="6"/>
        <v>0</v>
      </c>
      <c r="F51" s="6">
        <f>'Monthly Data'!AK51</f>
        <v>150.19999999999999</v>
      </c>
      <c r="G51" s="6">
        <f>'Monthly Data'!AM51</f>
        <v>28</v>
      </c>
      <c r="H51" s="6">
        <f>'Monthly Data'!BD51</f>
        <v>0</v>
      </c>
      <c r="I51" s="6">
        <f>'Monthly Data'!AR51</f>
        <v>0</v>
      </c>
      <c r="J51" s="6">
        <f>'Monthly Data'!BA51</f>
        <v>0</v>
      </c>
      <c r="L51" s="20">
        <f>'GS &lt; 50 OLS model'!$I$5</f>
        <v>-1348055.69881657</v>
      </c>
      <c r="M51" s="20">
        <f ca="1">'GS &lt; 50 OLS model'!$I$6*D51</f>
        <v>617321.40299501084</v>
      </c>
      <c r="N51" s="20">
        <f ca="1">'GS &lt; 50 OLS model'!$I$7*E51</f>
        <v>0</v>
      </c>
      <c r="O51" s="20">
        <f>'GS &lt; 50 OLS model'!$I$8*F51</f>
        <v>1999061.1170814554</v>
      </c>
      <c r="P51" s="20">
        <f>'GS &lt; 50 OLS model'!$I$9*G51</f>
        <v>4163084.7192767002</v>
      </c>
      <c r="Q51" s="20">
        <f>'GS &lt; 50 OLS model'!$I$10*H51</f>
        <v>0</v>
      </c>
      <c r="R51" s="20">
        <f>'GS &lt; 50 OLS model'!$I$11*I51</f>
        <v>0</v>
      </c>
      <c r="S51" s="20">
        <f>'GS &lt; 50 OLS model'!$I$12*J51</f>
        <v>0</v>
      </c>
      <c r="T51" s="20">
        <f t="shared" ca="1" si="5"/>
        <v>5431411.5405365964</v>
      </c>
    </row>
    <row r="52" spans="1:20" ht="15">
      <c r="A52" s="22">
        <f>'Monthly Data'!A52</f>
        <v>41334</v>
      </c>
      <c r="B52" s="6">
        <f t="shared" si="1"/>
        <v>2013</v>
      </c>
      <c r="C52" s="20">
        <f ca="1">'Monthly Data'!K52</f>
        <v>5578008.3017610069</v>
      </c>
      <c r="D52" s="6">
        <f t="shared" ca="1" si="6"/>
        <v>451.34</v>
      </c>
      <c r="E52" s="6">
        <f t="shared" ca="1" si="6"/>
        <v>0.88000000000000012</v>
      </c>
      <c r="F52" s="6">
        <f>'Monthly Data'!AK52</f>
        <v>149.4</v>
      </c>
      <c r="G52" s="6">
        <f>'Monthly Data'!AM52</f>
        <v>31</v>
      </c>
      <c r="H52" s="6">
        <f>'Monthly Data'!BD52</f>
        <v>1</v>
      </c>
      <c r="I52" s="6">
        <f>'Monthly Data'!AR52</f>
        <v>1</v>
      </c>
      <c r="J52" s="6">
        <f>'Monthly Data'!BA52</f>
        <v>0</v>
      </c>
      <c r="L52" s="20">
        <f>'GS &lt; 50 OLS model'!$I$5</f>
        <v>-1348055.69881657</v>
      </c>
      <c r="M52" s="20">
        <f ca="1">'GS &lt; 50 OLS model'!$I$6*D52</f>
        <v>465790.39742509357</v>
      </c>
      <c r="N52" s="20">
        <f ca="1">'GS &lt; 50 OLS model'!$I$7*E52</f>
        <v>6751.0830153711922</v>
      </c>
      <c r="O52" s="20">
        <f>'GS &lt; 50 OLS model'!$I$8*F52</f>
        <v>1988413.6544072535</v>
      </c>
      <c r="P52" s="20">
        <f>'GS &lt; 50 OLS model'!$I$9*G52</f>
        <v>4609129.5106277745</v>
      </c>
      <c r="Q52" s="20">
        <f>'GS &lt; 50 OLS model'!$I$10*H52</f>
        <v>-267670.55098135502</v>
      </c>
      <c r="R52" s="20">
        <f>'GS &lt; 50 OLS model'!$I$11*I52</f>
        <v>186511.19475200301</v>
      </c>
      <c r="S52" s="20">
        <f>'GS &lt; 50 OLS model'!$I$12*J52</f>
        <v>0</v>
      </c>
      <c r="T52" s="20">
        <f t="shared" ca="1" si="5"/>
        <v>5640869.5904295705</v>
      </c>
    </row>
    <row r="53" spans="1:20" ht="15">
      <c r="A53" s="22">
        <f>'Monthly Data'!A53</f>
        <v>41365</v>
      </c>
      <c r="B53" s="6">
        <f t="shared" si="1"/>
        <v>2013</v>
      </c>
      <c r="C53" s="20">
        <f ca="1">'Monthly Data'!K53</f>
        <v>5151120.774575416</v>
      </c>
      <c r="D53" s="6">
        <f t="shared" ca="1" si="6"/>
        <v>259.5499999999999</v>
      </c>
      <c r="E53" s="6">
        <f t="shared" ca="1" si="6"/>
        <v>2.4500000000000002</v>
      </c>
      <c r="F53" s="6">
        <f>'Monthly Data'!AK53</f>
        <v>152.6</v>
      </c>
      <c r="G53" s="6">
        <f>'Monthly Data'!AM53</f>
        <v>30</v>
      </c>
      <c r="H53" s="6">
        <f>'Monthly Data'!BD53</f>
        <v>1</v>
      </c>
      <c r="I53" s="6">
        <f>'Monthly Data'!AR53</f>
        <v>0</v>
      </c>
      <c r="J53" s="6">
        <f>'Monthly Data'!BA53</f>
        <v>0</v>
      </c>
      <c r="L53" s="20">
        <f>'GS &lt; 50 OLS model'!$I$5</f>
        <v>-1348055.69881657</v>
      </c>
      <c r="M53" s="20">
        <f ca="1">'GS &lt; 50 OLS model'!$I$6*D53</f>
        <v>267859.9230107746</v>
      </c>
      <c r="N53" s="20">
        <f ca="1">'GS &lt; 50 OLS model'!$I$7*E53</f>
        <v>18795.628849612975</v>
      </c>
      <c r="O53" s="20">
        <f>'GS &lt; 50 OLS model'!$I$8*F53</f>
        <v>2031003.5051040619</v>
      </c>
      <c r="P53" s="20">
        <f>'GS &lt; 50 OLS model'!$I$9*G53</f>
        <v>4460447.91351075</v>
      </c>
      <c r="Q53" s="20">
        <f>'GS &lt; 50 OLS model'!$I$10*H53</f>
        <v>-267670.55098135502</v>
      </c>
      <c r="R53" s="20">
        <f>'GS &lt; 50 OLS model'!$I$11*I53</f>
        <v>0</v>
      </c>
      <c r="S53" s="20">
        <f>'GS &lt; 50 OLS model'!$I$12*J53</f>
        <v>0</v>
      </c>
      <c r="T53" s="20">
        <f t="shared" ca="1" si="5"/>
        <v>5162380.7206772743</v>
      </c>
    </row>
    <row r="54" spans="1:20" ht="15">
      <c r="A54" s="22">
        <f>'Monthly Data'!A54</f>
        <v>41395</v>
      </c>
      <c r="B54" s="6">
        <f t="shared" si="1"/>
        <v>2013</v>
      </c>
      <c r="C54" s="20">
        <f ca="1">'Monthly Data'!K54</f>
        <v>5423795.7144559138</v>
      </c>
      <c r="D54" s="6">
        <f t="shared" ca="1" si="6"/>
        <v>88.880000000000024</v>
      </c>
      <c r="E54" s="6">
        <f t="shared" ca="1" si="6"/>
        <v>43.79999999999999</v>
      </c>
      <c r="F54" s="6">
        <f>'Monthly Data'!AK54</f>
        <v>154</v>
      </c>
      <c r="G54" s="6">
        <f>'Monthly Data'!AM54</f>
        <v>31</v>
      </c>
      <c r="H54" s="6">
        <f>'Monthly Data'!BD54</f>
        <v>1</v>
      </c>
      <c r="I54" s="6">
        <f>'Monthly Data'!AR54</f>
        <v>0</v>
      </c>
      <c r="J54" s="6">
        <f>'Monthly Data'!BA54</f>
        <v>0</v>
      </c>
      <c r="L54" s="20">
        <f>'GS &lt; 50 OLS model'!$I$5</f>
        <v>-1348055.69881657</v>
      </c>
      <c r="M54" s="20">
        <f ca="1">'GS &lt; 50 OLS model'!$I$6*D54</f>
        <v>91725.640366779655</v>
      </c>
      <c r="N54" s="20">
        <f ca="1">'GS &lt; 50 OLS model'!$I$7*E54</f>
        <v>336019.8137196115</v>
      </c>
      <c r="O54" s="20">
        <f>'GS &lt; 50 OLS model'!$I$8*F54</f>
        <v>2049636.5647839159</v>
      </c>
      <c r="P54" s="20">
        <f>'GS &lt; 50 OLS model'!$I$9*G54</f>
        <v>4609129.5106277745</v>
      </c>
      <c r="Q54" s="20">
        <f>'GS &lt; 50 OLS model'!$I$10*H54</f>
        <v>-267670.55098135502</v>
      </c>
      <c r="R54" s="20">
        <f>'GS &lt; 50 OLS model'!$I$11*I54</f>
        <v>0</v>
      </c>
      <c r="S54" s="20">
        <f>'GS &lt; 50 OLS model'!$I$12*J54</f>
        <v>0</v>
      </c>
      <c r="T54" s="20">
        <f t="shared" ca="1" si="5"/>
        <v>5470785.2797001572</v>
      </c>
    </row>
    <row r="55" spans="1:20" ht="15">
      <c r="A55" s="22">
        <f>'Monthly Data'!A55</f>
        <v>41426</v>
      </c>
      <c r="B55" s="6">
        <f t="shared" si="1"/>
        <v>2013</v>
      </c>
      <c r="C55" s="20">
        <f ca="1">'Monthly Data'!K55</f>
        <v>5819129.7356781708</v>
      </c>
      <c r="D55" s="6">
        <f t="shared" ca="1" si="6"/>
        <v>9.77</v>
      </c>
      <c r="E55" s="6">
        <f t="shared" ca="1" si="6"/>
        <v>117.38999999999999</v>
      </c>
      <c r="F55" s="6">
        <f>'Monthly Data'!AK55</f>
        <v>155.9</v>
      </c>
      <c r="G55" s="6">
        <f>'Monthly Data'!AM55</f>
        <v>30</v>
      </c>
      <c r="H55" s="6">
        <f>'Monthly Data'!BD55</f>
        <v>0</v>
      </c>
      <c r="I55" s="6">
        <f>'Monthly Data'!AR55</f>
        <v>0</v>
      </c>
      <c r="J55" s="6">
        <f>'Monthly Data'!BA55</f>
        <v>0</v>
      </c>
      <c r="L55" s="20">
        <f>'GS &lt; 50 OLS model'!$I$5</f>
        <v>-1348055.69881657</v>
      </c>
      <c r="M55" s="20">
        <f ca="1">'GS &lt; 50 OLS model'!$I$6*D55</f>
        <v>10082.802727086375</v>
      </c>
      <c r="N55" s="20">
        <f ca="1">'GS &lt; 50 OLS model'!$I$7*E55</f>
        <v>900579.13088002731</v>
      </c>
      <c r="O55" s="20">
        <f>'GS &lt; 50 OLS model'!$I$8*F55</f>
        <v>2074924.2886351461</v>
      </c>
      <c r="P55" s="20">
        <f>'GS &lt; 50 OLS model'!$I$9*G55</f>
        <v>4460447.91351075</v>
      </c>
      <c r="Q55" s="20">
        <f>'GS &lt; 50 OLS model'!$I$10*H55</f>
        <v>0</v>
      </c>
      <c r="R55" s="20">
        <f>'GS &lt; 50 OLS model'!$I$11*I55</f>
        <v>0</v>
      </c>
      <c r="S55" s="20">
        <f>'GS &lt; 50 OLS model'!$I$12*J55</f>
        <v>0</v>
      </c>
      <c r="T55" s="20">
        <f t="shared" ca="1" si="5"/>
        <v>6097978.4369364399</v>
      </c>
    </row>
    <row r="56" spans="1:20" ht="15">
      <c r="A56" s="22">
        <f>'Monthly Data'!A56</f>
        <v>41456</v>
      </c>
      <c r="B56" s="6">
        <f t="shared" si="1"/>
        <v>2013</v>
      </c>
      <c r="C56" s="20">
        <f ca="1">'Monthly Data'!K56</f>
        <v>6365784.4325457644</v>
      </c>
      <c r="D56" s="6">
        <f t="shared" ca="1" si="6"/>
        <v>0.58000000000000007</v>
      </c>
      <c r="E56" s="6">
        <f t="shared" ca="1" si="6"/>
        <v>179.70999999999998</v>
      </c>
      <c r="F56" s="6">
        <f>'Monthly Data'!AK56</f>
        <v>156.6</v>
      </c>
      <c r="G56" s="6">
        <f>'Monthly Data'!AM56</f>
        <v>31</v>
      </c>
      <c r="H56" s="6">
        <f>'Monthly Data'!BD56</f>
        <v>0</v>
      </c>
      <c r="I56" s="6">
        <f>'Monthly Data'!AR56</f>
        <v>0</v>
      </c>
      <c r="J56" s="6">
        <f>'Monthly Data'!BA56</f>
        <v>0</v>
      </c>
      <c r="L56" s="20">
        <f>'GS &lt; 50 OLS model'!$I$5</f>
        <v>-1348055.69881657</v>
      </c>
      <c r="M56" s="20">
        <f ca="1">'GS &lt; 50 OLS model'!$I$6*D56</f>
        <v>598.56966035927314</v>
      </c>
      <c r="N56" s="20">
        <f ca="1">'GS &lt; 50 OLS model'!$I$7*E56</f>
        <v>1378678.5553322234</v>
      </c>
      <c r="O56" s="20">
        <f>'GS &lt; 50 OLS model'!$I$8*F56</f>
        <v>2084240.8184750727</v>
      </c>
      <c r="P56" s="20">
        <f>'GS &lt; 50 OLS model'!$I$9*G56</f>
        <v>4609129.5106277745</v>
      </c>
      <c r="Q56" s="20">
        <f>'GS &lt; 50 OLS model'!$I$10*H56</f>
        <v>0</v>
      </c>
      <c r="R56" s="20">
        <f>'GS &lt; 50 OLS model'!$I$11*I56</f>
        <v>0</v>
      </c>
      <c r="S56" s="20">
        <f>'GS &lt; 50 OLS model'!$I$12*J56</f>
        <v>0</v>
      </c>
      <c r="T56" s="20">
        <f t="shared" ca="1" si="5"/>
        <v>6724591.7552788602</v>
      </c>
    </row>
    <row r="57" spans="1:20" ht="15">
      <c r="A57" s="22">
        <f>'Monthly Data'!A57</f>
        <v>41487</v>
      </c>
      <c r="B57" s="6">
        <f t="shared" si="1"/>
        <v>2013</v>
      </c>
      <c r="C57" s="20">
        <f ca="1">'Monthly Data'!K57</f>
        <v>6212999.889886952</v>
      </c>
      <c r="D57" s="6">
        <f t="shared" ca="1" si="6"/>
        <v>1.7099999999999997</v>
      </c>
      <c r="E57" s="6">
        <f t="shared" ca="1" si="6"/>
        <v>158.1</v>
      </c>
      <c r="F57" s="6">
        <f>'Monthly Data'!AK57</f>
        <v>156.5</v>
      </c>
      <c r="G57" s="6">
        <f>'Monthly Data'!AM57</f>
        <v>31</v>
      </c>
      <c r="H57" s="6">
        <f>'Monthly Data'!BD57</f>
        <v>0</v>
      </c>
      <c r="I57" s="6">
        <f>'Monthly Data'!AR57</f>
        <v>0</v>
      </c>
      <c r="J57" s="6">
        <f>'Monthly Data'!BA57</f>
        <v>0</v>
      </c>
      <c r="L57" s="20">
        <f>'GS &lt; 50 OLS model'!$I$5</f>
        <v>-1348055.69881657</v>
      </c>
      <c r="M57" s="20">
        <f ca="1">'GS &lt; 50 OLS model'!$I$6*D57</f>
        <v>1764.7484814040633</v>
      </c>
      <c r="N57" s="20">
        <f ca="1">'GS &lt; 50 OLS model'!$I$7*E57</f>
        <v>1212893.4371933923</v>
      </c>
      <c r="O57" s="20">
        <f>'GS &lt; 50 OLS model'!$I$8*F57</f>
        <v>2082909.8856407977</v>
      </c>
      <c r="P57" s="20">
        <f>'GS &lt; 50 OLS model'!$I$9*G57</f>
        <v>4609129.5106277745</v>
      </c>
      <c r="Q57" s="20">
        <f>'GS &lt; 50 OLS model'!$I$10*H57</f>
        <v>0</v>
      </c>
      <c r="R57" s="20">
        <f>'GS &lt; 50 OLS model'!$I$11*I57</f>
        <v>0</v>
      </c>
      <c r="S57" s="20">
        <f>'GS &lt; 50 OLS model'!$I$12*J57</f>
        <v>0</v>
      </c>
      <c r="T57" s="20">
        <f t="shared" ca="1" si="5"/>
        <v>6558641.883126799</v>
      </c>
    </row>
    <row r="58" spans="1:20" ht="15">
      <c r="A58" s="22">
        <f>'Monthly Data'!A58</f>
        <v>41518</v>
      </c>
      <c r="B58" s="6">
        <f t="shared" si="1"/>
        <v>2013</v>
      </c>
      <c r="C58" s="20">
        <f ca="1">'Monthly Data'!K58</f>
        <v>5635233.8218801301</v>
      </c>
      <c r="D58" s="6">
        <f t="shared" ca="1" si="6"/>
        <v>32.68</v>
      </c>
      <c r="E58" s="6">
        <f t="shared" ca="1" si="6"/>
        <v>67.34</v>
      </c>
      <c r="F58" s="6">
        <f>'Monthly Data'!AK58</f>
        <v>154.6</v>
      </c>
      <c r="G58" s="6">
        <f>'Monthly Data'!AM58</f>
        <v>30</v>
      </c>
      <c r="H58" s="6">
        <f>'Monthly Data'!BD58</f>
        <v>0</v>
      </c>
      <c r="I58" s="6">
        <f>'Monthly Data'!AR58</f>
        <v>0</v>
      </c>
      <c r="J58" s="6">
        <f>'Monthly Data'!BA58</f>
        <v>0</v>
      </c>
      <c r="L58" s="20">
        <f>'GS &lt; 50 OLS model'!$I$5</f>
        <v>-1348055.69881657</v>
      </c>
      <c r="M58" s="20">
        <f ca="1">'GS &lt; 50 OLS model'!$I$6*D58</f>
        <v>33726.304311277658</v>
      </c>
      <c r="N58" s="20">
        <f ca="1">'GS &lt; 50 OLS model'!$I$7*E58</f>
        <v>516611.28438079095</v>
      </c>
      <c r="O58" s="20">
        <f>'GS &lt; 50 OLS model'!$I$8*F58</f>
        <v>2057622.1617895674</v>
      </c>
      <c r="P58" s="20">
        <f>'GS &lt; 50 OLS model'!$I$9*G58</f>
        <v>4460447.91351075</v>
      </c>
      <c r="Q58" s="20">
        <f>'GS &lt; 50 OLS model'!$I$10*H58</f>
        <v>0</v>
      </c>
      <c r="R58" s="20">
        <f>'GS &lt; 50 OLS model'!$I$11*I58</f>
        <v>0</v>
      </c>
      <c r="S58" s="20">
        <f>'GS &lt; 50 OLS model'!$I$12*J58</f>
        <v>0</v>
      </c>
      <c r="T58" s="20">
        <f t="shared" ca="1" si="5"/>
        <v>5720351.9651758159</v>
      </c>
    </row>
    <row r="59" spans="1:20" ht="15">
      <c r="A59" s="22">
        <f>'Monthly Data'!A59</f>
        <v>41548</v>
      </c>
      <c r="B59" s="6">
        <f t="shared" si="1"/>
        <v>2013</v>
      </c>
      <c r="C59" s="20">
        <f ca="1">'Monthly Data'!K59</f>
        <v>5244110.3430482503</v>
      </c>
      <c r="D59" s="6">
        <f t="shared" ca="1" si="6"/>
        <v>176.42</v>
      </c>
      <c r="E59" s="6">
        <f t="shared" ca="1" si="6"/>
        <v>10.18</v>
      </c>
      <c r="F59" s="6">
        <f>'Monthly Data'!AK59</f>
        <v>155.80000000000001</v>
      </c>
      <c r="G59" s="6">
        <f>'Monthly Data'!AM59</f>
        <v>31</v>
      </c>
      <c r="H59" s="6">
        <f>'Monthly Data'!BD59</f>
        <v>1</v>
      </c>
      <c r="I59" s="6">
        <f>'Monthly Data'!AR59</f>
        <v>0</v>
      </c>
      <c r="J59" s="6">
        <f>'Monthly Data'!BA59</f>
        <v>0</v>
      </c>
      <c r="L59" s="20">
        <f>'GS &lt; 50 OLS model'!$I$5</f>
        <v>-1348055.69881657</v>
      </c>
      <c r="M59" s="20">
        <f ca="1">'GS &lt; 50 OLS model'!$I$6*D59</f>
        <v>182068.37841479818</v>
      </c>
      <c r="N59" s="20">
        <f ca="1">'GS &lt; 50 OLS model'!$I$7*E59</f>
        <v>78097.755791453092</v>
      </c>
      <c r="O59" s="20">
        <f>'GS &lt; 50 OLS model'!$I$8*F59</f>
        <v>2073593.3558008708</v>
      </c>
      <c r="P59" s="20">
        <f>'GS &lt; 50 OLS model'!$I$9*G59</f>
        <v>4609129.5106277745</v>
      </c>
      <c r="Q59" s="20">
        <f>'GS &lt; 50 OLS model'!$I$10*H59</f>
        <v>-267670.55098135502</v>
      </c>
      <c r="R59" s="20">
        <f>'GS &lt; 50 OLS model'!$I$11*I59</f>
        <v>0</v>
      </c>
      <c r="S59" s="20">
        <f>'GS &lt; 50 OLS model'!$I$12*J59</f>
        <v>0</v>
      </c>
      <c r="T59" s="20">
        <f t="shared" ca="1" si="5"/>
        <v>5327162.7508369712</v>
      </c>
    </row>
    <row r="60" spans="1:20" ht="15">
      <c r="A60" s="22">
        <f>'Monthly Data'!A60</f>
        <v>41579</v>
      </c>
      <c r="B60" s="6">
        <f t="shared" si="1"/>
        <v>2013</v>
      </c>
      <c r="C60" s="20">
        <f ca="1">'Monthly Data'!K60</f>
        <v>5278519.5614520842</v>
      </c>
      <c r="D60" s="6">
        <f t="shared" ca="1" si="6"/>
        <v>364.2299999999999</v>
      </c>
      <c r="E60" s="6">
        <f t="shared" ca="1" si="6"/>
        <v>0.05</v>
      </c>
      <c r="F60" s="6">
        <f>'Monthly Data'!AK60</f>
        <v>156.69999999999999</v>
      </c>
      <c r="G60" s="6">
        <f>'Monthly Data'!AM60</f>
        <v>30</v>
      </c>
      <c r="H60" s="6">
        <f>'Monthly Data'!BD60</f>
        <v>1</v>
      </c>
      <c r="I60" s="6">
        <f>'Monthly Data'!AR60</f>
        <v>0</v>
      </c>
      <c r="J60" s="6">
        <f>'Monthly Data'!BA60</f>
        <v>0</v>
      </c>
      <c r="L60" s="20">
        <f>'GS &lt; 50 OLS model'!$I$5</f>
        <v>-1348055.69881657</v>
      </c>
      <c r="M60" s="20">
        <f ca="1">'GS &lt; 50 OLS model'!$I$6*D60</f>
        <v>375891.42653906549</v>
      </c>
      <c r="N60" s="20">
        <f ca="1">'GS &lt; 50 OLS model'!$I$7*E60</f>
        <v>383.58426223699951</v>
      </c>
      <c r="O60" s="20">
        <f>'GS &lt; 50 OLS model'!$I$8*F60</f>
        <v>2085571.751309348</v>
      </c>
      <c r="P60" s="20">
        <f>'GS &lt; 50 OLS model'!$I$9*G60</f>
        <v>4460447.91351075</v>
      </c>
      <c r="Q60" s="20">
        <f>'GS &lt; 50 OLS model'!$I$10*H60</f>
        <v>-267670.55098135502</v>
      </c>
      <c r="R60" s="20">
        <f>'GS &lt; 50 OLS model'!$I$11*I60</f>
        <v>0</v>
      </c>
      <c r="S60" s="20">
        <f>'GS &lt; 50 OLS model'!$I$12*J60</f>
        <v>0</v>
      </c>
      <c r="T60" s="20">
        <f t="shared" ca="1" si="5"/>
        <v>5306568.4258234752</v>
      </c>
    </row>
    <row r="61" spans="1:20" ht="15">
      <c r="A61" s="22">
        <f>'Monthly Data'!A61</f>
        <v>41609</v>
      </c>
      <c r="B61" s="6">
        <f t="shared" si="1"/>
        <v>2013</v>
      </c>
      <c r="C61" s="20">
        <f ca="1">'Monthly Data'!K61</f>
        <v>5836114.3315690635</v>
      </c>
      <c r="D61" s="6">
        <f t="shared" ca="1" si="6"/>
        <v>552.31000000000006</v>
      </c>
      <c r="E61" s="6">
        <f t="shared" ca="1" si="6"/>
        <v>0</v>
      </c>
      <c r="F61" s="6">
        <f>'Monthly Data'!AK61</f>
        <v>159.19999999999999</v>
      </c>
      <c r="G61" s="6">
        <f>'Monthly Data'!AM61</f>
        <v>31</v>
      </c>
      <c r="H61" s="6">
        <f>'Monthly Data'!BD61</f>
        <v>0</v>
      </c>
      <c r="I61" s="6">
        <f>'Monthly Data'!AR61</f>
        <v>0</v>
      </c>
      <c r="J61" s="6">
        <f>'Monthly Data'!BA61</f>
        <v>1</v>
      </c>
      <c r="L61" s="20">
        <f>'GS &lt; 50 OLS model'!$I$5</f>
        <v>-1348055.69881657</v>
      </c>
      <c r="M61" s="20">
        <f ca="1">'GS &lt; 50 OLS model'!$I$6*D61</f>
        <v>569993.11916039675</v>
      </c>
      <c r="N61" s="20">
        <f ca="1">'GS &lt; 50 OLS model'!$I$7*E61</f>
        <v>0</v>
      </c>
      <c r="O61" s="20">
        <f>'GS &lt; 50 OLS model'!$I$8*F61</f>
        <v>2118845.0721662296</v>
      </c>
      <c r="P61" s="20">
        <f>'GS &lt; 50 OLS model'!$I$9*G61</f>
        <v>4609129.5106277745</v>
      </c>
      <c r="Q61" s="20">
        <f>'GS &lt; 50 OLS model'!$I$10*H61</f>
        <v>0</v>
      </c>
      <c r="R61" s="20">
        <f>'GS &lt; 50 OLS model'!$I$11*I61</f>
        <v>0</v>
      </c>
      <c r="S61" s="20">
        <f>'GS &lt; 50 OLS model'!$I$12*J61</f>
        <v>-201228.923645601</v>
      </c>
      <c r="T61" s="20">
        <f t="shared" ca="1" si="5"/>
        <v>5748683.07949223</v>
      </c>
    </row>
    <row r="62" spans="1:20" ht="15">
      <c r="A62" s="22">
        <v>41640</v>
      </c>
      <c r="B62" s="6">
        <f t="shared" si="1"/>
        <v>2014</v>
      </c>
      <c r="C62" s="20">
        <f ca="1">'Monthly Data'!K62</f>
        <v>6160076.9121971037</v>
      </c>
      <c r="D62" s="6">
        <f t="shared" ref="D62:E77" ca="1" si="7">D50</f>
        <v>661.18999999999994</v>
      </c>
      <c r="E62" s="6">
        <f t="shared" ca="1" si="7"/>
        <v>0</v>
      </c>
      <c r="F62" s="6">
        <f>'Monthly Data'!AK62</f>
        <v>157.1</v>
      </c>
      <c r="G62" s="6">
        <f>'Monthly Data'!AM62</f>
        <v>31</v>
      </c>
      <c r="H62" s="6">
        <f>'Monthly Data'!BD62</f>
        <v>0</v>
      </c>
      <c r="I62" s="6">
        <f>'Monthly Data'!AR62</f>
        <v>0</v>
      </c>
      <c r="J62" s="6">
        <f>'Monthly Data'!BA62</f>
        <v>0</v>
      </c>
      <c r="L62" s="20">
        <f>'GS &lt; 50 OLS model'!$I$5</f>
        <v>-1348055.69881657</v>
      </c>
      <c r="M62" s="20">
        <f ca="1">'GS &lt; 50 OLS model'!$I$6*D62</f>
        <v>682359.09264301334</v>
      </c>
      <c r="N62" s="20">
        <f ca="1">'GS &lt; 50 OLS model'!$I$7*E62</f>
        <v>0</v>
      </c>
      <c r="O62" s="20">
        <f>'GS &lt; 50 OLS model'!$I$8*F62</f>
        <v>2090895.4826464492</v>
      </c>
      <c r="P62" s="20">
        <f>'GS &lt; 50 OLS model'!$I$9*G62</f>
        <v>4609129.5106277745</v>
      </c>
      <c r="Q62" s="20">
        <f>'GS &lt; 50 OLS model'!$I$10*H62</f>
        <v>0</v>
      </c>
      <c r="R62" s="20">
        <f>'GS &lt; 50 OLS model'!$I$11*I62</f>
        <v>0</v>
      </c>
      <c r="S62" s="20">
        <f>'GS &lt; 50 OLS model'!$I$12*J62</f>
        <v>0</v>
      </c>
      <c r="T62" s="20">
        <f t="shared" ca="1" si="5"/>
        <v>6034328.3871006668</v>
      </c>
    </row>
    <row r="63" spans="1:20" ht="15">
      <c r="A63" s="22">
        <v>41671</v>
      </c>
      <c r="B63" s="6">
        <f t="shared" si="1"/>
        <v>2014</v>
      </c>
      <c r="C63" s="20">
        <f ca="1">'Monthly Data'!K63</f>
        <v>5583527.4099679338</v>
      </c>
      <c r="D63" s="6">
        <f t="shared" ca="1" si="7"/>
        <v>598.16999999999985</v>
      </c>
      <c r="E63" s="6">
        <f t="shared" ca="1" si="7"/>
        <v>0</v>
      </c>
      <c r="F63" s="6">
        <f>'Monthly Data'!AK63</f>
        <v>154.69999999999999</v>
      </c>
      <c r="G63" s="6">
        <f>'Monthly Data'!AM63</f>
        <v>28</v>
      </c>
      <c r="H63" s="6">
        <f>'Monthly Data'!BD63</f>
        <v>0</v>
      </c>
      <c r="I63" s="6">
        <f>'Monthly Data'!AR63</f>
        <v>0</v>
      </c>
      <c r="J63" s="6">
        <f>'Monthly Data'!BA63</f>
        <v>0</v>
      </c>
      <c r="L63" s="20">
        <f>'GS &lt; 50 OLS model'!$I$5</f>
        <v>-1348055.69881657</v>
      </c>
      <c r="M63" s="20">
        <f ca="1">'GS &lt; 50 OLS model'!$I$6*D63</f>
        <v>617321.40299501084</v>
      </c>
      <c r="N63" s="20">
        <f ca="1">'GS &lt; 50 OLS model'!$I$7*E63</f>
        <v>0</v>
      </c>
      <c r="O63" s="20">
        <f>'GS &lt; 50 OLS model'!$I$8*F63</f>
        <v>2058953.0946238425</v>
      </c>
      <c r="P63" s="20">
        <f>'GS &lt; 50 OLS model'!$I$9*G63</f>
        <v>4163084.7192767002</v>
      </c>
      <c r="Q63" s="20">
        <f>'GS &lt; 50 OLS model'!$I$10*H63</f>
        <v>0</v>
      </c>
      <c r="R63" s="20">
        <f>'GS &lt; 50 OLS model'!$I$11*I63</f>
        <v>0</v>
      </c>
      <c r="S63" s="20">
        <f>'GS &lt; 50 OLS model'!$I$12*J63</f>
        <v>0</v>
      </c>
      <c r="T63" s="20">
        <f t="shared" ca="1" si="5"/>
        <v>5491303.5180789838</v>
      </c>
    </row>
    <row r="64" spans="1:20" ht="15">
      <c r="A64" s="22">
        <v>41699</v>
      </c>
      <c r="B64" s="6">
        <f t="shared" si="1"/>
        <v>2014</v>
      </c>
      <c r="C64" s="20">
        <f ca="1">'Monthly Data'!K64</f>
        <v>5765002.1393458238</v>
      </c>
      <c r="D64" s="6">
        <f t="shared" ca="1" si="7"/>
        <v>451.34</v>
      </c>
      <c r="E64" s="6">
        <f t="shared" ca="1" si="7"/>
        <v>0.88000000000000012</v>
      </c>
      <c r="F64" s="6">
        <f>'Monthly Data'!AK64</f>
        <v>152.4</v>
      </c>
      <c r="G64" s="6">
        <f>'Monthly Data'!AM64</f>
        <v>31</v>
      </c>
      <c r="H64" s="6">
        <f>'Monthly Data'!BD64</f>
        <v>1</v>
      </c>
      <c r="I64" s="6">
        <f>'Monthly Data'!AR64</f>
        <v>1</v>
      </c>
      <c r="J64" s="6">
        <f>'Monthly Data'!BA64</f>
        <v>0</v>
      </c>
      <c r="L64" s="20">
        <f>'GS &lt; 50 OLS model'!$I$5</f>
        <v>-1348055.69881657</v>
      </c>
      <c r="M64" s="20">
        <f ca="1">'GS &lt; 50 OLS model'!$I$6*D64</f>
        <v>465790.39742509357</v>
      </c>
      <c r="N64" s="20">
        <f ca="1">'GS &lt; 50 OLS model'!$I$7*E64</f>
        <v>6751.0830153711922</v>
      </c>
      <c r="O64" s="20">
        <f>'GS &lt; 50 OLS model'!$I$8*F64</f>
        <v>2028341.6394355115</v>
      </c>
      <c r="P64" s="20">
        <f>'GS &lt; 50 OLS model'!$I$9*G64</f>
        <v>4609129.5106277745</v>
      </c>
      <c r="Q64" s="20">
        <f>'GS &lt; 50 OLS model'!$I$10*H64</f>
        <v>-267670.55098135502</v>
      </c>
      <c r="R64" s="20">
        <f>'GS &lt; 50 OLS model'!$I$11*I64</f>
        <v>186511.19475200301</v>
      </c>
      <c r="S64" s="20">
        <f>'GS &lt; 50 OLS model'!$I$12*J64</f>
        <v>0</v>
      </c>
      <c r="T64" s="20">
        <f t="shared" ca="1" si="5"/>
        <v>5680797.5754578291</v>
      </c>
    </row>
    <row r="65" spans="1:20" ht="15">
      <c r="A65" s="22">
        <v>41730</v>
      </c>
      <c r="B65" s="6">
        <f t="shared" si="1"/>
        <v>2014</v>
      </c>
      <c r="C65" s="20">
        <f ca="1">'Monthly Data'!K65</f>
        <v>5047184.9055247335</v>
      </c>
      <c r="D65" s="6">
        <f t="shared" ca="1" si="7"/>
        <v>259.5499999999999</v>
      </c>
      <c r="E65" s="6">
        <f t="shared" ca="1" si="7"/>
        <v>2.4500000000000002</v>
      </c>
      <c r="F65" s="6">
        <f>'Monthly Data'!AK65</f>
        <v>151.1</v>
      </c>
      <c r="G65" s="6">
        <f>'Monthly Data'!AM65</f>
        <v>30</v>
      </c>
      <c r="H65" s="6">
        <f>'Monthly Data'!BD65</f>
        <v>1</v>
      </c>
      <c r="I65" s="6">
        <f>'Monthly Data'!AR65</f>
        <v>0</v>
      </c>
      <c r="J65" s="6">
        <f>'Monthly Data'!BA65</f>
        <v>0</v>
      </c>
      <c r="L65" s="20">
        <f>'GS &lt; 50 OLS model'!$I$5</f>
        <v>-1348055.69881657</v>
      </c>
      <c r="M65" s="20">
        <f ca="1">'GS &lt; 50 OLS model'!$I$6*D65</f>
        <v>267859.9230107746</v>
      </c>
      <c r="N65" s="20">
        <f ca="1">'GS &lt; 50 OLS model'!$I$7*E65</f>
        <v>18795.628849612975</v>
      </c>
      <c r="O65" s="20">
        <f>'GS &lt; 50 OLS model'!$I$8*F65</f>
        <v>2011039.5125899329</v>
      </c>
      <c r="P65" s="20">
        <f>'GS &lt; 50 OLS model'!$I$9*G65</f>
        <v>4460447.91351075</v>
      </c>
      <c r="Q65" s="20">
        <f>'GS &lt; 50 OLS model'!$I$10*H65</f>
        <v>-267670.55098135502</v>
      </c>
      <c r="R65" s="20">
        <f>'GS &lt; 50 OLS model'!$I$11*I65</f>
        <v>0</v>
      </c>
      <c r="S65" s="20">
        <f>'GS &lt; 50 OLS model'!$I$12*J65</f>
        <v>0</v>
      </c>
      <c r="T65" s="20">
        <f t="shared" ca="1" si="5"/>
        <v>5142416.7281631455</v>
      </c>
    </row>
    <row r="66" spans="1:20" ht="15">
      <c r="A66" s="22">
        <v>41760</v>
      </c>
      <c r="B66" s="6">
        <f t="shared" si="1"/>
        <v>2014</v>
      </c>
      <c r="C66" s="20">
        <f ca="1">'Monthly Data'!K66</f>
        <v>5341469.543139304</v>
      </c>
      <c r="D66" s="6">
        <f t="shared" ca="1" si="7"/>
        <v>88.880000000000024</v>
      </c>
      <c r="E66" s="6">
        <f t="shared" ca="1" si="7"/>
        <v>43.79999999999999</v>
      </c>
      <c r="F66" s="6">
        <f>'Monthly Data'!AK66</f>
        <v>151.19999999999999</v>
      </c>
      <c r="G66" s="6">
        <f>'Monthly Data'!AM66</f>
        <v>31</v>
      </c>
      <c r="H66" s="6">
        <f>'Monthly Data'!BD66</f>
        <v>1</v>
      </c>
      <c r="I66" s="6">
        <f>'Monthly Data'!AR66</f>
        <v>0</v>
      </c>
      <c r="J66" s="6">
        <f>'Monthly Data'!BA66</f>
        <v>0</v>
      </c>
      <c r="L66" s="20">
        <f>'GS &lt; 50 OLS model'!$I$5</f>
        <v>-1348055.69881657</v>
      </c>
      <c r="M66" s="20">
        <f ca="1">'GS &lt; 50 OLS model'!$I$6*D66</f>
        <v>91725.640366779655</v>
      </c>
      <c r="N66" s="20">
        <f ca="1">'GS &lt; 50 OLS model'!$I$7*E66</f>
        <v>336019.8137196115</v>
      </c>
      <c r="O66" s="20">
        <f>'GS &lt; 50 OLS model'!$I$8*F66</f>
        <v>2012370.4454242082</v>
      </c>
      <c r="P66" s="20">
        <f>'GS &lt; 50 OLS model'!$I$9*G66</f>
        <v>4609129.5106277745</v>
      </c>
      <c r="Q66" s="20">
        <f>'GS &lt; 50 OLS model'!$I$10*H66</f>
        <v>-267670.55098135502</v>
      </c>
      <c r="R66" s="20">
        <f>'GS &lt; 50 OLS model'!$I$11*I66</f>
        <v>0</v>
      </c>
      <c r="S66" s="20">
        <f>'GS &lt; 50 OLS model'!$I$12*J66</f>
        <v>0</v>
      </c>
      <c r="T66" s="20">
        <f t="shared" ref="T66:T97" ca="1" si="8">SUM(L66:S66)</f>
        <v>5433519.1603404488</v>
      </c>
    </row>
    <row r="67" spans="1:20" ht="15">
      <c r="A67" s="22">
        <v>41791</v>
      </c>
      <c r="B67" s="6">
        <f t="shared" ref="B67:B109" si="9">YEAR(A67)</f>
        <v>2014</v>
      </c>
      <c r="C67" s="20">
        <f ca="1">'Monthly Data'!K67</f>
        <v>5873777.4547528643</v>
      </c>
      <c r="D67" s="6">
        <f t="shared" ca="1" si="7"/>
        <v>9.77</v>
      </c>
      <c r="E67" s="6">
        <f t="shared" ca="1" si="7"/>
        <v>117.38999999999999</v>
      </c>
      <c r="F67" s="6">
        <f>'Monthly Data'!AK67</f>
        <v>150.9</v>
      </c>
      <c r="G67" s="6">
        <f>'Monthly Data'!AM67</f>
        <v>30</v>
      </c>
      <c r="H67" s="6">
        <f>'Monthly Data'!BD67</f>
        <v>0</v>
      </c>
      <c r="I67" s="6">
        <f>'Monthly Data'!AR67</f>
        <v>0</v>
      </c>
      <c r="J67" s="6">
        <f>'Monthly Data'!BA67</f>
        <v>0</v>
      </c>
      <c r="L67" s="20">
        <f>'GS &lt; 50 OLS model'!$I$5</f>
        <v>-1348055.69881657</v>
      </c>
      <c r="M67" s="20">
        <f ca="1">'GS &lt; 50 OLS model'!$I$6*D67</f>
        <v>10082.802727086375</v>
      </c>
      <c r="N67" s="20">
        <f ca="1">'GS &lt; 50 OLS model'!$I$7*E67</f>
        <v>900579.13088002731</v>
      </c>
      <c r="O67" s="20">
        <f>'GS &lt; 50 OLS model'!$I$8*F67</f>
        <v>2008377.6469213825</v>
      </c>
      <c r="P67" s="20">
        <f>'GS &lt; 50 OLS model'!$I$9*G67</f>
        <v>4460447.91351075</v>
      </c>
      <c r="Q67" s="20">
        <f>'GS &lt; 50 OLS model'!$I$10*H67</f>
        <v>0</v>
      </c>
      <c r="R67" s="20">
        <f>'GS &lt; 50 OLS model'!$I$11*I67</f>
        <v>0</v>
      </c>
      <c r="S67" s="20">
        <f>'GS &lt; 50 OLS model'!$I$12*J67</f>
        <v>0</v>
      </c>
      <c r="T67" s="20">
        <f t="shared" ca="1" si="8"/>
        <v>6031431.7952226764</v>
      </c>
    </row>
    <row r="68" spans="1:20" ht="15">
      <c r="A68" s="22">
        <v>41821</v>
      </c>
      <c r="B68" s="6">
        <f t="shared" si="9"/>
        <v>2014</v>
      </c>
      <c r="C68" s="20">
        <f ca="1">'Monthly Data'!K68</f>
        <v>6167201.5336482739</v>
      </c>
      <c r="D68" s="6">
        <f t="shared" ca="1" si="7"/>
        <v>0.58000000000000007</v>
      </c>
      <c r="E68" s="6">
        <f t="shared" ca="1" si="7"/>
        <v>179.70999999999998</v>
      </c>
      <c r="F68" s="6">
        <f>'Monthly Data'!AK68</f>
        <v>153.6</v>
      </c>
      <c r="G68" s="6">
        <f>'Monthly Data'!AM68</f>
        <v>31</v>
      </c>
      <c r="H68" s="6">
        <f>'Monthly Data'!BD68</f>
        <v>0</v>
      </c>
      <c r="I68" s="6">
        <f>'Monthly Data'!AR68</f>
        <v>0</v>
      </c>
      <c r="J68" s="6">
        <f>'Monthly Data'!BA68</f>
        <v>0</v>
      </c>
      <c r="L68" s="20">
        <f>'GS &lt; 50 OLS model'!$I$5</f>
        <v>-1348055.69881657</v>
      </c>
      <c r="M68" s="20">
        <f ca="1">'GS &lt; 50 OLS model'!$I$6*D68</f>
        <v>598.56966035927314</v>
      </c>
      <c r="N68" s="20">
        <f ca="1">'GS &lt; 50 OLS model'!$I$7*E68</f>
        <v>1378678.5553322234</v>
      </c>
      <c r="O68" s="20">
        <f>'GS &lt; 50 OLS model'!$I$8*F68</f>
        <v>2044312.8334468147</v>
      </c>
      <c r="P68" s="20">
        <f>'GS &lt; 50 OLS model'!$I$9*G68</f>
        <v>4609129.5106277745</v>
      </c>
      <c r="Q68" s="20">
        <f>'GS &lt; 50 OLS model'!$I$10*H68</f>
        <v>0</v>
      </c>
      <c r="R68" s="20">
        <f>'GS &lt; 50 OLS model'!$I$11*I68</f>
        <v>0</v>
      </c>
      <c r="S68" s="20">
        <f>'GS &lt; 50 OLS model'!$I$12*J68</f>
        <v>0</v>
      </c>
      <c r="T68" s="20">
        <f t="shared" ca="1" si="8"/>
        <v>6684663.7702506017</v>
      </c>
    </row>
    <row r="69" spans="1:20" ht="15">
      <c r="A69" s="22">
        <v>41852</v>
      </c>
      <c r="B69" s="6">
        <f t="shared" si="9"/>
        <v>2014</v>
      </c>
      <c r="C69" s="20">
        <f ca="1">'Monthly Data'!K69</f>
        <v>6189372.2861325433</v>
      </c>
      <c r="D69" s="6">
        <f t="shared" ca="1" si="7"/>
        <v>1.7099999999999997</v>
      </c>
      <c r="E69" s="6">
        <f t="shared" ca="1" si="7"/>
        <v>158.1</v>
      </c>
      <c r="F69" s="6">
        <f>'Monthly Data'!AK69</f>
        <v>154.5</v>
      </c>
      <c r="G69" s="6">
        <f>'Monthly Data'!AM69</f>
        <v>31</v>
      </c>
      <c r="H69" s="6">
        <f>'Monthly Data'!BD69</f>
        <v>0</v>
      </c>
      <c r="I69" s="6">
        <f>'Monthly Data'!AR69</f>
        <v>0</v>
      </c>
      <c r="J69" s="6">
        <f>'Monthly Data'!BA69</f>
        <v>0</v>
      </c>
      <c r="L69" s="20">
        <f>'GS &lt; 50 OLS model'!$I$5</f>
        <v>-1348055.69881657</v>
      </c>
      <c r="M69" s="20">
        <f ca="1">'GS &lt; 50 OLS model'!$I$6*D69</f>
        <v>1764.7484814040633</v>
      </c>
      <c r="N69" s="20">
        <f ca="1">'GS &lt; 50 OLS model'!$I$7*E69</f>
        <v>1212893.4371933923</v>
      </c>
      <c r="O69" s="20">
        <f>'GS &lt; 50 OLS model'!$I$8*F69</f>
        <v>2056291.2289552921</v>
      </c>
      <c r="P69" s="20">
        <f>'GS &lt; 50 OLS model'!$I$9*G69</f>
        <v>4609129.5106277745</v>
      </c>
      <c r="Q69" s="20">
        <f>'GS &lt; 50 OLS model'!$I$10*H69</f>
        <v>0</v>
      </c>
      <c r="R69" s="20">
        <f>'GS &lt; 50 OLS model'!$I$11*I69</f>
        <v>0</v>
      </c>
      <c r="S69" s="20">
        <f>'GS &lt; 50 OLS model'!$I$12*J69</f>
        <v>0</v>
      </c>
      <c r="T69" s="20">
        <f t="shared" ca="1" si="8"/>
        <v>6532023.226441293</v>
      </c>
    </row>
    <row r="70" spans="1:20" ht="15">
      <c r="A70" s="22">
        <v>41883</v>
      </c>
      <c r="B70" s="6">
        <f t="shared" si="9"/>
        <v>2014</v>
      </c>
      <c r="C70" s="20">
        <f ca="1">'Monthly Data'!K70</f>
        <v>5434281.2694790848</v>
      </c>
      <c r="D70" s="6">
        <f t="shared" ca="1" si="7"/>
        <v>32.68</v>
      </c>
      <c r="E70" s="6">
        <f t="shared" ca="1" si="7"/>
        <v>67.34</v>
      </c>
      <c r="F70" s="6">
        <f>'Monthly Data'!AK70</f>
        <v>156.6</v>
      </c>
      <c r="G70" s="6">
        <f>'Monthly Data'!AM70</f>
        <v>30</v>
      </c>
      <c r="H70" s="6">
        <f>'Monthly Data'!BD70</f>
        <v>0</v>
      </c>
      <c r="I70" s="6">
        <f>'Monthly Data'!AR70</f>
        <v>0</v>
      </c>
      <c r="J70" s="6">
        <f>'Monthly Data'!BA70</f>
        <v>0</v>
      </c>
      <c r="L70" s="20">
        <f>'GS &lt; 50 OLS model'!$I$5</f>
        <v>-1348055.69881657</v>
      </c>
      <c r="M70" s="20">
        <f ca="1">'GS &lt; 50 OLS model'!$I$6*D70</f>
        <v>33726.304311277658</v>
      </c>
      <c r="N70" s="20">
        <f ca="1">'GS &lt; 50 OLS model'!$I$7*E70</f>
        <v>516611.28438079095</v>
      </c>
      <c r="O70" s="20">
        <f>'GS &lt; 50 OLS model'!$I$8*F70</f>
        <v>2084240.8184750727</v>
      </c>
      <c r="P70" s="20">
        <f>'GS &lt; 50 OLS model'!$I$9*G70</f>
        <v>4460447.91351075</v>
      </c>
      <c r="Q70" s="20">
        <f>'GS &lt; 50 OLS model'!$I$10*H70</f>
        <v>0</v>
      </c>
      <c r="R70" s="20">
        <f>'GS &lt; 50 OLS model'!$I$11*I70</f>
        <v>0</v>
      </c>
      <c r="S70" s="20">
        <f>'GS &lt; 50 OLS model'!$I$12*J70</f>
        <v>0</v>
      </c>
      <c r="T70" s="20">
        <f t="shared" ca="1" si="8"/>
        <v>5746970.6218613219</v>
      </c>
    </row>
    <row r="71" spans="1:20" ht="15">
      <c r="A71" s="22">
        <v>41913</v>
      </c>
      <c r="B71" s="6">
        <f t="shared" si="9"/>
        <v>2014</v>
      </c>
      <c r="C71" s="20">
        <f ca="1">'Monthly Data'!K71</f>
        <v>5094540.9732233444</v>
      </c>
      <c r="D71" s="6">
        <f t="shared" ca="1" si="7"/>
        <v>176.42</v>
      </c>
      <c r="E71" s="6">
        <f t="shared" ca="1" si="7"/>
        <v>10.18</v>
      </c>
      <c r="F71" s="6">
        <f>'Monthly Data'!AK71</f>
        <v>158.30000000000001</v>
      </c>
      <c r="G71" s="6">
        <f>'Monthly Data'!AM71</f>
        <v>31</v>
      </c>
      <c r="H71" s="6">
        <f>'Monthly Data'!BD71</f>
        <v>1</v>
      </c>
      <c r="I71" s="6">
        <f>'Monthly Data'!AR71</f>
        <v>0</v>
      </c>
      <c r="J71" s="6">
        <f>'Monthly Data'!BA71</f>
        <v>0</v>
      </c>
      <c r="L71" s="20">
        <f>'GS &lt; 50 OLS model'!$I$5</f>
        <v>-1348055.69881657</v>
      </c>
      <c r="M71" s="20">
        <f ca="1">'GS &lt; 50 OLS model'!$I$6*D71</f>
        <v>182068.37841479818</v>
      </c>
      <c r="N71" s="20">
        <f ca="1">'GS &lt; 50 OLS model'!$I$7*E71</f>
        <v>78097.755791453092</v>
      </c>
      <c r="O71" s="20">
        <f>'GS &lt; 50 OLS model'!$I$8*F71</f>
        <v>2106866.6766577526</v>
      </c>
      <c r="P71" s="20">
        <f>'GS &lt; 50 OLS model'!$I$9*G71</f>
        <v>4609129.5106277745</v>
      </c>
      <c r="Q71" s="20">
        <f>'GS &lt; 50 OLS model'!$I$10*H71</f>
        <v>-267670.55098135502</v>
      </c>
      <c r="R71" s="20">
        <f>'GS &lt; 50 OLS model'!$I$11*I71</f>
        <v>0</v>
      </c>
      <c r="S71" s="20">
        <f>'GS &lt; 50 OLS model'!$I$12*J71</f>
        <v>0</v>
      </c>
      <c r="T71" s="20">
        <f t="shared" ca="1" si="8"/>
        <v>5360436.0716938535</v>
      </c>
    </row>
    <row r="72" spans="1:20" ht="15">
      <c r="A72" s="22">
        <v>41944</v>
      </c>
      <c r="B72" s="6">
        <f t="shared" si="9"/>
        <v>2014</v>
      </c>
      <c r="C72" s="20">
        <f ca="1">'Monthly Data'!K72</f>
        <v>5321955.4914958244</v>
      </c>
      <c r="D72" s="6">
        <f t="shared" ca="1" si="7"/>
        <v>364.2299999999999</v>
      </c>
      <c r="E72" s="6">
        <f t="shared" ca="1" si="7"/>
        <v>0.05</v>
      </c>
      <c r="F72" s="6">
        <f>'Monthly Data'!AK72</f>
        <v>159.30000000000001</v>
      </c>
      <c r="G72" s="6">
        <f>'Monthly Data'!AM72</f>
        <v>30</v>
      </c>
      <c r="H72" s="6">
        <f>'Monthly Data'!BD72</f>
        <v>1</v>
      </c>
      <c r="I72" s="6">
        <f>'Monthly Data'!AR72</f>
        <v>0</v>
      </c>
      <c r="J72" s="6">
        <f>'Monthly Data'!BA72</f>
        <v>0</v>
      </c>
      <c r="L72" s="20">
        <f>'GS &lt; 50 OLS model'!$I$5</f>
        <v>-1348055.69881657</v>
      </c>
      <c r="M72" s="20">
        <f ca="1">'GS &lt; 50 OLS model'!$I$6*D72</f>
        <v>375891.42653906549</v>
      </c>
      <c r="N72" s="20">
        <f ca="1">'GS &lt; 50 OLS model'!$I$7*E72</f>
        <v>383.58426223699951</v>
      </c>
      <c r="O72" s="20">
        <f>'GS &lt; 50 OLS model'!$I$8*F72</f>
        <v>2120176.0050005051</v>
      </c>
      <c r="P72" s="20">
        <f>'GS &lt; 50 OLS model'!$I$9*G72</f>
        <v>4460447.91351075</v>
      </c>
      <c r="Q72" s="20">
        <f>'GS &lt; 50 OLS model'!$I$10*H72</f>
        <v>-267670.55098135502</v>
      </c>
      <c r="R72" s="20">
        <f>'GS &lt; 50 OLS model'!$I$11*I72</f>
        <v>0</v>
      </c>
      <c r="S72" s="20">
        <f>'GS &lt; 50 OLS model'!$I$12*J72</f>
        <v>0</v>
      </c>
      <c r="T72" s="20">
        <f t="shared" ca="1" si="8"/>
        <v>5341172.6795146326</v>
      </c>
    </row>
    <row r="73" spans="1:20" ht="15">
      <c r="A73" s="22">
        <v>41974</v>
      </c>
      <c r="B73" s="6">
        <f t="shared" si="9"/>
        <v>2014</v>
      </c>
      <c r="C73" s="20">
        <f ca="1">'Monthly Data'!K73</f>
        <v>5607365.7681212937</v>
      </c>
      <c r="D73" s="6">
        <f t="shared" ca="1" si="7"/>
        <v>552.31000000000006</v>
      </c>
      <c r="E73" s="6">
        <f t="shared" ca="1" si="7"/>
        <v>0</v>
      </c>
      <c r="F73" s="6">
        <f>'Monthly Data'!AK73</f>
        <v>161.1</v>
      </c>
      <c r="G73" s="6">
        <f>'Monthly Data'!AM73</f>
        <v>31</v>
      </c>
      <c r="H73" s="6">
        <f>'Monthly Data'!BD73</f>
        <v>0</v>
      </c>
      <c r="I73" s="6">
        <f>'Monthly Data'!AR73</f>
        <v>0</v>
      </c>
      <c r="J73" s="6">
        <f>'Monthly Data'!BA73</f>
        <v>1</v>
      </c>
      <c r="L73" s="20">
        <f>'GS &lt; 50 OLS model'!$I$5</f>
        <v>-1348055.69881657</v>
      </c>
      <c r="M73" s="20">
        <f ca="1">'GS &lt; 50 OLS model'!$I$6*D73</f>
        <v>569993.11916039675</v>
      </c>
      <c r="N73" s="20">
        <f ca="1">'GS &lt; 50 OLS model'!$I$7*E73</f>
        <v>0</v>
      </c>
      <c r="O73" s="20">
        <f>'GS &lt; 50 OLS model'!$I$8*F73</f>
        <v>2144132.7960174601</v>
      </c>
      <c r="P73" s="20">
        <f>'GS &lt; 50 OLS model'!$I$9*G73</f>
        <v>4609129.5106277745</v>
      </c>
      <c r="Q73" s="20">
        <f>'GS &lt; 50 OLS model'!$I$10*H73</f>
        <v>0</v>
      </c>
      <c r="R73" s="20">
        <f>'GS &lt; 50 OLS model'!$I$11*I73</f>
        <v>0</v>
      </c>
      <c r="S73" s="20">
        <f>'GS &lt; 50 OLS model'!$I$12*J73</f>
        <v>-201228.923645601</v>
      </c>
      <c r="T73" s="20">
        <f t="shared" ca="1" si="8"/>
        <v>5773970.8033434609</v>
      </c>
    </row>
    <row r="74" spans="1:20" ht="15">
      <c r="A74" s="22">
        <v>42005</v>
      </c>
      <c r="B74" s="6">
        <f t="shared" si="9"/>
        <v>2015</v>
      </c>
      <c r="C74" s="20">
        <f ca="1">'Monthly Data'!K74</f>
        <v>6084150.685240835</v>
      </c>
      <c r="D74" s="6">
        <f t="shared" ca="1" si="7"/>
        <v>661.18999999999994</v>
      </c>
      <c r="E74" s="6">
        <f t="shared" ca="1" si="7"/>
        <v>0</v>
      </c>
      <c r="F74" s="6">
        <f>'Monthly Data'!AK74</f>
        <v>159.30000000000001</v>
      </c>
      <c r="G74" s="6">
        <f>'Monthly Data'!AM74</f>
        <v>31</v>
      </c>
      <c r="H74" s="6">
        <f>'Monthly Data'!BD74</f>
        <v>0</v>
      </c>
      <c r="I74" s="6">
        <f>'Monthly Data'!AR74</f>
        <v>0</v>
      </c>
      <c r="J74" s="6">
        <f>'Monthly Data'!BA74</f>
        <v>0</v>
      </c>
      <c r="L74" s="20">
        <f>'GS &lt; 50 OLS model'!$I$5</f>
        <v>-1348055.69881657</v>
      </c>
      <c r="M74" s="20">
        <f ca="1">'GS &lt; 50 OLS model'!$I$6*D74</f>
        <v>682359.09264301334</v>
      </c>
      <c r="N74" s="20">
        <f ca="1">'GS &lt; 50 OLS model'!$I$7*E74</f>
        <v>0</v>
      </c>
      <c r="O74" s="20">
        <f>'GS &lt; 50 OLS model'!$I$8*F74</f>
        <v>2120176.0050005051</v>
      </c>
      <c r="P74" s="20">
        <f>'GS &lt; 50 OLS model'!$I$9*G74</f>
        <v>4609129.5106277745</v>
      </c>
      <c r="Q74" s="20">
        <f>'GS &lt; 50 OLS model'!$I$10*H74</f>
        <v>0</v>
      </c>
      <c r="R74" s="20">
        <f>'GS &lt; 50 OLS model'!$I$11*I74</f>
        <v>0</v>
      </c>
      <c r="S74" s="20">
        <f>'GS &lt; 50 OLS model'!$I$12*J74</f>
        <v>0</v>
      </c>
      <c r="T74" s="20">
        <f t="shared" ca="1" si="8"/>
        <v>6063608.9094547229</v>
      </c>
    </row>
    <row r="75" spans="1:20" ht="15">
      <c r="A75" s="22">
        <v>42036</v>
      </c>
      <c r="B75" s="6">
        <f t="shared" si="9"/>
        <v>2015</v>
      </c>
      <c r="C75" s="20">
        <f ca="1">'Monthly Data'!K75</f>
        <v>5710443.8822701648</v>
      </c>
      <c r="D75" s="6">
        <f t="shared" ca="1" si="7"/>
        <v>598.16999999999985</v>
      </c>
      <c r="E75" s="6">
        <f t="shared" ca="1" si="7"/>
        <v>0</v>
      </c>
      <c r="F75" s="6">
        <f>'Monthly Data'!AK75</f>
        <v>159.1</v>
      </c>
      <c r="G75" s="6">
        <f>'Monthly Data'!AM75</f>
        <v>28</v>
      </c>
      <c r="H75" s="6">
        <f>'Monthly Data'!BD75</f>
        <v>0</v>
      </c>
      <c r="I75" s="6">
        <f>'Monthly Data'!AR75</f>
        <v>0</v>
      </c>
      <c r="J75" s="6">
        <f>'Monthly Data'!BA75</f>
        <v>0</v>
      </c>
      <c r="L75" s="20">
        <f>'GS &lt; 50 OLS model'!$I$5</f>
        <v>-1348055.69881657</v>
      </c>
      <c r="M75" s="20">
        <f ca="1">'GS &lt; 50 OLS model'!$I$6*D75</f>
        <v>617321.40299501084</v>
      </c>
      <c r="N75" s="20">
        <f ca="1">'GS &lt; 50 OLS model'!$I$7*E75</f>
        <v>0</v>
      </c>
      <c r="O75" s="20">
        <f>'GS &lt; 50 OLS model'!$I$8*F75</f>
        <v>2117514.1393319545</v>
      </c>
      <c r="P75" s="20">
        <f>'GS &lt; 50 OLS model'!$I$9*G75</f>
        <v>4163084.7192767002</v>
      </c>
      <c r="Q75" s="20">
        <f>'GS &lt; 50 OLS model'!$I$10*H75</f>
        <v>0</v>
      </c>
      <c r="R75" s="20">
        <f>'GS &lt; 50 OLS model'!$I$11*I75</f>
        <v>0</v>
      </c>
      <c r="S75" s="20">
        <f>'GS &lt; 50 OLS model'!$I$12*J75</f>
        <v>0</v>
      </c>
      <c r="T75" s="20">
        <f t="shared" ca="1" si="8"/>
        <v>5549864.5627870951</v>
      </c>
    </row>
    <row r="76" spans="1:20" ht="15">
      <c r="A76" s="22">
        <v>42064</v>
      </c>
      <c r="B76" s="6">
        <f t="shared" si="9"/>
        <v>2015</v>
      </c>
      <c r="C76" s="20">
        <f ca="1">'Monthly Data'!K76</f>
        <v>5822785.6363107348</v>
      </c>
      <c r="D76" s="6">
        <f t="shared" ca="1" si="7"/>
        <v>451.34</v>
      </c>
      <c r="E76" s="6">
        <f t="shared" ca="1" si="7"/>
        <v>0.88000000000000012</v>
      </c>
      <c r="F76" s="6">
        <f>'Monthly Data'!AK76</f>
        <v>156.1</v>
      </c>
      <c r="G76" s="6">
        <f>'Monthly Data'!AM76</f>
        <v>31</v>
      </c>
      <c r="H76" s="6">
        <f>'Monthly Data'!BD76</f>
        <v>1</v>
      </c>
      <c r="I76" s="6">
        <f>'Monthly Data'!AR76</f>
        <v>1</v>
      </c>
      <c r="J76" s="6">
        <f>'Monthly Data'!BA76</f>
        <v>0</v>
      </c>
      <c r="L76" s="20">
        <f>'GS &lt; 50 OLS model'!$I$5</f>
        <v>-1348055.69881657</v>
      </c>
      <c r="M76" s="20">
        <f ca="1">'GS &lt; 50 OLS model'!$I$6*D76</f>
        <v>465790.39742509357</v>
      </c>
      <c r="N76" s="20">
        <f ca="1">'GS &lt; 50 OLS model'!$I$7*E76</f>
        <v>6751.0830153711922</v>
      </c>
      <c r="O76" s="20">
        <f>'GS &lt; 50 OLS model'!$I$8*F76</f>
        <v>2077586.1543036965</v>
      </c>
      <c r="P76" s="20">
        <f>'GS &lt; 50 OLS model'!$I$9*G76</f>
        <v>4609129.5106277745</v>
      </c>
      <c r="Q76" s="20">
        <f>'GS &lt; 50 OLS model'!$I$10*H76</f>
        <v>-267670.55098135502</v>
      </c>
      <c r="R76" s="20">
        <f>'GS &lt; 50 OLS model'!$I$11*I76</f>
        <v>186511.19475200301</v>
      </c>
      <c r="S76" s="20">
        <f>'GS &lt; 50 OLS model'!$I$12*J76</f>
        <v>0</v>
      </c>
      <c r="T76" s="20">
        <f t="shared" ca="1" si="8"/>
        <v>5730042.090326014</v>
      </c>
    </row>
    <row r="77" spans="1:20" ht="15">
      <c r="A77" s="22">
        <v>42095</v>
      </c>
      <c r="B77" s="6">
        <f t="shared" si="9"/>
        <v>2015</v>
      </c>
      <c r="C77" s="20">
        <f ca="1">'Monthly Data'!K77</f>
        <v>5202149.7221366046</v>
      </c>
      <c r="D77" s="6">
        <f t="shared" ca="1" si="7"/>
        <v>259.5499999999999</v>
      </c>
      <c r="E77" s="6">
        <f t="shared" ca="1" si="7"/>
        <v>2.4500000000000002</v>
      </c>
      <c r="F77" s="6">
        <f>'Monthly Data'!AK77</f>
        <v>156.4</v>
      </c>
      <c r="G77" s="6">
        <f>'Monthly Data'!AM77</f>
        <v>30</v>
      </c>
      <c r="H77" s="6">
        <f>'Monthly Data'!BD77</f>
        <v>1</v>
      </c>
      <c r="I77" s="6">
        <f>'Monthly Data'!AR77</f>
        <v>0</v>
      </c>
      <c r="J77" s="6">
        <f>'Monthly Data'!BA77</f>
        <v>0</v>
      </c>
      <c r="L77" s="20">
        <f>'GS &lt; 50 OLS model'!$I$5</f>
        <v>-1348055.69881657</v>
      </c>
      <c r="M77" s="20">
        <f ca="1">'GS &lt; 50 OLS model'!$I$6*D77</f>
        <v>267859.9230107746</v>
      </c>
      <c r="N77" s="20">
        <f ca="1">'GS &lt; 50 OLS model'!$I$7*E77</f>
        <v>18795.628849612975</v>
      </c>
      <c r="O77" s="20">
        <f>'GS &lt; 50 OLS model'!$I$8*F77</f>
        <v>2081578.9528065224</v>
      </c>
      <c r="P77" s="20">
        <f>'GS &lt; 50 OLS model'!$I$9*G77</f>
        <v>4460447.91351075</v>
      </c>
      <c r="Q77" s="20">
        <f>'GS &lt; 50 OLS model'!$I$10*H77</f>
        <v>-267670.55098135502</v>
      </c>
      <c r="R77" s="20">
        <f>'GS &lt; 50 OLS model'!$I$11*I77</f>
        <v>0</v>
      </c>
      <c r="S77" s="20">
        <f>'GS &lt; 50 OLS model'!$I$12*J77</f>
        <v>0</v>
      </c>
      <c r="T77" s="20">
        <f t="shared" ca="1" si="8"/>
        <v>5212956.1683797352</v>
      </c>
    </row>
    <row r="78" spans="1:20" ht="15">
      <c r="A78" s="22">
        <v>42125</v>
      </c>
      <c r="B78" s="6">
        <f t="shared" si="9"/>
        <v>2015</v>
      </c>
      <c r="C78" s="20">
        <f ca="1">'Monthly Data'!K78</f>
        <v>5469380.5887120552</v>
      </c>
      <c r="D78" s="6">
        <f t="shared" ref="D78:E93" ca="1" si="10">D66</f>
        <v>88.880000000000024</v>
      </c>
      <c r="E78" s="6">
        <f t="shared" ca="1" si="10"/>
        <v>43.79999999999999</v>
      </c>
      <c r="F78" s="6">
        <f>'Monthly Data'!AK78</f>
        <v>159.1</v>
      </c>
      <c r="G78" s="6">
        <f>'Monthly Data'!AM78</f>
        <v>31</v>
      </c>
      <c r="H78" s="6">
        <f>'Monthly Data'!BD78</f>
        <v>1</v>
      </c>
      <c r="I78" s="6">
        <f>'Monthly Data'!AR78</f>
        <v>0</v>
      </c>
      <c r="J78" s="6">
        <f>'Monthly Data'!BA78</f>
        <v>0</v>
      </c>
      <c r="L78" s="20">
        <f>'GS &lt; 50 OLS model'!$I$5</f>
        <v>-1348055.69881657</v>
      </c>
      <c r="M78" s="20">
        <f ca="1">'GS &lt; 50 OLS model'!$I$6*D78</f>
        <v>91725.640366779655</v>
      </c>
      <c r="N78" s="20">
        <f ca="1">'GS &lt; 50 OLS model'!$I$7*E78</f>
        <v>336019.8137196115</v>
      </c>
      <c r="O78" s="20">
        <f>'GS &lt; 50 OLS model'!$I$8*F78</f>
        <v>2117514.1393319545</v>
      </c>
      <c r="P78" s="20">
        <f>'GS &lt; 50 OLS model'!$I$9*G78</f>
        <v>4609129.5106277745</v>
      </c>
      <c r="Q78" s="20">
        <f>'GS &lt; 50 OLS model'!$I$10*H78</f>
        <v>-267670.55098135502</v>
      </c>
      <c r="R78" s="20">
        <f>'GS &lt; 50 OLS model'!$I$11*I78</f>
        <v>0</v>
      </c>
      <c r="S78" s="20">
        <f>'GS &lt; 50 OLS model'!$I$12*J78</f>
        <v>0</v>
      </c>
      <c r="T78" s="20">
        <f t="shared" ca="1" si="8"/>
        <v>5538662.854248195</v>
      </c>
    </row>
    <row r="79" spans="1:20" ht="15">
      <c r="A79" s="22">
        <v>42156</v>
      </c>
      <c r="B79" s="6">
        <f t="shared" si="9"/>
        <v>2015</v>
      </c>
      <c r="C79" s="20">
        <f ca="1">'Monthly Data'!K79</f>
        <v>5756959.3529045451</v>
      </c>
      <c r="D79" s="6">
        <f t="shared" ca="1" si="10"/>
        <v>9.77</v>
      </c>
      <c r="E79" s="6">
        <f t="shared" ca="1" si="10"/>
        <v>117.38999999999999</v>
      </c>
      <c r="F79" s="6">
        <f>'Monthly Data'!AK79</f>
        <v>163.9</v>
      </c>
      <c r="G79" s="6">
        <f>'Monthly Data'!AM79</f>
        <v>30</v>
      </c>
      <c r="H79" s="6">
        <f>'Monthly Data'!BD79</f>
        <v>0</v>
      </c>
      <c r="I79" s="6">
        <f>'Monthly Data'!AR79</f>
        <v>0</v>
      </c>
      <c r="J79" s="6">
        <f>'Monthly Data'!BA79</f>
        <v>0</v>
      </c>
      <c r="L79" s="20">
        <f>'GS &lt; 50 OLS model'!$I$5</f>
        <v>-1348055.69881657</v>
      </c>
      <c r="M79" s="20">
        <f ca="1">'GS &lt; 50 OLS model'!$I$6*D79</f>
        <v>10082.802727086375</v>
      </c>
      <c r="N79" s="20">
        <f ca="1">'GS &lt; 50 OLS model'!$I$7*E79</f>
        <v>900579.13088002731</v>
      </c>
      <c r="O79" s="20">
        <f>'GS &lt; 50 OLS model'!$I$8*F79</f>
        <v>2181398.9153771675</v>
      </c>
      <c r="P79" s="20">
        <f>'GS &lt; 50 OLS model'!$I$9*G79</f>
        <v>4460447.91351075</v>
      </c>
      <c r="Q79" s="20">
        <f>'GS &lt; 50 OLS model'!$I$10*H79</f>
        <v>0</v>
      </c>
      <c r="R79" s="20">
        <f>'GS &lt; 50 OLS model'!$I$11*I79</f>
        <v>0</v>
      </c>
      <c r="S79" s="20">
        <f>'GS &lt; 50 OLS model'!$I$12*J79</f>
        <v>0</v>
      </c>
      <c r="T79" s="20">
        <f t="shared" ca="1" si="8"/>
        <v>6204453.0636784611</v>
      </c>
    </row>
    <row r="80" spans="1:20" ht="15">
      <c r="A80" s="22">
        <v>42186</v>
      </c>
      <c r="B80" s="6">
        <f t="shared" si="9"/>
        <v>2015</v>
      </c>
      <c r="C80" s="20">
        <f ca="1">'Monthly Data'!K80</f>
        <v>6509905.9223975558</v>
      </c>
      <c r="D80" s="6">
        <f t="shared" ca="1" si="10"/>
        <v>0.58000000000000007</v>
      </c>
      <c r="E80" s="6">
        <f t="shared" ca="1" si="10"/>
        <v>179.70999999999998</v>
      </c>
      <c r="F80" s="6">
        <f>'Monthly Data'!AK80</f>
        <v>164.8</v>
      </c>
      <c r="G80" s="6">
        <f>'Monthly Data'!AM80</f>
        <v>31</v>
      </c>
      <c r="H80" s="6">
        <f>'Monthly Data'!BD80</f>
        <v>0</v>
      </c>
      <c r="I80" s="6">
        <f>'Monthly Data'!AR80</f>
        <v>0</v>
      </c>
      <c r="J80" s="6">
        <f>'Monthly Data'!BA80</f>
        <v>0</v>
      </c>
      <c r="L80" s="20">
        <f>'GS &lt; 50 OLS model'!$I$5</f>
        <v>-1348055.69881657</v>
      </c>
      <c r="M80" s="20">
        <f ca="1">'GS &lt; 50 OLS model'!$I$6*D80</f>
        <v>598.56966035927314</v>
      </c>
      <c r="N80" s="20">
        <f ca="1">'GS &lt; 50 OLS model'!$I$7*E80</f>
        <v>1378678.5553322234</v>
      </c>
      <c r="O80" s="20">
        <f>'GS &lt; 50 OLS model'!$I$8*F80</f>
        <v>2193377.310885645</v>
      </c>
      <c r="P80" s="20">
        <f>'GS &lt; 50 OLS model'!$I$9*G80</f>
        <v>4609129.5106277745</v>
      </c>
      <c r="Q80" s="20">
        <f>'GS &lt; 50 OLS model'!$I$10*H80</f>
        <v>0</v>
      </c>
      <c r="R80" s="20">
        <f>'GS &lt; 50 OLS model'!$I$11*I80</f>
        <v>0</v>
      </c>
      <c r="S80" s="20">
        <f>'GS &lt; 50 OLS model'!$I$12*J80</f>
        <v>0</v>
      </c>
      <c r="T80" s="20">
        <f t="shared" ca="1" si="8"/>
        <v>6833728.2476894325</v>
      </c>
    </row>
    <row r="81" spans="1:20" ht="15">
      <c r="A81" s="22">
        <v>42217</v>
      </c>
      <c r="B81" s="6">
        <f t="shared" si="9"/>
        <v>2015</v>
      </c>
      <c r="C81" s="20">
        <f ca="1">'Monthly Data'!K81</f>
        <v>6562142.499803775</v>
      </c>
      <c r="D81" s="6">
        <f t="shared" ca="1" si="10"/>
        <v>1.7099999999999997</v>
      </c>
      <c r="E81" s="6">
        <f t="shared" ca="1" si="10"/>
        <v>158.1</v>
      </c>
      <c r="F81" s="6">
        <f>'Monthly Data'!AK81</f>
        <v>160.80000000000001</v>
      </c>
      <c r="G81" s="6">
        <f>'Monthly Data'!AM81</f>
        <v>31</v>
      </c>
      <c r="H81" s="6">
        <f>'Monthly Data'!BD81</f>
        <v>0</v>
      </c>
      <c r="I81" s="6">
        <f>'Monthly Data'!AR81</f>
        <v>0</v>
      </c>
      <c r="J81" s="6">
        <f>'Monthly Data'!BA81</f>
        <v>0</v>
      </c>
      <c r="L81" s="20">
        <f>'GS &lt; 50 OLS model'!$I$5</f>
        <v>-1348055.69881657</v>
      </c>
      <c r="M81" s="20">
        <f ca="1">'GS &lt; 50 OLS model'!$I$6*D81</f>
        <v>1764.7484814040633</v>
      </c>
      <c r="N81" s="20">
        <f ca="1">'GS &lt; 50 OLS model'!$I$7*E81</f>
        <v>1212893.4371933923</v>
      </c>
      <c r="O81" s="20">
        <f>'GS &lt; 50 OLS model'!$I$8*F81</f>
        <v>2140139.9975146344</v>
      </c>
      <c r="P81" s="20">
        <f>'GS &lt; 50 OLS model'!$I$9*G81</f>
        <v>4609129.5106277745</v>
      </c>
      <c r="Q81" s="20">
        <f>'GS &lt; 50 OLS model'!$I$10*H81</f>
        <v>0</v>
      </c>
      <c r="R81" s="20">
        <f>'GS &lt; 50 OLS model'!$I$11*I81</f>
        <v>0</v>
      </c>
      <c r="S81" s="20">
        <f>'GS &lt; 50 OLS model'!$I$12*J81</f>
        <v>0</v>
      </c>
      <c r="T81" s="20">
        <f t="shared" ca="1" si="8"/>
        <v>6615871.9950006353</v>
      </c>
    </row>
    <row r="82" spans="1:20" ht="15">
      <c r="A82" s="22">
        <v>42248</v>
      </c>
      <c r="B82" s="6">
        <f t="shared" si="9"/>
        <v>2015</v>
      </c>
      <c r="C82" s="20">
        <f ca="1">'Monthly Data'!K82</f>
        <v>5923003.162959775</v>
      </c>
      <c r="D82" s="6">
        <f t="shared" ca="1" si="10"/>
        <v>32.68</v>
      </c>
      <c r="E82" s="6">
        <f t="shared" ca="1" si="10"/>
        <v>67.34</v>
      </c>
      <c r="F82" s="6">
        <f>'Monthly Data'!AK82</f>
        <v>156.69999999999999</v>
      </c>
      <c r="G82" s="6">
        <f>'Monthly Data'!AM82</f>
        <v>30</v>
      </c>
      <c r="H82" s="6">
        <f>'Monthly Data'!BD82</f>
        <v>0</v>
      </c>
      <c r="I82" s="6">
        <f>'Monthly Data'!AR82</f>
        <v>0</v>
      </c>
      <c r="J82" s="6">
        <f>'Monthly Data'!BA82</f>
        <v>0</v>
      </c>
      <c r="L82" s="20">
        <f>'GS &lt; 50 OLS model'!$I$5</f>
        <v>-1348055.69881657</v>
      </c>
      <c r="M82" s="20">
        <f ca="1">'GS &lt; 50 OLS model'!$I$6*D82</f>
        <v>33726.304311277658</v>
      </c>
      <c r="N82" s="20">
        <f ca="1">'GS &lt; 50 OLS model'!$I$7*E82</f>
        <v>516611.28438079095</v>
      </c>
      <c r="O82" s="20">
        <f>'GS &lt; 50 OLS model'!$I$8*F82</f>
        <v>2085571.751309348</v>
      </c>
      <c r="P82" s="20">
        <f>'GS &lt; 50 OLS model'!$I$9*G82</f>
        <v>4460447.91351075</v>
      </c>
      <c r="Q82" s="20">
        <f>'GS &lt; 50 OLS model'!$I$10*H82</f>
        <v>0</v>
      </c>
      <c r="R82" s="20">
        <f>'GS &lt; 50 OLS model'!$I$11*I82</f>
        <v>0</v>
      </c>
      <c r="S82" s="20">
        <f>'GS &lt; 50 OLS model'!$I$12*J82</f>
        <v>0</v>
      </c>
      <c r="T82" s="20">
        <f t="shared" ca="1" si="8"/>
        <v>5748301.5546955969</v>
      </c>
    </row>
    <row r="83" spans="1:20" ht="15">
      <c r="A83" s="22">
        <v>42278</v>
      </c>
      <c r="B83" s="6">
        <f t="shared" si="9"/>
        <v>2015</v>
      </c>
      <c r="C83" s="20">
        <f ca="1">'Monthly Data'!K83</f>
        <v>5319208.2404462555</v>
      </c>
      <c r="D83" s="6">
        <f t="shared" ca="1" si="10"/>
        <v>176.42</v>
      </c>
      <c r="E83" s="6">
        <f t="shared" ca="1" si="10"/>
        <v>10.18</v>
      </c>
      <c r="F83" s="6">
        <f>'Monthly Data'!AK83</f>
        <v>155.1</v>
      </c>
      <c r="G83" s="6">
        <f>'Monthly Data'!AM83</f>
        <v>31</v>
      </c>
      <c r="H83" s="6">
        <f>'Monthly Data'!BD83</f>
        <v>1</v>
      </c>
      <c r="I83" s="6">
        <f>'Monthly Data'!AR83</f>
        <v>0</v>
      </c>
      <c r="J83" s="6">
        <f>'Monthly Data'!BA83</f>
        <v>0</v>
      </c>
      <c r="L83" s="20">
        <f>'GS &lt; 50 OLS model'!$I$5</f>
        <v>-1348055.69881657</v>
      </c>
      <c r="M83" s="20">
        <f ca="1">'GS &lt; 50 OLS model'!$I$6*D83</f>
        <v>182068.37841479818</v>
      </c>
      <c r="N83" s="20">
        <f ca="1">'GS &lt; 50 OLS model'!$I$7*E83</f>
        <v>78097.755791453092</v>
      </c>
      <c r="O83" s="20">
        <f>'GS &lt; 50 OLS model'!$I$8*F83</f>
        <v>2064276.8259609437</v>
      </c>
      <c r="P83" s="20">
        <f>'GS &lt; 50 OLS model'!$I$9*G83</f>
        <v>4609129.5106277745</v>
      </c>
      <c r="Q83" s="20">
        <f>'GS &lt; 50 OLS model'!$I$10*H83</f>
        <v>-267670.55098135502</v>
      </c>
      <c r="R83" s="20">
        <f>'GS &lt; 50 OLS model'!$I$11*I83</f>
        <v>0</v>
      </c>
      <c r="S83" s="20">
        <f>'GS &lt; 50 OLS model'!$I$12*J83</f>
        <v>0</v>
      </c>
      <c r="T83" s="20">
        <f t="shared" ca="1" si="8"/>
        <v>5317846.2209970448</v>
      </c>
    </row>
    <row r="84" spans="1:20" ht="15">
      <c r="A84" s="22">
        <v>42309</v>
      </c>
      <c r="B84" s="6">
        <f t="shared" si="9"/>
        <v>2015</v>
      </c>
      <c r="C84" s="20">
        <f ca="1">'Monthly Data'!K84</f>
        <v>5143230.8555141054</v>
      </c>
      <c r="D84" s="6">
        <f t="shared" ca="1" si="10"/>
        <v>364.2299999999999</v>
      </c>
      <c r="E84" s="6">
        <f t="shared" ca="1" si="10"/>
        <v>0.05</v>
      </c>
      <c r="F84" s="6">
        <f>'Monthly Data'!AK84</f>
        <v>155.19999999999999</v>
      </c>
      <c r="G84" s="6">
        <f>'Monthly Data'!AM84</f>
        <v>30</v>
      </c>
      <c r="H84" s="6">
        <f>'Monthly Data'!BD84</f>
        <v>1</v>
      </c>
      <c r="I84" s="6">
        <f>'Monthly Data'!AR84</f>
        <v>0</v>
      </c>
      <c r="J84" s="6">
        <f>'Monthly Data'!BA84</f>
        <v>0</v>
      </c>
      <c r="L84" s="20">
        <f>'GS &lt; 50 OLS model'!$I$5</f>
        <v>-1348055.69881657</v>
      </c>
      <c r="M84" s="20">
        <f ca="1">'GS &lt; 50 OLS model'!$I$6*D84</f>
        <v>375891.42653906549</v>
      </c>
      <c r="N84" s="20">
        <f ca="1">'GS &lt; 50 OLS model'!$I$7*E84</f>
        <v>383.58426223699951</v>
      </c>
      <c r="O84" s="20">
        <f>'GS &lt; 50 OLS model'!$I$8*F84</f>
        <v>2065607.758795219</v>
      </c>
      <c r="P84" s="20">
        <f>'GS &lt; 50 OLS model'!$I$9*G84</f>
        <v>4460447.91351075</v>
      </c>
      <c r="Q84" s="20">
        <f>'GS &lt; 50 OLS model'!$I$10*H84</f>
        <v>-267670.55098135502</v>
      </c>
      <c r="R84" s="20">
        <f>'GS &lt; 50 OLS model'!$I$11*I84</f>
        <v>0</v>
      </c>
      <c r="S84" s="20">
        <f>'GS &lt; 50 OLS model'!$I$12*J84</f>
        <v>0</v>
      </c>
      <c r="T84" s="20">
        <f t="shared" ca="1" si="8"/>
        <v>5286604.4333093464</v>
      </c>
    </row>
    <row r="85" spans="1:20" ht="15">
      <c r="A85" s="22">
        <v>42339</v>
      </c>
      <c r="B85" s="6">
        <f t="shared" si="9"/>
        <v>2015</v>
      </c>
      <c r="C85" s="20">
        <f ca="1">'Monthly Data'!K85</f>
        <v>5382460.9427639553</v>
      </c>
      <c r="D85" s="6">
        <f t="shared" ca="1" si="10"/>
        <v>552.31000000000006</v>
      </c>
      <c r="E85" s="6">
        <f t="shared" ca="1" si="10"/>
        <v>0</v>
      </c>
      <c r="F85" s="6">
        <f>'Monthly Data'!AK85</f>
        <v>155.19999999999999</v>
      </c>
      <c r="G85" s="6">
        <f>'Monthly Data'!AM85</f>
        <v>31</v>
      </c>
      <c r="H85" s="6">
        <f>'Monthly Data'!BD85</f>
        <v>0</v>
      </c>
      <c r="I85" s="6">
        <f>'Monthly Data'!AR85</f>
        <v>0</v>
      </c>
      <c r="J85" s="6">
        <f>'Monthly Data'!BA85</f>
        <v>1</v>
      </c>
      <c r="L85" s="20">
        <f>'GS &lt; 50 OLS model'!$I$5</f>
        <v>-1348055.69881657</v>
      </c>
      <c r="M85" s="20">
        <f ca="1">'GS &lt; 50 OLS model'!$I$6*D85</f>
        <v>569993.11916039675</v>
      </c>
      <c r="N85" s="20">
        <f ca="1">'GS &lt; 50 OLS model'!$I$7*E85</f>
        <v>0</v>
      </c>
      <c r="O85" s="20">
        <f>'GS &lt; 50 OLS model'!$I$8*F85</f>
        <v>2065607.758795219</v>
      </c>
      <c r="P85" s="20">
        <f>'GS &lt; 50 OLS model'!$I$9*G85</f>
        <v>4609129.5106277745</v>
      </c>
      <c r="Q85" s="20">
        <f>'GS &lt; 50 OLS model'!$I$10*H85</f>
        <v>0</v>
      </c>
      <c r="R85" s="20">
        <f>'GS &lt; 50 OLS model'!$I$11*I85</f>
        <v>0</v>
      </c>
      <c r="S85" s="20">
        <f>'GS &lt; 50 OLS model'!$I$12*J85</f>
        <v>-201228.923645601</v>
      </c>
      <c r="T85" s="20">
        <f t="shared" ca="1" si="8"/>
        <v>5695445.7661212198</v>
      </c>
    </row>
    <row r="86" spans="1:20" ht="15">
      <c r="A86" s="22">
        <v>42370</v>
      </c>
      <c r="B86" s="6">
        <f t="shared" si="9"/>
        <v>2016</v>
      </c>
      <c r="C86" s="20">
        <f ca="1">'Monthly Data'!K86</f>
        <v>5905404.868295663</v>
      </c>
      <c r="D86" s="6">
        <f t="shared" ca="1" si="10"/>
        <v>661.18999999999994</v>
      </c>
      <c r="E86" s="6">
        <f t="shared" ca="1" si="10"/>
        <v>0</v>
      </c>
      <c r="F86" s="6">
        <f>'Monthly Data'!AK86</f>
        <v>155</v>
      </c>
      <c r="G86" s="6">
        <f>'Monthly Data'!AM86</f>
        <v>31</v>
      </c>
      <c r="H86" s="6">
        <f>'Monthly Data'!BD86</f>
        <v>0</v>
      </c>
      <c r="I86" s="6">
        <f>'Monthly Data'!AR86</f>
        <v>0</v>
      </c>
      <c r="J86" s="6">
        <f>'Monthly Data'!BA86</f>
        <v>0</v>
      </c>
      <c r="L86" s="20">
        <f>'GS &lt; 50 OLS model'!$I$5</f>
        <v>-1348055.69881657</v>
      </c>
      <c r="M86" s="20">
        <f ca="1">'GS &lt; 50 OLS model'!$I$6*D86</f>
        <v>682359.09264301334</v>
      </c>
      <c r="N86" s="20">
        <f ca="1">'GS &lt; 50 OLS model'!$I$7*E86</f>
        <v>0</v>
      </c>
      <c r="O86" s="20">
        <f>'GS &lt; 50 OLS model'!$I$8*F86</f>
        <v>2062945.8931266686</v>
      </c>
      <c r="P86" s="20">
        <f>'GS &lt; 50 OLS model'!$I$9*G86</f>
        <v>4609129.5106277745</v>
      </c>
      <c r="Q86" s="20">
        <f>'GS &lt; 50 OLS model'!$I$10*H86</f>
        <v>0</v>
      </c>
      <c r="R86" s="20">
        <f>'GS &lt; 50 OLS model'!$I$11*I86</f>
        <v>0</v>
      </c>
      <c r="S86" s="20">
        <f>'GS &lt; 50 OLS model'!$I$12*J86</f>
        <v>0</v>
      </c>
      <c r="T86" s="20">
        <f t="shared" ca="1" si="8"/>
        <v>6006378.7975808866</v>
      </c>
    </row>
    <row r="87" spans="1:20" ht="15">
      <c r="A87" s="22">
        <v>42401</v>
      </c>
      <c r="B87" s="6">
        <f t="shared" si="9"/>
        <v>2016</v>
      </c>
      <c r="C87" s="20">
        <f ca="1">'Monthly Data'!K87</f>
        <v>5580361.4202029929</v>
      </c>
      <c r="D87" s="6">
        <f t="shared" ca="1" si="10"/>
        <v>598.16999999999985</v>
      </c>
      <c r="E87" s="6">
        <f t="shared" ca="1" si="10"/>
        <v>0</v>
      </c>
      <c r="F87" s="6">
        <f>'Monthly Data'!AK87</f>
        <v>156</v>
      </c>
      <c r="G87" s="6">
        <f>'Monthly Data'!AM87</f>
        <v>29</v>
      </c>
      <c r="H87" s="6">
        <f>'Monthly Data'!BD87</f>
        <v>0</v>
      </c>
      <c r="I87" s="6">
        <f>'Monthly Data'!AR87</f>
        <v>0</v>
      </c>
      <c r="J87" s="6">
        <f>'Monthly Data'!BA87</f>
        <v>0</v>
      </c>
      <c r="L87" s="20">
        <f>'GS &lt; 50 OLS model'!$I$5</f>
        <v>-1348055.69881657</v>
      </c>
      <c r="M87" s="20">
        <f ca="1">'GS &lt; 50 OLS model'!$I$6*D87</f>
        <v>617321.40299501084</v>
      </c>
      <c r="N87" s="20">
        <f ca="1">'GS &lt; 50 OLS model'!$I$7*E87</f>
        <v>0</v>
      </c>
      <c r="O87" s="20">
        <f>'GS &lt; 50 OLS model'!$I$8*F87</f>
        <v>2076255.2214694212</v>
      </c>
      <c r="P87" s="20">
        <f>'GS &lt; 50 OLS model'!$I$9*G87</f>
        <v>4311766.3163937246</v>
      </c>
      <c r="Q87" s="20">
        <f>'GS &lt; 50 OLS model'!$I$10*H87</f>
        <v>0</v>
      </c>
      <c r="R87" s="20">
        <f>'GS &lt; 50 OLS model'!$I$11*I87</f>
        <v>0</v>
      </c>
      <c r="S87" s="20">
        <f>'GS &lt; 50 OLS model'!$I$12*J87</f>
        <v>0</v>
      </c>
      <c r="T87" s="20">
        <f t="shared" ca="1" si="8"/>
        <v>5657287.2420415869</v>
      </c>
    </row>
    <row r="88" spans="1:20" ht="15">
      <c r="A88" s="22">
        <v>42430</v>
      </c>
      <c r="B88" s="6">
        <f t="shared" si="9"/>
        <v>2016</v>
      </c>
      <c r="C88" s="20">
        <f ca="1">'Monthly Data'!K88</f>
        <v>5600144.3847357929</v>
      </c>
      <c r="D88" s="6">
        <f t="shared" ca="1" si="10"/>
        <v>451.34</v>
      </c>
      <c r="E88" s="6">
        <f t="shared" ca="1" si="10"/>
        <v>0.88000000000000012</v>
      </c>
      <c r="F88" s="6">
        <f>'Monthly Data'!AK88</f>
        <v>156.80000000000001</v>
      </c>
      <c r="G88" s="6">
        <f>'Monthly Data'!AM88</f>
        <v>31</v>
      </c>
      <c r="H88" s="6">
        <f>'Monthly Data'!BD88</f>
        <v>1</v>
      </c>
      <c r="I88" s="6">
        <f>'Monthly Data'!AR88</f>
        <v>1</v>
      </c>
      <c r="J88" s="6">
        <f>'Monthly Data'!BA88</f>
        <v>0</v>
      </c>
      <c r="L88" s="20">
        <f>'GS &lt; 50 OLS model'!$I$5</f>
        <v>-1348055.69881657</v>
      </c>
      <c r="M88" s="20">
        <f ca="1">'GS &lt; 50 OLS model'!$I$6*D88</f>
        <v>465790.39742509357</v>
      </c>
      <c r="N88" s="20">
        <f ca="1">'GS &lt; 50 OLS model'!$I$7*E88</f>
        <v>6751.0830153711922</v>
      </c>
      <c r="O88" s="20">
        <f>'GS &lt; 50 OLS model'!$I$8*F88</f>
        <v>2086902.6841436236</v>
      </c>
      <c r="P88" s="20">
        <f>'GS &lt; 50 OLS model'!$I$9*G88</f>
        <v>4609129.5106277745</v>
      </c>
      <c r="Q88" s="20">
        <f>'GS &lt; 50 OLS model'!$I$10*H88</f>
        <v>-267670.55098135502</v>
      </c>
      <c r="R88" s="20">
        <f>'GS &lt; 50 OLS model'!$I$11*I88</f>
        <v>186511.19475200301</v>
      </c>
      <c r="S88" s="20">
        <f>'GS &lt; 50 OLS model'!$I$12*J88</f>
        <v>0</v>
      </c>
      <c r="T88" s="20">
        <f t="shared" ca="1" si="8"/>
        <v>5739358.6201659413</v>
      </c>
    </row>
    <row r="89" spans="1:20" ht="15">
      <c r="A89" s="22">
        <v>42461</v>
      </c>
      <c r="B89" s="6">
        <f t="shared" si="9"/>
        <v>2016</v>
      </c>
      <c r="C89" s="20">
        <f ca="1">'Monthly Data'!K89</f>
        <v>5299935.1901814425</v>
      </c>
      <c r="D89" s="6">
        <f t="shared" ca="1" si="10"/>
        <v>259.5499999999999</v>
      </c>
      <c r="E89" s="6">
        <f t="shared" ca="1" si="10"/>
        <v>2.4500000000000002</v>
      </c>
      <c r="F89" s="6">
        <f>'Monthly Data'!AK89</f>
        <v>159.30000000000001</v>
      </c>
      <c r="G89" s="6">
        <f>'Monthly Data'!AM89</f>
        <v>30</v>
      </c>
      <c r="H89" s="6">
        <f>'Monthly Data'!BD89</f>
        <v>1</v>
      </c>
      <c r="I89" s="6">
        <f>'Monthly Data'!AR89</f>
        <v>0</v>
      </c>
      <c r="J89" s="6">
        <f>'Monthly Data'!BA89</f>
        <v>0</v>
      </c>
      <c r="L89" s="20">
        <f>'GS &lt; 50 OLS model'!$I$5</f>
        <v>-1348055.69881657</v>
      </c>
      <c r="M89" s="20">
        <f ca="1">'GS &lt; 50 OLS model'!$I$6*D89</f>
        <v>267859.9230107746</v>
      </c>
      <c r="N89" s="20">
        <f ca="1">'GS &lt; 50 OLS model'!$I$7*E89</f>
        <v>18795.628849612975</v>
      </c>
      <c r="O89" s="20">
        <f>'GS &lt; 50 OLS model'!$I$8*F89</f>
        <v>2120176.0050005051</v>
      </c>
      <c r="P89" s="20">
        <f>'GS &lt; 50 OLS model'!$I$9*G89</f>
        <v>4460447.91351075</v>
      </c>
      <c r="Q89" s="20">
        <f>'GS &lt; 50 OLS model'!$I$10*H89</f>
        <v>-267670.55098135502</v>
      </c>
      <c r="R89" s="20">
        <f>'GS &lt; 50 OLS model'!$I$11*I89</f>
        <v>0</v>
      </c>
      <c r="S89" s="20">
        <f>'GS &lt; 50 OLS model'!$I$12*J89</f>
        <v>0</v>
      </c>
      <c r="T89" s="20">
        <f t="shared" ca="1" si="8"/>
        <v>5251553.2205737177</v>
      </c>
    </row>
    <row r="90" spans="1:20" ht="15">
      <c r="A90" s="22">
        <v>42491</v>
      </c>
      <c r="B90" s="6">
        <f t="shared" si="9"/>
        <v>2016</v>
      </c>
      <c r="C90" s="20">
        <f ca="1">'Monthly Data'!K90</f>
        <v>5725044.7124987924</v>
      </c>
      <c r="D90" s="6">
        <f t="shared" ca="1" si="10"/>
        <v>88.880000000000024</v>
      </c>
      <c r="E90" s="6">
        <f t="shared" ca="1" si="10"/>
        <v>43.79999999999999</v>
      </c>
      <c r="F90" s="6">
        <f>'Monthly Data'!AK90</f>
        <v>162.1</v>
      </c>
      <c r="G90" s="6">
        <f>'Monthly Data'!AM90</f>
        <v>31</v>
      </c>
      <c r="H90" s="6">
        <f>'Monthly Data'!BD90</f>
        <v>1</v>
      </c>
      <c r="I90" s="6">
        <f>'Monthly Data'!AR90</f>
        <v>0</v>
      </c>
      <c r="J90" s="6">
        <f>'Monthly Data'!BA90</f>
        <v>0</v>
      </c>
      <c r="L90" s="20">
        <f>'GS &lt; 50 OLS model'!$I$5</f>
        <v>-1348055.69881657</v>
      </c>
      <c r="M90" s="20">
        <f ca="1">'GS &lt; 50 OLS model'!$I$6*D90</f>
        <v>91725.640366779655</v>
      </c>
      <c r="N90" s="20">
        <f ca="1">'GS &lt; 50 OLS model'!$I$7*E90</f>
        <v>336019.8137196115</v>
      </c>
      <c r="O90" s="20">
        <f>'GS &lt; 50 OLS model'!$I$8*F90</f>
        <v>2157442.1243602126</v>
      </c>
      <c r="P90" s="20">
        <f>'GS &lt; 50 OLS model'!$I$9*G90</f>
        <v>4609129.5106277745</v>
      </c>
      <c r="Q90" s="20">
        <f>'GS &lt; 50 OLS model'!$I$10*H90</f>
        <v>-267670.55098135502</v>
      </c>
      <c r="R90" s="20">
        <f>'GS &lt; 50 OLS model'!$I$11*I90</f>
        <v>0</v>
      </c>
      <c r="S90" s="20">
        <f>'GS &lt; 50 OLS model'!$I$12*J90</f>
        <v>0</v>
      </c>
      <c r="T90" s="20">
        <f t="shared" ca="1" si="8"/>
        <v>5578590.8392764535</v>
      </c>
    </row>
    <row r="91" spans="1:20" ht="15">
      <c r="A91" s="22">
        <v>42522</v>
      </c>
      <c r="B91" s="6">
        <f t="shared" si="9"/>
        <v>2016</v>
      </c>
      <c r="C91" s="20">
        <f ca="1">'Monthly Data'!K91</f>
        <v>6274571.4465554031</v>
      </c>
      <c r="D91" s="6">
        <f t="shared" ca="1" si="10"/>
        <v>9.77</v>
      </c>
      <c r="E91" s="6">
        <f t="shared" ca="1" si="10"/>
        <v>117.38999999999999</v>
      </c>
      <c r="F91" s="6">
        <f>'Monthly Data'!AK91</f>
        <v>166.7</v>
      </c>
      <c r="G91" s="6">
        <f>'Monthly Data'!AM91</f>
        <v>30</v>
      </c>
      <c r="H91" s="6">
        <f>'Monthly Data'!BD91</f>
        <v>0</v>
      </c>
      <c r="I91" s="6">
        <f>'Monthly Data'!AR91</f>
        <v>0</v>
      </c>
      <c r="J91" s="6">
        <f>'Monthly Data'!BA91</f>
        <v>0</v>
      </c>
      <c r="L91" s="20">
        <f>'GS &lt; 50 OLS model'!$I$5</f>
        <v>-1348055.69881657</v>
      </c>
      <c r="M91" s="20">
        <f ca="1">'GS &lt; 50 OLS model'!$I$6*D91</f>
        <v>10082.802727086375</v>
      </c>
      <c r="N91" s="20">
        <f ca="1">'GS &lt; 50 OLS model'!$I$7*E91</f>
        <v>900579.13088002731</v>
      </c>
      <c r="O91" s="20">
        <f>'GS &lt; 50 OLS model'!$I$8*F91</f>
        <v>2218665.034736875</v>
      </c>
      <c r="P91" s="20">
        <f>'GS &lt; 50 OLS model'!$I$9*G91</f>
        <v>4460447.91351075</v>
      </c>
      <c r="Q91" s="20">
        <f>'GS &lt; 50 OLS model'!$I$10*H91</f>
        <v>0</v>
      </c>
      <c r="R91" s="20">
        <f>'GS &lt; 50 OLS model'!$I$11*I91</f>
        <v>0</v>
      </c>
      <c r="S91" s="20">
        <f>'GS &lt; 50 OLS model'!$I$12*J91</f>
        <v>0</v>
      </c>
      <c r="T91" s="20">
        <f t="shared" ca="1" si="8"/>
        <v>6241719.1830381686</v>
      </c>
    </row>
    <row r="92" spans="1:20" ht="15">
      <c r="A92" s="22">
        <v>42552</v>
      </c>
      <c r="B92" s="6">
        <f t="shared" si="9"/>
        <v>2016</v>
      </c>
      <c r="C92" s="20">
        <f ca="1">'Monthly Data'!K92</f>
        <v>7190951.1979749231</v>
      </c>
      <c r="D92" s="6">
        <f t="shared" ca="1" si="10"/>
        <v>0.58000000000000007</v>
      </c>
      <c r="E92" s="6">
        <f t="shared" ca="1" si="10"/>
        <v>179.70999999999998</v>
      </c>
      <c r="F92" s="6">
        <f>'Monthly Data'!AK92</f>
        <v>169.9</v>
      </c>
      <c r="G92" s="6">
        <f>'Monthly Data'!AM92</f>
        <v>31</v>
      </c>
      <c r="H92" s="6">
        <f>'Monthly Data'!BD92</f>
        <v>0</v>
      </c>
      <c r="I92" s="6">
        <f>'Monthly Data'!AR92</f>
        <v>0</v>
      </c>
      <c r="J92" s="6">
        <f>'Monthly Data'!BA92</f>
        <v>0</v>
      </c>
      <c r="L92" s="20">
        <f>'GS &lt; 50 OLS model'!$I$5</f>
        <v>-1348055.69881657</v>
      </c>
      <c r="M92" s="20">
        <f ca="1">'GS &lt; 50 OLS model'!$I$6*D92</f>
        <v>598.56966035927314</v>
      </c>
      <c r="N92" s="20">
        <f ca="1">'GS &lt; 50 OLS model'!$I$7*E92</f>
        <v>1378678.5553322234</v>
      </c>
      <c r="O92" s="20">
        <f>'GS &lt; 50 OLS model'!$I$8*F92</f>
        <v>2261254.8854336836</v>
      </c>
      <c r="P92" s="20">
        <f>'GS &lt; 50 OLS model'!$I$9*G92</f>
        <v>4609129.5106277745</v>
      </c>
      <c r="Q92" s="20">
        <f>'GS &lt; 50 OLS model'!$I$10*H92</f>
        <v>0</v>
      </c>
      <c r="R92" s="20">
        <f>'GS &lt; 50 OLS model'!$I$11*I92</f>
        <v>0</v>
      </c>
      <c r="S92" s="20">
        <f>'GS &lt; 50 OLS model'!$I$12*J92</f>
        <v>0</v>
      </c>
      <c r="T92" s="20">
        <f t="shared" ca="1" si="8"/>
        <v>6901605.8222374711</v>
      </c>
    </row>
    <row r="93" spans="1:20" ht="15">
      <c r="A93" s="22">
        <v>42583</v>
      </c>
      <c r="B93" s="6">
        <f t="shared" si="9"/>
        <v>2016</v>
      </c>
      <c r="C93" s="20">
        <f ca="1">'Monthly Data'!K93</f>
        <v>7201848.0708680535</v>
      </c>
      <c r="D93" s="6">
        <f t="shared" ca="1" si="10"/>
        <v>1.7099999999999997</v>
      </c>
      <c r="E93" s="6">
        <f t="shared" ca="1" si="10"/>
        <v>158.1</v>
      </c>
      <c r="F93" s="6">
        <f>'Monthly Data'!AK93</f>
        <v>171.7</v>
      </c>
      <c r="G93" s="6">
        <f>'Monthly Data'!AM93</f>
        <v>31</v>
      </c>
      <c r="H93" s="6">
        <f>'Monthly Data'!BD93</f>
        <v>0</v>
      </c>
      <c r="I93" s="6">
        <f>'Monthly Data'!AR93</f>
        <v>0</v>
      </c>
      <c r="J93" s="6">
        <f>'Monthly Data'!BA93</f>
        <v>0</v>
      </c>
      <c r="L93" s="20">
        <f>'GS &lt; 50 OLS model'!$I$5</f>
        <v>-1348055.69881657</v>
      </c>
      <c r="M93" s="20">
        <f ca="1">'GS &lt; 50 OLS model'!$I$6*D93</f>
        <v>1764.7484814040633</v>
      </c>
      <c r="N93" s="20">
        <f ca="1">'GS &lt; 50 OLS model'!$I$7*E93</f>
        <v>1212893.4371933923</v>
      </c>
      <c r="O93" s="20">
        <f>'GS &lt; 50 OLS model'!$I$8*F93</f>
        <v>2285211.6764506386</v>
      </c>
      <c r="P93" s="20">
        <f>'GS &lt; 50 OLS model'!$I$9*G93</f>
        <v>4609129.5106277745</v>
      </c>
      <c r="Q93" s="20">
        <f>'GS &lt; 50 OLS model'!$I$10*H93</f>
        <v>0</v>
      </c>
      <c r="R93" s="20">
        <f>'GS &lt; 50 OLS model'!$I$11*I93</f>
        <v>0</v>
      </c>
      <c r="S93" s="20">
        <f>'GS &lt; 50 OLS model'!$I$12*J93</f>
        <v>0</v>
      </c>
      <c r="T93" s="20">
        <f t="shared" ca="1" si="8"/>
        <v>6760943.673936639</v>
      </c>
    </row>
    <row r="94" spans="1:20" ht="15">
      <c r="A94" s="22">
        <v>42614</v>
      </c>
      <c r="B94" s="6">
        <f t="shared" si="9"/>
        <v>2016</v>
      </c>
      <c r="C94" s="20">
        <f ca="1">'Monthly Data'!K94</f>
        <v>6187428.4299528729</v>
      </c>
      <c r="D94" s="6">
        <f t="shared" ref="D94:E109" ca="1" si="11">D82</f>
        <v>32.68</v>
      </c>
      <c r="E94" s="6">
        <f t="shared" ca="1" si="11"/>
        <v>67.34</v>
      </c>
      <c r="F94" s="6">
        <f>'Monthly Data'!AK94</f>
        <v>170.5</v>
      </c>
      <c r="G94" s="6">
        <f>'Monthly Data'!AM94</f>
        <v>30</v>
      </c>
      <c r="H94" s="6">
        <f>'Monthly Data'!BD94</f>
        <v>0</v>
      </c>
      <c r="I94" s="6">
        <f>'Monthly Data'!AR94</f>
        <v>0</v>
      </c>
      <c r="J94" s="6">
        <f>'Monthly Data'!BA94</f>
        <v>0</v>
      </c>
      <c r="L94" s="20">
        <f>'GS &lt; 50 OLS model'!$I$5</f>
        <v>-1348055.69881657</v>
      </c>
      <c r="M94" s="20">
        <f ca="1">'GS &lt; 50 OLS model'!$I$6*D94</f>
        <v>33726.304311277658</v>
      </c>
      <c r="N94" s="20">
        <f ca="1">'GS &lt; 50 OLS model'!$I$7*E94</f>
        <v>516611.28438079095</v>
      </c>
      <c r="O94" s="20">
        <f>'GS &lt; 50 OLS model'!$I$8*F94</f>
        <v>2269240.4824393354</v>
      </c>
      <c r="P94" s="20">
        <f>'GS &lt; 50 OLS model'!$I$9*G94</f>
        <v>4460447.91351075</v>
      </c>
      <c r="Q94" s="20">
        <f>'GS &lt; 50 OLS model'!$I$10*H94</f>
        <v>0</v>
      </c>
      <c r="R94" s="20">
        <f>'GS &lt; 50 OLS model'!$I$11*I94</f>
        <v>0</v>
      </c>
      <c r="S94" s="20">
        <f>'GS &lt; 50 OLS model'!$I$12*J94</f>
        <v>0</v>
      </c>
      <c r="T94" s="20">
        <f t="shared" ca="1" si="8"/>
        <v>5931970.2858255841</v>
      </c>
    </row>
    <row r="95" spans="1:20" ht="15">
      <c r="A95" s="22">
        <v>42644</v>
      </c>
      <c r="B95" s="6">
        <f t="shared" si="9"/>
        <v>2016</v>
      </c>
      <c r="C95" s="20">
        <f ca="1">'Monthly Data'!K95</f>
        <v>5528378.5441089226</v>
      </c>
      <c r="D95" s="6">
        <f t="shared" ca="1" si="11"/>
        <v>176.42</v>
      </c>
      <c r="E95" s="6">
        <f t="shared" ca="1" si="11"/>
        <v>10.18</v>
      </c>
      <c r="F95" s="6">
        <f>'Monthly Data'!AK95</f>
        <v>169.2</v>
      </c>
      <c r="G95" s="6">
        <f>'Monthly Data'!AM95</f>
        <v>31</v>
      </c>
      <c r="H95" s="6">
        <f>'Monthly Data'!BD95</f>
        <v>1</v>
      </c>
      <c r="I95" s="6">
        <f>'Monthly Data'!AR95</f>
        <v>0</v>
      </c>
      <c r="J95" s="6">
        <f>'Monthly Data'!BA95</f>
        <v>0</v>
      </c>
      <c r="L95" s="20">
        <f>'GS &lt; 50 OLS model'!$I$5</f>
        <v>-1348055.69881657</v>
      </c>
      <c r="M95" s="20">
        <f ca="1">'GS &lt; 50 OLS model'!$I$6*D95</f>
        <v>182068.37841479818</v>
      </c>
      <c r="N95" s="20">
        <f ca="1">'GS &lt; 50 OLS model'!$I$7*E95</f>
        <v>78097.755791453092</v>
      </c>
      <c r="O95" s="20">
        <f>'GS &lt; 50 OLS model'!$I$8*F95</f>
        <v>2251938.3555937568</v>
      </c>
      <c r="P95" s="20">
        <f>'GS &lt; 50 OLS model'!$I$9*G95</f>
        <v>4609129.5106277745</v>
      </c>
      <c r="Q95" s="20">
        <f>'GS &lt; 50 OLS model'!$I$10*H95</f>
        <v>-267670.55098135502</v>
      </c>
      <c r="R95" s="20">
        <f>'GS &lt; 50 OLS model'!$I$11*I95</f>
        <v>0</v>
      </c>
      <c r="S95" s="20">
        <f>'GS &lt; 50 OLS model'!$I$12*J95</f>
        <v>0</v>
      </c>
      <c r="T95" s="20">
        <f t="shared" ca="1" si="8"/>
        <v>5505507.7506298581</v>
      </c>
    </row>
    <row r="96" spans="1:20" ht="15">
      <c r="A96" s="22">
        <v>42675</v>
      </c>
      <c r="B96" s="6">
        <f t="shared" si="9"/>
        <v>2016</v>
      </c>
      <c r="C96" s="20">
        <f ca="1">'Monthly Data'!K96</f>
        <v>5302153.4829599326</v>
      </c>
      <c r="D96" s="6">
        <f t="shared" ca="1" si="11"/>
        <v>364.2299999999999</v>
      </c>
      <c r="E96" s="6">
        <f t="shared" ca="1" si="11"/>
        <v>0.05</v>
      </c>
      <c r="F96" s="6">
        <f>'Monthly Data'!AK96</f>
        <v>165.5</v>
      </c>
      <c r="G96" s="6">
        <f>'Monthly Data'!AM96</f>
        <v>30</v>
      </c>
      <c r="H96" s="6">
        <f>'Monthly Data'!BD96</f>
        <v>1</v>
      </c>
      <c r="I96" s="6">
        <f>'Monthly Data'!AR96</f>
        <v>0</v>
      </c>
      <c r="J96" s="6">
        <f>'Monthly Data'!BA96</f>
        <v>0</v>
      </c>
      <c r="L96" s="20">
        <f>'GS &lt; 50 OLS model'!$I$5</f>
        <v>-1348055.69881657</v>
      </c>
      <c r="M96" s="20">
        <f ca="1">'GS &lt; 50 OLS model'!$I$6*D96</f>
        <v>375891.42653906549</v>
      </c>
      <c r="N96" s="20">
        <f ca="1">'GS &lt; 50 OLS model'!$I$7*E96</f>
        <v>383.58426223699951</v>
      </c>
      <c r="O96" s="20">
        <f>'GS &lt; 50 OLS model'!$I$8*F96</f>
        <v>2202693.8407255718</v>
      </c>
      <c r="P96" s="20">
        <f>'GS &lt; 50 OLS model'!$I$9*G96</f>
        <v>4460447.91351075</v>
      </c>
      <c r="Q96" s="20">
        <f>'GS &lt; 50 OLS model'!$I$10*H96</f>
        <v>-267670.55098135502</v>
      </c>
      <c r="R96" s="20">
        <f>'GS &lt; 50 OLS model'!$I$11*I96</f>
        <v>0</v>
      </c>
      <c r="S96" s="20">
        <f>'GS &lt; 50 OLS model'!$I$12*J96</f>
        <v>0</v>
      </c>
      <c r="T96" s="20">
        <f t="shared" ca="1" si="8"/>
        <v>5423690.5152396997</v>
      </c>
    </row>
    <row r="97" spans="1:20" ht="15">
      <c r="A97" s="22">
        <v>42705</v>
      </c>
      <c r="B97" s="6">
        <f t="shared" si="9"/>
        <v>2016</v>
      </c>
      <c r="C97" s="20">
        <f ca="1">'Monthly Data'!K97</f>
        <v>5864439.0227300832</v>
      </c>
      <c r="D97" s="6">
        <f t="shared" ca="1" si="11"/>
        <v>552.31000000000006</v>
      </c>
      <c r="E97" s="6">
        <f t="shared" ca="1" si="11"/>
        <v>0</v>
      </c>
      <c r="F97" s="137">
        <f>'Monthly Data'!AK97</f>
        <v>162.5</v>
      </c>
      <c r="G97" s="6">
        <f>'Monthly Data'!AM97</f>
        <v>31</v>
      </c>
      <c r="H97" s="6">
        <f>'Monthly Data'!BD97</f>
        <v>0</v>
      </c>
      <c r="I97" s="6">
        <f>'Monthly Data'!AR97</f>
        <v>0</v>
      </c>
      <c r="J97" s="6">
        <f>'Monthly Data'!BA97</f>
        <v>1</v>
      </c>
      <c r="L97" s="20">
        <f>'GS &lt; 50 OLS model'!$I$5</f>
        <v>-1348055.69881657</v>
      </c>
      <c r="M97" s="20">
        <f ca="1">'GS &lt; 50 OLS model'!$I$6*D97</f>
        <v>569993.11916039675</v>
      </c>
      <c r="N97" s="20">
        <f ca="1">'GS &lt; 50 OLS model'!$I$7*E97</f>
        <v>0</v>
      </c>
      <c r="O97" s="20">
        <f>'GS &lt; 50 OLS model'!$I$8*F97</f>
        <v>2162765.8556973138</v>
      </c>
      <c r="P97" s="20">
        <f>'GS &lt; 50 OLS model'!$I$9*G97</f>
        <v>4609129.5106277745</v>
      </c>
      <c r="Q97" s="20">
        <f>'GS &lt; 50 OLS model'!$I$10*H97</f>
        <v>0</v>
      </c>
      <c r="R97" s="20">
        <f>'GS &lt; 50 OLS model'!$I$11*I97</f>
        <v>0</v>
      </c>
      <c r="S97" s="20">
        <f>'GS &lt; 50 OLS model'!$I$12*J97</f>
        <v>-201228.923645601</v>
      </c>
      <c r="T97" s="20">
        <f t="shared" ca="1" si="8"/>
        <v>5792603.8630233146</v>
      </c>
    </row>
    <row r="98" spans="1:20" ht="15">
      <c r="A98" s="22">
        <v>42736</v>
      </c>
      <c r="B98" s="6">
        <f t="shared" si="9"/>
        <v>2017</v>
      </c>
      <c r="D98" s="6">
        <f t="shared" ca="1" si="11"/>
        <v>661.18999999999994</v>
      </c>
      <c r="E98" s="6">
        <f t="shared" ca="1" si="11"/>
        <v>0</v>
      </c>
      <c r="F98" s="137">
        <f>'Monthly Data'!AK98</f>
        <v>160.69999999999999</v>
      </c>
      <c r="G98" s="6">
        <f t="shared" ref="G98:J121" si="12">G50</f>
        <v>31</v>
      </c>
      <c r="H98" s="6">
        <f t="shared" si="12"/>
        <v>0</v>
      </c>
      <c r="I98" s="6">
        <f t="shared" si="12"/>
        <v>0</v>
      </c>
      <c r="J98" s="6">
        <f t="shared" si="12"/>
        <v>0</v>
      </c>
      <c r="L98" s="20">
        <f>'GS &lt; 50 OLS model'!$I$5</f>
        <v>-1348055.69881657</v>
      </c>
      <c r="M98" s="20">
        <f ca="1">'GS &lt; 50 OLS model'!$I$6*D98</f>
        <v>682359.09264301334</v>
      </c>
      <c r="N98" s="20">
        <f ca="1">'GS &lt; 50 OLS model'!$I$7*E98</f>
        <v>0</v>
      </c>
      <c r="O98" s="20">
        <f>'GS &lt; 50 OLS model'!$I$8*F98</f>
        <v>2138809.0646803589</v>
      </c>
      <c r="P98" s="20">
        <f>'GS &lt; 50 OLS model'!$I$9*G98</f>
        <v>4609129.5106277745</v>
      </c>
      <c r="Q98" s="20">
        <f>'GS &lt; 50 OLS model'!$I$10*H98</f>
        <v>0</v>
      </c>
      <c r="R98" s="20">
        <f>'GS &lt; 50 OLS model'!$I$11*I98</f>
        <v>0</v>
      </c>
      <c r="S98" s="20">
        <f>'GS &lt; 50 OLS model'!$I$12*J98</f>
        <v>0</v>
      </c>
      <c r="T98" s="20">
        <f t="shared" ref="T98:T109" ca="1" si="13">SUM(L98:S98)</f>
        <v>6082241.9691345766</v>
      </c>
    </row>
    <row r="99" spans="1:20" ht="15">
      <c r="A99" s="22">
        <v>42767</v>
      </c>
      <c r="B99" s="6">
        <f t="shared" si="9"/>
        <v>2017</v>
      </c>
      <c r="D99" s="6">
        <f t="shared" ca="1" si="11"/>
        <v>598.16999999999985</v>
      </c>
      <c r="E99" s="6">
        <f t="shared" ca="1" si="11"/>
        <v>0</v>
      </c>
      <c r="F99" s="137">
        <f>'Monthly Data'!AK99</f>
        <v>158.80000000000001</v>
      </c>
      <c r="G99" s="6">
        <f t="shared" si="12"/>
        <v>28</v>
      </c>
      <c r="H99" s="6">
        <f t="shared" si="12"/>
        <v>0</v>
      </c>
      <c r="I99" s="6">
        <f t="shared" si="12"/>
        <v>0</v>
      </c>
      <c r="J99" s="6">
        <f t="shared" si="12"/>
        <v>0</v>
      </c>
      <c r="L99" s="20">
        <f>'GS &lt; 50 OLS model'!$I$5</f>
        <v>-1348055.69881657</v>
      </c>
      <c r="M99" s="20">
        <f ca="1">'GS &lt; 50 OLS model'!$I$6*D99</f>
        <v>617321.40299501084</v>
      </c>
      <c r="N99" s="20">
        <f ca="1">'GS &lt; 50 OLS model'!$I$7*E99</f>
        <v>0</v>
      </c>
      <c r="O99" s="20">
        <f>'GS &lt; 50 OLS model'!$I$8*F99</f>
        <v>2113521.3408291289</v>
      </c>
      <c r="P99" s="20">
        <f>'GS &lt; 50 OLS model'!$I$9*G99</f>
        <v>4163084.7192767002</v>
      </c>
      <c r="Q99" s="20">
        <f>'GS &lt; 50 OLS model'!$I$10*H99</f>
        <v>0</v>
      </c>
      <c r="R99" s="20">
        <f>'GS &lt; 50 OLS model'!$I$11*I99</f>
        <v>0</v>
      </c>
      <c r="S99" s="20">
        <f>'GS &lt; 50 OLS model'!$I$12*J99</f>
        <v>0</v>
      </c>
      <c r="T99" s="20">
        <f t="shared" ca="1" si="13"/>
        <v>5545871.7642842699</v>
      </c>
    </row>
    <row r="100" spans="1:20" ht="15">
      <c r="A100" s="22">
        <v>42795</v>
      </c>
      <c r="B100" s="6">
        <f t="shared" si="9"/>
        <v>2017</v>
      </c>
      <c r="D100" s="6">
        <f t="shared" ca="1" si="11"/>
        <v>451.34</v>
      </c>
      <c r="E100" s="6">
        <f t="shared" ca="1" si="11"/>
        <v>0.88000000000000012</v>
      </c>
      <c r="F100" s="137">
        <f>'Monthly Data'!AK100</f>
        <v>157.6</v>
      </c>
      <c r="G100" s="6">
        <f t="shared" si="12"/>
        <v>31</v>
      </c>
      <c r="H100" s="6">
        <f t="shared" si="12"/>
        <v>1</v>
      </c>
      <c r="I100" s="6">
        <f t="shared" si="12"/>
        <v>1</v>
      </c>
      <c r="J100" s="6">
        <f t="shared" si="12"/>
        <v>0</v>
      </c>
      <c r="L100" s="20">
        <f>'GS &lt; 50 OLS model'!$I$5</f>
        <v>-1348055.69881657</v>
      </c>
      <c r="M100" s="20">
        <f ca="1">'GS &lt; 50 OLS model'!$I$6*D100</f>
        <v>465790.39742509357</v>
      </c>
      <c r="N100" s="20">
        <f ca="1">'GS &lt; 50 OLS model'!$I$7*E100</f>
        <v>6751.0830153711922</v>
      </c>
      <c r="O100" s="20">
        <f>'GS &lt; 50 OLS model'!$I$8*F100</f>
        <v>2097550.1468178253</v>
      </c>
      <c r="P100" s="20">
        <f>'GS &lt; 50 OLS model'!$I$9*G100</f>
        <v>4609129.5106277745</v>
      </c>
      <c r="Q100" s="20">
        <f>'GS &lt; 50 OLS model'!$I$10*H100</f>
        <v>-267670.55098135502</v>
      </c>
      <c r="R100" s="20">
        <f>'GS &lt; 50 OLS model'!$I$11*I100</f>
        <v>186511.19475200301</v>
      </c>
      <c r="S100" s="20">
        <f>'GS &lt; 50 OLS model'!$I$12*J100</f>
        <v>0</v>
      </c>
      <c r="T100" s="20">
        <f t="shared" ca="1" si="13"/>
        <v>5750006.0828401428</v>
      </c>
    </row>
    <row r="101" spans="1:20" ht="15">
      <c r="A101" s="22">
        <v>42826</v>
      </c>
      <c r="B101" s="6">
        <f t="shared" si="9"/>
        <v>2017</v>
      </c>
      <c r="D101" s="6">
        <f t="shared" ca="1" si="11"/>
        <v>259.5499999999999</v>
      </c>
      <c r="E101" s="6">
        <f t="shared" ca="1" si="11"/>
        <v>2.4500000000000002</v>
      </c>
      <c r="F101" s="137">
        <f>'Monthly Data'!AK101</f>
        <v>156.80000000000001</v>
      </c>
      <c r="G101" s="6">
        <f t="shared" si="12"/>
        <v>30</v>
      </c>
      <c r="H101" s="6">
        <f t="shared" si="12"/>
        <v>1</v>
      </c>
      <c r="I101" s="6">
        <f t="shared" si="12"/>
        <v>0</v>
      </c>
      <c r="J101" s="6">
        <f t="shared" si="12"/>
        <v>0</v>
      </c>
      <c r="L101" s="20">
        <f>'GS &lt; 50 OLS model'!$I$5</f>
        <v>-1348055.69881657</v>
      </c>
      <c r="M101" s="20">
        <f ca="1">'GS &lt; 50 OLS model'!$I$6*D101</f>
        <v>267859.9230107746</v>
      </c>
      <c r="N101" s="20">
        <f ca="1">'GS &lt; 50 OLS model'!$I$7*E101</f>
        <v>18795.628849612975</v>
      </c>
      <c r="O101" s="20">
        <f>'GS &lt; 50 OLS model'!$I$8*F101</f>
        <v>2086902.6841436236</v>
      </c>
      <c r="P101" s="20">
        <f>'GS &lt; 50 OLS model'!$I$9*G101</f>
        <v>4460447.91351075</v>
      </c>
      <c r="Q101" s="20">
        <f>'GS &lt; 50 OLS model'!$I$10*H101</f>
        <v>-267670.55098135502</v>
      </c>
      <c r="R101" s="20">
        <f>'GS &lt; 50 OLS model'!$I$11*I101</f>
        <v>0</v>
      </c>
      <c r="S101" s="20">
        <f>'GS &lt; 50 OLS model'!$I$12*J101</f>
        <v>0</v>
      </c>
      <c r="T101" s="20">
        <f t="shared" ca="1" si="13"/>
        <v>5218279.8997168364</v>
      </c>
    </row>
    <row r="102" spans="1:20" ht="15">
      <c r="A102" s="22">
        <v>42856</v>
      </c>
      <c r="B102" s="6">
        <f t="shared" si="9"/>
        <v>2017</v>
      </c>
      <c r="D102" s="6">
        <f t="shared" ca="1" si="11"/>
        <v>88.880000000000024</v>
      </c>
      <c r="E102" s="6">
        <f t="shared" ca="1" si="11"/>
        <v>43.79999999999999</v>
      </c>
      <c r="F102" s="137">
        <f>'Monthly Data'!AK102</f>
        <v>157.69999999999999</v>
      </c>
      <c r="G102" s="6">
        <f t="shared" si="12"/>
        <v>31</v>
      </c>
      <c r="H102" s="6">
        <f t="shared" si="12"/>
        <v>1</v>
      </c>
      <c r="I102" s="6">
        <f t="shared" si="12"/>
        <v>0</v>
      </c>
      <c r="J102" s="6">
        <f t="shared" si="12"/>
        <v>0</v>
      </c>
      <c r="L102" s="20">
        <f>'GS &lt; 50 OLS model'!$I$5</f>
        <v>-1348055.69881657</v>
      </c>
      <c r="M102" s="20">
        <f ca="1">'GS &lt; 50 OLS model'!$I$6*D102</f>
        <v>91725.640366779655</v>
      </c>
      <c r="N102" s="20">
        <f ca="1">'GS &lt; 50 OLS model'!$I$7*E102</f>
        <v>336019.8137196115</v>
      </c>
      <c r="O102" s="20">
        <f>'GS &lt; 50 OLS model'!$I$8*F102</f>
        <v>2098881.0796521008</v>
      </c>
      <c r="P102" s="20">
        <f>'GS &lt; 50 OLS model'!$I$9*G102</f>
        <v>4609129.5106277745</v>
      </c>
      <c r="Q102" s="20">
        <f>'GS &lt; 50 OLS model'!$I$10*H102</f>
        <v>-267670.55098135502</v>
      </c>
      <c r="R102" s="20">
        <f>'GS &lt; 50 OLS model'!$I$11*I102</f>
        <v>0</v>
      </c>
      <c r="S102" s="20">
        <f>'GS &lt; 50 OLS model'!$I$12*J102</f>
        <v>0</v>
      </c>
      <c r="T102" s="20">
        <f t="shared" ca="1" si="13"/>
        <v>5520029.7945683422</v>
      </c>
    </row>
    <row r="103" spans="1:20" ht="15">
      <c r="A103" s="22">
        <v>42887</v>
      </c>
      <c r="B103" s="6">
        <f t="shared" si="9"/>
        <v>2017</v>
      </c>
      <c r="D103" s="6">
        <f t="shared" ca="1" si="11"/>
        <v>9.77</v>
      </c>
      <c r="E103" s="6">
        <f t="shared" ca="1" si="11"/>
        <v>117.38999999999999</v>
      </c>
      <c r="F103" s="137">
        <f>'Monthly Data'!AK103</f>
        <v>161.19999999999999</v>
      </c>
      <c r="G103" s="6">
        <f t="shared" si="12"/>
        <v>30</v>
      </c>
      <c r="H103" s="6">
        <f t="shared" si="12"/>
        <v>0</v>
      </c>
      <c r="I103" s="6">
        <f t="shared" si="12"/>
        <v>0</v>
      </c>
      <c r="J103" s="6">
        <f t="shared" si="12"/>
        <v>0</v>
      </c>
      <c r="L103" s="20">
        <f>'GS &lt; 50 OLS model'!$I$5</f>
        <v>-1348055.69881657</v>
      </c>
      <c r="M103" s="20">
        <f ca="1">'GS &lt; 50 OLS model'!$I$6*D103</f>
        <v>10082.802727086375</v>
      </c>
      <c r="N103" s="20">
        <f ca="1">'GS &lt; 50 OLS model'!$I$7*E103</f>
        <v>900579.13088002731</v>
      </c>
      <c r="O103" s="20">
        <f>'GS &lt; 50 OLS model'!$I$8*F103</f>
        <v>2145463.7288517351</v>
      </c>
      <c r="P103" s="20">
        <f>'GS &lt; 50 OLS model'!$I$9*G103</f>
        <v>4460447.91351075</v>
      </c>
      <c r="Q103" s="20">
        <f>'GS &lt; 50 OLS model'!$I$10*H103</f>
        <v>0</v>
      </c>
      <c r="R103" s="20">
        <f>'GS &lt; 50 OLS model'!$I$11*I103</f>
        <v>0</v>
      </c>
      <c r="S103" s="20">
        <f>'GS &lt; 50 OLS model'!$I$12*J103</f>
        <v>0</v>
      </c>
      <c r="T103" s="20">
        <f t="shared" ca="1" si="13"/>
        <v>6168517.8771530287</v>
      </c>
    </row>
    <row r="104" spans="1:20" ht="15">
      <c r="A104" s="22">
        <v>42917</v>
      </c>
      <c r="B104" s="6">
        <f t="shared" si="9"/>
        <v>2017</v>
      </c>
      <c r="D104" s="6">
        <f t="shared" ca="1" si="11"/>
        <v>0.58000000000000007</v>
      </c>
      <c r="E104" s="6">
        <f t="shared" ca="1" si="11"/>
        <v>179.70999999999998</v>
      </c>
      <c r="F104" s="137">
        <f>'Monthly Data'!AK104</f>
        <v>163.19999999999999</v>
      </c>
      <c r="G104" s="6">
        <f t="shared" si="12"/>
        <v>31</v>
      </c>
      <c r="H104" s="6">
        <f t="shared" si="12"/>
        <v>0</v>
      </c>
      <c r="I104" s="6">
        <f t="shared" si="12"/>
        <v>0</v>
      </c>
      <c r="J104" s="6">
        <f t="shared" si="12"/>
        <v>0</v>
      </c>
      <c r="L104" s="20">
        <f>'GS &lt; 50 OLS model'!$I$5</f>
        <v>-1348055.69881657</v>
      </c>
      <c r="M104" s="20">
        <f ca="1">'GS &lt; 50 OLS model'!$I$6*D104</f>
        <v>598.56966035927314</v>
      </c>
      <c r="N104" s="20">
        <f ca="1">'GS &lt; 50 OLS model'!$I$7*E104</f>
        <v>1378678.5553322234</v>
      </c>
      <c r="O104" s="20">
        <f>'GS &lt; 50 OLS model'!$I$8*F104</f>
        <v>2172082.3855372407</v>
      </c>
      <c r="P104" s="20">
        <f>'GS &lt; 50 OLS model'!$I$9*G104</f>
        <v>4609129.5106277745</v>
      </c>
      <c r="Q104" s="20">
        <f>'GS &lt; 50 OLS model'!$I$10*H104</f>
        <v>0</v>
      </c>
      <c r="R104" s="20">
        <f>'GS &lt; 50 OLS model'!$I$11*I104</f>
        <v>0</v>
      </c>
      <c r="S104" s="20">
        <f>'GS &lt; 50 OLS model'!$I$12*J104</f>
        <v>0</v>
      </c>
      <c r="T104" s="20">
        <f t="shared" ca="1" si="13"/>
        <v>6812433.3223410277</v>
      </c>
    </row>
    <row r="105" spans="1:20" ht="15">
      <c r="A105" s="22">
        <v>42948</v>
      </c>
      <c r="B105" s="6">
        <f t="shared" si="9"/>
        <v>2017</v>
      </c>
      <c r="D105" s="6">
        <f t="shared" ca="1" si="11"/>
        <v>1.7099999999999997</v>
      </c>
      <c r="E105" s="6">
        <f t="shared" ca="1" si="11"/>
        <v>158.1</v>
      </c>
      <c r="F105" s="137">
        <f>'Monthly Data'!AK105</f>
        <v>167.5</v>
      </c>
      <c r="G105" s="6">
        <f t="shared" si="12"/>
        <v>31</v>
      </c>
      <c r="H105" s="6">
        <f t="shared" si="12"/>
        <v>0</v>
      </c>
      <c r="I105" s="6">
        <f t="shared" si="12"/>
        <v>0</v>
      </c>
      <c r="J105" s="6">
        <f t="shared" si="12"/>
        <v>0</v>
      </c>
      <c r="L105" s="20">
        <f>'GS &lt; 50 OLS model'!$I$5</f>
        <v>-1348055.69881657</v>
      </c>
      <c r="M105" s="20">
        <f ca="1">'GS &lt; 50 OLS model'!$I$6*D105</f>
        <v>1764.7484814040633</v>
      </c>
      <c r="N105" s="20">
        <f ca="1">'GS &lt; 50 OLS model'!$I$7*E105</f>
        <v>1212893.4371933923</v>
      </c>
      <c r="O105" s="20">
        <f>'GS &lt; 50 OLS model'!$I$8*F105</f>
        <v>2229312.4974110774</v>
      </c>
      <c r="P105" s="20">
        <f>'GS &lt; 50 OLS model'!$I$9*G105</f>
        <v>4609129.5106277745</v>
      </c>
      <c r="Q105" s="20">
        <f>'GS &lt; 50 OLS model'!$I$10*H105</f>
        <v>0</v>
      </c>
      <c r="R105" s="20">
        <f>'GS &lt; 50 OLS model'!$I$11*I105</f>
        <v>0</v>
      </c>
      <c r="S105" s="20">
        <f>'GS &lt; 50 OLS model'!$I$12*J105</f>
        <v>0</v>
      </c>
      <c r="T105" s="20">
        <f t="shared" ca="1" si="13"/>
        <v>6705044.4948970787</v>
      </c>
    </row>
    <row r="106" spans="1:20" ht="15">
      <c r="A106" s="22">
        <v>42979</v>
      </c>
      <c r="B106" s="6">
        <f t="shared" si="9"/>
        <v>2017</v>
      </c>
      <c r="D106" s="6">
        <f t="shared" ca="1" si="11"/>
        <v>32.68</v>
      </c>
      <c r="E106" s="6">
        <f t="shared" ca="1" si="11"/>
        <v>67.34</v>
      </c>
      <c r="F106" s="137">
        <f>'Monthly Data'!AK106</f>
        <v>168.1</v>
      </c>
      <c r="G106" s="6">
        <f t="shared" si="12"/>
        <v>30</v>
      </c>
      <c r="H106" s="6">
        <f t="shared" si="12"/>
        <v>0</v>
      </c>
      <c r="I106" s="6">
        <f t="shared" si="12"/>
        <v>0</v>
      </c>
      <c r="J106" s="6">
        <f t="shared" si="12"/>
        <v>0</v>
      </c>
      <c r="L106" s="20">
        <f>'GS &lt; 50 OLS model'!$I$5</f>
        <v>-1348055.69881657</v>
      </c>
      <c r="M106" s="20">
        <f ca="1">'GS &lt; 50 OLS model'!$I$6*D106</f>
        <v>33726.304311277658</v>
      </c>
      <c r="N106" s="20">
        <f ca="1">'GS &lt; 50 OLS model'!$I$7*E106</f>
        <v>516611.28438079095</v>
      </c>
      <c r="O106" s="20">
        <f>'GS &lt; 50 OLS model'!$I$8*F106</f>
        <v>2237298.0944167287</v>
      </c>
      <c r="P106" s="20">
        <f>'GS &lt; 50 OLS model'!$I$9*G106</f>
        <v>4460447.91351075</v>
      </c>
      <c r="Q106" s="20">
        <f>'GS &lt; 50 OLS model'!$I$10*H106</f>
        <v>0</v>
      </c>
      <c r="R106" s="20">
        <f>'GS &lt; 50 OLS model'!$I$11*I106</f>
        <v>0</v>
      </c>
      <c r="S106" s="20">
        <f>'GS &lt; 50 OLS model'!$I$12*J106</f>
        <v>0</v>
      </c>
      <c r="T106" s="20">
        <f t="shared" ca="1" si="13"/>
        <v>5900027.8978029769</v>
      </c>
    </row>
    <row r="107" spans="1:20" ht="15">
      <c r="A107" s="22">
        <v>43009</v>
      </c>
      <c r="B107" s="6">
        <f t="shared" si="9"/>
        <v>2017</v>
      </c>
      <c r="D107" s="6">
        <f t="shared" ca="1" si="11"/>
        <v>176.42</v>
      </c>
      <c r="E107" s="6">
        <f t="shared" ca="1" si="11"/>
        <v>10.18</v>
      </c>
      <c r="F107" s="137">
        <f>'Monthly Data'!AK107</f>
        <v>165.1</v>
      </c>
      <c r="G107" s="6">
        <f t="shared" si="12"/>
        <v>31</v>
      </c>
      <c r="H107" s="6">
        <f t="shared" si="12"/>
        <v>1</v>
      </c>
      <c r="I107" s="6">
        <f t="shared" si="12"/>
        <v>0</v>
      </c>
      <c r="J107" s="6">
        <f t="shared" si="12"/>
        <v>0</v>
      </c>
      <c r="L107" s="20">
        <f>'GS &lt; 50 OLS model'!$I$5</f>
        <v>-1348055.69881657</v>
      </c>
      <c r="M107" s="20">
        <f ca="1">'GS &lt; 50 OLS model'!$I$6*D107</f>
        <v>182068.37841479818</v>
      </c>
      <c r="N107" s="20">
        <f ca="1">'GS &lt; 50 OLS model'!$I$7*E107</f>
        <v>78097.755791453092</v>
      </c>
      <c r="O107" s="20">
        <f>'GS &lt; 50 OLS model'!$I$8*F107</f>
        <v>2197370.1093884706</v>
      </c>
      <c r="P107" s="20">
        <f>'GS &lt; 50 OLS model'!$I$9*G107</f>
        <v>4609129.5106277745</v>
      </c>
      <c r="Q107" s="20">
        <f>'GS &lt; 50 OLS model'!$I$10*H107</f>
        <v>-267670.55098135502</v>
      </c>
      <c r="R107" s="20">
        <f>'GS &lt; 50 OLS model'!$I$11*I107</f>
        <v>0</v>
      </c>
      <c r="S107" s="20">
        <f>'GS &lt; 50 OLS model'!$I$12*J107</f>
        <v>0</v>
      </c>
      <c r="T107" s="20">
        <f t="shared" ca="1" si="13"/>
        <v>5450939.5044245711</v>
      </c>
    </row>
    <row r="108" spans="1:20" ht="15">
      <c r="A108" s="22">
        <v>43040</v>
      </c>
      <c r="B108" s="6">
        <f t="shared" si="9"/>
        <v>2017</v>
      </c>
      <c r="D108" s="6">
        <f t="shared" ca="1" si="11"/>
        <v>364.2299999999999</v>
      </c>
      <c r="E108" s="6">
        <f t="shared" ca="1" si="11"/>
        <v>0.05</v>
      </c>
      <c r="F108" s="137">
        <f>'Monthly Data'!AK108</f>
        <v>164.7</v>
      </c>
      <c r="G108" s="6">
        <f t="shared" si="12"/>
        <v>30</v>
      </c>
      <c r="H108" s="6">
        <f t="shared" si="12"/>
        <v>1</v>
      </c>
      <c r="I108" s="6">
        <f t="shared" si="12"/>
        <v>0</v>
      </c>
      <c r="J108" s="6">
        <f t="shared" si="12"/>
        <v>0</v>
      </c>
      <c r="L108" s="20">
        <f>'GS &lt; 50 OLS model'!$I$5</f>
        <v>-1348055.69881657</v>
      </c>
      <c r="M108" s="20">
        <f ca="1">'GS &lt; 50 OLS model'!$I$6*D108</f>
        <v>375891.42653906549</v>
      </c>
      <c r="N108" s="20">
        <f ca="1">'GS &lt; 50 OLS model'!$I$7*E108</f>
        <v>383.58426223699951</v>
      </c>
      <c r="O108" s="20">
        <f>'GS &lt; 50 OLS model'!$I$8*F108</f>
        <v>2192046.3780513695</v>
      </c>
      <c r="P108" s="20">
        <f>'GS &lt; 50 OLS model'!$I$9*G108</f>
        <v>4460447.91351075</v>
      </c>
      <c r="Q108" s="20">
        <f>'GS &lt; 50 OLS model'!$I$10*H108</f>
        <v>-267670.55098135502</v>
      </c>
      <c r="R108" s="20">
        <f>'GS &lt; 50 OLS model'!$I$11*I108</f>
        <v>0</v>
      </c>
      <c r="S108" s="20">
        <f>'GS &lt; 50 OLS model'!$I$12*J108</f>
        <v>0</v>
      </c>
      <c r="T108" s="20">
        <f t="shared" ca="1" si="13"/>
        <v>5413043.0525654973</v>
      </c>
    </row>
    <row r="109" spans="1:20" ht="15">
      <c r="A109" s="22">
        <v>43070</v>
      </c>
      <c r="B109" s="6">
        <f t="shared" si="9"/>
        <v>2017</v>
      </c>
      <c r="D109" s="6">
        <f t="shared" ca="1" si="11"/>
        <v>552.31000000000006</v>
      </c>
      <c r="E109" s="6">
        <f t="shared" ca="1" si="11"/>
        <v>0</v>
      </c>
      <c r="F109" s="137">
        <f>'Monthly Data'!AK109</f>
        <v>164.3</v>
      </c>
      <c r="G109" s="6">
        <f t="shared" si="12"/>
        <v>31</v>
      </c>
      <c r="H109" s="6">
        <f t="shared" si="12"/>
        <v>0</v>
      </c>
      <c r="I109" s="6">
        <f t="shared" si="12"/>
        <v>0</v>
      </c>
      <c r="J109" s="6">
        <f t="shared" si="12"/>
        <v>1</v>
      </c>
      <c r="L109" s="20">
        <f>'GS &lt; 50 OLS model'!$I$5</f>
        <v>-1348055.69881657</v>
      </c>
      <c r="M109" s="20">
        <f ca="1">'GS &lt; 50 OLS model'!$I$6*D109</f>
        <v>569993.11916039675</v>
      </c>
      <c r="N109" s="20">
        <f ca="1">'GS &lt; 50 OLS model'!$I$7*E109</f>
        <v>0</v>
      </c>
      <c r="O109" s="20">
        <f>'GS &lt; 50 OLS model'!$I$8*F109</f>
        <v>2186722.6467142687</v>
      </c>
      <c r="P109" s="20">
        <f>'GS &lt; 50 OLS model'!$I$9*G109</f>
        <v>4609129.5106277745</v>
      </c>
      <c r="Q109" s="20">
        <f>'GS &lt; 50 OLS model'!$I$10*H109</f>
        <v>0</v>
      </c>
      <c r="R109" s="20">
        <f>'GS &lt; 50 OLS model'!$I$11*I109</f>
        <v>0</v>
      </c>
      <c r="S109" s="20">
        <f>'GS &lt; 50 OLS model'!$I$12*J109</f>
        <v>-201228.923645601</v>
      </c>
      <c r="T109" s="20">
        <f t="shared" ca="1" si="13"/>
        <v>5816560.6540402696</v>
      </c>
    </row>
    <row r="110" spans="1:20" ht="15">
      <c r="A110" s="22">
        <v>43101</v>
      </c>
      <c r="B110" s="6">
        <f t="shared" ref="B110:B121" si="14">YEAR(A110)</f>
        <v>2018</v>
      </c>
      <c r="D110" s="6">
        <f t="shared" ref="D110:E121" ca="1" si="15">D98</f>
        <v>661.18999999999994</v>
      </c>
      <c r="E110" s="6">
        <f t="shared" ca="1" si="15"/>
        <v>0</v>
      </c>
      <c r="F110" s="6">
        <f>F98*(1+Employment!$J$14)</f>
        <v>163.11049999999997</v>
      </c>
      <c r="G110" s="6">
        <f t="shared" si="12"/>
        <v>31</v>
      </c>
      <c r="H110" s="6">
        <f t="shared" si="12"/>
        <v>0</v>
      </c>
      <c r="I110" s="6">
        <f t="shared" si="12"/>
        <v>0</v>
      </c>
      <c r="J110" s="6">
        <f t="shared" si="12"/>
        <v>0</v>
      </c>
      <c r="L110" s="20">
        <f>'GS &lt; 50 OLS model'!$I$5</f>
        <v>-1348055.69881657</v>
      </c>
      <c r="M110" s="20">
        <f ca="1">'GS &lt; 50 OLS model'!$I$6*D110</f>
        <v>682359.09264301334</v>
      </c>
      <c r="N110" s="20">
        <f ca="1">'GS &lt; 50 OLS model'!$I$7*E110</f>
        <v>0</v>
      </c>
      <c r="O110" s="20">
        <f>'GS &lt; 50 OLS model'!$I$8*F110</f>
        <v>2170891.2006505639</v>
      </c>
      <c r="P110" s="20">
        <f>'GS &lt; 50 OLS model'!$I$9*G110</f>
        <v>4609129.5106277745</v>
      </c>
      <c r="Q110" s="20">
        <f>'GS &lt; 50 OLS model'!$I$10*H110</f>
        <v>0</v>
      </c>
      <c r="R110" s="20">
        <f>'GS &lt; 50 OLS model'!$I$11*I110</f>
        <v>0</v>
      </c>
      <c r="S110" s="20">
        <f>'GS &lt; 50 OLS model'!$I$12*J110</f>
        <v>0</v>
      </c>
      <c r="T110" s="20">
        <f t="shared" ref="T110:T121" ca="1" si="16">SUM(L110:S110)</f>
        <v>6114324.1051047817</v>
      </c>
    </row>
    <row r="111" spans="1:20" ht="15">
      <c r="A111" s="22">
        <v>43132</v>
      </c>
      <c r="B111" s="6">
        <f t="shared" si="14"/>
        <v>2018</v>
      </c>
      <c r="D111" s="6">
        <f t="shared" ca="1" si="15"/>
        <v>598.16999999999985</v>
      </c>
      <c r="E111" s="6">
        <f t="shared" ca="1" si="15"/>
        <v>0</v>
      </c>
      <c r="F111" s="137">
        <f>F99*(1+Employment!$J$14)</f>
        <v>161.18199999999999</v>
      </c>
      <c r="G111" s="6">
        <f t="shared" si="12"/>
        <v>28</v>
      </c>
      <c r="H111" s="6">
        <f t="shared" si="12"/>
        <v>0</v>
      </c>
      <c r="I111" s="6">
        <f t="shared" si="12"/>
        <v>0</v>
      </c>
      <c r="J111" s="6">
        <f t="shared" si="12"/>
        <v>0</v>
      </c>
      <c r="L111" s="20">
        <f>'GS &lt; 50 OLS model'!$I$5</f>
        <v>-1348055.69881657</v>
      </c>
      <c r="M111" s="20">
        <f ca="1">'GS &lt; 50 OLS model'!$I$6*D111</f>
        <v>617321.40299501084</v>
      </c>
      <c r="N111" s="20">
        <f ca="1">'GS &lt; 50 OLS model'!$I$7*E111</f>
        <v>0</v>
      </c>
      <c r="O111" s="20">
        <f>'GS &lt; 50 OLS model'!$I$8*F111</f>
        <v>2145224.1609415654</v>
      </c>
      <c r="P111" s="20">
        <f>'GS &lt; 50 OLS model'!$I$9*G111</f>
        <v>4163084.7192767002</v>
      </c>
      <c r="Q111" s="20">
        <f>'GS &lt; 50 OLS model'!$I$10*H111</f>
        <v>0</v>
      </c>
      <c r="R111" s="20">
        <f>'GS &lt; 50 OLS model'!$I$11*I111</f>
        <v>0</v>
      </c>
      <c r="S111" s="20">
        <f>'GS &lt; 50 OLS model'!$I$12*J111</f>
        <v>0</v>
      </c>
      <c r="T111" s="20">
        <f t="shared" ca="1" si="16"/>
        <v>5577574.5843967069</v>
      </c>
    </row>
    <row r="112" spans="1:20" ht="15">
      <c r="A112" s="22">
        <v>43160</v>
      </c>
      <c r="B112" s="6">
        <f t="shared" si="14"/>
        <v>2018</v>
      </c>
      <c r="D112" s="6">
        <f t="shared" ca="1" si="15"/>
        <v>451.34</v>
      </c>
      <c r="E112" s="6">
        <f t="shared" ca="1" si="15"/>
        <v>0.88000000000000012</v>
      </c>
      <c r="F112" s="137">
        <f>F100*(1+Employment!$J$14)</f>
        <v>159.96399999999997</v>
      </c>
      <c r="G112" s="6">
        <f t="shared" si="12"/>
        <v>31</v>
      </c>
      <c r="H112" s="6">
        <f t="shared" si="12"/>
        <v>1</v>
      </c>
      <c r="I112" s="6">
        <f t="shared" si="12"/>
        <v>1</v>
      </c>
      <c r="J112" s="6">
        <f t="shared" si="12"/>
        <v>0</v>
      </c>
      <c r="L112" s="20">
        <f>'GS &lt; 50 OLS model'!$I$5</f>
        <v>-1348055.69881657</v>
      </c>
      <c r="M112" s="20">
        <f ca="1">'GS &lt; 50 OLS model'!$I$6*D112</f>
        <v>465790.39742509357</v>
      </c>
      <c r="N112" s="20">
        <f ca="1">'GS &lt; 50 OLS model'!$I$7*E112</f>
        <v>6751.0830153711922</v>
      </c>
      <c r="O112" s="20">
        <f>'GS &lt; 50 OLS model'!$I$8*F112</f>
        <v>2129013.3990200926</v>
      </c>
      <c r="P112" s="20">
        <f>'GS &lt; 50 OLS model'!$I$9*G112</f>
        <v>4609129.5106277745</v>
      </c>
      <c r="Q112" s="20">
        <f>'GS &lt; 50 OLS model'!$I$10*H112</f>
        <v>-267670.55098135502</v>
      </c>
      <c r="R112" s="20">
        <f>'GS &lt; 50 OLS model'!$I$11*I112</f>
        <v>186511.19475200301</v>
      </c>
      <c r="S112" s="20">
        <f>'GS &lt; 50 OLS model'!$I$12*J112</f>
        <v>0</v>
      </c>
      <c r="T112" s="20">
        <f t="shared" ca="1" si="16"/>
        <v>5781469.3350424096</v>
      </c>
    </row>
    <row r="113" spans="1:20" ht="15">
      <c r="A113" s="22">
        <v>43191</v>
      </c>
      <c r="B113" s="6">
        <f t="shared" si="14"/>
        <v>2018</v>
      </c>
      <c r="D113" s="6">
        <f t="shared" ca="1" si="15"/>
        <v>259.5499999999999</v>
      </c>
      <c r="E113" s="6">
        <f t="shared" ca="1" si="15"/>
        <v>2.4500000000000002</v>
      </c>
      <c r="F113" s="137">
        <f>F101*(1+Employment!$J$14)</f>
        <v>159.15199999999999</v>
      </c>
      <c r="G113" s="6">
        <f t="shared" si="12"/>
        <v>30</v>
      </c>
      <c r="H113" s="6">
        <f t="shared" si="12"/>
        <v>1</v>
      </c>
      <c r="I113" s="6">
        <f t="shared" si="12"/>
        <v>0</v>
      </c>
      <c r="J113" s="6">
        <f t="shared" si="12"/>
        <v>0</v>
      </c>
      <c r="L113" s="20">
        <f>'GS &lt; 50 OLS model'!$I$5</f>
        <v>-1348055.69881657</v>
      </c>
      <c r="M113" s="20">
        <f ca="1">'GS &lt; 50 OLS model'!$I$6*D113</f>
        <v>267859.9230107746</v>
      </c>
      <c r="N113" s="20">
        <f ca="1">'GS &lt; 50 OLS model'!$I$7*E113</f>
        <v>18795.628849612975</v>
      </c>
      <c r="O113" s="20">
        <f>'GS &lt; 50 OLS model'!$I$8*F113</f>
        <v>2118206.2244057776</v>
      </c>
      <c r="P113" s="20">
        <f>'GS &lt; 50 OLS model'!$I$9*G113</f>
        <v>4460447.91351075</v>
      </c>
      <c r="Q113" s="20">
        <f>'GS &lt; 50 OLS model'!$I$10*H113</f>
        <v>-267670.55098135502</v>
      </c>
      <c r="R113" s="20">
        <f>'GS &lt; 50 OLS model'!$I$11*I113</f>
        <v>0</v>
      </c>
      <c r="S113" s="20">
        <f>'GS &lt; 50 OLS model'!$I$12*J113</f>
        <v>0</v>
      </c>
      <c r="T113" s="20">
        <f t="shared" ca="1" si="16"/>
        <v>5249583.4399789907</v>
      </c>
    </row>
    <row r="114" spans="1:20" ht="15">
      <c r="A114" s="22">
        <v>43221</v>
      </c>
      <c r="B114" s="6">
        <f t="shared" si="14"/>
        <v>2018</v>
      </c>
      <c r="D114" s="6">
        <f t="shared" ca="1" si="15"/>
        <v>88.880000000000024</v>
      </c>
      <c r="E114" s="6">
        <f t="shared" ca="1" si="15"/>
        <v>43.79999999999999</v>
      </c>
      <c r="F114" s="137">
        <f>F102*(1+Employment!$J$14)</f>
        <v>160.06549999999999</v>
      </c>
      <c r="G114" s="6">
        <f t="shared" si="12"/>
        <v>31</v>
      </c>
      <c r="H114" s="6">
        <f t="shared" si="12"/>
        <v>1</v>
      </c>
      <c r="I114" s="6">
        <f t="shared" si="12"/>
        <v>0</v>
      </c>
      <c r="J114" s="6">
        <f t="shared" si="12"/>
        <v>0</v>
      </c>
      <c r="L114" s="20">
        <f>'GS &lt; 50 OLS model'!$I$5</f>
        <v>-1348055.69881657</v>
      </c>
      <c r="M114" s="20">
        <f ca="1">'GS &lt; 50 OLS model'!$I$6*D114</f>
        <v>91725.640366779655</v>
      </c>
      <c r="N114" s="20">
        <f ca="1">'GS &lt; 50 OLS model'!$I$7*E114</f>
        <v>336019.8137196115</v>
      </c>
      <c r="O114" s="20">
        <f>'GS &lt; 50 OLS model'!$I$8*F114</f>
        <v>2130364.2958468823</v>
      </c>
      <c r="P114" s="20">
        <f>'GS &lt; 50 OLS model'!$I$9*G114</f>
        <v>4609129.5106277745</v>
      </c>
      <c r="Q114" s="20">
        <f>'GS &lt; 50 OLS model'!$I$10*H114</f>
        <v>-267670.55098135502</v>
      </c>
      <c r="R114" s="20">
        <f>'GS &lt; 50 OLS model'!$I$11*I114</f>
        <v>0</v>
      </c>
      <c r="S114" s="20">
        <f>'GS &lt; 50 OLS model'!$I$12*J114</f>
        <v>0</v>
      </c>
      <c r="T114" s="20">
        <f t="shared" ca="1" si="16"/>
        <v>5551513.0107631227</v>
      </c>
    </row>
    <row r="115" spans="1:20" ht="15">
      <c r="A115" s="22">
        <v>43252</v>
      </c>
      <c r="B115" s="6">
        <f t="shared" si="14"/>
        <v>2018</v>
      </c>
      <c r="D115" s="6">
        <f t="shared" ca="1" si="15"/>
        <v>9.77</v>
      </c>
      <c r="E115" s="6">
        <f t="shared" ca="1" si="15"/>
        <v>117.38999999999999</v>
      </c>
      <c r="F115" s="137">
        <f>F103*(1+Employment!$J$14)</f>
        <v>163.61799999999997</v>
      </c>
      <c r="G115" s="6">
        <f t="shared" si="12"/>
        <v>30</v>
      </c>
      <c r="H115" s="6">
        <f t="shared" si="12"/>
        <v>0</v>
      </c>
      <c r="I115" s="6">
        <f t="shared" si="12"/>
        <v>0</v>
      </c>
      <c r="J115" s="6">
        <f t="shared" si="12"/>
        <v>0</v>
      </c>
      <c r="L115" s="20">
        <f>'GS &lt; 50 OLS model'!$I$5</f>
        <v>-1348055.69881657</v>
      </c>
      <c r="M115" s="20">
        <f ca="1">'GS &lt; 50 OLS model'!$I$6*D115</f>
        <v>10082.802727086375</v>
      </c>
      <c r="N115" s="20">
        <f ca="1">'GS &lt; 50 OLS model'!$I$7*E115</f>
        <v>900579.13088002731</v>
      </c>
      <c r="O115" s="20">
        <f>'GS &lt; 50 OLS model'!$I$8*F115</f>
        <v>2177645.6847845111</v>
      </c>
      <c r="P115" s="20">
        <f>'GS &lt; 50 OLS model'!$I$9*G115</f>
        <v>4460447.91351075</v>
      </c>
      <c r="Q115" s="20">
        <f>'GS &lt; 50 OLS model'!$I$10*H115</f>
        <v>0</v>
      </c>
      <c r="R115" s="20">
        <f>'GS &lt; 50 OLS model'!$I$11*I115</f>
        <v>0</v>
      </c>
      <c r="S115" s="20">
        <f>'GS &lt; 50 OLS model'!$I$12*J115</f>
        <v>0</v>
      </c>
      <c r="T115" s="20">
        <f t="shared" ca="1" si="16"/>
        <v>6200699.8330858052</v>
      </c>
    </row>
    <row r="116" spans="1:20" ht="15">
      <c r="A116" s="22">
        <v>43282</v>
      </c>
      <c r="B116" s="6">
        <f t="shared" si="14"/>
        <v>2018</v>
      </c>
      <c r="D116" s="6">
        <f t="shared" ca="1" si="15"/>
        <v>0.58000000000000007</v>
      </c>
      <c r="E116" s="6">
        <f t="shared" ca="1" si="15"/>
        <v>179.70999999999998</v>
      </c>
      <c r="F116" s="137">
        <f>F104*(1+Employment!$J$14)</f>
        <v>165.64799999999997</v>
      </c>
      <c r="G116" s="6">
        <f t="shared" si="12"/>
        <v>31</v>
      </c>
      <c r="H116" s="6">
        <f t="shared" si="12"/>
        <v>0</v>
      </c>
      <c r="I116" s="6">
        <f t="shared" si="12"/>
        <v>0</v>
      </c>
      <c r="J116" s="6">
        <f t="shared" si="12"/>
        <v>0</v>
      </c>
      <c r="L116" s="20">
        <f>'GS &lt; 50 OLS model'!$I$5</f>
        <v>-1348055.69881657</v>
      </c>
      <c r="M116" s="20">
        <f ca="1">'GS &lt; 50 OLS model'!$I$6*D116</f>
        <v>598.56966035927314</v>
      </c>
      <c r="N116" s="20">
        <f ca="1">'GS &lt; 50 OLS model'!$I$7*E116</f>
        <v>1378678.5553322234</v>
      </c>
      <c r="O116" s="20">
        <f>'GS &lt; 50 OLS model'!$I$8*F116</f>
        <v>2204663.6213202989</v>
      </c>
      <c r="P116" s="20">
        <f>'GS &lt; 50 OLS model'!$I$9*G116</f>
        <v>4609129.5106277745</v>
      </c>
      <c r="Q116" s="20">
        <f>'GS &lt; 50 OLS model'!$I$10*H116</f>
        <v>0</v>
      </c>
      <c r="R116" s="20">
        <f>'GS &lt; 50 OLS model'!$I$11*I116</f>
        <v>0</v>
      </c>
      <c r="S116" s="20">
        <f>'GS &lt; 50 OLS model'!$I$12*J116</f>
        <v>0</v>
      </c>
      <c r="T116" s="20">
        <f t="shared" ca="1" si="16"/>
        <v>6845014.5581240859</v>
      </c>
    </row>
    <row r="117" spans="1:20" ht="15">
      <c r="A117" s="22">
        <v>43313</v>
      </c>
      <c r="B117" s="6">
        <f t="shared" si="14"/>
        <v>2018</v>
      </c>
      <c r="D117" s="6">
        <f t="shared" ca="1" si="15"/>
        <v>1.7099999999999997</v>
      </c>
      <c r="E117" s="6">
        <f t="shared" ca="1" si="15"/>
        <v>158.1</v>
      </c>
      <c r="F117" s="137">
        <f>F105*(1+Employment!$J$14)</f>
        <v>170.01249999999999</v>
      </c>
      <c r="G117" s="6">
        <f t="shared" si="12"/>
        <v>31</v>
      </c>
      <c r="H117" s="6">
        <f t="shared" si="12"/>
        <v>0</v>
      </c>
      <c r="I117" s="6">
        <f t="shared" si="12"/>
        <v>0</v>
      </c>
      <c r="J117" s="6">
        <f t="shared" si="12"/>
        <v>0</v>
      </c>
      <c r="L117" s="20">
        <f>'GS &lt; 50 OLS model'!$I$5</f>
        <v>-1348055.69881657</v>
      </c>
      <c r="M117" s="20">
        <f ca="1">'GS &lt; 50 OLS model'!$I$6*D117</f>
        <v>1764.7484814040633</v>
      </c>
      <c r="N117" s="20">
        <f ca="1">'GS &lt; 50 OLS model'!$I$7*E117</f>
        <v>1212893.4371933923</v>
      </c>
      <c r="O117" s="20">
        <f>'GS &lt; 50 OLS model'!$I$8*F117</f>
        <v>2262752.1848722431</v>
      </c>
      <c r="P117" s="20">
        <f>'GS &lt; 50 OLS model'!$I$9*G117</f>
        <v>4609129.5106277745</v>
      </c>
      <c r="Q117" s="20">
        <f>'GS &lt; 50 OLS model'!$I$10*H117</f>
        <v>0</v>
      </c>
      <c r="R117" s="20">
        <f>'GS &lt; 50 OLS model'!$I$11*I117</f>
        <v>0</v>
      </c>
      <c r="S117" s="20">
        <f>'GS &lt; 50 OLS model'!$I$12*J117</f>
        <v>0</v>
      </c>
      <c r="T117" s="20">
        <f t="shared" ca="1" si="16"/>
        <v>6738484.1823582444</v>
      </c>
    </row>
    <row r="118" spans="1:20" ht="15">
      <c r="A118" s="22">
        <v>43344</v>
      </c>
      <c r="B118" s="6">
        <f t="shared" si="14"/>
        <v>2018</v>
      </c>
      <c r="D118" s="6">
        <f t="shared" ca="1" si="15"/>
        <v>32.68</v>
      </c>
      <c r="E118" s="6">
        <f t="shared" ca="1" si="15"/>
        <v>67.34</v>
      </c>
      <c r="F118" s="137">
        <f>F106*(1+Employment!$J$14)</f>
        <v>170.62149999999997</v>
      </c>
      <c r="G118" s="6">
        <f t="shared" si="12"/>
        <v>30</v>
      </c>
      <c r="H118" s="6">
        <f t="shared" si="12"/>
        <v>0</v>
      </c>
      <c r="I118" s="6">
        <f t="shared" si="12"/>
        <v>0</v>
      </c>
      <c r="J118" s="6">
        <f t="shared" si="12"/>
        <v>0</v>
      </c>
      <c r="L118" s="20">
        <f>'GS &lt; 50 OLS model'!$I$5</f>
        <v>-1348055.69881657</v>
      </c>
      <c r="M118" s="20">
        <f ca="1">'GS &lt; 50 OLS model'!$I$6*D118</f>
        <v>33726.304311277658</v>
      </c>
      <c r="N118" s="20">
        <f ca="1">'GS &lt; 50 OLS model'!$I$7*E118</f>
        <v>516611.28438079095</v>
      </c>
      <c r="O118" s="20">
        <f>'GS &lt; 50 OLS model'!$I$8*F118</f>
        <v>2270857.5658329795</v>
      </c>
      <c r="P118" s="20">
        <f>'GS &lt; 50 OLS model'!$I$9*G118</f>
        <v>4460447.91351075</v>
      </c>
      <c r="Q118" s="20">
        <f>'GS &lt; 50 OLS model'!$I$10*H118</f>
        <v>0</v>
      </c>
      <c r="R118" s="20">
        <f>'GS &lt; 50 OLS model'!$I$11*I118</f>
        <v>0</v>
      </c>
      <c r="S118" s="20">
        <f>'GS &lt; 50 OLS model'!$I$12*J118</f>
        <v>0</v>
      </c>
      <c r="T118" s="20">
        <f t="shared" ca="1" si="16"/>
        <v>5933587.3692192286</v>
      </c>
    </row>
    <row r="119" spans="1:20" ht="15">
      <c r="A119" s="22">
        <v>43374</v>
      </c>
      <c r="B119" s="6">
        <f t="shared" si="14"/>
        <v>2018</v>
      </c>
      <c r="D119" s="6">
        <f t="shared" ca="1" si="15"/>
        <v>176.42</v>
      </c>
      <c r="E119" s="6">
        <f t="shared" ca="1" si="15"/>
        <v>10.18</v>
      </c>
      <c r="F119" s="137">
        <f>F107*(1+Employment!$J$14)</f>
        <v>167.57649999999998</v>
      </c>
      <c r="G119" s="6">
        <f t="shared" si="12"/>
        <v>31</v>
      </c>
      <c r="H119" s="6">
        <f t="shared" si="12"/>
        <v>1</v>
      </c>
      <c r="I119" s="6">
        <f t="shared" si="12"/>
        <v>0</v>
      </c>
      <c r="J119" s="6">
        <f t="shared" si="12"/>
        <v>0</v>
      </c>
      <c r="L119" s="20">
        <f>'GS &lt; 50 OLS model'!$I$5</f>
        <v>-1348055.69881657</v>
      </c>
      <c r="M119" s="20">
        <f ca="1">'GS &lt; 50 OLS model'!$I$6*D119</f>
        <v>182068.37841479818</v>
      </c>
      <c r="N119" s="20">
        <f ca="1">'GS &lt; 50 OLS model'!$I$7*E119</f>
        <v>78097.755791453092</v>
      </c>
      <c r="O119" s="20">
        <f>'GS &lt; 50 OLS model'!$I$8*F119</f>
        <v>2230330.6610292979</v>
      </c>
      <c r="P119" s="20">
        <f>'GS &lt; 50 OLS model'!$I$9*G119</f>
        <v>4609129.5106277745</v>
      </c>
      <c r="Q119" s="20">
        <f>'GS &lt; 50 OLS model'!$I$10*H119</f>
        <v>-267670.55098135502</v>
      </c>
      <c r="R119" s="20">
        <f>'GS &lt; 50 OLS model'!$I$11*I119</f>
        <v>0</v>
      </c>
      <c r="S119" s="20">
        <f>'GS &lt; 50 OLS model'!$I$12*J119</f>
        <v>0</v>
      </c>
      <c r="T119" s="20">
        <f t="shared" ca="1" si="16"/>
        <v>5483900.0560653983</v>
      </c>
    </row>
    <row r="120" spans="1:20" ht="15">
      <c r="A120" s="22">
        <v>43405</v>
      </c>
      <c r="B120" s="6">
        <f t="shared" si="14"/>
        <v>2018</v>
      </c>
      <c r="D120" s="6">
        <f t="shared" ca="1" si="15"/>
        <v>364.2299999999999</v>
      </c>
      <c r="E120" s="6">
        <f t="shared" ca="1" si="15"/>
        <v>0.05</v>
      </c>
      <c r="F120" s="137">
        <f>F108*(1+Employment!$J$14)</f>
        <v>167.17049999999998</v>
      </c>
      <c r="G120" s="6">
        <f t="shared" si="12"/>
        <v>30</v>
      </c>
      <c r="H120" s="6">
        <f t="shared" si="12"/>
        <v>1</v>
      </c>
      <c r="I120" s="6">
        <f t="shared" si="12"/>
        <v>0</v>
      </c>
      <c r="J120" s="6">
        <f t="shared" si="12"/>
        <v>0</v>
      </c>
      <c r="L120" s="20">
        <f>'GS &lt; 50 OLS model'!$I$5</f>
        <v>-1348055.69881657</v>
      </c>
      <c r="M120" s="20">
        <f ca="1">'GS &lt; 50 OLS model'!$I$6*D120</f>
        <v>375891.42653906549</v>
      </c>
      <c r="N120" s="20">
        <f ca="1">'GS &lt; 50 OLS model'!$I$7*E120</f>
        <v>383.58426223699951</v>
      </c>
      <c r="O120" s="20">
        <f>'GS &lt; 50 OLS model'!$I$8*F120</f>
        <v>2224927.0737221399</v>
      </c>
      <c r="P120" s="20">
        <f>'GS &lt; 50 OLS model'!$I$9*G120</f>
        <v>4460447.91351075</v>
      </c>
      <c r="Q120" s="20">
        <f>'GS &lt; 50 OLS model'!$I$10*H120</f>
        <v>-267670.55098135502</v>
      </c>
      <c r="R120" s="20">
        <f>'GS &lt; 50 OLS model'!$I$11*I120</f>
        <v>0</v>
      </c>
      <c r="S120" s="20">
        <f>'GS &lt; 50 OLS model'!$I$12*J120</f>
        <v>0</v>
      </c>
      <c r="T120" s="20">
        <f t="shared" ca="1" si="16"/>
        <v>5445923.7482362678</v>
      </c>
    </row>
    <row r="121" spans="1:20" ht="15">
      <c r="A121" s="22">
        <v>43435</v>
      </c>
      <c r="B121" s="6">
        <f t="shared" si="14"/>
        <v>2018</v>
      </c>
      <c r="D121" s="6">
        <f t="shared" ca="1" si="15"/>
        <v>552.31000000000006</v>
      </c>
      <c r="E121" s="6">
        <f t="shared" ca="1" si="15"/>
        <v>0</v>
      </c>
      <c r="F121" s="137">
        <f>F109*(1+Employment!$J$14)</f>
        <v>166.7645</v>
      </c>
      <c r="G121" s="6">
        <f t="shared" si="12"/>
        <v>31</v>
      </c>
      <c r="H121" s="6">
        <f t="shared" si="12"/>
        <v>0</v>
      </c>
      <c r="I121" s="6">
        <f t="shared" si="12"/>
        <v>0</v>
      </c>
      <c r="J121" s="6">
        <f t="shared" si="12"/>
        <v>1</v>
      </c>
      <c r="L121" s="20">
        <f>'GS &lt; 50 OLS model'!$I$5</f>
        <v>-1348055.69881657</v>
      </c>
      <c r="M121" s="20">
        <f ca="1">'GS &lt; 50 OLS model'!$I$6*D121</f>
        <v>569993.11916039675</v>
      </c>
      <c r="N121" s="20">
        <f ca="1">'GS &lt; 50 OLS model'!$I$7*E121</f>
        <v>0</v>
      </c>
      <c r="O121" s="20">
        <f>'GS &lt; 50 OLS model'!$I$8*F121</f>
        <v>2219523.4864149825</v>
      </c>
      <c r="P121" s="20">
        <f>'GS &lt; 50 OLS model'!$I$9*G121</f>
        <v>4609129.5106277745</v>
      </c>
      <c r="Q121" s="20">
        <f>'GS &lt; 50 OLS model'!$I$10*H121</f>
        <v>0</v>
      </c>
      <c r="R121" s="20">
        <f>'GS &lt; 50 OLS model'!$I$11*I121</f>
        <v>0</v>
      </c>
      <c r="S121" s="20">
        <f>'GS &lt; 50 OLS model'!$I$12*J121</f>
        <v>-201228.923645601</v>
      </c>
      <c r="T121" s="20">
        <f t="shared" ca="1" si="16"/>
        <v>5849361.4937409833</v>
      </c>
    </row>
  </sheetData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Z121"/>
  <sheetViews>
    <sheetView topLeftCell="L74" workbookViewId="0">
      <selection activeCell="Z107" sqref="Z107"/>
    </sheetView>
  </sheetViews>
  <sheetFormatPr defaultColWidth="8.85546875" defaultRowHeight="12.75"/>
  <cols>
    <col min="1" max="1" width="10.28515625" style="6" bestFit="1" customWidth="1"/>
    <col min="2" max="2" width="5" style="6" bestFit="1" customWidth="1"/>
    <col min="3" max="3" width="13.42578125" style="6" bestFit="1" customWidth="1"/>
    <col min="4" max="4" width="17.7109375" style="6" bestFit="1" customWidth="1"/>
    <col min="5" max="6" width="7" style="6" bestFit="1" customWidth="1"/>
    <col min="7" max="7" width="12" style="6" bestFit="1" customWidth="1"/>
    <col min="8" max="8" width="5.28515625" style="6" bestFit="1" customWidth="1"/>
    <col min="9" max="9" width="7.7109375" style="6" bestFit="1" customWidth="1"/>
    <col min="10" max="10" width="6.28515625" style="6" bestFit="1" customWidth="1"/>
    <col min="11" max="11" width="9.140625" style="6" bestFit="1" customWidth="1"/>
    <col min="12" max="12" width="9.140625" style="6" customWidth="1"/>
    <col min="13" max="13" width="8.85546875" style="6" bestFit="1" customWidth="1"/>
    <col min="14" max="14" width="8.85546875" style="6"/>
    <col min="15" max="15" width="13.7109375" style="6" customWidth="1"/>
    <col min="16" max="16" width="17.7109375" style="6" bestFit="1" customWidth="1"/>
    <col min="17" max="18" width="10" style="6" bestFit="1" customWidth="1"/>
    <col min="19" max="19" width="12.7109375" style="6" bestFit="1" customWidth="1"/>
    <col min="20" max="20" width="10" style="6" bestFit="1" customWidth="1"/>
    <col min="21" max="21" width="9.28515625" style="6" bestFit="1" customWidth="1"/>
    <col min="22" max="22" width="10" style="6" bestFit="1" customWidth="1"/>
    <col min="23" max="23" width="10.85546875" style="6" bestFit="1" customWidth="1"/>
    <col min="24" max="24" width="10.85546875" style="6" customWidth="1"/>
    <col min="25" max="25" width="10.7109375" style="6" bestFit="1" customWidth="1"/>
    <col min="26" max="26" width="15.7109375" style="6" bestFit="1" customWidth="1"/>
    <col min="27" max="16384" width="8.85546875" style="6"/>
  </cols>
  <sheetData>
    <row r="1" spans="1:26" ht="15">
      <c r="A1" s="6" t="str">
        <f>'Monthly Data'!A1</f>
        <v>Date</v>
      </c>
      <c r="B1" s="6" t="s">
        <v>83</v>
      </c>
      <c r="C1" s="20" t="str">
        <f>'Monthly Data'!O1</f>
        <v>Gross_GSgt50</v>
      </c>
      <c r="D1" s="20" t="str">
        <f>'Monthly Data'!Q1</f>
        <v>GSgt50_Customers</v>
      </c>
      <c r="E1" s="6" t="str">
        <f>'Monthly Data'!AH1</f>
        <v>HDD</v>
      </c>
      <c r="F1" s="6" t="str">
        <f>'Monthly Data'!AI1</f>
        <v>CDD</v>
      </c>
      <c r="G1" s="6" t="str">
        <f>'Monthly Data'!AK1</f>
        <v>Windsor_FTE</v>
      </c>
      <c r="H1" s="6" t="str">
        <f>'Monthly Data'!AO1</f>
        <v>Trend</v>
      </c>
      <c r="I1" s="6" t="str">
        <f>'Monthly Data'!AQ1</f>
        <v>February</v>
      </c>
      <c r="J1" s="6" t="str">
        <f>'Monthly Data'!AW1</f>
        <v>August</v>
      </c>
      <c r="K1" s="6" t="str">
        <f>'Monthly Data'!AX1</f>
        <v>September</v>
      </c>
      <c r="L1" s="6" t="s">
        <v>53</v>
      </c>
      <c r="M1" s="6" t="str">
        <f>'Monthly Data'!AZ1</f>
        <v>November</v>
      </c>
      <c r="O1" s="20" t="s">
        <v>67</v>
      </c>
      <c r="P1" s="20" t="str">
        <f t="shared" ref="P1:W1" si="0">D1</f>
        <v>GSgt50_Customers</v>
      </c>
      <c r="Q1" s="20" t="str">
        <f t="shared" si="0"/>
        <v>HDD</v>
      </c>
      <c r="R1" s="20" t="str">
        <f t="shared" si="0"/>
        <v>CDD</v>
      </c>
      <c r="S1" s="20" t="str">
        <f t="shared" si="0"/>
        <v>Windsor_FTE</v>
      </c>
      <c r="T1" s="20" t="str">
        <f t="shared" si="0"/>
        <v>Trend</v>
      </c>
      <c r="U1" s="20" t="str">
        <f t="shared" si="0"/>
        <v>February</v>
      </c>
      <c r="V1" s="20" t="str">
        <f t="shared" si="0"/>
        <v>August</v>
      </c>
      <c r="W1" s="20" t="str">
        <f t="shared" si="0"/>
        <v>September</v>
      </c>
      <c r="X1" s="123" t="s">
        <v>53</v>
      </c>
      <c r="Y1" s="20" t="str">
        <f>M1</f>
        <v>November</v>
      </c>
      <c r="Z1" s="20" t="s">
        <v>96</v>
      </c>
    </row>
    <row r="2" spans="1:26" ht="15">
      <c r="A2" s="22">
        <f>'Monthly Data'!A2</f>
        <v>39814</v>
      </c>
      <c r="B2" s="6">
        <f>YEAR(A2)</f>
        <v>2009</v>
      </c>
      <c r="C2" s="20">
        <f ca="1">'Monthly Data'!O2</f>
        <v>14097033.012462217</v>
      </c>
      <c r="D2" s="20">
        <f>'Monthly Data'!Q2</f>
        <v>225</v>
      </c>
      <c r="E2" s="6">
        <f ca="1">Weather!G69</f>
        <v>661.18999999999994</v>
      </c>
      <c r="F2" s="6">
        <f ca="1">Weather!H69</f>
        <v>0</v>
      </c>
      <c r="G2" s="6">
        <f>'Monthly Data'!AK2</f>
        <v>151.5</v>
      </c>
      <c r="H2" s="6">
        <f>'Monthly Data'!AO2</f>
        <v>1</v>
      </c>
      <c r="I2" s="6">
        <f>'Monthly Data'!AQ2</f>
        <v>0</v>
      </c>
      <c r="J2" s="6">
        <f>'Monthly Data'!AW2</f>
        <v>0</v>
      </c>
      <c r="K2" s="6">
        <f>'Monthly Data'!AX2</f>
        <v>0</v>
      </c>
      <c r="L2" s="6">
        <f>'Monthly Data'!AY2</f>
        <v>0</v>
      </c>
      <c r="M2" s="6">
        <f>'Monthly Data'!AZ2</f>
        <v>0</v>
      </c>
      <c r="O2" s="20">
        <f>'GS &gt; 50 OLS model'!$B$5</f>
        <v>-11694573.8944258</v>
      </c>
      <c r="P2" s="20">
        <f>'GS &gt; 50 OLS model'!$B$6*D2</f>
        <v>11402884.051000807</v>
      </c>
      <c r="Q2" s="20">
        <f ca="1">'GS &gt; 50 OLS model'!$B$7*E2</f>
        <v>1772964.8144671745</v>
      </c>
      <c r="R2" s="20">
        <f ca="1">'GS &gt; 50 OLS model'!$B$8*F2</f>
        <v>0</v>
      </c>
      <c r="S2" s="20">
        <f>'GS &gt; 50 OLS model'!$B$9*G2</f>
        <v>12698580.838207474</v>
      </c>
      <c r="T2" s="20">
        <f>'GS &gt; 50 OLS model'!$B$10*H2</f>
        <v>12860.4931842888</v>
      </c>
      <c r="U2" s="20">
        <f>'GS &gt; 50 OLS model'!$B$11*I2</f>
        <v>0</v>
      </c>
      <c r="V2" s="20">
        <f>'GS &gt; 50 OLS model'!$B$12*J2</f>
        <v>0</v>
      </c>
      <c r="W2" s="20">
        <f>'GS &gt; 50 OLS model'!$B$13*K2</f>
        <v>0</v>
      </c>
      <c r="X2" s="20">
        <f>'GS &gt; 50 OLS model'!$B$14*L2</f>
        <v>0</v>
      </c>
      <c r="Y2" s="20">
        <f>'GS &gt; 50 OLS model'!$B$15*M2</f>
        <v>0</v>
      </c>
      <c r="Z2" s="20">
        <f ca="1">SUM(O2:Y2)</f>
        <v>14192716.302433945</v>
      </c>
    </row>
    <row r="3" spans="1:26" ht="15">
      <c r="A3" s="22">
        <f>'Monthly Data'!A3</f>
        <v>39845</v>
      </c>
      <c r="B3" s="6">
        <f t="shared" ref="B3:B66" si="1">YEAR(A3)</f>
        <v>2009</v>
      </c>
      <c r="C3" s="20">
        <f ca="1">'Monthly Data'!O3</f>
        <v>12607538.392457418</v>
      </c>
      <c r="D3" s="20">
        <f>'Monthly Data'!Q3</f>
        <v>237</v>
      </c>
      <c r="E3" s="6">
        <f ca="1">Weather!G70</f>
        <v>598.16999999999985</v>
      </c>
      <c r="F3" s="6">
        <f ca="1">Weather!H70</f>
        <v>0</v>
      </c>
      <c r="G3" s="6">
        <f>'Monthly Data'!AK3</f>
        <v>147.5</v>
      </c>
      <c r="H3" s="6">
        <f>'Monthly Data'!AO3</f>
        <v>2</v>
      </c>
      <c r="I3" s="6">
        <f>'Monthly Data'!AQ3</f>
        <v>1</v>
      </c>
      <c r="J3" s="6">
        <f>'Monthly Data'!AW3</f>
        <v>0</v>
      </c>
      <c r="K3" s="6">
        <f>'Monthly Data'!AX3</f>
        <v>0</v>
      </c>
      <c r="L3" s="6">
        <f>'Monthly Data'!AY3</f>
        <v>0</v>
      </c>
      <c r="M3" s="6">
        <f>'Monthly Data'!AZ3</f>
        <v>0</v>
      </c>
      <c r="O3" s="20">
        <f>'GS &gt; 50 OLS model'!$B$5</f>
        <v>-11694573.8944258</v>
      </c>
      <c r="P3" s="20">
        <f>'GS &gt; 50 OLS model'!$B$6*D3</f>
        <v>12011037.867054183</v>
      </c>
      <c r="Q3" s="20">
        <f ca="1">'GS &gt; 50 OLS model'!$B$7*E3</f>
        <v>1603978.225729109</v>
      </c>
      <c r="R3" s="20">
        <f ca="1">'GS &gt; 50 OLS model'!$B$8*F3</f>
        <v>0</v>
      </c>
      <c r="S3" s="20">
        <f>'GS &gt; 50 OLS model'!$B$9*G3</f>
        <v>12363304.776472624</v>
      </c>
      <c r="T3" s="20">
        <f>'GS &gt; 50 OLS model'!$B$10*H3</f>
        <v>25720.9863685776</v>
      </c>
      <c r="U3" s="20">
        <f>'GS &gt; 50 OLS model'!$B$11*I3</f>
        <v>-797686.81375559501</v>
      </c>
      <c r="V3" s="20">
        <f>'GS &gt; 50 OLS model'!$B$12*J3</f>
        <v>0</v>
      </c>
      <c r="W3" s="20">
        <f>'GS &gt; 50 OLS model'!$B$13*K3</f>
        <v>0</v>
      </c>
      <c r="X3" s="20">
        <f>'GS &gt; 50 OLS model'!$B$14*L3</f>
        <v>0</v>
      </c>
      <c r="Y3" s="20">
        <f>'GS &gt; 50 OLS model'!$B$15*M3</f>
        <v>0</v>
      </c>
      <c r="Z3" s="20">
        <f t="shared" ref="Z3:Z66" ca="1" si="2">SUM(O3:Y3)</f>
        <v>13511781.147443101</v>
      </c>
    </row>
    <row r="4" spans="1:26" ht="15">
      <c r="A4" s="22">
        <f>'Monthly Data'!A4</f>
        <v>39873</v>
      </c>
      <c r="B4" s="6">
        <f t="shared" si="1"/>
        <v>2009</v>
      </c>
      <c r="C4" s="20">
        <f ca="1">'Monthly Data'!O4</f>
        <v>13429022.116557317</v>
      </c>
      <c r="D4" s="20">
        <f>'Monthly Data'!Q4</f>
        <v>213</v>
      </c>
      <c r="E4" s="6">
        <f ca="1">Weather!G71</f>
        <v>451.34</v>
      </c>
      <c r="F4" s="6">
        <f ca="1">Weather!H71</f>
        <v>0.88000000000000012</v>
      </c>
      <c r="G4" s="6">
        <f>'Monthly Data'!AK4</f>
        <v>142.9</v>
      </c>
      <c r="H4" s="6">
        <f>'Monthly Data'!AO4</f>
        <v>3</v>
      </c>
      <c r="I4" s="6">
        <f>'Monthly Data'!AQ4</f>
        <v>0</v>
      </c>
      <c r="J4" s="6">
        <f>'Monthly Data'!AW4</f>
        <v>0</v>
      </c>
      <c r="K4" s="6">
        <f>'Monthly Data'!AX4</f>
        <v>0</v>
      </c>
      <c r="L4" s="6">
        <f>'Monthly Data'!AY4</f>
        <v>0</v>
      </c>
      <c r="M4" s="6">
        <f>'Monthly Data'!AZ4</f>
        <v>0</v>
      </c>
      <c r="O4" s="20">
        <f>'GS &gt; 50 OLS model'!$B$5</f>
        <v>-11694573.8944258</v>
      </c>
      <c r="P4" s="20">
        <f>'GS &gt; 50 OLS model'!$B$6*D4</f>
        <v>10794730.23494743</v>
      </c>
      <c r="Q4" s="20">
        <f ca="1">'GS &gt; 50 OLS model'!$B$7*E4</f>
        <v>1210257.1717080032</v>
      </c>
      <c r="R4" s="20">
        <f ca="1">'GS &gt; 50 OLS model'!$B$8*F4</f>
        <v>13008.351800683537</v>
      </c>
      <c r="S4" s="20">
        <f>'GS &gt; 50 OLS model'!$B$9*G4</f>
        <v>11977737.305477547</v>
      </c>
      <c r="T4" s="20">
        <f>'GS &gt; 50 OLS model'!$B$10*H4</f>
        <v>38581.479552866396</v>
      </c>
      <c r="U4" s="20">
        <f>'GS &gt; 50 OLS model'!$B$11*I4</f>
        <v>0</v>
      </c>
      <c r="V4" s="20">
        <f>'GS &gt; 50 OLS model'!$B$12*J4</f>
        <v>0</v>
      </c>
      <c r="W4" s="20">
        <f>'GS &gt; 50 OLS model'!$B$13*K4</f>
        <v>0</v>
      </c>
      <c r="X4" s="20">
        <f>'GS &gt; 50 OLS model'!$B$14*L4</f>
        <v>0</v>
      </c>
      <c r="Y4" s="20">
        <f>'GS &gt; 50 OLS model'!$B$15*M4</f>
        <v>0</v>
      </c>
      <c r="Z4" s="20">
        <f t="shared" ca="1" si="2"/>
        <v>12339740.64906073</v>
      </c>
    </row>
    <row r="5" spans="1:26" ht="15">
      <c r="A5" s="22">
        <f>'Monthly Data'!A5</f>
        <v>39904</v>
      </c>
      <c r="B5" s="6">
        <f t="shared" si="1"/>
        <v>2009</v>
      </c>
      <c r="C5" s="20">
        <f ca="1">'Monthly Data'!O5</f>
        <v>12281549.857111618</v>
      </c>
      <c r="D5" s="20">
        <f>'Monthly Data'!Q5</f>
        <v>216</v>
      </c>
      <c r="E5" s="6">
        <f ca="1">Weather!G72</f>
        <v>259.5499999999999</v>
      </c>
      <c r="F5" s="6">
        <f ca="1">Weather!H72</f>
        <v>2.4500000000000002</v>
      </c>
      <c r="G5" s="6">
        <f>'Monthly Data'!AK5</f>
        <v>144.80000000000001</v>
      </c>
      <c r="H5" s="6">
        <f>'Monthly Data'!AO5</f>
        <v>4</v>
      </c>
      <c r="I5" s="6">
        <f>'Monthly Data'!AQ5</f>
        <v>0</v>
      </c>
      <c r="J5" s="6">
        <f>'Monthly Data'!AW5</f>
        <v>0</v>
      </c>
      <c r="K5" s="6">
        <f>'Monthly Data'!AX5</f>
        <v>0</v>
      </c>
      <c r="L5" s="6">
        <f>'Monthly Data'!AY5</f>
        <v>0</v>
      </c>
      <c r="M5" s="6">
        <f>'Monthly Data'!AZ5</f>
        <v>0</v>
      </c>
      <c r="O5" s="20">
        <f>'GS &gt; 50 OLS model'!$B$5</f>
        <v>-11694573.8944258</v>
      </c>
      <c r="P5" s="20">
        <f>'GS &gt; 50 OLS model'!$B$6*D5</f>
        <v>10946768.688960774</v>
      </c>
      <c r="Q5" s="20">
        <f ca="1">'GS &gt; 50 OLS model'!$B$7*E5</f>
        <v>695976.9772606286</v>
      </c>
      <c r="R5" s="20">
        <f ca="1">'GS &gt; 50 OLS model'!$B$8*F5</f>
        <v>36216.433990539394</v>
      </c>
      <c r="S5" s="20">
        <f>'GS &gt; 50 OLS model'!$B$9*G5</f>
        <v>12136993.434801601</v>
      </c>
      <c r="T5" s="20">
        <f>'GS &gt; 50 OLS model'!$B$10*H5</f>
        <v>51441.9727371552</v>
      </c>
      <c r="U5" s="20">
        <f>'GS &gt; 50 OLS model'!$B$11*I5</f>
        <v>0</v>
      </c>
      <c r="V5" s="20">
        <f>'GS &gt; 50 OLS model'!$B$12*J5</f>
        <v>0</v>
      </c>
      <c r="W5" s="20">
        <f>'GS &gt; 50 OLS model'!$B$13*K5</f>
        <v>0</v>
      </c>
      <c r="X5" s="20">
        <f>'GS &gt; 50 OLS model'!$B$14*L5</f>
        <v>0</v>
      </c>
      <c r="Y5" s="20">
        <f>'GS &gt; 50 OLS model'!$B$15*M5</f>
        <v>0</v>
      </c>
      <c r="Z5" s="20">
        <f t="shared" ca="1" si="2"/>
        <v>12172823.613324899</v>
      </c>
    </row>
    <row r="6" spans="1:26" ht="15">
      <c r="A6" s="22">
        <f>'Monthly Data'!A6</f>
        <v>39934</v>
      </c>
      <c r="B6" s="6">
        <f t="shared" si="1"/>
        <v>2009</v>
      </c>
      <c r="C6" s="20">
        <f ca="1">'Monthly Data'!O6</f>
        <v>12599585.861056818</v>
      </c>
      <c r="D6" s="20">
        <f>'Monthly Data'!Q6</f>
        <v>211</v>
      </c>
      <c r="E6" s="6">
        <f ca="1">Weather!G73</f>
        <v>88.880000000000024</v>
      </c>
      <c r="F6" s="6">
        <f ca="1">Weather!H73</f>
        <v>43.79999999999999</v>
      </c>
      <c r="G6" s="6">
        <f>'Monthly Data'!AK6</f>
        <v>145</v>
      </c>
      <c r="H6" s="6">
        <f>'Monthly Data'!AO6</f>
        <v>5</v>
      </c>
      <c r="I6" s="6">
        <f>'Monthly Data'!AQ6</f>
        <v>0</v>
      </c>
      <c r="J6" s="6">
        <f>'Monthly Data'!AW6</f>
        <v>0</v>
      </c>
      <c r="K6" s="6">
        <f>'Monthly Data'!AX6</f>
        <v>0</v>
      </c>
      <c r="L6" s="6">
        <f>'Monthly Data'!AY6</f>
        <v>0</v>
      </c>
      <c r="M6" s="6">
        <f>'Monthly Data'!AZ6</f>
        <v>0</v>
      </c>
      <c r="O6" s="20">
        <f>'GS &gt; 50 OLS model'!$B$5</f>
        <v>-11694573.8944258</v>
      </c>
      <c r="P6" s="20">
        <f>'GS &gt; 50 OLS model'!$B$6*D6</f>
        <v>10693371.2656052</v>
      </c>
      <c r="Q6" s="20">
        <f ca="1">'GS &gt; 50 OLS model'!$B$7*E6</f>
        <v>238329.54628751572</v>
      </c>
      <c r="R6" s="20">
        <f ca="1">'GS &gt; 50 OLS model'!$B$8*F6</f>
        <v>647461.14644311217</v>
      </c>
      <c r="S6" s="20">
        <f>'GS &gt; 50 OLS model'!$B$9*G6</f>
        <v>12153757.237888342</v>
      </c>
      <c r="T6" s="20">
        <f>'GS &gt; 50 OLS model'!$B$10*H6</f>
        <v>64302.465921444003</v>
      </c>
      <c r="U6" s="20">
        <f>'GS &gt; 50 OLS model'!$B$11*I6</f>
        <v>0</v>
      </c>
      <c r="V6" s="20">
        <f>'GS &gt; 50 OLS model'!$B$12*J6</f>
        <v>0</v>
      </c>
      <c r="W6" s="20">
        <f>'GS &gt; 50 OLS model'!$B$13*K6</f>
        <v>0</v>
      </c>
      <c r="X6" s="20">
        <f>'GS &gt; 50 OLS model'!$B$14*L6</f>
        <v>0</v>
      </c>
      <c r="Y6" s="20">
        <f>'GS &gt; 50 OLS model'!$B$15*M6</f>
        <v>0</v>
      </c>
      <c r="Z6" s="20">
        <f t="shared" ca="1" si="2"/>
        <v>12102647.767719815</v>
      </c>
    </row>
    <row r="7" spans="1:26" ht="15">
      <c r="A7" s="22">
        <f>'Monthly Data'!A7</f>
        <v>39965</v>
      </c>
      <c r="B7" s="6">
        <f t="shared" si="1"/>
        <v>2009</v>
      </c>
      <c r="C7" s="20">
        <f ca="1">'Monthly Data'!O7</f>
        <v>13567319.355545716</v>
      </c>
      <c r="D7" s="20">
        <f>'Monthly Data'!Q7</f>
        <v>221</v>
      </c>
      <c r="E7" s="6">
        <f ca="1">Weather!G74</f>
        <v>9.77</v>
      </c>
      <c r="F7" s="6">
        <f ca="1">Weather!H74</f>
        <v>117.38999999999999</v>
      </c>
      <c r="G7" s="6">
        <f>'Monthly Data'!AK7</f>
        <v>145.69999999999999</v>
      </c>
      <c r="H7" s="6">
        <f>'Monthly Data'!AO7</f>
        <v>6</v>
      </c>
      <c r="I7" s="6">
        <f>'Monthly Data'!AQ7</f>
        <v>0</v>
      </c>
      <c r="J7" s="6">
        <f>'Monthly Data'!AW7</f>
        <v>0</v>
      </c>
      <c r="K7" s="6">
        <f>'Monthly Data'!AX7</f>
        <v>0</v>
      </c>
      <c r="L7" s="6">
        <f>'Monthly Data'!AY7</f>
        <v>0</v>
      </c>
      <c r="M7" s="6">
        <f>'Monthly Data'!AZ7</f>
        <v>0</v>
      </c>
      <c r="O7" s="20">
        <f>'GS &gt; 50 OLS model'!$B$5</f>
        <v>-11694573.8944258</v>
      </c>
      <c r="P7" s="20">
        <f>'GS &gt; 50 OLS model'!$B$6*D7</f>
        <v>11200166.112316348</v>
      </c>
      <c r="Q7" s="20">
        <f ca="1">'GS &gt; 50 OLS model'!$B$7*E7</f>
        <v>26198.016057932356</v>
      </c>
      <c r="R7" s="20">
        <f ca="1">'GS &gt; 50 OLS model'!$B$8*F7</f>
        <v>1735284.5657752729</v>
      </c>
      <c r="S7" s="20">
        <f>'GS &gt; 50 OLS model'!$B$9*G7</f>
        <v>12212430.54869194</v>
      </c>
      <c r="T7" s="20">
        <f>'GS &gt; 50 OLS model'!$B$10*H7</f>
        <v>77162.959105732793</v>
      </c>
      <c r="U7" s="20">
        <f>'GS &gt; 50 OLS model'!$B$11*I7</f>
        <v>0</v>
      </c>
      <c r="V7" s="20">
        <f>'GS &gt; 50 OLS model'!$B$12*J7</f>
        <v>0</v>
      </c>
      <c r="W7" s="20">
        <f>'GS &gt; 50 OLS model'!$B$13*K7</f>
        <v>0</v>
      </c>
      <c r="X7" s="20">
        <f>'GS &gt; 50 OLS model'!$B$14*L7</f>
        <v>0</v>
      </c>
      <c r="Y7" s="20">
        <f>'GS &gt; 50 OLS model'!$B$15*M7</f>
        <v>0</v>
      </c>
      <c r="Z7" s="20">
        <f t="shared" ca="1" si="2"/>
        <v>13556668.307521423</v>
      </c>
    </row>
    <row r="8" spans="1:26" ht="15">
      <c r="A8" s="22">
        <f>'Monthly Data'!A8</f>
        <v>39995</v>
      </c>
      <c r="B8" s="6">
        <f t="shared" si="1"/>
        <v>2009</v>
      </c>
      <c r="C8" s="20">
        <f ca="1">'Monthly Data'!O8</f>
        <v>14350399.872788418</v>
      </c>
      <c r="D8" s="20">
        <f>'Monthly Data'!Q8</f>
        <v>219</v>
      </c>
      <c r="E8" s="6">
        <f ca="1">Weather!G75</f>
        <v>0.58000000000000007</v>
      </c>
      <c r="F8" s="6">
        <f ca="1">Weather!H75</f>
        <v>179.70999999999998</v>
      </c>
      <c r="G8" s="6">
        <f>'Monthly Data'!AK8</f>
        <v>144.30000000000001</v>
      </c>
      <c r="H8" s="6">
        <f>'Monthly Data'!AO8</f>
        <v>7</v>
      </c>
      <c r="I8" s="6">
        <f>'Monthly Data'!AQ8</f>
        <v>0</v>
      </c>
      <c r="J8" s="6">
        <f>'Monthly Data'!AW8</f>
        <v>0</v>
      </c>
      <c r="K8" s="6">
        <f>'Monthly Data'!AX8</f>
        <v>0</v>
      </c>
      <c r="L8" s="6">
        <f>'Monthly Data'!AY8</f>
        <v>0</v>
      </c>
      <c r="M8" s="6">
        <f>'Monthly Data'!AZ8</f>
        <v>0</v>
      </c>
      <c r="O8" s="20">
        <f>'GS &gt; 50 OLS model'!$B$5</f>
        <v>-11694573.8944258</v>
      </c>
      <c r="P8" s="20">
        <f>'GS &gt; 50 OLS model'!$B$6*D8</f>
        <v>11098807.142974118</v>
      </c>
      <c r="Q8" s="20">
        <f ca="1">'GS &gt; 50 OLS model'!$B$7*E8</f>
        <v>1555.2558151075507</v>
      </c>
      <c r="R8" s="20">
        <f ca="1">'GS &gt; 50 OLS model'!$B$8*F8</f>
        <v>2656512.3887509522</v>
      </c>
      <c r="S8" s="20">
        <f>'GS &gt; 50 OLS model'!$B$9*G8</f>
        <v>12095083.927084744</v>
      </c>
      <c r="T8" s="20">
        <f>'GS &gt; 50 OLS model'!$B$10*H8</f>
        <v>90023.452290021596</v>
      </c>
      <c r="U8" s="20">
        <f>'GS &gt; 50 OLS model'!$B$11*I8</f>
        <v>0</v>
      </c>
      <c r="V8" s="20">
        <f>'GS &gt; 50 OLS model'!$B$12*J8</f>
        <v>0</v>
      </c>
      <c r="W8" s="20">
        <f>'GS &gt; 50 OLS model'!$B$13*K8</f>
        <v>0</v>
      </c>
      <c r="X8" s="20">
        <f>'GS &gt; 50 OLS model'!$B$14*L8</f>
        <v>0</v>
      </c>
      <c r="Y8" s="20">
        <f>'GS &gt; 50 OLS model'!$B$15*M8</f>
        <v>0</v>
      </c>
      <c r="Z8" s="20">
        <f t="shared" ca="1" si="2"/>
        <v>14247408.272489142</v>
      </c>
    </row>
    <row r="9" spans="1:26" ht="15">
      <c r="A9" s="22">
        <f>'Monthly Data'!A9</f>
        <v>40026</v>
      </c>
      <c r="B9" s="6">
        <f t="shared" si="1"/>
        <v>2009</v>
      </c>
      <c r="C9" s="20">
        <f ca="1">'Monthly Data'!O9</f>
        <v>15846869.236809116</v>
      </c>
      <c r="D9" s="20">
        <f>'Monthly Data'!Q9</f>
        <v>231</v>
      </c>
      <c r="E9" s="6">
        <f ca="1">Weather!G76</f>
        <v>1.7099999999999997</v>
      </c>
      <c r="F9" s="6">
        <f ca="1">Weather!H76</f>
        <v>158.1</v>
      </c>
      <c r="G9" s="6">
        <f>'Monthly Data'!AK9</f>
        <v>145.1</v>
      </c>
      <c r="H9" s="6">
        <f>'Monthly Data'!AO9</f>
        <v>8</v>
      </c>
      <c r="I9" s="6">
        <f>'Monthly Data'!AQ9</f>
        <v>0</v>
      </c>
      <c r="J9" s="6">
        <f>'Monthly Data'!AW9</f>
        <v>1</v>
      </c>
      <c r="K9" s="6">
        <f>'Monthly Data'!AX9</f>
        <v>0</v>
      </c>
      <c r="L9" s="6">
        <f>'Monthly Data'!AY9</f>
        <v>0</v>
      </c>
      <c r="M9" s="6">
        <f>'Monthly Data'!AZ9</f>
        <v>0</v>
      </c>
      <c r="O9" s="20">
        <f>'GS &gt; 50 OLS model'!$B$5</f>
        <v>-11694573.8944258</v>
      </c>
      <c r="P9" s="20">
        <f>'GS &gt; 50 OLS model'!$B$6*D9</f>
        <v>11706960.959027495</v>
      </c>
      <c r="Q9" s="20">
        <f ca="1">'GS &gt; 50 OLS model'!$B$7*E9</f>
        <v>4585.3231790239843</v>
      </c>
      <c r="R9" s="20">
        <f ca="1">'GS &gt; 50 OLS model'!$B$8*F9</f>
        <v>2337068.6587364399</v>
      </c>
      <c r="S9" s="20">
        <f>'GS &gt; 50 OLS model'!$B$9*G9</f>
        <v>12162139.139431713</v>
      </c>
      <c r="T9" s="20">
        <f>'GS &gt; 50 OLS model'!$B$10*H9</f>
        <v>102883.9454743104</v>
      </c>
      <c r="U9" s="20">
        <f>'GS &gt; 50 OLS model'!$B$11*I9</f>
        <v>0</v>
      </c>
      <c r="V9" s="20">
        <f>'GS &gt; 50 OLS model'!$B$12*J9</f>
        <v>1257541.23571065</v>
      </c>
      <c r="W9" s="20">
        <f>'GS &gt; 50 OLS model'!$B$13*K9</f>
        <v>0</v>
      </c>
      <c r="X9" s="20">
        <f>'GS &gt; 50 OLS model'!$B$14*L9</f>
        <v>0</v>
      </c>
      <c r="Y9" s="20">
        <f>'GS &gt; 50 OLS model'!$B$15*M9</f>
        <v>0</v>
      </c>
      <c r="Z9" s="20">
        <f t="shared" ca="1" si="2"/>
        <v>15876605.367133832</v>
      </c>
    </row>
    <row r="10" spans="1:26" ht="15">
      <c r="A10" s="22">
        <f>'Monthly Data'!A10</f>
        <v>40057</v>
      </c>
      <c r="B10" s="6">
        <f t="shared" si="1"/>
        <v>2009</v>
      </c>
      <c r="C10" s="20">
        <f ca="1">'Monthly Data'!O10</f>
        <v>14340385.521492418</v>
      </c>
      <c r="D10" s="20">
        <f>'Monthly Data'!Q10</f>
        <v>223</v>
      </c>
      <c r="E10" s="6">
        <f ca="1">Weather!G77</f>
        <v>32.68</v>
      </c>
      <c r="F10" s="6">
        <f ca="1">Weather!H77</f>
        <v>67.34</v>
      </c>
      <c r="G10" s="6">
        <f>'Monthly Data'!AK10</f>
        <v>146.80000000000001</v>
      </c>
      <c r="H10" s="6">
        <f>'Monthly Data'!AO10</f>
        <v>9</v>
      </c>
      <c r="I10" s="6">
        <f>'Monthly Data'!AQ10</f>
        <v>0</v>
      </c>
      <c r="J10" s="6">
        <f>'Monthly Data'!AW10</f>
        <v>0</v>
      </c>
      <c r="K10" s="6">
        <f>'Monthly Data'!AX10</f>
        <v>1</v>
      </c>
      <c r="L10" s="6">
        <f>'Monthly Data'!AY10</f>
        <v>0</v>
      </c>
      <c r="M10" s="6">
        <f>'Monthly Data'!AZ10</f>
        <v>0</v>
      </c>
      <c r="O10" s="20">
        <f>'GS &gt; 50 OLS model'!$B$5</f>
        <v>-11694573.8944258</v>
      </c>
      <c r="P10" s="20">
        <f>'GS &gt; 50 OLS model'!$B$6*D10</f>
        <v>11301525.081658578</v>
      </c>
      <c r="Q10" s="20">
        <f ca="1">'GS &gt; 50 OLS model'!$B$7*E10</f>
        <v>87630.620754680596</v>
      </c>
      <c r="R10" s="20">
        <f ca="1">'GS &gt; 50 OLS model'!$B$8*F10</f>
        <v>995434.55711139692</v>
      </c>
      <c r="S10" s="20">
        <f>'GS &gt; 50 OLS model'!$B$9*G10</f>
        <v>12304631.465669025</v>
      </c>
      <c r="T10" s="20">
        <f>'GS &gt; 50 OLS model'!$B$10*H10</f>
        <v>115744.4386585992</v>
      </c>
      <c r="U10" s="20">
        <f>'GS &gt; 50 OLS model'!$B$11*I10</f>
        <v>0</v>
      </c>
      <c r="V10" s="20">
        <f>'GS &gt; 50 OLS model'!$B$12*J10</f>
        <v>0</v>
      </c>
      <c r="W10" s="20">
        <f>'GS &gt; 50 OLS model'!$B$13*K10</f>
        <v>1979532.62008895</v>
      </c>
      <c r="X10" s="20">
        <f>'GS &gt; 50 OLS model'!$B$14*L10</f>
        <v>0</v>
      </c>
      <c r="Y10" s="20">
        <f>'GS &gt; 50 OLS model'!$B$15*M10</f>
        <v>0</v>
      </c>
      <c r="Z10" s="20">
        <f t="shared" ca="1" si="2"/>
        <v>15089924.889515428</v>
      </c>
    </row>
    <row r="11" spans="1:26" ht="15">
      <c r="A11" s="22">
        <f>'Monthly Data'!A11</f>
        <v>40087</v>
      </c>
      <c r="B11" s="6">
        <f t="shared" si="1"/>
        <v>2009</v>
      </c>
      <c r="C11" s="20">
        <f ca="1">'Monthly Data'!O11</f>
        <v>14535093.861762017</v>
      </c>
      <c r="D11" s="20">
        <f>'Monthly Data'!Q11</f>
        <v>213</v>
      </c>
      <c r="E11" s="6">
        <f ca="1">Weather!G78</f>
        <v>176.42</v>
      </c>
      <c r="F11" s="6">
        <f ca="1">Weather!H78</f>
        <v>10.18</v>
      </c>
      <c r="G11" s="6">
        <f>'Monthly Data'!AK11</f>
        <v>149.19999999999999</v>
      </c>
      <c r="H11" s="6">
        <f>'Monthly Data'!AO11</f>
        <v>10</v>
      </c>
      <c r="I11" s="6">
        <f>'Monthly Data'!AQ11</f>
        <v>0</v>
      </c>
      <c r="J11" s="6">
        <f>'Monthly Data'!AW11</f>
        <v>0</v>
      </c>
      <c r="K11" s="6">
        <f>'Monthly Data'!AX11</f>
        <v>0</v>
      </c>
      <c r="L11" s="6">
        <f>'Monthly Data'!AY11</f>
        <v>1</v>
      </c>
      <c r="M11" s="6">
        <f>'Monthly Data'!AZ11</f>
        <v>0</v>
      </c>
      <c r="O11" s="20">
        <f>'GS &gt; 50 OLS model'!$B$5</f>
        <v>-11694573.8944258</v>
      </c>
      <c r="P11" s="20">
        <f>'GS &gt; 50 OLS model'!$B$6*D11</f>
        <v>10794730.23494743</v>
      </c>
      <c r="Q11" s="20">
        <f ca="1">'GS &gt; 50 OLS model'!$B$7*E11</f>
        <v>473065.91534702422</v>
      </c>
      <c r="R11" s="20">
        <f ca="1">'GS &gt; 50 OLS model'!$B$8*F11</f>
        <v>150482.97878517999</v>
      </c>
      <c r="S11" s="20">
        <f>'GS &gt; 50 OLS model'!$B$9*G11</f>
        <v>12505797.102709934</v>
      </c>
      <c r="T11" s="20">
        <f>'GS &gt; 50 OLS model'!$B$10*H11</f>
        <v>128604.93184288801</v>
      </c>
      <c r="U11" s="20">
        <f>'GS &gt; 50 OLS model'!$B$11*I11</f>
        <v>0</v>
      </c>
      <c r="V11" s="20">
        <f>'GS &gt; 50 OLS model'!$B$12*J11</f>
        <v>0</v>
      </c>
      <c r="W11" s="20">
        <f>'GS &gt; 50 OLS model'!$B$13*K11</f>
        <v>0</v>
      </c>
      <c r="X11" s="20">
        <f>'GS &gt; 50 OLS model'!$B$14*L11</f>
        <v>1466841.9423256</v>
      </c>
      <c r="Y11" s="20">
        <f>'GS &gt; 50 OLS model'!$B$15*M11</f>
        <v>0</v>
      </c>
      <c r="Z11" s="20">
        <f t="shared" ca="1" si="2"/>
        <v>13824949.211532256</v>
      </c>
    </row>
    <row r="12" spans="1:26" ht="15">
      <c r="A12" s="22">
        <f>'Monthly Data'!A12</f>
        <v>40118</v>
      </c>
      <c r="B12" s="6">
        <f t="shared" si="1"/>
        <v>2009</v>
      </c>
      <c r="C12" s="20">
        <f ca="1">'Monthly Data'!O12</f>
        <v>13933768.375684015</v>
      </c>
      <c r="D12" s="20">
        <f>'Monthly Data'!Q12</f>
        <v>235</v>
      </c>
      <c r="E12" s="6">
        <f ca="1">Weather!G79</f>
        <v>364.2299999999999</v>
      </c>
      <c r="F12" s="6">
        <f ca="1">Weather!H79</f>
        <v>0.05</v>
      </c>
      <c r="G12" s="6">
        <f>'Monthly Data'!AK12</f>
        <v>150.1</v>
      </c>
      <c r="H12" s="6">
        <f>'Monthly Data'!AO12</f>
        <v>11</v>
      </c>
      <c r="I12" s="6">
        <f>'Monthly Data'!AQ12</f>
        <v>0</v>
      </c>
      <c r="J12" s="6">
        <f>'Monthly Data'!AW12</f>
        <v>0</v>
      </c>
      <c r="K12" s="6">
        <f>'Monthly Data'!AX12</f>
        <v>0</v>
      </c>
      <c r="L12" s="6">
        <f>'Monthly Data'!AY12</f>
        <v>0</v>
      </c>
      <c r="M12" s="6">
        <f>'Monthly Data'!AZ12</f>
        <v>1</v>
      </c>
      <c r="O12" s="20">
        <f>'GS &gt; 50 OLS model'!$B$5</f>
        <v>-11694573.8944258</v>
      </c>
      <c r="P12" s="20">
        <f>'GS &gt; 50 OLS model'!$B$6*D12</f>
        <v>11909678.897711953</v>
      </c>
      <c r="Q12" s="20">
        <f ca="1">'GS &gt; 50 OLS model'!$B$7*E12</f>
        <v>976673.83713210851</v>
      </c>
      <c r="R12" s="20">
        <f ca="1">'GS &gt; 50 OLS model'!$B$8*F12</f>
        <v>739.11089776611004</v>
      </c>
      <c r="S12" s="20">
        <f>'GS &gt; 50 OLS model'!$B$9*G12</f>
        <v>12581234.216600277</v>
      </c>
      <c r="T12" s="20">
        <f>'GS &gt; 50 OLS model'!$B$10*H12</f>
        <v>141465.4250271768</v>
      </c>
      <c r="U12" s="20">
        <f>'GS &gt; 50 OLS model'!$B$11*I12</f>
        <v>0</v>
      </c>
      <c r="V12" s="20">
        <f>'GS &gt; 50 OLS model'!$B$12*J12</f>
        <v>0</v>
      </c>
      <c r="W12" s="20">
        <f>'GS &gt; 50 OLS model'!$B$13*K12</f>
        <v>0</v>
      </c>
      <c r="X12" s="20">
        <f>'GS &gt; 50 OLS model'!$B$14*L12</f>
        <v>0</v>
      </c>
      <c r="Y12" s="20">
        <f>'GS &gt; 50 OLS model'!$B$15*M12</f>
        <v>671693.73401239095</v>
      </c>
      <c r="Z12" s="20">
        <f t="shared" ca="1" si="2"/>
        <v>14586911.326955872</v>
      </c>
    </row>
    <row r="13" spans="1:26" ht="15">
      <c r="A13" s="22">
        <f>'Monthly Data'!A13</f>
        <v>40148</v>
      </c>
      <c r="B13" s="6">
        <f t="shared" si="1"/>
        <v>2009</v>
      </c>
      <c r="C13" s="20">
        <f ca="1">'Monthly Data'!O13</f>
        <v>13861683.743107518</v>
      </c>
      <c r="D13" s="20">
        <f>'Monthly Data'!Q13</f>
        <v>213</v>
      </c>
      <c r="E13" s="6">
        <f ca="1">Weather!G80</f>
        <v>552.31000000000006</v>
      </c>
      <c r="F13" s="6">
        <f ca="1">Weather!H80</f>
        <v>0</v>
      </c>
      <c r="G13" s="6">
        <f>'Monthly Data'!AK13</f>
        <v>150.19999999999999</v>
      </c>
      <c r="H13" s="6">
        <f>'Monthly Data'!AO13</f>
        <v>12</v>
      </c>
      <c r="I13" s="6">
        <f>'Monthly Data'!AQ13</f>
        <v>0</v>
      </c>
      <c r="J13" s="6">
        <f>'Monthly Data'!AW13</f>
        <v>0</v>
      </c>
      <c r="K13" s="6">
        <f>'Monthly Data'!AX13</f>
        <v>0</v>
      </c>
      <c r="L13" s="6">
        <f>'Monthly Data'!AY13</f>
        <v>0</v>
      </c>
      <c r="M13" s="6">
        <f>'Monthly Data'!AZ13</f>
        <v>0</v>
      </c>
      <c r="O13" s="20">
        <f>'GS &gt; 50 OLS model'!$B$5</f>
        <v>-11694573.8944258</v>
      </c>
      <c r="P13" s="20">
        <f>'GS &gt; 50 OLS model'!$B$6*D13</f>
        <v>10794730.23494743</v>
      </c>
      <c r="Q13" s="20">
        <f ca="1">'GS &gt; 50 OLS model'!$B$7*E13</f>
        <v>1481005.7573138815</v>
      </c>
      <c r="R13" s="20">
        <f ca="1">'GS &gt; 50 OLS model'!$B$8*F13</f>
        <v>0</v>
      </c>
      <c r="S13" s="20">
        <f>'GS &gt; 50 OLS model'!$B$9*G13</f>
        <v>12589616.118143646</v>
      </c>
      <c r="T13" s="20">
        <f>'GS &gt; 50 OLS model'!$B$10*H13</f>
        <v>154325.91821146559</v>
      </c>
      <c r="U13" s="20">
        <f>'GS &gt; 50 OLS model'!$B$11*I13</f>
        <v>0</v>
      </c>
      <c r="V13" s="20">
        <f>'GS &gt; 50 OLS model'!$B$12*J13</f>
        <v>0</v>
      </c>
      <c r="W13" s="20">
        <f>'GS &gt; 50 OLS model'!$B$13*K13</f>
        <v>0</v>
      </c>
      <c r="X13" s="20">
        <f>'GS &gt; 50 OLS model'!$B$14*L13</f>
        <v>0</v>
      </c>
      <c r="Y13" s="20">
        <f>'GS &gt; 50 OLS model'!$B$15*M13</f>
        <v>0</v>
      </c>
      <c r="Z13" s="20">
        <f t="shared" ca="1" si="2"/>
        <v>13325104.134190623</v>
      </c>
    </row>
    <row r="14" spans="1:26" ht="15">
      <c r="A14" s="22">
        <f>'Monthly Data'!A14</f>
        <v>40179</v>
      </c>
      <c r="B14" s="6">
        <f t="shared" si="1"/>
        <v>2010</v>
      </c>
      <c r="C14" s="20">
        <f ca="1">'Monthly Data'!O14</f>
        <v>14179965.938707981</v>
      </c>
      <c r="D14" s="20">
        <f>'Monthly Data'!Q14</f>
        <v>213</v>
      </c>
      <c r="E14" s="6">
        <f ca="1">E2</f>
        <v>661.18999999999994</v>
      </c>
      <c r="F14" s="6">
        <f ca="1">F2</f>
        <v>0</v>
      </c>
      <c r="G14" s="6">
        <f>'Monthly Data'!AK14</f>
        <v>146.80000000000001</v>
      </c>
      <c r="H14" s="6">
        <f>'Monthly Data'!AO14</f>
        <v>13</v>
      </c>
      <c r="I14" s="6">
        <f>'Monthly Data'!AQ14</f>
        <v>0</v>
      </c>
      <c r="J14" s="6">
        <f>'Monthly Data'!AW14</f>
        <v>0</v>
      </c>
      <c r="K14" s="6">
        <f>'Monthly Data'!AX14</f>
        <v>0</v>
      </c>
      <c r="L14" s="6">
        <f>'Monthly Data'!AY14</f>
        <v>0</v>
      </c>
      <c r="M14" s="6">
        <f>'Monthly Data'!AZ14</f>
        <v>0</v>
      </c>
      <c r="O14" s="20">
        <f>'GS &gt; 50 OLS model'!$B$5</f>
        <v>-11694573.8944258</v>
      </c>
      <c r="P14" s="20">
        <f>'GS &gt; 50 OLS model'!$B$6*D14</f>
        <v>10794730.23494743</v>
      </c>
      <c r="Q14" s="20">
        <f ca="1">'GS &gt; 50 OLS model'!$B$7*E14</f>
        <v>1772964.8144671745</v>
      </c>
      <c r="R14" s="20">
        <f ca="1">'GS &gt; 50 OLS model'!$B$8*F14</f>
        <v>0</v>
      </c>
      <c r="S14" s="20">
        <f>'GS &gt; 50 OLS model'!$B$9*G14</f>
        <v>12304631.465669025</v>
      </c>
      <c r="T14" s="20">
        <f>'GS &gt; 50 OLS model'!$B$10*H14</f>
        <v>167186.4113957544</v>
      </c>
      <c r="U14" s="20">
        <f>'GS &gt; 50 OLS model'!$B$11*I14</f>
        <v>0</v>
      </c>
      <c r="V14" s="20">
        <f>'GS &gt; 50 OLS model'!$B$12*J14</f>
        <v>0</v>
      </c>
      <c r="W14" s="20">
        <f>'GS &gt; 50 OLS model'!$B$13*K14</f>
        <v>0</v>
      </c>
      <c r="X14" s="20">
        <f>'GS &gt; 50 OLS model'!$B$14*L14</f>
        <v>0</v>
      </c>
      <c r="Y14" s="20">
        <f>'GS &gt; 50 OLS model'!$B$15*M14</f>
        <v>0</v>
      </c>
      <c r="Z14" s="20">
        <f t="shared" ca="1" si="2"/>
        <v>13344939.032053584</v>
      </c>
    </row>
    <row r="15" spans="1:26" ht="15">
      <c r="A15" s="22">
        <f>'Monthly Data'!A15</f>
        <v>40210</v>
      </c>
      <c r="B15" s="6">
        <f t="shared" si="1"/>
        <v>2010</v>
      </c>
      <c r="C15" s="20">
        <f ca="1">'Monthly Data'!O15</f>
        <v>12772387.686685381</v>
      </c>
      <c r="D15" s="20">
        <f>'Monthly Data'!Q15</f>
        <v>213</v>
      </c>
      <c r="E15" s="6">
        <f t="shared" ref="E15:F78" ca="1" si="3">E3</f>
        <v>598.16999999999985</v>
      </c>
      <c r="F15" s="6">
        <f t="shared" ca="1" si="3"/>
        <v>0</v>
      </c>
      <c r="G15" s="6">
        <f>'Monthly Data'!AK15</f>
        <v>145.5</v>
      </c>
      <c r="H15" s="6">
        <f>'Monthly Data'!AO15</f>
        <v>14</v>
      </c>
      <c r="I15" s="6">
        <f>'Monthly Data'!AQ15</f>
        <v>1</v>
      </c>
      <c r="J15" s="6">
        <f>'Monthly Data'!AW15</f>
        <v>0</v>
      </c>
      <c r="K15" s="6">
        <f>'Monthly Data'!AX15</f>
        <v>0</v>
      </c>
      <c r="L15" s="6">
        <f>'Monthly Data'!AY15</f>
        <v>0</v>
      </c>
      <c r="M15" s="6">
        <f>'Monthly Data'!AZ15</f>
        <v>0</v>
      </c>
      <c r="O15" s="20">
        <f>'GS &gt; 50 OLS model'!$B$5</f>
        <v>-11694573.8944258</v>
      </c>
      <c r="P15" s="20">
        <f>'GS &gt; 50 OLS model'!$B$6*D15</f>
        <v>10794730.23494743</v>
      </c>
      <c r="Q15" s="20">
        <f ca="1">'GS &gt; 50 OLS model'!$B$7*E15</f>
        <v>1603978.225729109</v>
      </c>
      <c r="R15" s="20">
        <f ca="1">'GS &gt; 50 OLS model'!$B$8*F15</f>
        <v>0</v>
      </c>
      <c r="S15" s="20">
        <f>'GS &gt; 50 OLS model'!$B$9*G15</f>
        <v>12195666.745605199</v>
      </c>
      <c r="T15" s="20">
        <f>'GS &gt; 50 OLS model'!$B$10*H15</f>
        <v>180046.90458004319</v>
      </c>
      <c r="U15" s="20">
        <f>'GS &gt; 50 OLS model'!$B$11*I15</f>
        <v>-797686.81375559501</v>
      </c>
      <c r="V15" s="20">
        <f>'GS &gt; 50 OLS model'!$B$12*J15</f>
        <v>0</v>
      </c>
      <c r="W15" s="20">
        <f>'GS &gt; 50 OLS model'!$B$13*K15</f>
        <v>0</v>
      </c>
      <c r="X15" s="20">
        <f>'GS &gt; 50 OLS model'!$B$14*L15</f>
        <v>0</v>
      </c>
      <c r="Y15" s="20">
        <f>'GS &gt; 50 OLS model'!$B$15*M15</f>
        <v>0</v>
      </c>
      <c r="Z15" s="20">
        <f t="shared" ca="1" si="2"/>
        <v>12282161.402680388</v>
      </c>
    </row>
    <row r="16" spans="1:26" ht="15">
      <c r="A16" s="22">
        <f>'Monthly Data'!A16</f>
        <v>40238</v>
      </c>
      <c r="B16" s="6">
        <f t="shared" si="1"/>
        <v>2010</v>
      </c>
      <c r="C16" s="20">
        <f ca="1">'Monthly Data'!O16</f>
        <v>13777421.092791181</v>
      </c>
      <c r="D16" s="20">
        <f>'Monthly Data'!Q16</f>
        <v>213</v>
      </c>
      <c r="E16" s="6">
        <f t="shared" ca="1" si="3"/>
        <v>451.34</v>
      </c>
      <c r="F16" s="6">
        <f t="shared" ca="1" si="3"/>
        <v>0.88000000000000012</v>
      </c>
      <c r="G16" s="6">
        <f>'Monthly Data'!AK16</f>
        <v>143.30000000000001</v>
      </c>
      <c r="H16" s="6">
        <f>'Monthly Data'!AO16</f>
        <v>15</v>
      </c>
      <c r="I16" s="6">
        <f>'Monthly Data'!AQ16</f>
        <v>0</v>
      </c>
      <c r="J16" s="6">
        <f>'Monthly Data'!AW16</f>
        <v>0</v>
      </c>
      <c r="K16" s="6">
        <f>'Monthly Data'!AX16</f>
        <v>0</v>
      </c>
      <c r="L16" s="6">
        <f>'Monthly Data'!AY16</f>
        <v>0</v>
      </c>
      <c r="M16" s="6">
        <f>'Monthly Data'!AZ16</f>
        <v>0</v>
      </c>
      <c r="O16" s="20">
        <f>'GS &gt; 50 OLS model'!$B$5</f>
        <v>-11694573.8944258</v>
      </c>
      <c r="P16" s="20">
        <f>'GS &gt; 50 OLS model'!$B$6*D16</f>
        <v>10794730.23494743</v>
      </c>
      <c r="Q16" s="20">
        <f ca="1">'GS &gt; 50 OLS model'!$B$7*E16</f>
        <v>1210257.1717080032</v>
      </c>
      <c r="R16" s="20">
        <f ca="1">'GS &gt; 50 OLS model'!$B$8*F16</f>
        <v>13008.351800683537</v>
      </c>
      <c r="S16" s="20">
        <f>'GS &gt; 50 OLS model'!$B$9*G16</f>
        <v>12011264.911651032</v>
      </c>
      <c r="T16" s="20">
        <f>'GS &gt; 50 OLS model'!$B$10*H16</f>
        <v>192907.39776433201</v>
      </c>
      <c r="U16" s="20">
        <f>'GS &gt; 50 OLS model'!$B$11*I16</f>
        <v>0</v>
      </c>
      <c r="V16" s="20">
        <f>'GS &gt; 50 OLS model'!$B$12*J16</f>
        <v>0</v>
      </c>
      <c r="W16" s="20">
        <f>'GS &gt; 50 OLS model'!$B$13*K16</f>
        <v>0</v>
      </c>
      <c r="X16" s="20">
        <f>'GS &gt; 50 OLS model'!$B$14*L16</f>
        <v>0</v>
      </c>
      <c r="Y16" s="20">
        <f>'GS &gt; 50 OLS model'!$B$15*M16</f>
        <v>0</v>
      </c>
      <c r="Z16" s="20">
        <f t="shared" ca="1" si="2"/>
        <v>12527594.173445681</v>
      </c>
    </row>
    <row r="17" spans="1:26" ht="15">
      <c r="A17" s="22">
        <f>'Monthly Data'!A17</f>
        <v>40269</v>
      </c>
      <c r="B17" s="6">
        <f t="shared" si="1"/>
        <v>2010</v>
      </c>
      <c r="C17" s="20">
        <f ca="1">'Monthly Data'!O17</f>
        <v>12131054.106289882</v>
      </c>
      <c r="D17" s="20">
        <f>'Monthly Data'!Q17</f>
        <v>214</v>
      </c>
      <c r="E17" s="6">
        <f t="shared" ca="1" si="3"/>
        <v>259.5499999999999</v>
      </c>
      <c r="F17" s="6">
        <f t="shared" ca="1" si="3"/>
        <v>2.4500000000000002</v>
      </c>
      <c r="G17" s="6">
        <f>'Monthly Data'!AK17</f>
        <v>146.6</v>
      </c>
      <c r="H17" s="6">
        <f>'Monthly Data'!AO17</f>
        <v>16</v>
      </c>
      <c r="I17" s="6">
        <f>'Monthly Data'!AQ17</f>
        <v>0</v>
      </c>
      <c r="J17" s="6">
        <f>'Monthly Data'!AW17</f>
        <v>0</v>
      </c>
      <c r="K17" s="6">
        <f>'Monthly Data'!AX17</f>
        <v>0</v>
      </c>
      <c r="L17" s="6">
        <f>'Monthly Data'!AY17</f>
        <v>0</v>
      </c>
      <c r="M17" s="6">
        <f>'Monthly Data'!AZ17</f>
        <v>0</v>
      </c>
      <c r="O17" s="20">
        <f>'GS &gt; 50 OLS model'!$B$5</f>
        <v>-11694573.8944258</v>
      </c>
      <c r="P17" s="20">
        <f>'GS &gt; 50 OLS model'!$B$6*D17</f>
        <v>10845409.719618546</v>
      </c>
      <c r="Q17" s="20">
        <f ca="1">'GS &gt; 50 OLS model'!$B$7*E17</f>
        <v>695976.9772606286</v>
      </c>
      <c r="R17" s="20">
        <f ca="1">'GS &gt; 50 OLS model'!$B$8*F17</f>
        <v>36216.433990539394</v>
      </c>
      <c r="S17" s="20">
        <f>'GS &gt; 50 OLS model'!$B$9*G17</f>
        <v>12287867.662582282</v>
      </c>
      <c r="T17" s="20">
        <f>'GS &gt; 50 OLS model'!$B$10*H17</f>
        <v>205767.8909486208</v>
      </c>
      <c r="U17" s="20">
        <f>'GS &gt; 50 OLS model'!$B$11*I17</f>
        <v>0</v>
      </c>
      <c r="V17" s="20">
        <f>'GS &gt; 50 OLS model'!$B$12*J17</f>
        <v>0</v>
      </c>
      <c r="W17" s="20">
        <f>'GS &gt; 50 OLS model'!$B$13*K17</f>
        <v>0</v>
      </c>
      <c r="X17" s="20">
        <f>'GS &gt; 50 OLS model'!$B$14*L17</f>
        <v>0</v>
      </c>
      <c r="Y17" s="20">
        <f>'GS &gt; 50 OLS model'!$B$15*M17</f>
        <v>0</v>
      </c>
      <c r="Z17" s="20">
        <f t="shared" ca="1" si="2"/>
        <v>12376664.789974818</v>
      </c>
    </row>
    <row r="18" spans="1:26" ht="15">
      <c r="A18" s="22">
        <f>'Monthly Data'!A18</f>
        <v>40299</v>
      </c>
      <c r="B18" s="6">
        <f t="shared" si="1"/>
        <v>2010</v>
      </c>
      <c r="C18" s="20">
        <f ca="1">'Monthly Data'!O18</f>
        <v>12960765.690806882</v>
      </c>
      <c r="D18" s="20">
        <f>'Monthly Data'!Q18</f>
        <v>214</v>
      </c>
      <c r="E18" s="6">
        <f t="shared" ca="1" si="3"/>
        <v>88.880000000000024</v>
      </c>
      <c r="F18" s="6">
        <f t="shared" ca="1" si="3"/>
        <v>43.79999999999999</v>
      </c>
      <c r="G18" s="6">
        <f>'Monthly Data'!AK18</f>
        <v>147.80000000000001</v>
      </c>
      <c r="H18" s="6">
        <f>'Monthly Data'!AO18</f>
        <v>17</v>
      </c>
      <c r="I18" s="6">
        <f>'Monthly Data'!AQ18</f>
        <v>0</v>
      </c>
      <c r="J18" s="6">
        <f>'Monthly Data'!AW18</f>
        <v>0</v>
      </c>
      <c r="K18" s="6">
        <f>'Monthly Data'!AX18</f>
        <v>0</v>
      </c>
      <c r="L18" s="6">
        <f>'Monthly Data'!AY18</f>
        <v>0</v>
      </c>
      <c r="M18" s="6">
        <f>'Monthly Data'!AZ18</f>
        <v>0</v>
      </c>
      <c r="O18" s="20">
        <f>'GS &gt; 50 OLS model'!$B$5</f>
        <v>-11694573.8944258</v>
      </c>
      <c r="P18" s="20">
        <f>'GS &gt; 50 OLS model'!$B$6*D18</f>
        <v>10845409.719618546</v>
      </c>
      <c r="Q18" s="20">
        <f ca="1">'GS &gt; 50 OLS model'!$B$7*E18</f>
        <v>238329.54628751572</v>
      </c>
      <c r="R18" s="20">
        <f ca="1">'GS &gt; 50 OLS model'!$B$8*F18</f>
        <v>647461.14644311217</v>
      </c>
      <c r="S18" s="20">
        <f>'GS &gt; 50 OLS model'!$B$9*G18</f>
        <v>12388450.481102739</v>
      </c>
      <c r="T18" s="20">
        <f>'GS &gt; 50 OLS model'!$B$10*H18</f>
        <v>218628.38413290959</v>
      </c>
      <c r="U18" s="20">
        <f>'GS &gt; 50 OLS model'!$B$11*I18</f>
        <v>0</v>
      </c>
      <c r="V18" s="20">
        <f>'GS &gt; 50 OLS model'!$B$12*J18</f>
        <v>0</v>
      </c>
      <c r="W18" s="20">
        <f>'GS &gt; 50 OLS model'!$B$13*K18</f>
        <v>0</v>
      </c>
      <c r="X18" s="20">
        <f>'GS &gt; 50 OLS model'!$B$14*L18</f>
        <v>0</v>
      </c>
      <c r="Y18" s="20">
        <f>'GS &gt; 50 OLS model'!$B$15*M18</f>
        <v>0</v>
      </c>
      <c r="Z18" s="20">
        <f t="shared" ca="1" si="2"/>
        <v>12643705.383159023</v>
      </c>
    </row>
    <row r="19" spans="1:26" ht="15">
      <c r="A19" s="22">
        <f>'Monthly Data'!A19</f>
        <v>40330</v>
      </c>
      <c r="B19" s="6">
        <f t="shared" si="1"/>
        <v>2010</v>
      </c>
      <c r="C19" s="20">
        <f ca="1">'Monthly Data'!O19</f>
        <v>14889407.58055778</v>
      </c>
      <c r="D19" s="20">
        <f>'Monthly Data'!Q19</f>
        <v>214</v>
      </c>
      <c r="E19" s="6">
        <f t="shared" ca="1" si="3"/>
        <v>9.77</v>
      </c>
      <c r="F19" s="6">
        <f t="shared" ca="1" si="3"/>
        <v>117.38999999999999</v>
      </c>
      <c r="G19" s="6">
        <f>'Monthly Data'!AK19</f>
        <v>149.9</v>
      </c>
      <c r="H19" s="6">
        <f>'Monthly Data'!AO19</f>
        <v>18</v>
      </c>
      <c r="I19" s="6">
        <f>'Monthly Data'!AQ19</f>
        <v>0</v>
      </c>
      <c r="J19" s="6">
        <f>'Monthly Data'!AW19</f>
        <v>0</v>
      </c>
      <c r="K19" s="6">
        <f>'Monthly Data'!AX19</f>
        <v>0</v>
      </c>
      <c r="L19" s="6">
        <f>'Monthly Data'!AY19</f>
        <v>0</v>
      </c>
      <c r="M19" s="6">
        <f>'Monthly Data'!AZ19</f>
        <v>0</v>
      </c>
      <c r="O19" s="20">
        <f>'GS &gt; 50 OLS model'!$B$5</f>
        <v>-11694573.8944258</v>
      </c>
      <c r="P19" s="20">
        <f>'GS &gt; 50 OLS model'!$B$6*D19</f>
        <v>10845409.719618546</v>
      </c>
      <c r="Q19" s="20">
        <f ca="1">'GS &gt; 50 OLS model'!$B$7*E19</f>
        <v>26198.016057932356</v>
      </c>
      <c r="R19" s="20">
        <f ca="1">'GS &gt; 50 OLS model'!$B$8*F19</f>
        <v>1735284.5657752729</v>
      </c>
      <c r="S19" s="20">
        <f>'GS &gt; 50 OLS model'!$B$9*G19</f>
        <v>12564470.413513534</v>
      </c>
      <c r="T19" s="20">
        <f>'GS &gt; 50 OLS model'!$B$10*H19</f>
        <v>231488.87731719841</v>
      </c>
      <c r="U19" s="20">
        <f>'GS &gt; 50 OLS model'!$B$11*I19</f>
        <v>0</v>
      </c>
      <c r="V19" s="20">
        <f>'GS &gt; 50 OLS model'!$B$12*J19</f>
        <v>0</v>
      </c>
      <c r="W19" s="20">
        <f>'GS &gt; 50 OLS model'!$B$13*K19</f>
        <v>0</v>
      </c>
      <c r="X19" s="20">
        <f>'GS &gt; 50 OLS model'!$B$14*L19</f>
        <v>0</v>
      </c>
      <c r="Y19" s="20">
        <f>'GS &gt; 50 OLS model'!$B$15*M19</f>
        <v>0</v>
      </c>
      <c r="Z19" s="20">
        <f t="shared" ca="1" si="2"/>
        <v>13708277.697856683</v>
      </c>
    </row>
    <row r="20" spans="1:26" ht="15">
      <c r="A20" s="22">
        <f>'Monthly Data'!A20</f>
        <v>40360</v>
      </c>
      <c r="B20" s="6">
        <f t="shared" si="1"/>
        <v>2010</v>
      </c>
      <c r="C20" s="20">
        <f ca="1">'Monthly Data'!O20</f>
        <v>15844471.30334268</v>
      </c>
      <c r="D20" s="20">
        <f>'Monthly Data'!Q20</f>
        <v>217</v>
      </c>
      <c r="E20" s="6">
        <f t="shared" ca="1" si="3"/>
        <v>0.58000000000000007</v>
      </c>
      <c r="F20" s="6">
        <f t="shared" ca="1" si="3"/>
        <v>179.70999999999998</v>
      </c>
      <c r="G20" s="6">
        <f>'Monthly Data'!AK20</f>
        <v>148.30000000000001</v>
      </c>
      <c r="H20" s="6">
        <f>'Monthly Data'!AO20</f>
        <v>19</v>
      </c>
      <c r="I20" s="6">
        <f>'Monthly Data'!AQ20</f>
        <v>0</v>
      </c>
      <c r="J20" s="6">
        <f>'Monthly Data'!AW20</f>
        <v>0</v>
      </c>
      <c r="K20" s="6">
        <f>'Monthly Data'!AX20</f>
        <v>0</v>
      </c>
      <c r="L20" s="6">
        <f>'Monthly Data'!AY20</f>
        <v>0</v>
      </c>
      <c r="M20" s="6">
        <f>'Monthly Data'!AZ20</f>
        <v>0</v>
      </c>
      <c r="O20" s="20">
        <f>'GS &gt; 50 OLS model'!$B$5</f>
        <v>-11694573.8944258</v>
      </c>
      <c r="P20" s="20">
        <f>'GS &gt; 50 OLS model'!$B$6*D20</f>
        <v>10997448.17363189</v>
      </c>
      <c r="Q20" s="20">
        <f ca="1">'GS &gt; 50 OLS model'!$B$7*E20</f>
        <v>1555.2558151075507</v>
      </c>
      <c r="R20" s="20">
        <f ca="1">'GS &gt; 50 OLS model'!$B$8*F20</f>
        <v>2656512.3887509522</v>
      </c>
      <c r="S20" s="20">
        <f>'GS &gt; 50 OLS model'!$B$9*G20</f>
        <v>12430359.988819595</v>
      </c>
      <c r="T20" s="20">
        <f>'GS &gt; 50 OLS model'!$B$10*H20</f>
        <v>244349.3705014872</v>
      </c>
      <c r="U20" s="20">
        <f>'GS &gt; 50 OLS model'!$B$11*I20</f>
        <v>0</v>
      </c>
      <c r="V20" s="20">
        <f>'GS &gt; 50 OLS model'!$B$12*J20</f>
        <v>0</v>
      </c>
      <c r="W20" s="20">
        <f>'GS &gt; 50 OLS model'!$B$13*K20</f>
        <v>0</v>
      </c>
      <c r="X20" s="20">
        <f>'GS &gt; 50 OLS model'!$B$14*L20</f>
        <v>0</v>
      </c>
      <c r="Y20" s="20">
        <f>'GS &gt; 50 OLS model'!$B$15*M20</f>
        <v>0</v>
      </c>
      <c r="Z20" s="20">
        <f t="shared" ca="1" si="2"/>
        <v>14635651.283093231</v>
      </c>
    </row>
    <row r="21" spans="1:26" ht="15">
      <c r="A21" s="22">
        <f>'Monthly Data'!A21</f>
        <v>40391</v>
      </c>
      <c r="B21" s="6">
        <f t="shared" si="1"/>
        <v>2010</v>
      </c>
      <c r="C21" s="20">
        <f ca="1">'Monthly Data'!O21</f>
        <v>16457809.899910983</v>
      </c>
      <c r="D21" s="20">
        <f>'Monthly Data'!Q21</f>
        <v>215</v>
      </c>
      <c r="E21" s="6">
        <f t="shared" ca="1" si="3"/>
        <v>1.7099999999999997</v>
      </c>
      <c r="F21" s="6">
        <f t="shared" ca="1" si="3"/>
        <v>158.1</v>
      </c>
      <c r="G21" s="6">
        <f>'Monthly Data'!AK21</f>
        <v>148.4</v>
      </c>
      <c r="H21" s="6">
        <f>'Monthly Data'!AO21</f>
        <v>20</v>
      </c>
      <c r="I21" s="6">
        <f>'Monthly Data'!AQ21</f>
        <v>0</v>
      </c>
      <c r="J21" s="6">
        <f>'Monthly Data'!AW21</f>
        <v>1</v>
      </c>
      <c r="K21" s="6">
        <f>'Monthly Data'!AX21</f>
        <v>0</v>
      </c>
      <c r="L21" s="6">
        <f>'Monthly Data'!AY21</f>
        <v>0</v>
      </c>
      <c r="M21" s="6">
        <f>'Monthly Data'!AZ21</f>
        <v>0</v>
      </c>
      <c r="O21" s="20">
        <f>'GS &gt; 50 OLS model'!$B$5</f>
        <v>-11694573.8944258</v>
      </c>
      <c r="P21" s="20">
        <f>'GS &gt; 50 OLS model'!$B$6*D21</f>
        <v>10896089.20428966</v>
      </c>
      <c r="Q21" s="20">
        <f ca="1">'GS &gt; 50 OLS model'!$B$7*E21</f>
        <v>4585.3231790239843</v>
      </c>
      <c r="R21" s="20">
        <f ca="1">'GS &gt; 50 OLS model'!$B$8*F21</f>
        <v>2337068.6587364399</v>
      </c>
      <c r="S21" s="20">
        <f>'GS &gt; 50 OLS model'!$B$9*G21</f>
        <v>12438741.890362965</v>
      </c>
      <c r="T21" s="20">
        <f>'GS &gt; 50 OLS model'!$B$10*H21</f>
        <v>257209.86368577601</v>
      </c>
      <c r="U21" s="20">
        <f>'GS &gt; 50 OLS model'!$B$11*I21</f>
        <v>0</v>
      </c>
      <c r="V21" s="20">
        <f>'GS &gt; 50 OLS model'!$B$12*J21</f>
        <v>1257541.23571065</v>
      </c>
      <c r="W21" s="20">
        <f>'GS &gt; 50 OLS model'!$B$13*K21</f>
        <v>0</v>
      </c>
      <c r="X21" s="20">
        <f>'GS &gt; 50 OLS model'!$B$14*L21</f>
        <v>0</v>
      </c>
      <c r="Y21" s="20">
        <f>'GS &gt; 50 OLS model'!$B$15*M21</f>
        <v>0</v>
      </c>
      <c r="Z21" s="20">
        <f t="shared" ca="1" si="2"/>
        <v>15496662.281538716</v>
      </c>
    </row>
    <row r="22" spans="1:26" ht="15">
      <c r="A22" s="22">
        <f>'Monthly Data'!A22</f>
        <v>40422</v>
      </c>
      <c r="B22" s="6">
        <f t="shared" si="1"/>
        <v>2010</v>
      </c>
      <c r="C22" s="20">
        <f ca="1">'Monthly Data'!O22</f>
        <v>13945593.812022582</v>
      </c>
      <c r="D22" s="20">
        <f>'Monthly Data'!Q22</f>
        <v>214</v>
      </c>
      <c r="E22" s="6">
        <f t="shared" ca="1" si="3"/>
        <v>32.68</v>
      </c>
      <c r="F22" s="6">
        <f t="shared" ca="1" si="3"/>
        <v>67.34</v>
      </c>
      <c r="G22" s="6">
        <f>'Monthly Data'!AK22</f>
        <v>148.69999999999999</v>
      </c>
      <c r="H22" s="6">
        <f>'Monthly Data'!AO22</f>
        <v>21</v>
      </c>
      <c r="I22" s="6">
        <f>'Monthly Data'!AQ22</f>
        <v>0</v>
      </c>
      <c r="J22" s="6">
        <f>'Monthly Data'!AW22</f>
        <v>0</v>
      </c>
      <c r="K22" s="6">
        <f>'Monthly Data'!AX22</f>
        <v>1</v>
      </c>
      <c r="L22" s="6">
        <f>'Monthly Data'!AY22</f>
        <v>0</v>
      </c>
      <c r="M22" s="6">
        <f>'Monthly Data'!AZ22</f>
        <v>0</v>
      </c>
      <c r="O22" s="20">
        <f>'GS &gt; 50 OLS model'!$B$5</f>
        <v>-11694573.8944258</v>
      </c>
      <c r="P22" s="20">
        <f>'GS &gt; 50 OLS model'!$B$6*D22</f>
        <v>10845409.719618546</v>
      </c>
      <c r="Q22" s="20">
        <f ca="1">'GS &gt; 50 OLS model'!$B$7*E22</f>
        <v>87630.620754680596</v>
      </c>
      <c r="R22" s="20">
        <f ca="1">'GS &gt; 50 OLS model'!$B$8*F22</f>
        <v>995434.55711139692</v>
      </c>
      <c r="S22" s="20">
        <f>'GS &gt; 50 OLS model'!$B$9*G22</f>
        <v>12463887.594993077</v>
      </c>
      <c r="T22" s="20">
        <f>'GS &gt; 50 OLS model'!$B$10*H22</f>
        <v>270070.3568700648</v>
      </c>
      <c r="U22" s="20">
        <f>'GS &gt; 50 OLS model'!$B$11*I22</f>
        <v>0</v>
      </c>
      <c r="V22" s="20">
        <f>'GS &gt; 50 OLS model'!$B$12*J22</f>
        <v>0</v>
      </c>
      <c r="W22" s="20">
        <f>'GS &gt; 50 OLS model'!$B$13*K22</f>
        <v>1979532.62008895</v>
      </c>
      <c r="X22" s="20">
        <f>'GS &gt; 50 OLS model'!$B$14*L22</f>
        <v>0</v>
      </c>
      <c r="Y22" s="20">
        <f>'GS &gt; 50 OLS model'!$B$15*M22</f>
        <v>0</v>
      </c>
      <c r="Z22" s="20">
        <f t="shared" ca="1" si="2"/>
        <v>14947391.575010914</v>
      </c>
    </row>
    <row r="23" spans="1:26" ht="15">
      <c r="A23" s="22">
        <f>'Monthly Data'!A23</f>
        <v>40452</v>
      </c>
      <c r="B23" s="6">
        <f t="shared" si="1"/>
        <v>2010</v>
      </c>
      <c r="C23" s="20">
        <f ca="1">'Monthly Data'!O23</f>
        <v>13680357.311501181</v>
      </c>
      <c r="D23" s="20">
        <f>'Monthly Data'!Q23</f>
        <v>216</v>
      </c>
      <c r="E23" s="6">
        <f t="shared" ca="1" si="3"/>
        <v>176.42</v>
      </c>
      <c r="F23" s="6">
        <f t="shared" ca="1" si="3"/>
        <v>10.18</v>
      </c>
      <c r="G23" s="6">
        <f>'Monthly Data'!AK23</f>
        <v>149.6</v>
      </c>
      <c r="H23" s="6">
        <f>'Monthly Data'!AO23</f>
        <v>22</v>
      </c>
      <c r="I23" s="6">
        <f>'Monthly Data'!AQ23</f>
        <v>0</v>
      </c>
      <c r="J23" s="6">
        <f>'Monthly Data'!AW23</f>
        <v>0</v>
      </c>
      <c r="K23" s="6">
        <f>'Monthly Data'!AX23</f>
        <v>0</v>
      </c>
      <c r="L23" s="6">
        <f>'Monthly Data'!AY23</f>
        <v>1</v>
      </c>
      <c r="M23" s="6">
        <f>'Monthly Data'!AZ23</f>
        <v>0</v>
      </c>
      <c r="O23" s="20">
        <f>'GS &gt; 50 OLS model'!$B$5</f>
        <v>-11694573.8944258</v>
      </c>
      <c r="P23" s="20">
        <f>'GS &gt; 50 OLS model'!$B$6*D23</f>
        <v>10946768.688960774</v>
      </c>
      <c r="Q23" s="20">
        <f ca="1">'GS &gt; 50 OLS model'!$B$7*E23</f>
        <v>473065.91534702422</v>
      </c>
      <c r="R23" s="20">
        <f ca="1">'GS &gt; 50 OLS model'!$B$8*F23</f>
        <v>150482.97878517999</v>
      </c>
      <c r="S23" s="20">
        <f>'GS &gt; 50 OLS model'!$B$9*G23</f>
        <v>12539324.70888342</v>
      </c>
      <c r="T23" s="20">
        <f>'GS &gt; 50 OLS model'!$B$10*H23</f>
        <v>282930.85005435359</v>
      </c>
      <c r="U23" s="20">
        <f>'GS &gt; 50 OLS model'!$B$11*I23</f>
        <v>0</v>
      </c>
      <c r="V23" s="20">
        <f>'GS &gt; 50 OLS model'!$B$12*J23</f>
        <v>0</v>
      </c>
      <c r="W23" s="20">
        <f>'GS &gt; 50 OLS model'!$B$13*K23</f>
        <v>0</v>
      </c>
      <c r="X23" s="20">
        <f>'GS &gt; 50 OLS model'!$B$14*L23</f>
        <v>1466841.9423256</v>
      </c>
      <c r="Y23" s="20">
        <f>'GS &gt; 50 OLS model'!$B$15*M23</f>
        <v>0</v>
      </c>
      <c r="Z23" s="20">
        <f t="shared" ca="1" si="2"/>
        <v>14164841.189930551</v>
      </c>
    </row>
    <row r="24" spans="1:26" ht="15">
      <c r="A24" s="22">
        <f>'Monthly Data'!A24</f>
        <v>40483</v>
      </c>
      <c r="B24" s="6">
        <f t="shared" si="1"/>
        <v>2010</v>
      </c>
      <c r="C24" s="20">
        <f ca="1">'Monthly Data'!O24</f>
        <v>13943764.881368984</v>
      </c>
      <c r="D24" s="20">
        <f>'Monthly Data'!Q24</f>
        <v>215</v>
      </c>
      <c r="E24" s="6">
        <f t="shared" ca="1" si="3"/>
        <v>364.2299999999999</v>
      </c>
      <c r="F24" s="6">
        <f t="shared" ca="1" si="3"/>
        <v>0.05</v>
      </c>
      <c r="G24" s="6">
        <f>'Monthly Data'!AK24</f>
        <v>148.9</v>
      </c>
      <c r="H24" s="6">
        <f>'Monthly Data'!AO24</f>
        <v>23</v>
      </c>
      <c r="I24" s="6">
        <f>'Monthly Data'!AQ24</f>
        <v>0</v>
      </c>
      <c r="J24" s="6">
        <f>'Monthly Data'!AW24</f>
        <v>0</v>
      </c>
      <c r="K24" s="6">
        <f>'Monthly Data'!AX24</f>
        <v>0</v>
      </c>
      <c r="L24" s="6">
        <f>'Monthly Data'!AY24</f>
        <v>0</v>
      </c>
      <c r="M24" s="6">
        <f>'Monthly Data'!AZ24</f>
        <v>1</v>
      </c>
      <c r="O24" s="20">
        <f>'GS &gt; 50 OLS model'!$B$5</f>
        <v>-11694573.8944258</v>
      </c>
      <c r="P24" s="20">
        <f>'GS &gt; 50 OLS model'!$B$6*D24</f>
        <v>10896089.20428966</v>
      </c>
      <c r="Q24" s="20">
        <f ca="1">'GS &gt; 50 OLS model'!$B$7*E24</f>
        <v>976673.83713210851</v>
      </c>
      <c r="R24" s="20">
        <f ca="1">'GS &gt; 50 OLS model'!$B$8*F24</f>
        <v>739.11089776611004</v>
      </c>
      <c r="S24" s="20">
        <f>'GS &gt; 50 OLS model'!$B$9*G24</f>
        <v>12480651.398079822</v>
      </c>
      <c r="T24" s="20">
        <f>'GS &gt; 50 OLS model'!$B$10*H24</f>
        <v>295791.34323864238</v>
      </c>
      <c r="U24" s="20">
        <f>'GS &gt; 50 OLS model'!$B$11*I24</f>
        <v>0</v>
      </c>
      <c r="V24" s="20">
        <f>'GS &gt; 50 OLS model'!$B$12*J24</f>
        <v>0</v>
      </c>
      <c r="W24" s="20">
        <f>'GS &gt; 50 OLS model'!$B$13*K24</f>
        <v>0</v>
      </c>
      <c r="X24" s="20">
        <f>'GS &gt; 50 OLS model'!$B$14*L24</f>
        <v>0</v>
      </c>
      <c r="Y24" s="20">
        <f>'GS &gt; 50 OLS model'!$B$15*M24</f>
        <v>671693.73401239095</v>
      </c>
      <c r="Z24" s="20">
        <f t="shared" ca="1" si="2"/>
        <v>13627064.733224589</v>
      </c>
    </row>
    <row r="25" spans="1:26" ht="15">
      <c r="A25" s="22">
        <f>'Monthly Data'!A25</f>
        <v>40513</v>
      </c>
      <c r="B25" s="6">
        <f t="shared" si="1"/>
        <v>2010</v>
      </c>
      <c r="C25" s="20">
        <f ca="1">'Monthly Data'!O25</f>
        <v>13816144.317732083</v>
      </c>
      <c r="D25" s="20">
        <f>'Monthly Data'!Q25</f>
        <v>214</v>
      </c>
      <c r="E25" s="6">
        <f t="shared" ca="1" si="3"/>
        <v>552.31000000000006</v>
      </c>
      <c r="F25" s="6">
        <f t="shared" ca="1" si="3"/>
        <v>0</v>
      </c>
      <c r="G25" s="6">
        <f>'Monthly Data'!AK25</f>
        <v>148.1</v>
      </c>
      <c r="H25" s="6">
        <f>'Monthly Data'!AO25</f>
        <v>24</v>
      </c>
      <c r="I25" s="6">
        <f>'Monthly Data'!AQ25</f>
        <v>0</v>
      </c>
      <c r="J25" s="6">
        <f>'Monthly Data'!AW25</f>
        <v>0</v>
      </c>
      <c r="K25" s="6">
        <f>'Monthly Data'!AX25</f>
        <v>0</v>
      </c>
      <c r="L25" s="6">
        <f>'Monthly Data'!AY25</f>
        <v>0</v>
      </c>
      <c r="M25" s="6">
        <f>'Monthly Data'!AZ25</f>
        <v>0</v>
      </c>
      <c r="O25" s="20">
        <f>'GS &gt; 50 OLS model'!$B$5</f>
        <v>-11694573.8944258</v>
      </c>
      <c r="P25" s="20">
        <f>'GS &gt; 50 OLS model'!$B$6*D25</f>
        <v>10845409.719618546</v>
      </c>
      <c r="Q25" s="20">
        <f ca="1">'GS &gt; 50 OLS model'!$B$7*E25</f>
        <v>1481005.7573138815</v>
      </c>
      <c r="R25" s="20">
        <f ca="1">'GS &gt; 50 OLS model'!$B$8*F25</f>
        <v>0</v>
      </c>
      <c r="S25" s="20">
        <f>'GS &gt; 50 OLS model'!$B$9*G25</f>
        <v>12413596.185732851</v>
      </c>
      <c r="T25" s="20">
        <f>'GS &gt; 50 OLS model'!$B$10*H25</f>
        <v>308651.83642293117</v>
      </c>
      <c r="U25" s="20">
        <f>'GS &gt; 50 OLS model'!$B$11*I25</f>
        <v>0</v>
      </c>
      <c r="V25" s="20">
        <f>'GS &gt; 50 OLS model'!$B$12*J25</f>
        <v>0</v>
      </c>
      <c r="W25" s="20">
        <f>'GS &gt; 50 OLS model'!$B$13*K25</f>
        <v>0</v>
      </c>
      <c r="X25" s="20">
        <f>'GS &gt; 50 OLS model'!$B$14*L25</f>
        <v>0</v>
      </c>
      <c r="Y25" s="20">
        <f>'GS &gt; 50 OLS model'!$B$15*M25</f>
        <v>0</v>
      </c>
      <c r="Z25" s="20">
        <f t="shared" ca="1" si="2"/>
        <v>13354089.604662409</v>
      </c>
    </row>
    <row r="26" spans="1:26" ht="15">
      <c r="A26" s="22">
        <f>'Monthly Data'!A26</f>
        <v>40544</v>
      </c>
      <c r="B26" s="6">
        <f t="shared" si="1"/>
        <v>2011</v>
      </c>
      <c r="C26" s="20">
        <f ca="1">'Monthly Data'!O26</f>
        <v>14300120.531601261</v>
      </c>
      <c r="D26" s="20">
        <f>'Monthly Data'!Q26</f>
        <v>219</v>
      </c>
      <c r="E26" s="6">
        <f t="shared" ca="1" si="3"/>
        <v>661.18999999999994</v>
      </c>
      <c r="F26" s="6">
        <f t="shared" ca="1" si="3"/>
        <v>0</v>
      </c>
      <c r="G26" s="6">
        <f>'Monthly Data'!AK26</f>
        <v>148.69999999999999</v>
      </c>
      <c r="H26" s="6">
        <f>'Monthly Data'!AO26</f>
        <v>25</v>
      </c>
      <c r="I26" s="6">
        <f>'Monthly Data'!AQ26</f>
        <v>0</v>
      </c>
      <c r="J26" s="6">
        <f>'Monthly Data'!AW26</f>
        <v>0</v>
      </c>
      <c r="K26" s="6">
        <f>'Monthly Data'!AX26</f>
        <v>0</v>
      </c>
      <c r="L26" s="6">
        <f>'Monthly Data'!AY26</f>
        <v>0</v>
      </c>
      <c r="M26" s="6">
        <f>'Monthly Data'!AZ26</f>
        <v>0</v>
      </c>
      <c r="O26" s="20">
        <f>'GS &gt; 50 OLS model'!$B$5</f>
        <v>-11694573.8944258</v>
      </c>
      <c r="P26" s="20">
        <f>'GS &gt; 50 OLS model'!$B$6*D26</f>
        <v>11098807.142974118</v>
      </c>
      <c r="Q26" s="20">
        <f ca="1">'GS &gt; 50 OLS model'!$B$7*E26</f>
        <v>1772964.8144671745</v>
      </c>
      <c r="R26" s="20">
        <f ca="1">'GS &gt; 50 OLS model'!$B$8*F26</f>
        <v>0</v>
      </c>
      <c r="S26" s="20">
        <f>'GS &gt; 50 OLS model'!$B$9*G26</f>
        <v>12463887.594993077</v>
      </c>
      <c r="T26" s="20">
        <f>'GS &gt; 50 OLS model'!$B$10*H26</f>
        <v>321512.32960722002</v>
      </c>
      <c r="U26" s="20">
        <f>'GS &gt; 50 OLS model'!$B$11*I26</f>
        <v>0</v>
      </c>
      <c r="V26" s="20">
        <f>'GS &gt; 50 OLS model'!$B$12*J26</f>
        <v>0</v>
      </c>
      <c r="W26" s="20">
        <f>'GS &gt; 50 OLS model'!$B$13*K26</f>
        <v>0</v>
      </c>
      <c r="X26" s="20">
        <f>'GS &gt; 50 OLS model'!$B$14*L26</f>
        <v>0</v>
      </c>
      <c r="Y26" s="20">
        <f>'GS &gt; 50 OLS model'!$B$15*M26</f>
        <v>0</v>
      </c>
      <c r="Z26" s="20">
        <f t="shared" ca="1" si="2"/>
        <v>13962597.98761579</v>
      </c>
    </row>
    <row r="27" spans="1:26" ht="15">
      <c r="A27" s="22">
        <f>'Monthly Data'!A27</f>
        <v>40575</v>
      </c>
      <c r="B27" s="6">
        <f t="shared" si="1"/>
        <v>2011</v>
      </c>
      <c r="C27" s="20">
        <f ca="1">'Monthly Data'!O27</f>
        <v>12823986.900859961</v>
      </c>
      <c r="D27" s="20">
        <f>'Monthly Data'!Q27</f>
        <v>220</v>
      </c>
      <c r="E27" s="6">
        <f t="shared" ca="1" si="3"/>
        <v>598.16999999999985</v>
      </c>
      <c r="F27" s="6">
        <f t="shared" ca="1" si="3"/>
        <v>0</v>
      </c>
      <c r="G27" s="6">
        <f>'Monthly Data'!AK27</f>
        <v>146.69999999999999</v>
      </c>
      <c r="H27" s="6">
        <f>'Monthly Data'!AO27</f>
        <v>26</v>
      </c>
      <c r="I27" s="6">
        <f>'Monthly Data'!AQ27</f>
        <v>1</v>
      </c>
      <c r="J27" s="6">
        <f>'Monthly Data'!AW27</f>
        <v>0</v>
      </c>
      <c r="K27" s="6">
        <f>'Monthly Data'!AX27</f>
        <v>0</v>
      </c>
      <c r="L27" s="6">
        <f>'Monthly Data'!AY27</f>
        <v>0</v>
      </c>
      <c r="M27" s="6">
        <f>'Monthly Data'!AZ27</f>
        <v>0</v>
      </c>
      <c r="O27" s="20">
        <f>'GS &gt; 50 OLS model'!$B$5</f>
        <v>-11694573.8944258</v>
      </c>
      <c r="P27" s="20">
        <f>'GS &gt; 50 OLS model'!$B$6*D27</f>
        <v>11149486.627645234</v>
      </c>
      <c r="Q27" s="20">
        <f ca="1">'GS &gt; 50 OLS model'!$B$7*E27</f>
        <v>1603978.225729109</v>
      </c>
      <c r="R27" s="20">
        <f ca="1">'GS &gt; 50 OLS model'!$B$8*F27</f>
        <v>0</v>
      </c>
      <c r="S27" s="20">
        <f>'GS &gt; 50 OLS model'!$B$9*G27</f>
        <v>12296249.564125653</v>
      </c>
      <c r="T27" s="20">
        <f>'GS &gt; 50 OLS model'!$B$10*H27</f>
        <v>334372.82279150881</v>
      </c>
      <c r="U27" s="20">
        <f>'GS &gt; 50 OLS model'!$B$11*I27</f>
        <v>-797686.81375559501</v>
      </c>
      <c r="V27" s="20">
        <f>'GS &gt; 50 OLS model'!$B$12*J27</f>
        <v>0</v>
      </c>
      <c r="W27" s="20">
        <f>'GS &gt; 50 OLS model'!$B$13*K27</f>
        <v>0</v>
      </c>
      <c r="X27" s="20">
        <f>'GS &gt; 50 OLS model'!$B$14*L27</f>
        <v>0</v>
      </c>
      <c r="Y27" s="20">
        <f>'GS &gt; 50 OLS model'!$B$15*M27</f>
        <v>0</v>
      </c>
      <c r="Z27" s="20">
        <f t="shared" ca="1" si="2"/>
        <v>12891826.532110112</v>
      </c>
    </row>
    <row r="28" spans="1:26" ht="15">
      <c r="A28" s="22">
        <f>'Monthly Data'!A28</f>
        <v>40603</v>
      </c>
      <c r="B28" s="6">
        <f t="shared" si="1"/>
        <v>2011</v>
      </c>
      <c r="C28" s="20">
        <f ca="1">'Monthly Data'!O28</f>
        <v>13729652.925076362</v>
      </c>
      <c r="D28" s="20">
        <f>'Monthly Data'!Q28</f>
        <v>221</v>
      </c>
      <c r="E28" s="6">
        <f t="shared" ca="1" si="3"/>
        <v>451.34</v>
      </c>
      <c r="F28" s="6">
        <f t="shared" ca="1" si="3"/>
        <v>0.88000000000000012</v>
      </c>
      <c r="G28" s="6">
        <f>'Monthly Data'!AK28</f>
        <v>145.4</v>
      </c>
      <c r="H28" s="6">
        <f>'Monthly Data'!AO28</f>
        <v>27</v>
      </c>
      <c r="I28" s="6">
        <f>'Monthly Data'!AQ28</f>
        <v>0</v>
      </c>
      <c r="J28" s="6">
        <f>'Monthly Data'!AW28</f>
        <v>0</v>
      </c>
      <c r="K28" s="6">
        <f>'Monthly Data'!AX28</f>
        <v>0</v>
      </c>
      <c r="L28" s="6">
        <f>'Monthly Data'!AY28</f>
        <v>0</v>
      </c>
      <c r="M28" s="6">
        <f>'Monthly Data'!AZ28</f>
        <v>0</v>
      </c>
      <c r="O28" s="20">
        <f>'GS &gt; 50 OLS model'!$B$5</f>
        <v>-11694573.8944258</v>
      </c>
      <c r="P28" s="20">
        <f>'GS &gt; 50 OLS model'!$B$6*D28</f>
        <v>11200166.112316348</v>
      </c>
      <c r="Q28" s="20">
        <f ca="1">'GS &gt; 50 OLS model'!$B$7*E28</f>
        <v>1210257.1717080032</v>
      </c>
      <c r="R28" s="20">
        <f ca="1">'GS &gt; 50 OLS model'!$B$8*F28</f>
        <v>13008.351800683537</v>
      </c>
      <c r="S28" s="20">
        <f>'GS &gt; 50 OLS model'!$B$9*G28</f>
        <v>12187284.844061827</v>
      </c>
      <c r="T28" s="20">
        <f>'GS &gt; 50 OLS model'!$B$10*H28</f>
        <v>347233.3159757976</v>
      </c>
      <c r="U28" s="20">
        <f>'GS &gt; 50 OLS model'!$B$11*I28</f>
        <v>0</v>
      </c>
      <c r="V28" s="20">
        <f>'GS &gt; 50 OLS model'!$B$12*J28</f>
        <v>0</v>
      </c>
      <c r="W28" s="20">
        <f>'GS &gt; 50 OLS model'!$B$13*K28</f>
        <v>0</v>
      </c>
      <c r="X28" s="20">
        <f>'GS &gt; 50 OLS model'!$B$14*L28</f>
        <v>0</v>
      </c>
      <c r="Y28" s="20">
        <f>'GS &gt; 50 OLS model'!$B$15*M28</f>
        <v>0</v>
      </c>
      <c r="Z28" s="20">
        <f t="shared" ca="1" si="2"/>
        <v>13263375.90143686</v>
      </c>
    </row>
    <row r="29" spans="1:26" ht="15">
      <c r="A29" s="22">
        <f>'Monthly Data'!A29</f>
        <v>40634</v>
      </c>
      <c r="B29" s="6">
        <f t="shared" si="1"/>
        <v>2011</v>
      </c>
      <c r="C29" s="20">
        <f ca="1">'Monthly Data'!O29</f>
        <v>12372493.118964862</v>
      </c>
      <c r="D29" s="20">
        <f>'Monthly Data'!Q29</f>
        <v>222</v>
      </c>
      <c r="E29" s="6">
        <f t="shared" ca="1" si="3"/>
        <v>259.5499999999999</v>
      </c>
      <c r="F29" s="6">
        <f t="shared" ca="1" si="3"/>
        <v>2.4500000000000002</v>
      </c>
      <c r="G29" s="6">
        <f>'Monthly Data'!AK29</f>
        <v>144</v>
      </c>
      <c r="H29" s="6">
        <f>'Monthly Data'!AO29</f>
        <v>28</v>
      </c>
      <c r="I29" s="6">
        <f>'Monthly Data'!AQ29</f>
        <v>0</v>
      </c>
      <c r="J29" s="6">
        <f>'Monthly Data'!AW29</f>
        <v>0</v>
      </c>
      <c r="K29" s="6">
        <f>'Monthly Data'!AX29</f>
        <v>0</v>
      </c>
      <c r="L29" s="6">
        <f>'Monthly Data'!AY29</f>
        <v>0</v>
      </c>
      <c r="M29" s="6">
        <f>'Monthly Data'!AZ29</f>
        <v>0</v>
      </c>
      <c r="O29" s="20">
        <f>'GS &gt; 50 OLS model'!$B$5</f>
        <v>-11694573.8944258</v>
      </c>
      <c r="P29" s="20">
        <f>'GS &gt; 50 OLS model'!$B$6*D29</f>
        <v>11250845.596987464</v>
      </c>
      <c r="Q29" s="20">
        <f ca="1">'GS &gt; 50 OLS model'!$B$7*E29</f>
        <v>695976.9772606286</v>
      </c>
      <c r="R29" s="20">
        <f ca="1">'GS &gt; 50 OLS model'!$B$8*F29</f>
        <v>36216.433990539394</v>
      </c>
      <c r="S29" s="20">
        <f>'GS &gt; 50 OLS model'!$B$9*G29</f>
        <v>12069938.22245463</v>
      </c>
      <c r="T29" s="20">
        <f>'GS &gt; 50 OLS model'!$B$10*H29</f>
        <v>360093.80916008638</v>
      </c>
      <c r="U29" s="20">
        <f>'GS &gt; 50 OLS model'!$B$11*I29</f>
        <v>0</v>
      </c>
      <c r="V29" s="20">
        <f>'GS &gt; 50 OLS model'!$B$12*J29</f>
        <v>0</v>
      </c>
      <c r="W29" s="20">
        <f>'GS &gt; 50 OLS model'!$B$13*K29</f>
        <v>0</v>
      </c>
      <c r="X29" s="20">
        <f>'GS &gt; 50 OLS model'!$B$14*L29</f>
        <v>0</v>
      </c>
      <c r="Y29" s="20">
        <f>'GS &gt; 50 OLS model'!$B$15*M29</f>
        <v>0</v>
      </c>
      <c r="Z29" s="20">
        <f t="shared" ca="1" si="2"/>
        <v>12718497.145427549</v>
      </c>
    </row>
    <row r="30" spans="1:26" ht="15">
      <c r="A30" s="22">
        <f>'Monthly Data'!A30</f>
        <v>40664</v>
      </c>
      <c r="B30" s="6">
        <f t="shared" si="1"/>
        <v>2011</v>
      </c>
      <c r="C30" s="20">
        <f ca="1">'Monthly Data'!O30</f>
        <v>12952023.395882361</v>
      </c>
      <c r="D30" s="20">
        <f>'Monthly Data'!Q30</f>
        <v>222</v>
      </c>
      <c r="E30" s="6">
        <f t="shared" ca="1" si="3"/>
        <v>88.880000000000024</v>
      </c>
      <c r="F30" s="6">
        <f t="shared" ca="1" si="3"/>
        <v>43.79999999999999</v>
      </c>
      <c r="G30" s="6">
        <f>'Monthly Data'!AK30</f>
        <v>144.6</v>
      </c>
      <c r="H30" s="6">
        <f>'Monthly Data'!AO30</f>
        <v>29</v>
      </c>
      <c r="I30" s="6">
        <f>'Monthly Data'!AQ30</f>
        <v>0</v>
      </c>
      <c r="J30" s="6">
        <f>'Monthly Data'!AW30</f>
        <v>0</v>
      </c>
      <c r="K30" s="6">
        <f>'Monthly Data'!AX30</f>
        <v>0</v>
      </c>
      <c r="L30" s="6">
        <f>'Monthly Data'!AY30</f>
        <v>0</v>
      </c>
      <c r="M30" s="6">
        <f>'Monthly Data'!AZ30</f>
        <v>0</v>
      </c>
      <c r="O30" s="20">
        <f>'GS &gt; 50 OLS model'!$B$5</f>
        <v>-11694573.8944258</v>
      </c>
      <c r="P30" s="20">
        <f>'GS &gt; 50 OLS model'!$B$6*D30</f>
        <v>11250845.596987464</v>
      </c>
      <c r="Q30" s="20">
        <f ca="1">'GS &gt; 50 OLS model'!$B$7*E30</f>
        <v>238329.54628751572</v>
      </c>
      <c r="R30" s="20">
        <f ca="1">'GS &gt; 50 OLS model'!$B$8*F30</f>
        <v>647461.14644311217</v>
      </c>
      <c r="S30" s="20">
        <f>'GS &gt; 50 OLS model'!$B$9*G30</f>
        <v>12120229.631714856</v>
      </c>
      <c r="T30" s="20">
        <f>'GS &gt; 50 OLS model'!$B$10*H30</f>
        <v>372954.30234437517</v>
      </c>
      <c r="U30" s="20">
        <f>'GS &gt; 50 OLS model'!$B$11*I30</f>
        <v>0</v>
      </c>
      <c r="V30" s="20">
        <f>'GS &gt; 50 OLS model'!$B$12*J30</f>
        <v>0</v>
      </c>
      <c r="W30" s="20">
        <f>'GS &gt; 50 OLS model'!$B$13*K30</f>
        <v>0</v>
      </c>
      <c r="X30" s="20">
        <f>'GS &gt; 50 OLS model'!$B$14*L30</f>
        <v>0</v>
      </c>
      <c r="Y30" s="20">
        <f>'GS &gt; 50 OLS model'!$B$15*M30</f>
        <v>0</v>
      </c>
      <c r="Z30" s="20">
        <f t="shared" ca="1" si="2"/>
        <v>12935246.329351522</v>
      </c>
    </row>
    <row r="31" spans="1:26" ht="15">
      <c r="A31" s="22">
        <f>'Monthly Data'!A31</f>
        <v>40695</v>
      </c>
      <c r="B31" s="6">
        <f t="shared" si="1"/>
        <v>2011</v>
      </c>
      <c r="C31" s="20">
        <f ca="1">'Monthly Data'!O31</f>
        <v>13742572.92912866</v>
      </c>
      <c r="D31" s="20">
        <f>'Monthly Data'!Q31</f>
        <v>223</v>
      </c>
      <c r="E31" s="6">
        <f t="shared" ca="1" si="3"/>
        <v>9.77</v>
      </c>
      <c r="F31" s="6">
        <f t="shared" ca="1" si="3"/>
        <v>117.38999999999999</v>
      </c>
      <c r="G31" s="6">
        <f>'Monthly Data'!AK31</f>
        <v>146</v>
      </c>
      <c r="H31" s="6">
        <f>'Monthly Data'!AO31</f>
        <v>30</v>
      </c>
      <c r="I31" s="6">
        <f>'Monthly Data'!AQ31</f>
        <v>0</v>
      </c>
      <c r="J31" s="6">
        <f>'Monthly Data'!AW31</f>
        <v>0</v>
      </c>
      <c r="K31" s="6">
        <f>'Monthly Data'!AX31</f>
        <v>0</v>
      </c>
      <c r="L31" s="6">
        <f>'Monthly Data'!AY31</f>
        <v>0</v>
      </c>
      <c r="M31" s="6">
        <f>'Monthly Data'!AZ31</f>
        <v>0</v>
      </c>
      <c r="O31" s="20">
        <f>'GS &gt; 50 OLS model'!$B$5</f>
        <v>-11694573.8944258</v>
      </c>
      <c r="P31" s="20">
        <f>'GS &gt; 50 OLS model'!$B$6*D31</f>
        <v>11301525.081658578</v>
      </c>
      <c r="Q31" s="20">
        <f ca="1">'GS &gt; 50 OLS model'!$B$7*E31</f>
        <v>26198.016057932356</v>
      </c>
      <c r="R31" s="20">
        <f ca="1">'GS &gt; 50 OLS model'!$B$8*F31</f>
        <v>1735284.5657752729</v>
      </c>
      <c r="S31" s="20">
        <f>'GS &gt; 50 OLS model'!$B$9*G31</f>
        <v>12237576.253322054</v>
      </c>
      <c r="T31" s="20">
        <f>'GS &gt; 50 OLS model'!$B$10*H31</f>
        <v>385814.79552866402</v>
      </c>
      <c r="U31" s="20">
        <f>'GS &gt; 50 OLS model'!$B$11*I31</f>
        <v>0</v>
      </c>
      <c r="V31" s="20">
        <f>'GS &gt; 50 OLS model'!$B$12*J31</f>
        <v>0</v>
      </c>
      <c r="W31" s="20">
        <f>'GS &gt; 50 OLS model'!$B$13*K31</f>
        <v>0</v>
      </c>
      <c r="X31" s="20">
        <f>'GS &gt; 50 OLS model'!$B$14*L31</f>
        <v>0</v>
      </c>
      <c r="Y31" s="20">
        <f>'GS &gt; 50 OLS model'!$B$15*M31</f>
        <v>0</v>
      </c>
      <c r="Z31" s="20">
        <f t="shared" ca="1" si="2"/>
        <v>13991824.817916701</v>
      </c>
    </row>
    <row r="32" spans="1:26" ht="15">
      <c r="A32" s="22">
        <f>'Monthly Data'!A32</f>
        <v>40725</v>
      </c>
      <c r="B32" s="6">
        <f t="shared" si="1"/>
        <v>2011</v>
      </c>
      <c r="C32" s="20">
        <f ca="1">'Monthly Data'!O32</f>
        <v>15283419.080539763</v>
      </c>
      <c r="D32" s="20">
        <f>'Monthly Data'!Q32</f>
        <v>227</v>
      </c>
      <c r="E32" s="6">
        <f t="shared" ca="1" si="3"/>
        <v>0.58000000000000007</v>
      </c>
      <c r="F32" s="6">
        <f t="shared" ca="1" si="3"/>
        <v>179.70999999999998</v>
      </c>
      <c r="G32" s="6">
        <f>'Monthly Data'!AK32</f>
        <v>147.6</v>
      </c>
      <c r="H32" s="6">
        <f>'Monthly Data'!AO32</f>
        <v>31</v>
      </c>
      <c r="I32" s="6">
        <f>'Monthly Data'!AQ32</f>
        <v>0</v>
      </c>
      <c r="J32" s="6">
        <f>'Monthly Data'!AW32</f>
        <v>0</v>
      </c>
      <c r="K32" s="6">
        <f>'Monthly Data'!AX32</f>
        <v>0</v>
      </c>
      <c r="L32" s="6">
        <f>'Monthly Data'!AY32</f>
        <v>0</v>
      </c>
      <c r="M32" s="6">
        <f>'Monthly Data'!AZ32</f>
        <v>0</v>
      </c>
      <c r="O32" s="20">
        <f>'GS &gt; 50 OLS model'!$B$5</f>
        <v>-11694573.8944258</v>
      </c>
      <c r="P32" s="20">
        <f>'GS &gt; 50 OLS model'!$B$6*D32</f>
        <v>11504243.020343035</v>
      </c>
      <c r="Q32" s="20">
        <f ca="1">'GS &gt; 50 OLS model'!$B$7*E32</f>
        <v>1555.2558151075507</v>
      </c>
      <c r="R32" s="20">
        <f ca="1">'GS &gt; 50 OLS model'!$B$8*F32</f>
        <v>2656512.3887509522</v>
      </c>
      <c r="S32" s="20">
        <f>'GS &gt; 50 OLS model'!$B$9*G32</f>
        <v>12371686.678015994</v>
      </c>
      <c r="T32" s="20">
        <f>'GS &gt; 50 OLS model'!$B$10*H32</f>
        <v>398675.28871295281</v>
      </c>
      <c r="U32" s="20">
        <f>'GS &gt; 50 OLS model'!$B$11*I32</f>
        <v>0</v>
      </c>
      <c r="V32" s="20">
        <f>'GS &gt; 50 OLS model'!$B$12*J32</f>
        <v>0</v>
      </c>
      <c r="W32" s="20">
        <f>'GS &gt; 50 OLS model'!$B$13*K32</f>
        <v>0</v>
      </c>
      <c r="X32" s="20">
        <f>'GS &gt; 50 OLS model'!$B$14*L32</f>
        <v>0</v>
      </c>
      <c r="Y32" s="20">
        <f>'GS &gt; 50 OLS model'!$B$15*M32</f>
        <v>0</v>
      </c>
      <c r="Z32" s="20">
        <f t="shared" ca="1" si="2"/>
        <v>15238098.737212241</v>
      </c>
    </row>
    <row r="33" spans="1:26" ht="15">
      <c r="A33" s="22">
        <f>'Monthly Data'!A33</f>
        <v>40756</v>
      </c>
      <c r="B33" s="6">
        <f t="shared" si="1"/>
        <v>2011</v>
      </c>
      <c r="C33" s="20">
        <f ca="1">'Monthly Data'!O33</f>
        <v>16123689.71845906</v>
      </c>
      <c r="D33" s="20">
        <f>'Monthly Data'!Q33</f>
        <v>227</v>
      </c>
      <c r="E33" s="6">
        <f t="shared" ca="1" si="3"/>
        <v>1.7099999999999997</v>
      </c>
      <c r="F33" s="6">
        <f t="shared" ca="1" si="3"/>
        <v>158.1</v>
      </c>
      <c r="G33" s="6">
        <f>'Monthly Data'!AK33</f>
        <v>148.69999999999999</v>
      </c>
      <c r="H33" s="6">
        <f>'Monthly Data'!AO33</f>
        <v>32</v>
      </c>
      <c r="I33" s="6">
        <f>'Monthly Data'!AQ33</f>
        <v>0</v>
      </c>
      <c r="J33" s="6">
        <f>'Monthly Data'!AW33</f>
        <v>1</v>
      </c>
      <c r="K33" s="6">
        <f>'Monthly Data'!AX33</f>
        <v>0</v>
      </c>
      <c r="L33" s="6">
        <f>'Monthly Data'!AY33</f>
        <v>0</v>
      </c>
      <c r="M33" s="6">
        <f>'Monthly Data'!AZ33</f>
        <v>0</v>
      </c>
      <c r="O33" s="20">
        <f>'GS &gt; 50 OLS model'!$B$5</f>
        <v>-11694573.8944258</v>
      </c>
      <c r="P33" s="20">
        <f>'GS &gt; 50 OLS model'!$B$6*D33</f>
        <v>11504243.020343035</v>
      </c>
      <c r="Q33" s="20">
        <f ca="1">'GS &gt; 50 OLS model'!$B$7*E33</f>
        <v>4585.3231790239843</v>
      </c>
      <c r="R33" s="20">
        <f ca="1">'GS &gt; 50 OLS model'!$B$8*F33</f>
        <v>2337068.6587364399</v>
      </c>
      <c r="S33" s="20">
        <f>'GS &gt; 50 OLS model'!$B$9*G33</f>
        <v>12463887.594993077</v>
      </c>
      <c r="T33" s="20">
        <f>'GS &gt; 50 OLS model'!$B$10*H33</f>
        <v>411535.7818972416</v>
      </c>
      <c r="U33" s="20">
        <f>'GS &gt; 50 OLS model'!$B$11*I33</f>
        <v>0</v>
      </c>
      <c r="V33" s="20">
        <f>'GS &gt; 50 OLS model'!$B$12*J33</f>
        <v>1257541.23571065</v>
      </c>
      <c r="W33" s="20">
        <f>'GS &gt; 50 OLS model'!$B$13*K33</f>
        <v>0</v>
      </c>
      <c r="X33" s="20">
        <f>'GS &gt; 50 OLS model'!$B$14*L33</f>
        <v>0</v>
      </c>
      <c r="Y33" s="20">
        <f>'GS &gt; 50 OLS model'!$B$15*M33</f>
        <v>0</v>
      </c>
      <c r="Z33" s="20">
        <f t="shared" ca="1" si="2"/>
        <v>16284287.720433669</v>
      </c>
    </row>
    <row r="34" spans="1:26" ht="15">
      <c r="A34" s="22">
        <f>'Monthly Data'!A34</f>
        <v>40787</v>
      </c>
      <c r="B34" s="6">
        <f t="shared" si="1"/>
        <v>2011</v>
      </c>
      <c r="C34" s="20">
        <f ca="1">'Monthly Data'!O34</f>
        <v>15052993.327057259</v>
      </c>
      <c r="D34" s="20">
        <f>'Monthly Data'!Q34</f>
        <v>226</v>
      </c>
      <c r="E34" s="6">
        <f t="shared" ca="1" si="3"/>
        <v>32.68</v>
      </c>
      <c r="F34" s="6">
        <f t="shared" ca="1" si="3"/>
        <v>67.34</v>
      </c>
      <c r="G34" s="6">
        <f>'Monthly Data'!AK34</f>
        <v>148.1</v>
      </c>
      <c r="H34" s="6">
        <f>'Monthly Data'!AO34</f>
        <v>33</v>
      </c>
      <c r="I34" s="6">
        <f>'Monthly Data'!AQ34</f>
        <v>0</v>
      </c>
      <c r="J34" s="6">
        <f>'Monthly Data'!AW34</f>
        <v>0</v>
      </c>
      <c r="K34" s="6">
        <f>'Monthly Data'!AX34</f>
        <v>1</v>
      </c>
      <c r="L34" s="6">
        <f>'Monthly Data'!AY34</f>
        <v>0</v>
      </c>
      <c r="M34" s="6">
        <f>'Monthly Data'!AZ34</f>
        <v>0</v>
      </c>
      <c r="O34" s="20">
        <f>'GS &gt; 50 OLS model'!$B$5</f>
        <v>-11694573.8944258</v>
      </c>
      <c r="P34" s="20">
        <f>'GS &gt; 50 OLS model'!$B$6*D34</f>
        <v>11453563.535671921</v>
      </c>
      <c r="Q34" s="20">
        <f ca="1">'GS &gt; 50 OLS model'!$B$7*E34</f>
        <v>87630.620754680596</v>
      </c>
      <c r="R34" s="20">
        <f ca="1">'GS &gt; 50 OLS model'!$B$8*F34</f>
        <v>995434.55711139692</v>
      </c>
      <c r="S34" s="20">
        <f>'GS &gt; 50 OLS model'!$B$9*G34</f>
        <v>12413596.185732851</v>
      </c>
      <c r="T34" s="20">
        <f>'GS &gt; 50 OLS model'!$B$10*H34</f>
        <v>424396.27508153039</v>
      </c>
      <c r="U34" s="20">
        <f>'GS &gt; 50 OLS model'!$B$11*I34</f>
        <v>0</v>
      </c>
      <c r="V34" s="20">
        <f>'GS &gt; 50 OLS model'!$B$12*J34</f>
        <v>0</v>
      </c>
      <c r="W34" s="20">
        <f>'GS &gt; 50 OLS model'!$B$13*K34</f>
        <v>1979532.62008895</v>
      </c>
      <c r="X34" s="20">
        <f>'GS &gt; 50 OLS model'!$B$14*L34</f>
        <v>0</v>
      </c>
      <c r="Y34" s="20">
        <f>'GS &gt; 50 OLS model'!$B$15*M34</f>
        <v>0</v>
      </c>
      <c r="Z34" s="20">
        <f t="shared" ca="1" si="2"/>
        <v>15659579.900015529</v>
      </c>
    </row>
    <row r="35" spans="1:26" ht="15">
      <c r="A35" s="22">
        <f>'Monthly Data'!A35</f>
        <v>40817</v>
      </c>
      <c r="B35" s="6">
        <f t="shared" si="1"/>
        <v>2011</v>
      </c>
      <c r="C35" s="20">
        <f ca="1">'Monthly Data'!O35</f>
        <v>14491842.224375563</v>
      </c>
      <c r="D35" s="20">
        <f>'Monthly Data'!Q35</f>
        <v>222</v>
      </c>
      <c r="E35" s="6">
        <f t="shared" ca="1" si="3"/>
        <v>176.42</v>
      </c>
      <c r="F35" s="6">
        <f t="shared" ca="1" si="3"/>
        <v>10.18</v>
      </c>
      <c r="G35" s="6">
        <f>'Monthly Data'!AK35</f>
        <v>149.1</v>
      </c>
      <c r="H35" s="6">
        <f>'Monthly Data'!AO35</f>
        <v>34</v>
      </c>
      <c r="I35" s="6">
        <f>'Monthly Data'!AQ35</f>
        <v>0</v>
      </c>
      <c r="J35" s="6">
        <f>'Monthly Data'!AW35</f>
        <v>0</v>
      </c>
      <c r="K35" s="6">
        <f>'Monthly Data'!AX35</f>
        <v>0</v>
      </c>
      <c r="L35" s="6">
        <f>'Monthly Data'!AY35</f>
        <v>1</v>
      </c>
      <c r="M35" s="6">
        <f>'Monthly Data'!AZ35</f>
        <v>0</v>
      </c>
      <c r="O35" s="20">
        <f>'GS &gt; 50 OLS model'!$B$5</f>
        <v>-11694573.8944258</v>
      </c>
      <c r="P35" s="20">
        <f>'GS &gt; 50 OLS model'!$B$6*D35</f>
        <v>11250845.596987464</v>
      </c>
      <c r="Q35" s="20">
        <f ca="1">'GS &gt; 50 OLS model'!$B$7*E35</f>
        <v>473065.91534702422</v>
      </c>
      <c r="R35" s="20">
        <f ca="1">'GS &gt; 50 OLS model'!$B$8*F35</f>
        <v>150482.97878517999</v>
      </c>
      <c r="S35" s="20">
        <f>'GS &gt; 50 OLS model'!$B$9*G35</f>
        <v>12497415.201166563</v>
      </c>
      <c r="T35" s="20">
        <f>'GS &gt; 50 OLS model'!$B$10*H35</f>
        <v>437256.76826581918</v>
      </c>
      <c r="U35" s="20">
        <f>'GS &gt; 50 OLS model'!$B$11*I35</f>
        <v>0</v>
      </c>
      <c r="V35" s="20">
        <f>'GS &gt; 50 OLS model'!$B$12*J35</f>
        <v>0</v>
      </c>
      <c r="W35" s="20">
        <f>'GS &gt; 50 OLS model'!$B$13*K35</f>
        <v>0</v>
      </c>
      <c r="X35" s="20">
        <f>'GS &gt; 50 OLS model'!$B$14*L35</f>
        <v>1466841.9423256</v>
      </c>
      <c r="Y35" s="20">
        <f>'GS &gt; 50 OLS model'!$B$15*M35</f>
        <v>0</v>
      </c>
      <c r="Z35" s="20">
        <f t="shared" ca="1" si="2"/>
        <v>14581334.508451849</v>
      </c>
    </row>
    <row r="36" spans="1:26" ht="15">
      <c r="A36" s="22">
        <f>'Monthly Data'!A36</f>
        <v>40848</v>
      </c>
      <c r="B36" s="6">
        <f t="shared" si="1"/>
        <v>2011</v>
      </c>
      <c r="C36" s="20">
        <f ca="1">'Monthly Data'!O36</f>
        <v>14078651.005573262</v>
      </c>
      <c r="D36" s="20">
        <f>'Monthly Data'!Q36</f>
        <v>217</v>
      </c>
      <c r="E36" s="6">
        <f t="shared" ca="1" si="3"/>
        <v>364.2299999999999</v>
      </c>
      <c r="F36" s="6">
        <f t="shared" ca="1" si="3"/>
        <v>0.05</v>
      </c>
      <c r="G36" s="6">
        <f>'Monthly Data'!AK36</f>
        <v>150.80000000000001</v>
      </c>
      <c r="H36" s="6">
        <f>'Monthly Data'!AO36</f>
        <v>35</v>
      </c>
      <c r="I36" s="6">
        <f>'Monthly Data'!AQ36</f>
        <v>0</v>
      </c>
      <c r="J36" s="6">
        <f>'Monthly Data'!AW36</f>
        <v>0</v>
      </c>
      <c r="K36" s="6">
        <f>'Monthly Data'!AX36</f>
        <v>0</v>
      </c>
      <c r="L36" s="6">
        <f>'Monthly Data'!AY36</f>
        <v>0</v>
      </c>
      <c r="M36" s="6">
        <f>'Monthly Data'!AZ36</f>
        <v>1</v>
      </c>
      <c r="O36" s="20">
        <f>'GS &gt; 50 OLS model'!$B$5</f>
        <v>-11694573.8944258</v>
      </c>
      <c r="P36" s="20">
        <f>'GS &gt; 50 OLS model'!$B$6*D36</f>
        <v>10997448.17363189</v>
      </c>
      <c r="Q36" s="20">
        <f ca="1">'GS &gt; 50 OLS model'!$B$7*E36</f>
        <v>976673.83713210851</v>
      </c>
      <c r="R36" s="20">
        <f ca="1">'GS &gt; 50 OLS model'!$B$8*F36</f>
        <v>739.11089776611004</v>
      </c>
      <c r="S36" s="20">
        <f>'GS &gt; 50 OLS model'!$B$9*G36</f>
        <v>12639907.527403876</v>
      </c>
      <c r="T36" s="20">
        <f>'GS &gt; 50 OLS model'!$B$10*H36</f>
        <v>450117.26145010802</v>
      </c>
      <c r="U36" s="20">
        <f>'GS &gt; 50 OLS model'!$B$11*I36</f>
        <v>0</v>
      </c>
      <c r="V36" s="20">
        <f>'GS &gt; 50 OLS model'!$B$12*J36</f>
        <v>0</v>
      </c>
      <c r="W36" s="20">
        <f>'GS &gt; 50 OLS model'!$B$13*K36</f>
        <v>0</v>
      </c>
      <c r="X36" s="20">
        <f>'GS &gt; 50 OLS model'!$B$14*L36</f>
        <v>0</v>
      </c>
      <c r="Y36" s="20">
        <f>'GS &gt; 50 OLS model'!$B$15*M36</f>
        <v>671693.73401239095</v>
      </c>
      <c r="Z36" s="20">
        <f t="shared" ca="1" si="2"/>
        <v>14042005.750102339</v>
      </c>
    </row>
    <row r="37" spans="1:26" ht="15">
      <c r="A37" s="22">
        <f>'Monthly Data'!A37</f>
        <v>40878</v>
      </c>
      <c r="B37" s="6">
        <f t="shared" si="1"/>
        <v>2011</v>
      </c>
      <c r="C37" s="20">
        <f ca="1">'Monthly Data'!O37</f>
        <v>12838425.441282462</v>
      </c>
      <c r="D37" s="20">
        <f>'Monthly Data'!Q37</f>
        <v>220</v>
      </c>
      <c r="E37" s="6">
        <f t="shared" ca="1" si="3"/>
        <v>552.31000000000006</v>
      </c>
      <c r="F37" s="6">
        <f t="shared" ca="1" si="3"/>
        <v>0</v>
      </c>
      <c r="G37" s="6">
        <f>'Monthly Data'!AK37</f>
        <v>152.1</v>
      </c>
      <c r="H37" s="6">
        <f>'Monthly Data'!AO37</f>
        <v>36</v>
      </c>
      <c r="I37" s="6">
        <f>'Monthly Data'!AQ37</f>
        <v>0</v>
      </c>
      <c r="J37" s="6">
        <f>'Monthly Data'!AW37</f>
        <v>0</v>
      </c>
      <c r="K37" s="6">
        <f>'Monthly Data'!AX37</f>
        <v>0</v>
      </c>
      <c r="L37" s="6">
        <f>'Monthly Data'!AY37</f>
        <v>0</v>
      </c>
      <c r="M37" s="6">
        <f>'Monthly Data'!AZ37</f>
        <v>0</v>
      </c>
      <c r="O37" s="20">
        <f>'GS &gt; 50 OLS model'!$B$5</f>
        <v>-11694573.8944258</v>
      </c>
      <c r="P37" s="20">
        <f>'GS &gt; 50 OLS model'!$B$6*D37</f>
        <v>11149486.627645234</v>
      </c>
      <c r="Q37" s="20">
        <f ca="1">'GS &gt; 50 OLS model'!$B$7*E37</f>
        <v>1481005.7573138815</v>
      </c>
      <c r="R37" s="20">
        <f ca="1">'GS &gt; 50 OLS model'!$B$8*F37</f>
        <v>0</v>
      </c>
      <c r="S37" s="20">
        <f>'GS &gt; 50 OLS model'!$B$9*G37</f>
        <v>12748872.247467702</v>
      </c>
      <c r="T37" s="20">
        <f>'GS &gt; 50 OLS model'!$B$10*H37</f>
        <v>462977.75463439681</v>
      </c>
      <c r="U37" s="20">
        <f>'GS &gt; 50 OLS model'!$B$11*I37</f>
        <v>0</v>
      </c>
      <c r="V37" s="20">
        <f>'GS &gt; 50 OLS model'!$B$12*J37</f>
        <v>0</v>
      </c>
      <c r="W37" s="20">
        <f>'GS &gt; 50 OLS model'!$B$13*K37</f>
        <v>0</v>
      </c>
      <c r="X37" s="20">
        <f>'GS &gt; 50 OLS model'!$B$14*L37</f>
        <v>0</v>
      </c>
      <c r="Y37" s="20">
        <f>'GS &gt; 50 OLS model'!$B$15*M37</f>
        <v>0</v>
      </c>
      <c r="Z37" s="20">
        <f t="shared" ca="1" si="2"/>
        <v>14147768.492635414</v>
      </c>
    </row>
    <row r="38" spans="1:26" ht="15">
      <c r="A38" s="22">
        <f>'Monthly Data'!A38</f>
        <v>40909</v>
      </c>
      <c r="B38" s="6">
        <f t="shared" si="1"/>
        <v>2012</v>
      </c>
      <c r="C38" s="20">
        <f ca="1">'Monthly Data'!O38</f>
        <v>13787865.393137159</v>
      </c>
      <c r="D38" s="20">
        <f>'Monthly Data'!Q38</f>
        <v>218</v>
      </c>
      <c r="E38" s="6">
        <f t="shared" ca="1" si="3"/>
        <v>661.18999999999994</v>
      </c>
      <c r="F38" s="6">
        <f t="shared" ca="1" si="3"/>
        <v>0</v>
      </c>
      <c r="G38" s="6">
        <f>'Monthly Data'!AK38</f>
        <v>149.5</v>
      </c>
      <c r="H38" s="6">
        <f>'Monthly Data'!AO38</f>
        <v>37</v>
      </c>
      <c r="I38" s="6">
        <f>'Monthly Data'!AQ38</f>
        <v>0</v>
      </c>
      <c r="J38" s="6">
        <f>'Monthly Data'!AW38</f>
        <v>0</v>
      </c>
      <c r="K38" s="6">
        <f>'Monthly Data'!AX38</f>
        <v>0</v>
      </c>
      <c r="L38" s="6">
        <f>'Monthly Data'!AY38</f>
        <v>0</v>
      </c>
      <c r="M38" s="6">
        <f>'Monthly Data'!AZ38</f>
        <v>0</v>
      </c>
      <c r="O38" s="20">
        <f>'GS &gt; 50 OLS model'!$B$5</f>
        <v>-11694573.8944258</v>
      </c>
      <c r="P38" s="20">
        <f>'GS &gt; 50 OLS model'!$B$6*D38</f>
        <v>11048127.658303004</v>
      </c>
      <c r="Q38" s="20">
        <f ca="1">'GS &gt; 50 OLS model'!$B$7*E38</f>
        <v>1772964.8144671745</v>
      </c>
      <c r="R38" s="20">
        <f ca="1">'GS &gt; 50 OLS model'!$B$8*F38</f>
        <v>0</v>
      </c>
      <c r="S38" s="20">
        <f>'GS &gt; 50 OLS model'!$B$9*G38</f>
        <v>12530942.807340048</v>
      </c>
      <c r="T38" s="20">
        <f>'GS &gt; 50 OLS model'!$B$10*H38</f>
        <v>475838.2478186856</v>
      </c>
      <c r="U38" s="20">
        <f>'GS &gt; 50 OLS model'!$B$11*I38</f>
        <v>0</v>
      </c>
      <c r="V38" s="20">
        <f>'GS &gt; 50 OLS model'!$B$12*J38</f>
        <v>0</v>
      </c>
      <c r="W38" s="20">
        <f>'GS &gt; 50 OLS model'!$B$13*K38</f>
        <v>0</v>
      </c>
      <c r="X38" s="20">
        <f>'GS &gt; 50 OLS model'!$B$14*L38</f>
        <v>0</v>
      </c>
      <c r="Y38" s="20">
        <f>'GS &gt; 50 OLS model'!$B$15*M38</f>
        <v>0</v>
      </c>
      <c r="Z38" s="20">
        <f t="shared" ca="1" si="2"/>
        <v>14133299.633503113</v>
      </c>
    </row>
    <row r="39" spans="1:26" ht="15">
      <c r="A39" s="22">
        <f>'Monthly Data'!A39</f>
        <v>40940</v>
      </c>
      <c r="B39" s="6">
        <f t="shared" si="1"/>
        <v>2012</v>
      </c>
      <c r="C39" s="20">
        <f ca="1">'Monthly Data'!O39</f>
        <v>12675359.092876958</v>
      </c>
      <c r="D39" s="20">
        <f>'Monthly Data'!Q39</f>
        <v>219</v>
      </c>
      <c r="E39" s="6">
        <f t="shared" ca="1" si="3"/>
        <v>598.16999999999985</v>
      </c>
      <c r="F39" s="6">
        <f t="shared" ca="1" si="3"/>
        <v>0</v>
      </c>
      <c r="G39" s="6">
        <f>'Monthly Data'!AK39</f>
        <v>148.4</v>
      </c>
      <c r="H39" s="6">
        <f>'Monthly Data'!AO39</f>
        <v>38</v>
      </c>
      <c r="I39" s="6">
        <f>'Monthly Data'!AQ39</f>
        <v>1</v>
      </c>
      <c r="J39" s="6">
        <f>'Monthly Data'!AW39</f>
        <v>0</v>
      </c>
      <c r="K39" s="6">
        <f>'Monthly Data'!AX39</f>
        <v>0</v>
      </c>
      <c r="L39" s="6">
        <f>'Monthly Data'!AY39</f>
        <v>0</v>
      </c>
      <c r="M39" s="6">
        <f>'Monthly Data'!AZ39</f>
        <v>0</v>
      </c>
      <c r="O39" s="20">
        <f>'GS &gt; 50 OLS model'!$B$5</f>
        <v>-11694573.8944258</v>
      </c>
      <c r="P39" s="20">
        <f>'GS &gt; 50 OLS model'!$B$6*D39</f>
        <v>11098807.142974118</v>
      </c>
      <c r="Q39" s="20">
        <f ca="1">'GS &gt; 50 OLS model'!$B$7*E39</f>
        <v>1603978.225729109</v>
      </c>
      <c r="R39" s="20">
        <f ca="1">'GS &gt; 50 OLS model'!$B$8*F39</f>
        <v>0</v>
      </c>
      <c r="S39" s="20">
        <f>'GS &gt; 50 OLS model'!$B$9*G39</f>
        <v>12438741.890362965</v>
      </c>
      <c r="T39" s="20">
        <f>'GS &gt; 50 OLS model'!$B$10*H39</f>
        <v>488698.74100297439</v>
      </c>
      <c r="U39" s="20">
        <f>'GS &gt; 50 OLS model'!$B$11*I39</f>
        <v>-797686.81375559501</v>
      </c>
      <c r="V39" s="20">
        <f>'GS &gt; 50 OLS model'!$B$12*J39</f>
        <v>0</v>
      </c>
      <c r="W39" s="20">
        <f>'GS &gt; 50 OLS model'!$B$13*K39</f>
        <v>0</v>
      </c>
      <c r="X39" s="20">
        <f>'GS &gt; 50 OLS model'!$B$14*L39</f>
        <v>0</v>
      </c>
      <c r="Y39" s="20">
        <f>'GS &gt; 50 OLS model'!$B$15*M39</f>
        <v>0</v>
      </c>
      <c r="Z39" s="20">
        <f t="shared" ca="1" si="2"/>
        <v>13137965.291887773</v>
      </c>
    </row>
    <row r="40" spans="1:26" ht="15">
      <c r="A40" s="22">
        <f>'Monthly Data'!A40</f>
        <v>40969</v>
      </c>
      <c r="B40" s="6">
        <f t="shared" si="1"/>
        <v>2012</v>
      </c>
      <c r="C40" s="20">
        <f ca="1">'Monthly Data'!O40</f>
        <v>12781827.774171758</v>
      </c>
      <c r="D40" s="20">
        <f>'Monthly Data'!Q40</f>
        <v>208</v>
      </c>
      <c r="E40" s="6">
        <f t="shared" ca="1" si="3"/>
        <v>451.34</v>
      </c>
      <c r="F40" s="6">
        <f t="shared" ca="1" si="3"/>
        <v>0.88000000000000012</v>
      </c>
      <c r="G40" s="6">
        <f>'Monthly Data'!AK40</f>
        <v>148.5</v>
      </c>
      <c r="H40" s="6">
        <f>'Monthly Data'!AO40</f>
        <v>39</v>
      </c>
      <c r="I40" s="6">
        <f>'Monthly Data'!AQ40</f>
        <v>0</v>
      </c>
      <c r="J40" s="6">
        <f>'Monthly Data'!AW40</f>
        <v>0</v>
      </c>
      <c r="K40" s="6">
        <f>'Monthly Data'!AX40</f>
        <v>0</v>
      </c>
      <c r="L40" s="6">
        <f>'Monthly Data'!AY40</f>
        <v>0</v>
      </c>
      <c r="M40" s="6">
        <f>'Monthly Data'!AZ40</f>
        <v>0</v>
      </c>
      <c r="O40" s="20">
        <f>'GS &gt; 50 OLS model'!$B$5</f>
        <v>-11694573.8944258</v>
      </c>
      <c r="P40" s="20">
        <f>'GS &gt; 50 OLS model'!$B$6*D40</f>
        <v>10541332.811591856</v>
      </c>
      <c r="Q40" s="20">
        <f ca="1">'GS &gt; 50 OLS model'!$B$7*E40</f>
        <v>1210257.1717080032</v>
      </c>
      <c r="R40" s="20">
        <f ca="1">'GS &gt; 50 OLS model'!$B$8*F40</f>
        <v>13008.351800683537</v>
      </c>
      <c r="S40" s="20">
        <f>'GS &gt; 50 OLS model'!$B$9*G40</f>
        <v>12447123.791906336</v>
      </c>
      <c r="T40" s="20">
        <f>'GS &gt; 50 OLS model'!$B$10*H40</f>
        <v>501559.23418726318</v>
      </c>
      <c r="U40" s="20">
        <f>'GS &gt; 50 OLS model'!$B$11*I40</f>
        <v>0</v>
      </c>
      <c r="V40" s="20">
        <f>'GS &gt; 50 OLS model'!$B$12*J40</f>
        <v>0</v>
      </c>
      <c r="W40" s="20">
        <f>'GS &gt; 50 OLS model'!$B$13*K40</f>
        <v>0</v>
      </c>
      <c r="X40" s="20">
        <f>'GS &gt; 50 OLS model'!$B$14*L40</f>
        <v>0</v>
      </c>
      <c r="Y40" s="20">
        <f>'GS &gt; 50 OLS model'!$B$15*M40</f>
        <v>0</v>
      </c>
      <c r="Z40" s="20">
        <f t="shared" ca="1" si="2"/>
        <v>13018707.466768343</v>
      </c>
    </row>
    <row r="41" spans="1:26" ht="15">
      <c r="A41" s="22">
        <f>'Monthly Data'!A41</f>
        <v>41000</v>
      </c>
      <c r="B41" s="6">
        <f t="shared" si="1"/>
        <v>2012</v>
      </c>
      <c r="C41" s="20">
        <f ca="1">'Monthly Data'!O41</f>
        <v>11400354.174002958</v>
      </c>
      <c r="D41" s="20">
        <f>'Monthly Data'!Q41</f>
        <v>206</v>
      </c>
      <c r="E41" s="6">
        <f t="shared" ca="1" si="3"/>
        <v>259.5499999999999</v>
      </c>
      <c r="F41" s="6">
        <f t="shared" ca="1" si="3"/>
        <v>2.4500000000000002</v>
      </c>
      <c r="G41" s="6">
        <f>'Monthly Data'!AK41</f>
        <v>150.6</v>
      </c>
      <c r="H41" s="6">
        <f>'Monthly Data'!AO41</f>
        <v>40</v>
      </c>
      <c r="I41" s="6">
        <f>'Monthly Data'!AQ41</f>
        <v>0</v>
      </c>
      <c r="J41" s="6">
        <f>'Monthly Data'!AW41</f>
        <v>0</v>
      </c>
      <c r="K41" s="6">
        <f>'Monthly Data'!AX41</f>
        <v>0</v>
      </c>
      <c r="L41" s="6">
        <f>'Monthly Data'!AY41</f>
        <v>0</v>
      </c>
      <c r="M41" s="6">
        <f>'Monthly Data'!AZ41</f>
        <v>0</v>
      </c>
      <c r="O41" s="20">
        <f>'GS &gt; 50 OLS model'!$B$5</f>
        <v>-11694573.8944258</v>
      </c>
      <c r="P41" s="20">
        <f>'GS &gt; 50 OLS model'!$B$6*D41</f>
        <v>10439973.842249628</v>
      </c>
      <c r="Q41" s="20">
        <f ca="1">'GS &gt; 50 OLS model'!$B$7*E41</f>
        <v>695976.9772606286</v>
      </c>
      <c r="R41" s="20">
        <f ca="1">'GS &gt; 50 OLS model'!$B$8*F41</f>
        <v>36216.433990539394</v>
      </c>
      <c r="S41" s="20">
        <f>'GS &gt; 50 OLS model'!$B$9*G41</f>
        <v>12623143.724317133</v>
      </c>
      <c r="T41" s="20">
        <f>'GS &gt; 50 OLS model'!$B$10*H41</f>
        <v>514419.72737155203</v>
      </c>
      <c r="U41" s="20">
        <f>'GS &gt; 50 OLS model'!$B$11*I41</f>
        <v>0</v>
      </c>
      <c r="V41" s="20">
        <f>'GS &gt; 50 OLS model'!$B$12*J41</f>
        <v>0</v>
      </c>
      <c r="W41" s="20">
        <f>'GS &gt; 50 OLS model'!$B$13*K41</f>
        <v>0</v>
      </c>
      <c r="X41" s="20">
        <f>'GS &gt; 50 OLS model'!$B$14*L41</f>
        <v>0</v>
      </c>
      <c r="Y41" s="20">
        <f>'GS &gt; 50 OLS model'!$B$15*M41</f>
        <v>0</v>
      </c>
      <c r="Z41" s="20">
        <f t="shared" ca="1" si="2"/>
        <v>12615156.810763683</v>
      </c>
    </row>
    <row r="42" spans="1:26" ht="15">
      <c r="A42" s="22">
        <f>'Monthly Data'!A42</f>
        <v>41030</v>
      </c>
      <c r="B42" s="6">
        <f t="shared" si="1"/>
        <v>2012</v>
      </c>
      <c r="C42" s="20">
        <f ca="1">'Monthly Data'!O42</f>
        <v>12880130.856031761</v>
      </c>
      <c r="D42" s="20">
        <f>'Monthly Data'!Q42</f>
        <v>208</v>
      </c>
      <c r="E42" s="6">
        <f t="shared" ca="1" si="3"/>
        <v>88.880000000000024</v>
      </c>
      <c r="F42" s="6">
        <f t="shared" ca="1" si="3"/>
        <v>43.79999999999999</v>
      </c>
      <c r="G42" s="6">
        <f>'Monthly Data'!AK42</f>
        <v>151.1</v>
      </c>
      <c r="H42" s="6">
        <f>'Monthly Data'!AO42</f>
        <v>41</v>
      </c>
      <c r="I42" s="6">
        <f>'Monthly Data'!AQ42</f>
        <v>0</v>
      </c>
      <c r="J42" s="6">
        <f>'Monthly Data'!AW42</f>
        <v>0</v>
      </c>
      <c r="K42" s="6">
        <f>'Monthly Data'!AX42</f>
        <v>0</v>
      </c>
      <c r="L42" s="6">
        <f>'Monthly Data'!AY42</f>
        <v>0</v>
      </c>
      <c r="M42" s="6">
        <f>'Monthly Data'!AZ42</f>
        <v>0</v>
      </c>
      <c r="O42" s="20">
        <f>'GS &gt; 50 OLS model'!$B$5</f>
        <v>-11694573.8944258</v>
      </c>
      <c r="P42" s="20">
        <f>'GS &gt; 50 OLS model'!$B$6*D42</f>
        <v>10541332.811591856</v>
      </c>
      <c r="Q42" s="20">
        <f ca="1">'GS &gt; 50 OLS model'!$B$7*E42</f>
        <v>238329.54628751572</v>
      </c>
      <c r="R42" s="20">
        <f ca="1">'GS &gt; 50 OLS model'!$B$8*F42</f>
        <v>647461.14644311217</v>
      </c>
      <c r="S42" s="20">
        <f>'GS &gt; 50 OLS model'!$B$9*G42</f>
        <v>12665053.232033988</v>
      </c>
      <c r="T42" s="20">
        <f>'GS &gt; 50 OLS model'!$B$10*H42</f>
        <v>527280.22055584076</v>
      </c>
      <c r="U42" s="20">
        <f>'GS &gt; 50 OLS model'!$B$11*I42</f>
        <v>0</v>
      </c>
      <c r="V42" s="20">
        <f>'GS &gt; 50 OLS model'!$B$12*J42</f>
        <v>0</v>
      </c>
      <c r="W42" s="20">
        <f>'GS &gt; 50 OLS model'!$B$13*K42</f>
        <v>0</v>
      </c>
      <c r="X42" s="20">
        <f>'GS &gt; 50 OLS model'!$B$14*L42</f>
        <v>0</v>
      </c>
      <c r="Y42" s="20">
        <f>'GS &gt; 50 OLS model'!$B$15*M42</f>
        <v>0</v>
      </c>
      <c r="Z42" s="20">
        <f t="shared" ca="1" si="2"/>
        <v>12924883.062486513</v>
      </c>
    </row>
    <row r="43" spans="1:26" ht="15">
      <c r="A43" s="22">
        <f>'Monthly Data'!A43</f>
        <v>41061</v>
      </c>
      <c r="B43" s="6">
        <f t="shared" si="1"/>
        <v>2012</v>
      </c>
      <c r="C43" s="20">
        <f ca="1">'Monthly Data'!O43</f>
        <v>14743265.379287858</v>
      </c>
      <c r="D43" s="20">
        <f>'Monthly Data'!Q43</f>
        <v>206</v>
      </c>
      <c r="E43" s="6">
        <f t="shared" ca="1" si="3"/>
        <v>9.77</v>
      </c>
      <c r="F43" s="6">
        <f t="shared" ca="1" si="3"/>
        <v>117.38999999999999</v>
      </c>
      <c r="G43" s="6">
        <f>'Monthly Data'!AK43</f>
        <v>152.19999999999999</v>
      </c>
      <c r="H43" s="6">
        <f>'Monthly Data'!AO43</f>
        <v>42</v>
      </c>
      <c r="I43" s="6">
        <f>'Monthly Data'!AQ43</f>
        <v>0</v>
      </c>
      <c r="J43" s="6">
        <f>'Monthly Data'!AW43</f>
        <v>0</v>
      </c>
      <c r="K43" s="6">
        <f>'Monthly Data'!AX43</f>
        <v>0</v>
      </c>
      <c r="L43" s="6">
        <f>'Monthly Data'!AY43</f>
        <v>0</v>
      </c>
      <c r="M43" s="6">
        <f>'Monthly Data'!AZ43</f>
        <v>0</v>
      </c>
      <c r="O43" s="20">
        <f>'GS &gt; 50 OLS model'!$B$5</f>
        <v>-11694573.8944258</v>
      </c>
      <c r="P43" s="20">
        <f>'GS &gt; 50 OLS model'!$B$6*D43</f>
        <v>10439973.842249628</v>
      </c>
      <c r="Q43" s="20">
        <f ca="1">'GS &gt; 50 OLS model'!$B$7*E43</f>
        <v>26198.016057932356</v>
      </c>
      <c r="R43" s="20">
        <f ca="1">'GS &gt; 50 OLS model'!$B$8*F43</f>
        <v>1735284.5657752729</v>
      </c>
      <c r="S43" s="20">
        <f>'GS &gt; 50 OLS model'!$B$9*G43</f>
        <v>12757254.149011072</v>
      </c>
      <c r="T43" s="20">
        <f>'GS &gt; 50 OLS model'!$B$10*H43</f>
        <v>540140.71374012961</v>
      </c>
      <c r="U43" s="20">
        <f>'GS &gt; 50 OLS model'!$B$11*I43</f>
        <v>0</v>
      </c>
      <c r="V43" s="20">
        <f>'GS &gt; 50 OLS model'!$B$12*J43</f>
        <v>0</v>
      </c>
      <c r="W43" s="20">
        <f>'GS &gt; 50 OLS model'!$B$13*K43</f>
        <v>0</v>
      </c>
      <c r="X43" s="20">
        <f>'GS &gt; 50 OLS model'!$B$14*L43</f>
        <v>0</v>
      </c>
      <c r="Y43" s="20">
        <f>'GS &gt; 50 OLS model'!$B$15*M43</f>
        <v>0</v>
      </c>
      <c r="Z43" s="20">
        <f t="shared" ca="1" si="2"/>
        <v>13804277.392408233</v>
      </c>
    </row>
    <row r="44" spans="1:26" ht="15">
      <c r="A44" s="22">
        <f>'Monthly Data'!A44</f>
        <v>41091</v>
      </c>
      <c r="B44" s="6">
        <f t="shared" si="1"/>
        <v>2012</v>
      </c>
      <c r="C44" s="20">
        <f ca="1">'Monthly Data'!O44</f>
        <v>14959296.897546859</v>
      </c>
      <c r="D44" s="20">
        <f>'Monthly Data'!Q44</f>
        <v>208</v>
      </c>
      <c r="E44" s="6">
        <f t="shared" ca="1" si="3"/>
        <v>0.58000000000000007</v>
      </c>
      <c r="F44" s="6">
        <f t="shared" ca="1" si="3"/>
        <v>179.70999999999998</v>
      </c>
      <c r="G44" s="6">
        <f>'Monthly Data'!AK44</f>
        <v>153.4</v>
      </c>
      <c r="H44" s="6">
        <f>'Monthly Data'!AO44</f>
        <v>43</v>
      </c>
      <c r="I44" s="6">
        <f>'Monthly Data'!AQ44</f>
        <v>0</v>
      </c>
      <c r="J44" s="6">
        <f>'Monthly Data'!AW44</f>
        <v>0</v>
      </c>
      <c r="K44" s="6">
        <f>'Monthly Data'!AX44</f>
        <v>0</v>
      </c>
      <c r="L44" s="6">
        <f>'Monthly Data'!AY44</f>
        <v>0</v>
      </c>
      <c r="M44" s="6">
        <f>'Monthly Data'!AZ44</f>
        <v>0</v>
      </c>
      <c r="O44" s="20">
        <f>'GS &gt; 50 OLS model'!$B$5</f>
        <v>-11694573.8944258</v>
      </c>
      <c r="P44" s="20">
        <f>'GS &gt; 50 OLS model'!$B$6*D44</f>
        <v>10541332.811591856</v>
      </c>
      <c r="Q44" s="20">
        <f ca="1">'GS &gt; 50 OLS model'!$B$7*E44</f>
        <v>1555.2558151075507</v>
      </c>
      <c r="R44" s="20">
        <f ca="1">'GS &gt; 50 OLS model'!$B$8*F44</f>
        <v>2656512.3887509522</v>
      </c>
      <c r="S44" s="20">
        <f>'GS &gt; 50 OLS model'!$B$9*G44</f>
        <v>12857836.967531528</v>
      </c>
      <c r="T44" s="20">
        <f>'GS &gt; 50 OLS model'!$B$10*H44</f>
        <v>553001.20692441845</v>
      </c>
      <c r="U44" s="20">
        <f>'GS &gt; 50 OLS model'!$B$11*I44</f>
        <v>0</v>
      </c>
      <c r="V44" s="20">
        <f>'GS &gt; 50 OLS model'!$B$12*J44</f>
        <v>0</v>
      </c>
      <c r="W44" s="20">
        <f>'GS &gt; 50 OLS model'!$B$13*K44</f>
        <v>0</v>
      </c>
      <c r="X44" s="20">
        <f>'GS &gt; 50 OLS model'!$B$14*L44</f>
        <v>0</v>
      </c>
      <c r="Y44" s="20">
        <f>'GS &gt; 50 OLS model'!$B$15*M44</f>
        <v>0</v>
      </c>
      <c r="Z44" s="20">
        <f t="shared" ca="1" si="2"/>
        <v>14915664.736188062</v>
      </c>
    </row>
    <row r="45" spans="1:26" ht="15">
      <c r="A45" s="22">
        <f>'Monthly Data'!A45</f>
        <v>41122</v>
      </c>
      <c r="B45" s="6">
        <f t="shared" si="1"/>
        <v>2012</v>
      </c>
      <c r="C45" s="20">
        <f ca="1">'Monthly Data'!O45</f>
        <v>15427464.10820546</v>
      </c>
      <c r="D45" s="20">
        <f>'Monthly Data'!Q45</f>
        <v>207</v>
      </c>
      <c r="E45" s="6">
        <f t="shared" ca="1" si="3"/>
        <v>1.7099999999999997</v>
      </c>
      <c r="F45" s="6">
        <f t="shared" ca="1" si="3"/>
        <v>158.1</v>
      </c>
      <c r="G45" s="6">
        <f>'Monthly Data'!AK45</f>
        <v>155</v>
      </c>
      <c r="H45" s="6">
        <f>'Monthly Data'!AO45</f>
        <v>44</v>
      </c>
      <c r="I45" s="6">
        <f>'Monthly Data'!AQ45</f>
        <v>0</v>
      </c>
      <c r="J45" s="6">
        <f>'Monthly Data'!AW45</f>
        <v>1</v>
      </c>
      <c r="K45" s="6">
        <f>'Monthly Data'!AX45</f>
        <v>0</v>
      </c>
      <c r="L45" s="6">
        <f>'Monthly Data'!AY45</f>
        <v>0</v>
      </c>
      <c r="M45" s="6">
        <f>'Monthly Data'!AZ45</f>
        <v>0</v>
      </c>
      <c r="O45" s="20">
        <f>'GS &gt; 50 OLS model'!$B$5</f>
        <v>-11694573.8944258</v>
      </c>
      <c r="P45" s="20">
        <f>'GS &gt; 50 OLS model'!$B$6*D45</f>
        <v>10490653.326920742</v>
      </c>
      <c r="Q45" s="20">
        <f ca="1">'GS &gt; 50 OLS model'!$B$7*E45</f>
        <v>4585.3231790239843</v>
      </c>
      <c r="R45" s="20">
        <f ca="1">'GS &gt; 50 OLS model'!$B$8*F45</f>
        <v>2337068.6587364399</v>
      </c>
      <c r="S45" s="20">
        <f>'GS &gt; 50 OLS model'!$B$9*G45</f>
        <v>12991947.392225469</v>
      </c>
      <c r="T45" s="20">
        <f>'GS &gt; 50 OLS model'!$B$10*H45</f>
        <v>565861.70010870718</v>
      </c>
      <c r="U45" s="20">
        <f>'GS &gt; 50 OLS model'!$B$11*I45</f>
        <v>0</v>
      </c>
      <c r="V45" s="20">
        <f>'GS &gt; 50 OLS model'!$B$12*J45</f>
        <v>1257541.23571065</v>
      </c>
      <c r="W45" s="20">
        <f>'GS &gt; 50 OLS model'!$B$13*K45</f>
        <v>0</v>
      </c>
      <c r="X45" s="20">
        <f>'GS &gt; 50 OLS model'!$B$14*L45</f>
        <v>0</v>
      </c>
      <c r="Y45" s="20">
        <f>'GS &gt; 50 OLS model'!$B$15*M45</f>
        <v>0</v>
      </c>
      <c r="Z45" s="20">
        <f t="shared" ca="1" si="2"/>
        <v>15953083.742455233</v>
      </c>
    </row>
    <row r="46" spans="1:26" ht="15">
      <c r="A46" s="22">
        <f>'Monthly Data'!A46</f>
        <v>41153</v>
      </c>
      <c r="B46" s="6">
        <f t="shared" si="1"/>
        <v>2012</v>
      </c>
      <c r="C46" s="20">
        <f ca="1">'Monthly Data'!O46</f>
        <v>13989318.161179857</v>
      </c>
      <c r="D46" s="20">
        <f>'Monthly Data'!Q46</f>
        <v>205</v>
      </c>
      <c r="E46" s="6">
        <f t="shared" ca="1" si="3"/>
        <v>32.68</v>
      </c>
      <c r="F46" s="6">
        <f t="shared" ca="1" si="3"/>
        <v>67.34</v>
      </c>
      <c r="G46" s="6">
        <f>'Monthly Data'!AK46</f>
        <v>156.9</v>
      </c>
      <c r="H46" s="6">
        <f>'Monthly Data'!AO46</f>
        <v>45</v>
      </c>
      <c r="I46" s="6">
        <f>'Monthly Data'!AQ46</f>
        <v>0</v>
      </c>
      <c r="J46" s="6">
        <f>'Monthly Data'!AW46</f>
        <v>0</v>
      </c>
      <c r="K46" s="6">
        <f>'Monthly Data'!AX46</f>
        <v>1</v>
      </c>
      <c r="L46" s="6">
        <f>'Monthly Data'!AY46</f>
        <v>0</v>
      </c>
      <c r="M46" s="6">
        <f>'Monthly Data'!AZ46</f>
        <v>0</v>
      </c>
      <c r="O46" s="20">
        <f>'GS &gt; 50 OLS model'!$B$5</f>
        <v>-11694573.8944258</v>
      </c>
      <c r="P46" s="20">
        <f>'GS &gt; 50 OLS model'!$B$6*D46</f>
        <v>10389294.357578512</v>
      </c>
      <c r="Q46" s="20">
        <f ca="1">'GS &gt; 50 OLS model'!$B$7*E46</f>
        <v>87630.620754680596</v>
      </c>
      <c r="R46" s="20">
        <f ca="1">'GS &gt; 50 OLS model'!$B$8*F46</f>
        <v>995434.55711139692</v>
      </c>
      <c r="S46" s="20">
        <f>'GS &gt; 50 OLS model'!$B$9*G46</f>
        <v>13151203.521549523</v>
      </c>
      <c r="T46" s="20">
        <f>'GS &gt; 50 OLS model'!$B$10*H46</f>
        <v>578722.19329299603</v>
      </c>
      <c r="U46" s="20">
        <f>'GS &gt; 50 OLS model'!$B$11*I46</f>
        <v>0</v>
      </c>
      <c r="V46" s="20">
        <f>'GS &gt; 50 OLS model'!$B$12*J46</f>
        <v>0</v>
      </c>
      <c r="W46" s="20">
        <f>'GS &gt; 50 OLS model'!$B$13*K46</f>
        <v>1979532.62008895</v>
      </c>
      <c r="X46" s="20">
        <f>'GS &gt; 50 OLS model'!$B$14*L46</f>
        <v>0</v>
      </c>
      <c r="Y46" s="20">
        <f>'GS &gt; 50 OLS model'!$B$15*M46</f>
        <v>0</v>
      </c>
      <c r="Z46" s="20">
        <f t="shared" ca="1" si="2"/>
        <v>15487243.975950258</v>
      </c>
    </row>
    <row r="47" spans="1:26" ht="15">
      <c r="A47" s="22">
        <f>'Monthly Data'!A47</f>
        <v>41183</v>
      </c>
      <c r="B47" s="6">
        <f t="shared" si="1"/>
        <v>2012</v>
      </c>
      <c r="C47" s="20">
        <f ca="1">'Monthly Data'!O47</f>
        <v>14174576.273356561</v>
      </c>
      <c r="D47" s="20">
        <f>'Monthly Data'!Q47</f>
        <v>204</v>
      </c>
      <c r="E47" s="6">
        <f t="shared" ca="1" si="3"/>
        <v>176.42</v>
      </c>
      <c r="F47" s="6">
        <f t="shared" ca="1" si="3"/>
        <v>10.18</v>
      </c>
      <c r="G47" s="6">
        <f>'Monthly Data'!AK47</f>
        <v>157.5</v>
      </c>
      <c r="H47" s="6">
        <f>'Monthly Data'!AO47</f>
        <v>46</v>
      </c>
      <c r="I47" s="6">
        <f>'Monthly Data'!AQ47</f>
        <v>0</v>
      </c>
      <c r="J47" s="6">
        <f>'Monthly Data'!AW47</f>
        <v>0</v>
      </c>
      <c r="K47" s="6">
        <f>'Monthly Data'!AX47</f>
        <v>0</v>
      </c>
      <c r="L47" s="6">
        <f>'Monthly Data'!AY47</f>
        <v>1</v>
      </c>
      <c r="M47" s="6">
        <f>'Monthly Data'!AZ47</f>
        <v>0</v>
      </c>
      <c r="O47" s="20">
        <f>'GS &gt; 50 OLS model'!$B$5</f>
        <v>-11694573.8944258</v>
      </c>
      <c r="P47" s="20">
        <f>'GS &gt; 50 OLS model'!$B$6*D47</f>
        <v>10338614.872907398</v>
      </c>
      <c r="Q47" s="20">
        <f ca="1">'GS &gt; 50 OLS model'!$B$7*E47</f>
        <v>473065.91534702422</v>
      </c>
      <c r="R47" s="20">
        <f ca="1">'GS &gt; 50 OLS model'!$B$8*F47</f>
        <v>150482.97878517999</v>
      </c>
      <c r="S47" s="20">
        <f>'GS &gt; 50 OLS model'!$B$9*G47</f>
        <v>13201494.930809751</v>
      </c>
      <c r="T47" s="20">
        <f>'GS &gt; 50 OLS model'!$B$10*H47</f>
        <v>591582.68647728476</v>
      </c>
      <c r="U47" s="20">
        <f>'GS &gt; 50 OLS model'!$B$11*I47</f>
        <v>0</v>
      </c>
      <c r="V47" s="20">
        <f>'GS &gt; 50 OLS model'!$B$12*J47</f>
        <v>0</v>
      </c>
      <c r="W47" s="20">
        <f>'GS &gt; 50 OLS model'!$B$13*K47</f>
        <v>0</v>
      </c>
      <c r="X47" s="20">
        <f>'GS &gt; 50 OLS model'!$B$14*L47</f>
        <v>1466841.9423256</v>
      </c>
      <c r="Y47" s="20">
        <f>'GS &gt; 50 OLS model'!$B$15*M47</f>
        <v>0</v>
      </c>
      <c r="Z47" s="20">
        <f t="shared" ca="1" si="2"/>
        <v>14527509.432226438</v>
      </c>
    </row>
    <row r="48" spans="1:26" ht="15">
      <c r="A48" s="22">
        <f>'Monthly Data'!A48</f>
        <v>41214</v>
      </c>
      <c r="B48" s="6">
        <f t="shared" si="1"/>
        <v>2012</v>
      </c>
      <c r="C48" s="20">
        <f ca="1">'Monthly Data'!O48</f>
        <v>14174334.11660606</v>
      </c>
      <c r="D48" s="20">
        <f>'Monthly Data'!Q48</f>
        <v>206</v>
      </c>
      <c r="E48" s="6">
        <f t="shared" ca="1" si="3"/>
        <v>364.2299999999999</v>
      </c>
      <c r="F48" s="6">
        <f t="shared" ca="1" si="3"/>
        <v>0.05</v>
      </c>
      <c r="G48" s="6">
        <f>'Monthly Data'!AK48</f>
        <v>157.6</v>
      </c>
      <c r="H48" s="6">
        <f>'Monthly Data'!AO48</f>
        <v>47</v>
      </c>
      <c r="I48" s="6">
        <f>'Monthly Data'!AQ48</f>
        <v>0</v>
      </c>
      <c r="J48" s="6">
        <f>'Monthly Data'!AW48</f>
        <v>0</v>
      </c>
      <c r="K48" s="6">
        <f>'Monthly Data'!AX48</f>
        <v>0</v>
      </c>
      <c r="L48" s="6">
        <f>'Monthly Data'!AY48</f>
        <v>0</v>
      </c>
      <c r="M48" s="6">
        <f>'Monthly Data'!AZ48</f>
        <v>1</v>
      </c>
      <c r="O48" s="20">
        <f>'GS &gt; 50 OLS model'!$B$5</f>
        <v>-11694573.8944258</v>
      </c>
      <c r="P48" s="20">
        <f>'GS &gt; 50 OLS model'!$B$6*D48</f>
        <v>10439973.842249628</v>
      </c>
      <c r="Q48" s="20">
        <f ca="1">'GS &gt; 50 OLS model'!$B$7*E48</f>
        <v>976673.83713210851</v>
      </c>
      <c r="R48" s="20">
        <f ca="1">'GS &gt; 50 OLS model'!$B$8*F48</f>
        <v>739.11089776611004</v>
      </c>
      <c r="S48" s="20">
        <f>'GS &gt; 50 OLS model'!$B$9*G48</f>
        <v>13209876.832353121</v>
      </c>
      <c r="T48" s="20">
        <f>'GS &gt; 50 OLS model'!$B$10*H48</f>
        <v>604443.17966157361</v>
      </c>
      <c r="U48" s="20">
        <f>'GS &gt; 50 OLS model'!$B$11*I48</f>
        <v>0</v>
      </c>
      <c r="V48" s="20">
        <f>'GS &gt; 50 OLS model'!$B$12*J48</f>
        <v>0</v>
      </c>
      <c r="W48" s="20">
        <f>'GS &gt; 50 OLS model'!$B$13*K48</f>
        <v>0</v>
      </c>
      <c r="X48" s="20">
        <f>'GS &gt; 50 OLS model'!$B$14*L48</f>
        <v>0</v>
      </c>
      <c r="Y48" s="20">
        <f>'GS &gt; 50 OLS model'!$B$15*M48</f>
        <v>671693.73401239095</v>
      </c>
      <c r="Z48" s="20">
        <f t="shared" ca="1" si="2"/>
        <v>14208826.641880788</v>
      </c>
    </row>
    <row r="49" spans="1:26" ht="15">
      <c r="A49" s="22">
        <f>'Monthly Data'!A49</f>
        <v>41244</v>
      </c>
      <c r="B49" s="6">
        <f t="shared" si="1"/>
        <v>2012</v>
      </c>
      <c r="C49" s="20">
        <f ca="1">'Monthly Data'!O49</f>
        <v>12910330.309349159</v>
      </c>
      <c r="D49" s="20">
        <f>'Monthly Data'!Q49</f>
        <v>204</v>
      </c>
      <c r="E49" s="6">
        <f t="shared" ca="1" si="3"/>
        <v>552.31000000000006</v>
      </c>
      <c r="F49" s="6">
        <f t="shared" ca="1" si="3"/>
        <v>0</v>
      </c>
      <c r="G49" s="6">
        <f>'Monthly Data'!AK49</f>
        <v>155.5</v>
      </c>
      <c r="H49" s="6">
        <f>'Monthly Data'!AO49</f>
        <v>48</v>
      </c>
      <c r="I49" s="6">
        <f>'Monthly Data'!AQ49</f>
        <v>0</v>
      </c>
      <c r="J49" s="6">
        <f>'Monthly Data'!AW49</f>
        <v>0</v>
      </c>
      <c r="K49" s="6">
        <f>'Monthly Data'!AX49</f>
        <v>0</v>
      </c>
      <c r="L49" s="6">
        <f>'Monthly Data'!AY49</f>
        <v>0</v>
      </c>
      <c r="M49" s="6">
        <f>'Monthly Data'!AZ49</f>
        <v>0</v>
      </c>
      <c r="O49" s="20">
        <f>'GS &gt; 50 OLS model'!$B$5</f>
        <v>-11694573.8944258</v>
      </c>
      <c r="P49" s="20">
        <f>'GS &gt; 50 OLS model'!$B$6*D49</f>
        <v>10338614.872907398</v>
      </c>
      <c r="Q49" s="20">
        <f ca="1">'GS &gt; 50 OLS model'!$B$7*E49</f>
        <v>1481005.7573138815</v>
      </c>
      <c r="R49" s="20">
        <f ca="1">'GS &gt; 50 OLS model'!$B$8*F49</f>
        <v>0</v>
      </c>
      <c r="S49" s="20">
        <f>'GS &gt; 50 OLS model'!$B$9*G49</f>
        <v>13033856.899942325</v>
      </c>
      <c r="T49" s="20">
        <f>'GS &gt; 50 OLS model'!$B$10*H49</f>
        <v>617303.67284586234</v>
      </c>
      <c r="U49" s="20">
        <f>'GS &gt; 50 OLS model'!$B$11*I49</f>
        <v>0</v>
      </c>
      <c r="V49" s="20">
        <f>'GS &gt; 50 OLS model'!$B$12*J49</f>
        <v>0</v>
      </c>
      <c r="W49" s="20">
        <f>'GS &gt; 50 OLS model'!$B$13*K49</f>
        <v>0</v>
      </c>
      <c r="X49" s="20">
        <f>'GS &gt; 50 OLS model'!$B$14*L49</f>
        <v>0</v>
      </c>
      <c r="Y49" s="20">
        <f>'GS &gt; 50 OLS model'!$B$15*M49</f>
        <v>0</v>
      </c>
      <c r="Z49" s="20">
        <f t="shared" ca="1" si="2"/>
        <v>13776207.308583668</v>
      </c>
    </row>
    <row r="50" spans="1:26" ht="15">
      <c r="A50" s="22">
        <f>'Monthly Data'!A50</f>
        <v>41275</v>
      </c>
      <c r="B50" s="6">
        <f t="shared" si="1"/>
        <v>2013</v>
      </c>
      <c r="C50" s="20">
        <f ca="1">'Monthly Data'!O50</f>
        <v>13849091.99800721</v>
      </c>
      <c r="D50" s="20">
        <f>'Monthly Data'!Q50</f>
        <v>203</v>
      </c>
      <c r="E50" s="6">
        <f t="shared" ca="1" si="3"/>
        <v>661.18999999999994</v>
      </c>
      <c r="F50" s="6">
        <f t="shared" ca="1" si="3"/>
        <v>0</v>
      </c>
      <c r="G50" s="6">
        <f>'Monthly Data'!AK50</f>
        <v>151.1</v>
      </c>
      <c r="H50" s="6">
        <f>'Monthly Data'!AO50</f>
        <v>49</v>
      </c>
      <c r="I50" s="6">
        <f>'Monthly Data'!AQ50</f>
        <v>0</v>
      </c>
      <c r="J50" s="6">
        <f>'Monthly Data'!AW50</f>
        <v>0</v>
      </c>
      <c r="K50" s="6">
        <f>'Monthly Data'!AX50</f>
        <v>0</v>
      </c>
      <c r="L50" s="6">
        <f>'Monthly Data'!AY50</f>
        <v>0</v>
      </c>
      <c r="M50" s="6">
        <f>'Monthly Data'!AZ50</f>
        <v>0</v>
      </c>
      <c r="O50" s="20">
        <f>'GS &gt; 50 OLS model'!$B$5</f>
        <v>-11694573.8944258</v>
      </c>
      <c r="P50" s="20">
        <f>'GS &gt; 50 OLS model'!$B$6*D50</f>
        <v>10287935.388236284</v>
      </c>
      <c r="Q50" s="20">
        <f ca="1">'GS &gt; 50 OLS model'!$B$7*E50</f>
        <v>1772964.8144671745</v>
      </c>
      <c r="R50" s="20">
        <f ca="1">'GS &gt; 50 OLS model'!$B$8*F50</f>
        <v>0</v>
      </c>
      <c r="S50" s="20">
        <f>'GS &gt; 50 OLS model'!$B$9*G50</f>
        <v>12665053.232033988</v>
      </c>
      <c r="T50" s="20">
        <f>'GS &gt; 50 OLS model'!$B$10*H50</f>
        <v>630164.16603015119</v>
      </c>
      <c r="U50" s="20">
        <f>'GS &gt; 50 OLS model'!$B$11*I50</f>
        <v>0</v>
      </c>
      <c r="V50" s="20">
        <f>'GS &gt; 50 OLS model'!$B$12*J50</f>
        <v>0</v>
      </c>
      <c r="W50" s="20">
        <f>'GS &gt; 50 OLS model'!$B$13*K50</f>
        <v>0</v>
      </c>
      <c r="X50" s="20">
        <f>'GS &gt; 50 OLS model'!$B$14*L50</f>
        <v>0</v>
      </c>
      <c r="Y50" s="20">
        <f>'GS &gt; 50 OLS model'!$B$15*M50</f>
        <v>0</v>
      </c>
      <c r="Z50" s="20">
        <f t="shared" ca="1" si="2"/>
        <v>13661543.706341799</v>
      </c>
    </row>
    <row r="51" spans="1:26" ht="15">
      <c r="A51" s="22">
        <f>'Monthly Data'!A51</f>
        <v>41306</v>
      </c>
      <c r="B51" s="6">
        <f t="shared" si="1"/>
        <v>2013</v>
      </c>
      <c r="C51" s="20">
        <f ca="1">'Monthly Data'!O51</f>
        <v>12913536.665801208</v>
      </c>
      <c r="D51" s="20">
        <f>'Monthly Data'!Q51</f>
        <v>204</v>
      </c>
      <c r="E51" s="6">
        <f t="shared" ca="1" si="3"/>
        <v>598.16999999999985</v>
      </c>
      <c r="F51" s="6">
        <f t="shared" ca="1" si="3"/>
        <v>0</v>
      </c>
      <c r="G51" s="6">
        <f>'Monthly Data'!AK51</f>
        <v>150.19999999999999</v>
      </c>
      <c r="H51" s="6">
        <f>'Monthly Data'!AO51</f>
        <v>50</v>
      </c>
      <c r="I51" s="6">
        <f>'Monthly Data'!AQ51</f>
        <v>1</v>
      </c>
      <c r="J51" s="6">
        <f>'Monthly Data'!AW51</f>
        <v>0</v>
      </c>
      <c r="K51" s="6">
        <f>'Monthly Data'!AX51</f>
        <v>0</v>
      </c>
      <c r="L51" s="6">
        <f>'Monthly Data'!AY51</f>
        <v>0</v>
      </c>
      <c r="M51" s="6">
        <f>'Monthly Data'!AZ51</f>
        <v>0</v>
      </c>
      <c r="O51" s="20">
        <f>'GS &gt; 50 OLS model'!$B$5</f>
        <v>-11694573.8944258</v>
      </c>
      <c r="P51" s="20">
        <f>'GS &gt; 50 OLS model'!$B$6*D51</f>
        <v>10338614.872907398</v>
      </c>
      <c r="Q51" s="20">
        <f ca="1">'GS &gt; 50 OLS model'!$B$7*E51</f>
        <v>1603978.225729109</v>
      </c>
      <c r="R51" s="20">
        <f ca="1">'GS &gt; 50 OLS model'!$B$8*F51</f>
        <v>0</v>
      </c>
      <c r="S51" s="20">
        <f>'GS &gt; 50 OLS model'!$B$9*G51</f>
        <v>12589616.118143646</v>
      </c>
      <c r="T51" s="20">
        <f>'GS &gt; 50 OLS model'!$B$10*H51</f>
        <v>643024.65921444003</v>
      </c>
      <c r="U51" s="20">
        <f>'GS &gt; 50 OLS model'!$B$11*I51</f>
        <v>-797686.81375559501</v>
      </c>
      <c r="V51" s="20">
        <f>'GS &gt; 50 OLS model'!$B$12*J51</f>
        <v>0</v>
      </c>
      <c r="W51" s="20">
        <f>'GS &gt; 50 OLS model'!$B$13*K51</f>
        <v>0</v>
      </c>
      <c r="X51" s="20">
        <f>'GS &gt; 50 OLS model'!$B$14*L51</f>
        <v>0</v>
      </c>
      <c r="Y51" s="20">
        <f>'GS &gt; 50 OLS model'!$B$15*M51</f>
        <v>0</v>
      </c>
      <c r="Z51" s="20">
        <f t="shared" ca="1" si="2"/>
        <v>12682973.167813201</v>
      </c>
    </row>
    <row r="52" spans="1:26" ht="15">
      <c r="A52" s="22">
        <f>'Monthly Data'!A52</f>
        <v>41334</v>
      </c>
      <c r="B52" s="6">
        <f t="shared" si="1"/>
        <v>2013</v>
      </c>
      <c r="C52" s="20">
        <f ca="1">'Monthly Data'!O52</f>
        <v>13644930.137241308</v>
      </c>
      <c r="D52" s="20">
        <f>'Monthly Data'!Q52</f>
        <v>205</v>
      </c>
      <c r="E52" s="6">
        <f t="shared" ca="1" si="3"/>
        <v>451.34</v>
      </c>
      <c r="F52" s="6">
        <f t="shared" ca="1" si="3"/>
        <v>0.88000000000000012</v>
      </c>
      <c r="G52" s="6">
        <f>'Monthly Data'!AK52</f>
        <v>149.4</v>
      </c>
      <c r="H52" s="6">
        <f>'Monthly Data'!AO52</f>
        <v>51</v>
      </c>
      <c r="I52" s="6">
        <f>'Monthly Data'!AQ52</f>
        <v>0</v>
      </c>
      <c r="J52" s="6">
        <f>'Monthly Data'!AW52</f>
        <v>0</v>
      </c>
      <c r="K52" s="6">
        <f>'Monthly Data'!AX52</f>
        <v>0</v>
      </c>
      <c r="L52" s="6">
        <f>'Monthly Data'!AY52</f>
        <v>0</v>
      </c>
      <c r="M52" s="6">
        <f>'Monthly Data'!AZ52</f>
        <v>0</v>
      </c>
      <c r="O52" s="20">
        <f>'GS &gt; 50 OLS model'!$B$5</f>
        <v>-11694573.8944258</v>
      </c>
      <c r="P52" s="20">
        <f>'GS &gt; 50 OLS model'!$B$6*D52</f>
        <v>10389294.357578512</v>
      </c>
      <c r="Q52" s="20">
        <f ca="1">'GS &gt; 50 OLS model'!$B$7*E52</f>
        <v>1210257.1717080032</v>
      </c>
      <c r="R52" s="20">
        <f ca="1">'GS &gt; 50 OLS model'!$B$8*F52</f>
        <v>13008.351800683537</v>
      </c>
      <c r="S52" s="20">
        <f>'GS &gt; 50 OLS model'!$B$9*G52</f>
        <v>12522560.905796679</v>
      </c>
      <c r="T52" s="20">
        <f>'GS &gt; 50 OLS model'!$B$10*H52</f>
        <v>655885.15239872877</v>
      </c>
      <c r="U52" s="20">
        <f>'GS &gt; 50 OLS model'!$B$11*I52</f>
        <v>0</v>
      </c>
      <c r="V52" s="20">
        <f>'GS &gt; 50 OLS model'!$B$12*J52</f>
        <v>0</v>
      </c>
      <c r="W52" s="20">
        <f>'GS &gt; 50 OLS model'!$B$13*K52</f>
        <v>0</v>
      </c>
      <c r="X52" s="20">
        <f>'GS &gt; 50 OLS model'!$B$14*L52</f>
        <v>0</v>
      </c>
      <c r="Y52" s="20">
        <f>'GS &gt; 50 OLS model'!$B$15*M52</f>
        <v>0</v>
      </c>
      <c r="Z52" s="20">
        <f t="shared" ca="1" si="2"/>
        <v>13096432.044856805</v>
      </c>
    </row>
    <row r="53" spans="1:26" ht="15">
      <c r="A53" s="22">
        <f>'Monthly Data'!A53</f>
        <v>41365</v>
      </c>
      <c r="B53" s="6">
        <f t="shared" si="1"/>
        <v>2013</v>
      </c>
      <c r="C53" s="20">
        <f ca="1">'Monthly Data'!O53</f>
        <v>12517016.774652008</v>
      </c>
      <c r="D53" s="20">
        <f>'Monthly Data'!Q53</f>
        <v>209</v>
      </c>
      <c r="E53" s="6">
        <f t="shared" ca="1" si="3"/>
        <v>259.5499999999999</v>
      </c>
      <c r="F53" s="6">
        <f t="shared" ca="1" si="3"/>
        <v>2.4500000000000002</v>
      </c>
      <c r="G53" s="6">
        <f>'Monthly Data'!AK53</f>
        <v>152.6</v>
      </c>
      <c r="H53" s="6">
        <f>'Monthly Data'!AO53</f>
        <v>52</v>
      </c>
      <c r="I53" s="6">
        <f>'Monthly Data'!AQ53</f>
        <v>0</v>
      </c>
      <c r="J53" s="6">
        <f>'Monthly Data'!AW53</f>
        <v>0</v>
      </c>
      <c r="K53" s="6">
        <f>'Monthly Data'!AX53</f>
        <v>0</v>
      </c>
      <c r="L53" s="6">
        <f>'Monthly Data'!AY53</f>
        <v>0</v>
      </c>
      <c r="M53" s="6">
        <f>'Monthly Data'!AZ53</f>
        <v>0</v>
      </c>
      <c r="O53" s="20">
        <f>'GS &gt; 50 OLS model'!$B$5</f>
        <v>-11694573.8944258</v>
      </c>
      <c r="P53" s="20">
        <f>'GS &gt; 50 OLS model'!$B$6*D53</f>
        <v>10592012.296262972</v>
      </c>
      <c r="Q53" s="20">
        <f ca="1">'GS &gt; 50 OLS model'!$B$7*E53</f>
        <v>695976.9772606286</v>
      </c>
      <c r="R53" s="20">
        <f ca="1">'GS &gt; 50 OLS model'!$B$8*F53</f>
        <v>36216.433990539394</v>
      </c>
      <c r="S53" s="20">
        <f>'GS &gt; 50 OLS model'!$B$9*G53</f>
        <v>12790781.755184557</v>
      </c>
      <c r="T53" s="20">
        <f>'GS &gt; 50 OLS model'!$B$10*H53</f>
        <v>668745.64558301761</v>
      </c>
      <c r="U53" s="20">
        <f>'GS &gt; 50 OLS model'!$B$11*I53</f>
        <v>0</v>
      </c>
      <c r="V53" s="20">
        <f>'GS &gt; 50 OLS model'!$B$12*J53</f>
        <v>0</v>
      </c>
      <c r="W53" s="20">
        <f>'GS &gt; 50 OLS model'!$B$13*K53</f>
        <v>0</v>
      </c>
      <c r="X53" s="20">
        <f>'GS &gt; 50 OLS model'!$B$14*L53</f>
        <v>0</v>
      </c>
      <c r="Y53" s="20">
        <f>'GS &gt; 50 OLS model'!$B$15*M53</f>
        <v>0</v>
      </c>
      <c r="Z53" s="20">
        <f t="shared" ca="1" si="2"/>
        <v>13089159.213855915</v>
      </c>
    </row>
    <row r="54" spans="1:26" ht="15">
      <c r="A54" s="22">
        <f>'Monthly Data'!A54</f>
        <v>41395</v>
      </c>
      <c r="B54" s="6">
        <f t="shared" si="1"/>
        <v>2013</v>
      </c>
      <c r="C54" s="20">
        <f ca="1">'Monthly Data'!O54</f>
        <v>13122967.337625708</v>
      </c>
      <c r="D54" s="20">
        <f>'Monthly Data'!Q54</f>
        <v>205</v>
      </c>
      <c r="E54" s="6">
        <f t="shared" ca="1" si="3"/>
        <v>88.880000000000024</v>
      </c>
      <c r="F54" s="6">
        <f t="shared" ca="1" si="3"/>
        <v>43.79999999999999</v>
      </c>
      <c r="G54" s="6">
        <f>'Monthly Data'!AK54</f>
        <v>154</v>
      </c>
      <c r="H54" s="6">
        <f>'Monthly Data'!AO54</f>
        <v>53</v>
      </c>
      <c r="I54" s="6">
        <f>'Monthly Data'!AQ54</f>
        <v>0</v>
      </c>
      <c r="J54" s="6">
        <f>'Monthly Data'!AW54</f>
        <v>0</v>
      </c>
      <c r="K54" s="6">
        <f>'Monthly Data'!AX54</f>
        <v>0</v>
      </c>
      <c r="L54" s="6">
        <f>'Monthly Data'!AY54</f>
        <v>0</v>
      </c>
      <c r="M54" s="6">
        <f>'Monthly Data'!AZ54</f>
        <v>0</v>
      </c>
      <c r="O54" s="20">
        <f>'GS &gt; 50 OLS model'!$B$5</f>
        <v>-11694573.8944258</v>
      </c>
      <c r="P54" s="20">
        <f>'GS &gt; 50 OLS model'!$B$6*D54</f>
        <v>10389294.357578512</v>
      </c>
      <c r="Q54" s="20">
        <f ca="1">'GS &gt; 50 OLS model'!$B$7*E54</f>
        <v>238329.54628751572</v>
      </c>
      <c r="R54" s="20">
        <f ca="1">'GS &gt; 50 OLS model'!$B$8*F54</f>
        <v>647461.14644311217</v>
      </c>
      <c r="S54" s="20">
        <f>'GS &gt; 50 OLS model'!$B$9*G54</f>
        <v>12908128.376791757</v>
      </c>
      <c r="T54" s="20">
        <f>'GS &gt; 50 OLS model'!$B$10*H54</f>
        <v>681606.13876730634</v>
      </c>
      <c r="U54" s="20">
        <f>'GS &gt; 50 OLS model'!$B$11*I54</f>
        <v>0</v>
      </c>
      <c r="V54" s="20">
        <f>'GS &gt; 50 OLS model'!$B$12*J54</f>
        <v>0</v>
      </c>
      <c r="W54" s="20">
        <f>'GS &gt; 50 OLS model'!$B$13*K54</f>
        <v>0</v>
      </c>
      <c r="X54" s="20">
        <f>'GS &gt; 50 OLS model'!$B$14*L54</f>
        <v>0</v>
      </c>
      <c r="Y54" s="20">
        <f>'GS &gt; 50 OLS model'!$B$15*M54</f>
        <v>0</v>
      </c>
      <c r="Z54" s="20">
        <f t="shared" ca="1" si="2"/>
        <v>13170245.671442403</v>
      </c>
    </row>
    <row r="55" spans="1:26" ht="15">
      <c r="A55" s="22">
        <f>'Monthly Data'!A55</f>
        <v>41426</v>
      </c>
      <c r="B55" s="6">
        <f t="shared" si="1"/>
        <v>2013</v>
      </c>
      <c r="C55" s="20">
        <f ca="1">'Monthly Data'!O55</f>
        <v>13706309.307653708</v>
      </c>
      <c r="D55" s="20">
        <f>'Monthly Data'!Q55</f>
        <v>208</v>
      </c>
      <c r="E55" s="6">
        <f t="shared" ca="1" si="3"/>
        <v>9.77</v>
      </c>
      <c r="F55" s="6">
        <f t="shared" ca="1" si="3"/>
        <v>117.38999999999999</v>
      </c>
      <c r="G55" s="6">
        <f>'Monthly Data'!AK55</f>
        <v>155.9</v>
      </c>
      <c r="H55" s="6">
        <f>'Monthly Data'!AO55</f>
        <v>54</v>
      </c>
      <c r="I55" s="6">
        <f>'Monthly Data'!AQ55</f>
        <v>0</v>
      </c>
      <c r="J55" s="6">
        <f>'Monthly Data'!AW55</f>
        <v>0</v>
      </c>
      <c r="K55" s="6">
        <f>'Monthly Data'!AX55</f>
        <v>0</v>
      </c>
      <c r="L55" s="6">
        <f>'Monthly Data'!AY55</f>
        <v>0</v>
      </c>
      <c r="M55" s="6">
        <f>'Monthly Data'!AZ55</f>
        <v>0</v>
      </c>
      <c r="O55" s="20">
        <f>'GS &gt; 50 OLS model'!$B$5</f>
        <v>-11694573.8944258</v>
      </c>
      <c r="P55" s="20">
        <f>'GS &gt; 50 OLS model'!$B$6*D55</f>
        <v>10541332.811591856</v>
      </c>
      <c r="Q55" s="20">
        <f ca="1">'GS &gt; 50 OLS model'!$B$7*E55</f>
        <v>26198.016057932356</v>
      </c>
      <c r="R55" s="20">
        <f ca="1">'GS &gt; 50 OLS model'!$B$8*F55</f>
        <v>1735284.5657752729</v>
      </c>
      <c r="S55" s="20">
        <f>'GS &gt; 50 OLS model'!$B$9*G55</f>
        <v>13067384.506115811</v>
      </c>
      <c r="T55" s="20">
        <f>'GS &gt; 50 OLS model'!$B$10*H55</f>
        <v>694466.63195159519</v>
      </c>
      <c r="U55" s="20">
        <f>'GS &gt; 50 OLS model'!$B$11*I55</f>
        <v>0</v>
      </c>
      <c r="V55" s="20">
        <f>'GS &gt; 50 OLS model'!$B$12*J55</f>
        <v>0</v>
      </c>
      <c r="W55" s="20">
        <f>'GS &gt; 50 OLS model'!$B$13*K55</f>
        <v>0</v>
      </c>
      <c r="X55" s="20">
        <f>'GS &gt; 50 OLS model'!$B$14*L55</f>
        <v>0</v>
      </c>
      <c r="Y55" s="20">
        <f>'GS &gt; 50 OLS model'!$B$15*M55</f>
        <v>0</v>
      </c>
      <c r="Z55" s="20">
        <f t="shared" ca="1" si="2"/>
        <v>14370092.637066668</v>
      </c>
    </row>
    <row r="56" spans="1:26" ht="15">
      <c r="A56" s="22">
        <f>'Monthly Data'!A56</f>
        <v>41456</v>
      </c>
      <c r="B56" s="6">
        <f t="shared" si="1"/>
        <v>2013</v>
      </c>
      <c r="C56" s="20">
        <f ca="1">'Monthly Data'!O56</f>
        <v>14308336.935974209</v>
      </c>
      <c r="D56" s="20">
        <f>'Monthly Data'!Q56</f>
        <v>209</v>
      </c>
      <c r="E56" s="6">
        <f t="shared" ca="1" si="3"/>
        <v>0.58000000000000007</v>
      </c>
      <c r="F56" s="6">
        <f t="shared" ca="1" si="3"/>
        <v>179.70999999999998</v>
      </c>
      <c r="G56" s="6">
        <f>'Monthly Data'!AK56</f>
        <v>156.6</v>
      </c>
      <c r="H56" s="6">
        <f>'Monthly Data'!AO56</f>
        <v>55</v>
      </c>
      <c r="I56" s="6">
        <f>'Monthly Data'!AQ56</f>
        <v>0</v>
      </c>
      <c r="J56" s="6">
        <f>'Monthly Data'!AW56</f>
        <v>0</v>
      </c>
      <c r="K56" s="6">
        <f>'Monthly Data'!AX56</f>
        <v>0</v>
      </c>
      <c r="L56" s="6">
        <f>'Monthly Data'!AY56</f>
        <v>0</v>
      </c>
      <c r="M56" s="6">
        <f>'Monthly Data'!AZ56</f>
        <v>0</v>
      </c>
      <c r="O56" s="20">
        <f>'GS &gt; 50 OLS model'!$B$5</f>
        <v>-11694573.8944258</v>
      </c>
      <c r="P56" s="20">
        <f>'GS &gt; 50 OLS model'!$B$6*D56</f>
        <v>10592012.296262972</v>
      </c>
      <c r="Q56" s="20">
        <f ca="1">'GS &gt; 50 OLS model'!$B$7*E56</f>
        <v>1555.2558151075507</v>
      </c>
      <c r="R56" s="20">
        <f ca="1">'GS &gt; 50 OLS model'!$B$8*F56</f>
        <v>2656512.3887509522</v>
      </c>
      <c r="S56" s="20">
        <f>'GS &gt; 50 OLS model'!$B$9*G56</f>
        <v>13126057.816919409</v>
      </c>
      <c r="T56" s="20">
        <f>'GS &gt; 50 OLS model'!$B$10*H56</f>
        <v>707327.12513588404</v>
      </c>
      <c r="U56" s="20">
        <f>'GS &gt; 50 OLS model'!$B$11*I56</f>
        <v>0</v>
      </c>
      <c r="V56" s="20">
        <f>'GS &gt; 50 OLS model'!$B$12*J56</f>
        <v>0</v>
      </c>
      <c r="W56" s="20">
        <f>'GS &gt; 50 OLS model'!$B$13*K56</f>
        <v>0</v>
      </c>
      <c r="X56" s="20">
        <f>'GS &gt; 50 OLS model'!$B$14*L56</f>
        <v>0</v>
      </c>
      <c r="Y56" s="20">
        <f>'GS &gt; 50 OLS model'!$B$15*M56</f>
        <v>0</v>
      </c>
      <c r="Z56" s="20">
        <f t="shared" ca="1" si="2"/>
        <v>15388890.988458524</v>
      </c>
    </row>
    <row r="57" spans="1:26" ht="15">
      <c r="A57" s="22">
        <f>'Monthly Data'!A57</f>
        <v>41487</v>
      </c>
      <c r="B57" s="6">
        <f t="shared" si="1"/>
        <v>2013</v>
      </c>
      <c r="C57" s="20">
        <f ca="1">'Monthly Data'!O57</f>
        <v>14823345.522277808</v>
      </c>
      <c r="D57" s="20">
        <f>'Monthly Data'!Q57</f>
        <v>208</v>
      </c>
      <c r="E57" s="6">
        <f t="shared" ca="1" si="3"/>
        <v>1.7099999999999997</v>
      </c>
      <c r="F57" s="6">
        <f t="shared" ca="1" si="3"/>
        <v>158.1</v>
      </c>
      <c r="G57" s="6">
        <f>'Monthly Data'!AK57</f>
        <v>156.5</v>
      </c>
      <c r="H57" s="6">
        <f>'Monthly Data'!AO57</f>
        <v>56</v>
      </c>
      <c r="I57" s="6">
        <f>'Monthly Data'!AQ57</f>
        <v>0</v>
      </c>
      <c r="J57" s="6">
        <f>'Monthly Data'!AW57</f>
        <v>1</v>
      </c>
      <c r="K57" s="6">
        <f>'Monthly Data'!AX57</f>
        <v>0</v>
      </c>
      <c r="L57" s="6">
        <f>'Monthly Data'!AY57</f>
        <v>0</v>
      </c>
      <c r="M57" s="6">
        <f>'Monthly Data'!AZ57</f>
        <v>0</v>
      </c>
      <c r="O57" s="20">
        <f>'GS &gt; 50 OLS model'!$B$5</f>
        <v>-11694573.8944258</v>
      </c>
      <c r="P57" s="20">
        <f>'GS &gt; 50 OLS model'!$B$6*D57</f>
        <v>10541332.811591856</v>
      </c>
      <c r="Q57" s="20">
        <f ca="1">'GS &gt; 50 OLS model'!$B$7*E57</f>
        <v>4585.3231790239843</v>
      </c>
      <c r="R57" s="20">
        <f ca="1">'GS &gt; 50 OLS model'!$B$8*F57</f>
        <v>2337068.6587364399</v>
      </c>
      <c r="S57" s="20">
        <f>'GS &gt; 50 OLS model'!$B$9*G57</f>
        <v>13117675.915376037</v>
      </c>
      <c r="T57" s="20">
        <f>'GS &gt; 50 OLS model'!$B$10*H57</f>
        <v>720187.61832017277</v>
      </c>
      <c r="U57" s="20">
        <f>'GS &gt; 50 OLS model'!$B$11*I57</f>
        <v>0</v>
      </c>
      <c r="V57" s="20">
        <f>'GS &gt; 50 OLS model'!$B$12*J57</f>
        <v>1257541.23571065</v>
      </c>
      <c r="W57" s="20">
        <f>'GS &gt; 50 OLS model'!$B$13*K57</f>
        <v>0</v>
      </c>
      <c r="X57" s="20">
        <f>'GS &gt; 50 OLS model'!$B$14*L57</f>
        <v>0</v>
      </c>
      <c r="Y57" s="20">
        <f>'GS &gt; 50 OLS model'!$B$15*M57</f>
        <v>0</v>
      </c>
      <c r="Z57" s="20">
        <f t="shared" ca="1" si="2"/>
        <v>16283817.668488381</v>
      </c>
    </row>
    <row r="58" spans="1:26" ht="15">
      <c r="A58" s="22">
        <f>'Monthly Data'!A58</f>
        <v>41518</v>
      </c>
      <c r="B58" s="6">
        <f t="shared" si="1"/>
        <v>2013</v>
      </c>
      <c r="C58" s="20">
        <f ca="1">'Monthly Data'!O58</f>
        <v>17407710.791521009</v>
      </c>
      <c r="D58" s="20">
        <f>'Monthly Data'!Q58</f>
        <v>212</v>
      </c>
      <c r="E58" s="6">
        <f t="shared" ca="1" si="3"/>
        <v>32.68</v>
      </c>
      <c r="F58" s="6">
        <f t="shared" ca="1" si="3"/>
        <v>67.34</v>
      </c>
      <c r="G58" s="6">
        <f>'Monthly Data'!AK58</f>
        <v>154.6</v>
      </c>
      <c r="H58" s="6">
        <f>'Monthly Data'!AO58</f>
        <v>57</v>
      </c>
      <c r="I58" s="6">
        <f>'Monthly Data'!AQ58</f>
        <v>0</v>
      </c>
      <c r="J58" s="6">
        <f>'Monthly Data'!AW58</f>
        <v>0</v>
      </c>
      <c r="K58" s="6">
        <f>'Monthly Data'!AX58</f>
        <v>1</v>
      </c>
      <c r="L58" s="6">
        <f>'Monthly Data'!AY58</f>
        <v>0</v>
      </c>
      <c r="M58" s="6">
        <f>'Monthly Data'!AZ58</f>
        <v>0</v>
      </c>
      <c r="O58" s="20">
        <f>'GS &gt; 50 OLS model'!$B$5</f>
        <v>-11694573.8944258</v>
      </c>
      <c r="P58" s="20">
        <f>'GS &gt; 50 OLS model'!$B$6*D58</f>
        <v>10744050.750276316</v>
      </c>
      <c r="Q58" s="20">
        <f ca="1">'GS &gt; 50 OLS model'!$B$7*E58</f>
        <v>87630.620754680596</v>
      </c>
      <c r="R58" s="20">
        <f ca="1">'GS &gt; 50 OLS model'!$B$8*F58</f>
        <v>995434.55711139692</v>
      </c>
      <c r="S58" s="20">
        <f>'GS &gt; 50 OLS model'!$B$9*G58</f>
        <v>12958419.786051983</v>
      </c>
      <c r="T58" s="20">
        <f>'GS &gt; 50 OLS model'!$B$10*H58</f>
        <v>733048.11150446162</v>
      </c>
      <c r="U58" s="20">
        <f>'GS &gt; 50 OLS model'!$B$11*I58</f>
        <v>0</v>
      </c>
      <c r="V58" s="20">
        <f>'GS &gt; 50 OLS model'!$B$12*J58</f>
        <v>0</v>
      </c>
      <c r="W58" s="20">
        <f>'GS &gt; 50 OLS model'!$B$13*K58</f>
        <v>1979532.62008895</v>
      </c>
      <c r="X58" s="20">
        <f>'GS &gt; 50 OLS model'!$B$14*L58</f>
        <v>0</v>
      </c>
      <c r="Y58" s="20">
        <f>'GS &gt; 50 OLS model'!$B$15*M58</f>
        <v>0</v>
      </c>
      <c r="Z58" s="20">
        <f t="shared" ca="1" si="2"/>
        <v>15803542.551361987</v>
      </c>
    </row>
    <row r="59" spans="1:26" ht="15">
      <c r="A59" s="22">
        <f>'Monthly Data'!A59</f>
        <v>41548</v>
      </c>
      <c r="B59" s="6">
        <f t="shared" si="1"/>
        <v>2013</v>
      </c>
      <c r="C59" s="20">
        <f ca="1">'Monthly Data'!O59</f>
        <v>14654921.464652408</v>
      </c>
      <c r="D59" s="20">
        <f>'Monthly Data'!Q59</f>
        <v>209</v>
      </c>
      <c r="E59" s="6">
        <f t="shared" ca="1" si="3"/>
        <v>176.42</v>
      </c>
      <c r="F59" s="6">
        <f t="shared" ca="1" si="3"/>
        <v>10.18</v>
      </c>
      <c r="G59" s="6">
        <f>'Monthly Data'!AK59</f>
        <v>155.80000000000001</v>
      </c>
      <c r="H59" s="6">
        <f>'Monthly Data'!AO59</f>
        <v>58</v>
      </c>
      <c r="I59" s="6">
        <f>'Monthly Data'!AQ59</f>
        <v>0</v>
      </c>
      <c r="J59" s="6">
        <f>'Monthly Data'!AW59</f>
        <v>0</v>
      </c>
      <c r="K59" s="6">
        <f>'Monthly Data'!AX59</f>
        <v>0</v>
      </c>
      <c r="L59" s="6">
        <f>'Monthly Data'!AY59</f>
        <v>1</v>
      </c>
      <c r="M59" s="6">
        <f>'Monthly Data'!AZ59</f>
        <v>0</v>
      </c>
      <c r="O59" s="20">
        <f>'GS &gt; 50 OLS model'!$B$5</f>
        <v>-11694573.8944258</v>
      </c>
      <c r="P59" s="20">
        <f>'GS &gt; 50 OLS model'!$B$6*D59</f>
        <v>10592012.296262972</v>
      </c>
      <c r="Q59" s="20">
        <f ca="1">'GS &gt; 50 OLS model'!$B$7*E59</f>
        <v>473065.91534702422</v>
      </c>
      <c r="R59" s="20">
        <f ca="1">'GS &gt; 50 OLS model'!$B$8*F59</f>
        <v>150482.97878517999</v>
      </c>
      <c r="S59" s="20">
        <f>'GS &gt; 50 OLS model'!$B$9*G59</f>
        <v>13059002.60457244</v>
      </c>
      <c r="T59" s="20">
        <f>'GS &gt; 50 OLS model'!$B$10*H59</f>
        <v>745908.60468875035</v>
      </c>
      <c r="U59" s="20">
        <f>'GS &gt; 50 OLS model'!$B$11*I59</f>
        <v>0</v>
      </c>
      <c r="V59" s="20">
        <f>'GS &gt; 50 OLS model'!$B$12*J59</f>
        <v>0</v>
      </c>
      <c r="W59" s="20">
        <f>'GS &gt; 50 OLS model'!$B$13*K59</f>
        <v>0</v>
      </c>
      <c r="X59" s="20">
        <f>'GS &gt; 50 OLS model'!$B$14*L59</f>
        <v>1466841.9423256</v>
      </c>
      <c r="Y59" s="20">
        <f>'GS &gt; 50 OLS model'!$B$15*M59</f>
        <v>0</v>
      </c>
      <c r="Z59" s="20">
        <f t="shared" ca="1" si="2"/>
        <v>14792740.447556166</v>
      </c>
    </row>
    <row r="60" spans="1:26" ht="15">
      <c r="A60" s="22">
        <f>'Monthly Data'!A60</f>
        <v>41579</v>
      </c>
      <c r="B60" s="6">
        <f t="shared" si="1"/>
        <v>2013</v>
      </c>
      <c r="C60" s="20">
        <f ca="1">'Monthly Data'!O60</f>
        <v>14053596.57630801</v>
      </c>
      <c r="D60" s="20">
        <f>'Monthly Data'!Q60</f>
        <v>211</v>
      </c>
      <c r="E60" s="6">
        <f t="shared" ca="1" si="3"/>
        <v>364.2299999999999</v>
      </c>
      <c r="F60" s="6">
        <f t="shared" ca="1" si="3"/>
        <v>0.05</v>
      </c>
      <c r="G60" s="6">
        <f>'Monthly Data'!AK60</f>
        <v>156.69999999999999</v>
      </c>
      <c r="H60" s="6">
        <f>'Monthly Data'!AO60</f>
        <v>59</v>
      </c>
      <c r="I60" s="6">
        <f>'Monthly Data'!AQ60</f>
        <v>0</v>
      </c>
      <c r="J60" s="6">
        <f>'Monthly Data'!AW60</f>
        <v>0</v>
      </c>
      <c r="K60" s="6">
        <f>'Monthly Data'!AX60</f>
        <v>0</v>
      </c>
      <c r="L60" s="6">
        <f>'Monthly Data'!AY60</f>
        <v>0</v>
      </c>
      <c r="M60" s="6">
        <f>'Monthly Data'!AZ60</f>
        <v>1</v>
      </c>
      <c r="O60" s="20">
        <f>'GS &gt; 50 OLS model'!$B$5</f>
        <v>-11694573.8944258</v>
      </c>
      <c r="P60" s="20">
        <f>'GS &gt; 50 OLS model'!$B$6*D60</f>
        <v>10693371.2656052</v>
      </c>
      <c r="Q60" s="20">
        <f ca="1">'GS &gt; 50 OLS model'!$B$7*E60</f>
        <v>976673.83713210851</v>
      </c>
      <c r="R60" s="20">
        <f ca="1">'GS &gt; 50 OLS model'!$B$8*F60</f>
        <v>739.11089776611004</v>
      </c>
      <c r="S60" s="20">
        <f>'GS &gt; 50 OLS model'!$B$9*G60</f>
        <v>13134439.71846278</v>
      </c>
      <c r="T60" s="20">
        <f>'GS &gt; 50 OLS model'!$B$10*H60</f>
        <v>758769.09787303919</v>
      </c>
      <c r="U60" s="20">
        <f>'GS &gt; 50 OLS model'!$B$11*I60</f>
        <v>0</v>
      </c>
      <c r="V60" s="20">
        <f>'GS &gt; 50 OLS model'!$B$12*J60</f>
        <v>0</v>
      </c>
      <c r="W60" s="20">
        <f>'GS &gt; 50 OLS model'!$B$13*K60</f>
        <v>0</v>
      </c>
      <c r="X60" s="20">
        <f>'GS &gt; 50 OLS model'!$B$14*L60</f>
        <v>0</v>
      </c>
      <c r="Y60" s="20">
        <f>'GS &gt; 50 OLS model'!$B$15*M60</f>
        <v>671693.73401239095</v>
      </c>
      <c r="Z60" s="20">
        <f t="shared" ca="1" si="2"/>
        <v>14541112.869557485</v>
      </c>
    </row>
    <row r="61" spans="1:26" ht="15">
      <c r="A61" s="22">
        <f>'Monthly Data'!A61</f>
        <v>41609</v>
      </c>
      <c r="B61" s="6">
        <f t="shared" si="1"/>
        <v>2013</v>
      </c>
      <c r="C61" s="20">
        <f ca="1">'Monthly Data'!O61</f>
        <v>14070719.674795508</v>
      </c>
      <c r="D61" s="20">
        <f>'Monthly Data'!Q61</f>
        <v>214</v>
      </c>
      <c r="E61" s="6">
        <f t="shared" ca="1" si="3"/>
        <v>552.31000000000006</v>
      </c>
      <c r="F61" s="6">
        <f t="shared" ca="1" si="3"/>
        <v>0</v>
      </c>
      <c r="G61" s="6">
        <f>'Monthly Data'!AK61</f>
        <v>159.19999999999999</v>
      </c>
      <c r="H61" s="6">
        <f>'Monthly Data'!AO61</f>
        <v>60</v>
      </c>
      <c r="I61" s="6">
        <f>'Monthly Data'!AQ61</f>
        <v>0</v>
      </c>
      <c r="J61" s="6">
        <f>'Monthly Data'!AW61</f>
        <v>0</v>
      </c>
      <c r="K61" s="6">
        <f>'Monthly Data'!AX61</f>
        <v>0</v>
      </c>
      <c r="L61" s="6">
        <f>'Monthly Data'!AY61</f>
        <v>0</v>
      </c>
      <c r="M61" s="6">
        <f>'Monthly Data'!AZ61</f>
        <v>0</v>
      </c>
      <c r="O61" s="20">
        <f>'GS &gt; 50 OLS model'!$B$5</f>
        <v>-11694573.8944258</v>
      </c>
      <c r="P61" s="20">
        <f>'GS &gt; 50 OLS model'!$B$6*D61</f>
        <v>10845409.719618546</v>
      </c>
      <c r="Q61" s="20">
        <f ca="1">'GS &gt; 50 OLS model'!$B$7*E61</f>
        <v>1481005.7573138815</v>
      </c>
      <c r="R61" s="20">
        <f ca="1">'GS &gt; 50 OLS model'!$B$8*F61</f>
        <v>0</v>
      </c>
      <c r="S61" s="20">
        <f>'GS &gt; 50 OLS model'!$B$9*G61</f>
        <v>13343987.257047061</v>
      </c>
      <c r="T61" s="20">
        <f>'GS &gt; 50 OLS model'!$B$10*H61</f>
        <v>771629.59105732804</v>
      </c>
      <c r="U61" s="20">
        <f>'GS &gt; 50 OLS model'!$B$11*I61</f>
        <v>0</v>
      </c>
      <c r="V61" s="20">
        <f>'GS &gt; 50 OLS model'!$B$12*J61</f>
        <v>0</v>
      </c>
      <c r="W61" s="20">
        <f>'GS &gt; 50 OLS model'!$B$13*K61</f>
        <v>0</v>
      </c>
      <c r="X61" s="20">
        <f>'GS &gt; 50 OLS model'!$B$14*L61</f>
        <v>0</v>
      </c>
      <c r="Y61" s="20">
        <f>'GS &gt; 50 OLS model'!$B$15*M61</f>
        <v>0</v>
      </c>
      <c r="Z61" s="20">
        <f t="shared" ca="1" si="2"/>
        <v>14747458.430611016</v>
      </c>
    </row>
    <row r="62" spans="1:26" ht="15">
      <c r="A62" s="22">
        <v>41640</v>
      </c>
      <c r="B62" s="6">
        <f t="shared" si="1"/>
        <v>2014</v>
      </c>
      <c r="C62" s="20">
        <f ca="1">'Monthly Data'!O62</f>
        <v>14875645.707828557</v>
      </c>
      <c r="D62" s="20">
        <f>'Monthly Data'!Q62</f>
        <v>211</v>
      </c>
      <c r="E62" s="6">
        <f t="shared" ca="1" si="3"/>
        <v>661.18999999999994</v>
      </c>
      <c r="F62" s="6">
        <f t="shared" ca="1" si="3"/>
        <v>0</v>
      </c>
      <c r="G62" s="6">
        <f>'Monthly Data'!AK62</f>
        <v>157.1</v>
      </c>
      <c r="H62" s="6">
        <f>'Monthly Data'!AO62</f>
        <v>61</v>
      </c>
      <c r="I62" s="6">
        <f>'Monthly Data'!AQ62</f>
        <v>0</v>
      </c>
      <c r="J62" s="6">
        <f>'Monthly Data'!AW62</f>
        <v>0</v>
      </c>
      <c r="K62" s="6">
        <f>'Monthly Data'!AX62</f>
        <v>0</v>
      </c>
      <c r="L62" s="6">
        <f>'Monthly Data'!AY62</f>
        <v>0</v>
      </c>
      <c r="M62" s="6">
        <f>'Monthly Data'!AZ62</f>
        <v>0</v>
      </c>
      <c r="O62" s="20">
        <f>'GS &gt; 50 OLS model'!$B$5</f>
        <v>-11694573.8944258</v>
      </c>
      <c r="P62" s="20">
        <f>'GS &gt; 50 OLS model'!$B$6*D62</f>
        <v>10693371.2656052</v>
      </c>
      <c r="Q62" s="20">
        <f ca="1">'GS &gt; 50 OLS model'!$B$7*E62</f>
        <v>1772964.8144671745</v>
      </c>
      <c r="R62" s="20">
        <f ca="1">'GS &gt; 50 OLS model'!$B$8*F62</f>
        <v>0</v>
      </c>
      <c r="S62" s="20">
        <f>'GS &gt; 50 OLS model'!$B$9*G62</f>
        <v>13167967.324636266</v>
      </c>
      <c r="T62" s="20">
        <f>'GS &gt; 50 OLS model'!$B$10*H62</f>
        <v>784490.08424161677</v>
      </c>
      <c r="U62" s="20">
        <f>'GS &gt; 50 OLS model'!$B$11*I62</f>
        <v>0</v>
      </c>
      <c r="V62" s="20">
        <f>'GS &gt; 50 OLS model'!$B$12*J62</f>
        <v>0</v>
      </c>
      <c r="W62" s="20">
        <f>'GS &gt; 50 OLS model'!$B$13*K62</f>
        <v>0</v>
      </c>
      <c r="X62" s="20">
        <f>'GS &gt; 50 OLS model'!$B$14*L62</f>
        <v>0</v>
      </c>
      <c r="Y62" s="20">
        <f>'GS &gt; 50 OLS model'!$B$15*M62</f>
        <v>0</v>
      </c>
      <c r="Z62" s="20">
        <f t="shared" ca="1" si="2"/>
        <v>14724219.594524458</v>
      </c>
    </row>
    <row r="63" spans="1:26" ht="15">
      <c r="A63" s="22">
        <v>41671</v>
      </c>
      <c r="B63" s="6">
        <f t="shared" si="1"/>
        <v>2014</v>
      </c>
      <c r="C63" s="20">
        <f ca="1">'Monthly Data'!O63</f>
        <v>13682562.631763957</v>
      </c>
      <c r="D63" s="20">
        <f>'Monthly Data'!Q63</f>
        <v>210</v>
      </c>
      <c r="E63" s="6">
        <f t="shared" ca="1" si="3"/>
        <v>598.16999999999985</v>
      </c>
      <c r="F63" s="6">
        <f t="shared" ca="1" si="3"/>
        <v>0</v>
      </c>
      <c r="G63" s="6">
        <f>'Monthly Data'!AK63</f>
        <v>154.69999999999999</v>
      </c>
      <c r="H63" s="6">
        <f>'Monthly Data'!AO63</f>
        <v>62</v>
      </c>
      <c r="I63" s="6">
        <f>'Monthly Data'!AQ63</f>
        <v>1</v>
      </c>
      <c r="J63" s="6">
        <f>'Monthly Data'!AW63</f>
        <v>0</v>
      </c>
      <c r="K63" s="6">
        <f>'Monthly Data'!AX63</f>
        <v>0</v>
      </c>
      <c r="L63" s="6">
        <f>'Monthly Data'!AY63</f>
        <v>0</v>
      </c>
      <c r="M63" s="6">
        <f>'Monthly Data'!AZ63</f>
        <v>0</v>
      </c>
      <c r="O63" s="20">
        <f>'GS &gt; 50 OLS model'!$B$5</f>
        <v>-11694573.8944258</v>
      </c>
      <c r="P63" s="20">
        <f>'GS &gt; 50 OLS model'!$B$6*D63</f>
        <v>10642691.780934086</v>
      </c>
      <c r="Q63" s="20">
        <f ca="1">'GS &gt; 50 OLS model'!$B$7*E63</f>
        <v>1603978.225729109</v>
      </c>
      <c r="R63" s="20">
        <f ca="1">'GS &gt; 50 OLS model'!$B$8*F63</f>
        <v>0</v>
      </c>
      <c r="S63" s="20">
        <f>'GS &gt; 50 OLS model'!$B$9*G63</f>
        <v>12966801.687595354</v>
      </c>
      <c r="T63" s="20">
        <f>'GS &gt; 50 OLS model'!$B$10*H63</f>
        <v>797350.57742590562</v>
      </c>
      <c r="U63" s="20">
        <f>'GS &gt; 50 OLS model'!$B$11*I63</f>
        <v>-797686.81375559501</v>
      </c>
      <c r="V63" s="20">
        <f>'GS &gt; 50 OLS model'!$B$12*J63</f>
        <v>0</v>
      </c>
      <c r="W63" s="20">
        <f>'GS &gt; 50 OLS model'!$B$13*K63</f>
        <v>0</v>
      </c>
      <c r="X63" s="20">
        <f>'GS &gt; 50 OLS model'!$B$14*L63</f>
        <v>0</v>
      </c>
      <c r="Y63" s="20">
        <f>'GS &gt; 50 OLS model'!$B$15*M63</f>
        <v>0</v>
      </c>
      <c r="Z63" s="20">
        <f t="shared" ca="1" si="2"/>
        <v>13518561.563503062</v>
      </c>
    </row>
    <row r="64" spans="1:26" ht="15">
      <c r="A64" s="22">
        <v>41699</v>
      </c>
      <c r="B64" s="6">
        <f t="shared" si="1"/>
        <v>2014</v>
      </c>
      <c r="C64" s="20">
        <f ca="1">'Monthly Data'!O64</f>
        <v>14325269.380689258</v>
      </c>
      <c r="D64" s="20">
        <f>'Monthly Data'!Q64</f>
        <v>213</v>
      </c>
      <c r="E64" s="6">
        <f t="shared" ca="1" si="3"/>
        <v>451.34</v>
      </c>
      <c r="F64" s="6">
        <f t="shared" ca="1" si="3"/>
        <v>0.88000000000000012</v>
      </c>
      <c r="G64" s="6">
        <f>'Monthly Data'!AK64</f>
        <v>152.4</v>
      </c>
      <c r="H64" s="6">
        <f>'Monthly Data'!AO64</f>
        <v>63</v>
      </c>
      <c r="I64" s="6">
        <f>'Monthly Data'!AQ64</f>
        <v>0</v>
      </c>
      <c r="J64" s="6">
        <f>'Monthly Data'!AW64</f>
        <v>0</v>
      </c>
      <c r="K64" s="6">
        <f>'Monthly Data'!AX64</f>
        <v>0</v>
      </c>
      <c r="L64" s="6">
        <f>'Monthly Data'!AY64</f>
        <v>0</v>
      </c>
      <c r="M64" s="6">
        <f>'Monthly Data'!AZ64</f>
        <v>0</v>
      </c>
      <c r="O64" s="20">
        <f>'GS &gt; 50 OLS model'!$B$5</f>
        <v>-11694573.8944258</v>
      </c>
      <c r="P64" s="20">
        <f>'GS &gt; 50 OLS model'!$B$6*D64</f>
        <v>10794730.23494743</v>
      </c>
      <c r="Q64" s="20">
        <f ca="1">'GS &gt; 50 OLS model'!$B$7*E64</f>
        <v>1210257.1717080032</v>
      </c>
      <c r="R64" s="20">
        <f ca="1">'GS &gt; 50 OLS model'!$B$8*F64</f>
        <v>13008.351800683537</v>
      </c>
      <c r="S64" s="20">
        <f>'GS &gt; 50 OLS model'!$B$9*G64</f>
        <v>12774017.952097816</v>
      </c>
      <c r="T64" s="20">
        <f>'GS &gt; 50 OLS model'!$B$10*H64</f>
        <v>810211.07061019435</v>
      </c>
      <c r="U64" s="20">
        <f>'GS &gt; 50 OLS model'!$B$11*I64</f>
        <v>0</v>
      </c>
      <c r="V64" s="20">
        <f>'GS &gt; 50 OLS model'!$B$12*J64</f>
        <v>0</v>
      </c>
      <c r="W64" s="20">
        <f>'GS &gt; 50 OLS model'!$B$13*K64</f>
        <v>0</v>
      </c>
      <c r="X64" s="20">
        <f>'GS &gt; 50 OLS model'!$B$14*L64</f>
        <v>0</v>
      </c>
      <c r="Y64" s="20">
        <f>'GS &gt; 50 OLS model'!$B$15*M64</f>
        <v>0</v>
      </c>
      <c r="Z64" s="20">
        <f t="shared" ca="1" si="2"/>
        <v>13907650.886738326</v>
      </c>
    </row>
    <row r="65" spans="1:26" ht="15">
      <c r="A65" s="22">
        <v>41730</v>
      </c>
      <c r="B65" s="6">
        <f t="shared" si="1"/>
        <v>2014</v>
      </c>
      <c r="C65" s="20">
        <f ca="1">'Monthly Data'!O65</f>
        <v>12347342.329740856</v>
      </c>
      <c r="D65" s="20">
        <f>'Monthly Data'!Q65</f>
        <v>211</v>
      </c>
      <c r="E65" s="6">
        <f t="shared" ca="1" si="3"/>
        <v>259.5499999999999</v>
      </c>
      <c r="F65" s="6">
        <f t="shared" ca="1" si="3"/>
        <v>2.4500000000000002</v>
      </c>
      <c r="G65" s="6">
        <f>'Monthly Data'!AK65</f>
        <v>151.1</v>
      </c>
      <c r="H65" s="6">
        <f>'Monthly Data'!AO65</f>
        <v>64</v>
      </c>
      <c r="I65" s="6">
        <f>'Monthly Data'!AQ65</f>
        <v>0</v>
      </c>
      <c r="J65" s="6">
        <f>'Monthly Data'!AW65</f>
        <v>0</v>
      </c>
      <c r="K65" s="6">
        <f>'Monthly Data'!AX65</f>
        <v>0</v>
      </c>
      <c r="L65" s="6">
        <f>'Monthly Data'!AY65</f>
        <v>0</v>
      </c>
      <c r="M65" s="6">
        <f>'Monthly Data'!AZ65</f>
        <v>0</v>
      </c>
      <c r="O65" s="20">
        <f>'GS &gt; 50 OLS model'!$B$5</f>
        <v>-11694573.8944258</v>
      </c>
      <c r="P65" s="20">
        <f>'GS &gt; 50 OLS model'!$B$6*D65</f>
        <v>10693371.2656052</v>
      </c>
      <c r="Q65" s="20">
        <f ca="1">'GS &gt; 50 OLS model'!$B$7*E65</f>
        <v>695976.9772606286</v>
      </c>
      <c r="R65" s="20">
        <f ca="1">'GS &gt; 50 OLS model'!$B$8*F65</f>
        <v>36216.433990539394</v>
      </c>
      <c r="S65" s="20">
        <f>'GS &gt; 50 OLS model'!$B$9*G65</f>
        <v>12665053.232033988</v>
      </c>
      <c r="T65" s="20">
        <f>'GS &gt; 50 OLS model'!$B$10*H65</f>
        <v>823071.5637944832</v>
      </c>
      <c r="U65" s="20">
        <f>'GS &gt; 50 OLS model'!$B$11*I65</f>
        <v>0</v>
      </c>
      <c r="V65" s="20">
        <f>'GS &gt; 50 OLS model'!$B$12*J65</f>
        <v>0</v>
      </c>
      <c r="W65" s="20">
        <f>'GS &gt; 50 OLS model'!$B$13*K65</f>
        <v>0</v>
      </c>
      <c r="X65" s="20">
        <f>'GS &gt; 50 OLS model'!$B$14*L65</f>
        <v>0</v>
      </c>
      <c r="Y65" s="20">
        <f>'GS &gt; 50 OLS model'!$B$15*M65</f>
        <v>0</v>
      </c>
      <c r="Z65" s="20">
        <f t="shared" ca="1" si="2"/>
        <v>13219115.57825904</v>
      </c>
    </row>
    <row r="66" spans="1:26" ht="15">
      <c r="A66" s="22">
        <v>41760</v>
      </c>
      <c r="B66" s="6">
        <f t="shared" si="1"/>
        <v>2014</v>
      </c>
      <c r="C66" s="20">
        <f ca="1">'Monthly Data'!O66</f>
        <v>13027047.197540756</v>
      </c>
      <c r="D66" s="20">
        <f>'Monthly Data'!Q66</f>
        <v>213</v>
      </c>
      <c r="E66" s="6">
        <f t="shared" ca="1" si="3"/>
        <v>88.880000000000024</v>
      </c>
      <c r="F66" s="6">
        <f t="shared" ca="1" si="3"/>
        <v>43.79999999999999</v>
      </c>
      <c r="G66" s="6">
        <f>'Monthly Data'!AK66</f>
        <v>151.19999999999999</v>
      </c>
      <c r="H66" s="6">
        <f>'Monthly Data'!AO66</f>
        <v>65</v>
      </c>
      <c r="I66" s="6">
        <f>'Monthly Data'!AQ66</f>
        <v>0</v>
      </c>
      <c r="J66" s="6">
        <f>'Monthly Data'!AW66</f>
        <v>0</v>
      </c>
      <c r="K66" s="6">
        <f>'Monthly Data'!AX66</f>
        <v>0</v>
      </c>
      <c r="L66" s="6">
        <f>'Monthly Data'!AY66</f>
        <v>0</v>
      </c>
      <c r="M66" s="6">
        <f>'Monthly Data'!AZ66</f>
        <v>0</v>
      </c>
      <c r="O66" s="20">
        <f>'GS &gt; 50 OLS model'!$B$5</f>
        <v>-11694573.8944258</v>
      </c>
      <c r="P66" s="20">
        <f>'GS &gt; 50 OLS model'!$B$6*D66</f>
        <v>10794730.23494743</v>
      </c>
      <c r="Q66" s="20">
        <f ca="1">'GS &gt; 50 OLS model'!$B$7*E66</f>
        <v>238329.54628751572</v>
      </c>
      <c r="R66" s="20">
        <f ca="1">'GS &gt; 50 OLS model'!$B$8*F66</f>
        <v>647461.14644311217</v>
      </c>
      <c r="S66" s="20">
        <f>'GS &gt; 50 OLS model'!$B$9*G66</f>
        <v>12673435.13357736</v>
      </c>
      <c r="T66" s="20">
        <f>'GS &gt; 50 OLS model'!$B$10*H66</f>
        <v>835932.05697877205</v>
      </c>
      <c r="U66" s="20">
        <f>'GS &gt; 50 OLS model'!$B$11*I66</f>
        <v>0</v>
      </c>
      <c r="V66" s="20">
        <f>'GS &gt; 50 OLS model'!$B$12*J66</f>
        <v>0</v>
      </c>
      <c r="W66" s="20">
        <f>'GS &gt; 50 OLS model'!$B$13*K66</f>
        <v>0</v>
      </c>
      <c r="X66" s="20">
        <f>'GS &gt; 50 OLS model'!$B$14*L66</f>
        <v>0</v>
      </c>
      <c r="Y66" s="20">
        <f>'GS &gt; 50 OLS model'!$B$15*M66</f>
        <v>0</v>
      </c>
      <c r="Z66" s="20">
        <f t="shared" ca="1" si="2"/>
        <v>13495314.223808389</v>
      </c>
    </row>
    <row r="67" spans="1:26" ht="15">
      <c r="A67" s="22">
        <v>41791</v>
      </c>
      <c r="B67" s="6">
        <f t="shared" ref="B67:B109" si="4">YEAR(A67)</f>
        <v>2014</v>
      </c>
      <c r="C67" s="20">
        <f ca="1">'Monthly Data'!O67</f>
        <v>14734221.274116758</v>
      </c>
      <c r="D67" s="20">
        <f>'Monthly Data'!Q67</f>
        <v>214</v>
      </c>
      <c r="E67" s="6">
        <f t="shared" ca="1" si="3"/>
        <v>9.77</v>
      </c>
      <c r="F67" s="6">
        <f t="shared" ca="1" si="3"/>
        <v>117.38999999999999</v>
      </c>
      <c r="G67" s="6">
        <f>'Monthly Data'!AK67</f>
        <v>150.9</v>
      </c>
      <c r="H67" s="6">
        <f>'Monthly Data'!AO67</f>
        <v>66</v>
      </c>
      <c r="I67" s="6">
        <f>'Monthly Data'!AQ67</f>
        <v>0</v>
      </c>
      <c r="J67" s="6">
        <f>'Monthly Data'!AW67</f>
        <v>0</v>
      </c>
      <c r="K67" s="6">
        <f>'Monthly Data'!AX67</f>
        <v>0</v>
      </c>
      <c r="L67" s="6">
        <f>'Monthly Data'!AY67</f>
        <v>0</v>
      </c>
      <c r="M67" s="6">
        <f>'Monthly Data'!AZ67</f>
        <v>0</v>
      </c>
      <c r="O67" s="20">
        <f>'GS &gt; 50 OLS model'!$B$5</f>
        <v>-11694573.8944258</v>
      </c>
      <c r="P67" s="20">
        <f>'GS &gt; 50 OLS model'!$B$6*D67</f>
        <v>10845409.719618546</v>
      </c>
      <c r="Q67" s="20">
        <f ca="1">'GS &gt; 50 OLS model'!$B$7*E67</f>
        <v>26198.016057932356</v>
      </c>
      <c r="R67" s="20">
        <f ca="1">'GS &gt; 50 OLS model'!$B$8*F67</f>
        <v>1735284.5657752729</v>
      </c>
      <c r="S67" s="20">
        <f>'GS &gt; 50 OLS model'!$B$9*G67</f>
        <v>12648289.428947248</v>
      </c>
      <c r="T67" s="20">
        <f>'GS &gt; 50 OLS model'!$B$10*H67</f>
        <v>848792.55016306078</v>
      </c>
      <c r="U67" s="20">
        <f>'GS &gt; 50 OLS model'!$B$11*I67</f>
        <v>0</v>
      </c>
      <c r="V67" s="20">
        <f>'GS &gt; 50 OLS model'!$B$12*J67</f>
        <v>0</v>
      </c>
      <c r="W67" s="20">
        <f>'GS &gt; 50 OLS model'!$B$13*K67</f>
        <v>0</v>
      </c>
      <c r="X67" s="20">
        <f>'GS &gt; 50 OLS model'!$B$14*L67</f>
        <v>0</v>
      </c>
      <c r="Y67" s="20">
        <f>'GS &gt; 50 OLS model'!$B$15*M67</f>
        <v>0</v>
      </c>
      <c r="Z67" s="20">
        <f t="shared" ref="Z67:Z121" ca="1" si="5">SUM(O67:Y67)</f>
        <v>14409400.38613626</v>
      </c>
    </row>
    <row r="68" spans="1:26" ht="15">
      <c r="A68" s="22">
        <v>41821</v>
      </c>
      <c r="B68" s="6">
        <f t="shared" si="4"/>
        <v>2014</v>
      </c>
      <c r="C68" s="20">
        <f ca="1">'Monthly Data'!O68</f>
        <v>14543861.212159758</v>
      </c>
      <c r="D68" s="20">
        <f>'Monthly Data'!Q68</f>
        <v>214</v>
      </c>
      <c r="E68" s="6">
        <f t="shared" ca="1" si="3"/>
        <v>0.58000000000000007</v>
      </c>
      <c r="F68" s="6">
        <f t="shared" ca="1" si="3"/>
        <v>179.70999999999998</v>
      </c>
      <c r="G68" s="6">
        <f>'Monthly Data'!AK68</f>
        <v>153.6</v>
      </c>
      <c r="H68" s="6">
        <f>'Monthly Data'!AO68</f>
        <v>67</v>
      </c>
      <c r="I68" s="6">
        <f>'Monthly Data'!AQ68</f>
        <v>0</v>
      </c>
      <c r="J68" s="6">
        <f>'Monthly Data'!AW68</f>
        <v>0</v>
      </c>
      <c r="K68" s="6">
        <f>'Monthly Data'!AX68</f>
        <v>0</v>
      </c>
      <c r="L68" s="6">
        <f>'Monthly Data'!AY68</f>
        <v>0</v>
      </c>
      <c r="M68" s="6">
        <f>'Monthly Data'!AZ68</f>
        <v>0</v>
      </c>
      <c r="O68" s="20">
        <f>'GS &gt; 50 OLS model'!$B$5</f>
        <v>-11694573.8944258</v>
      </c>
      <c r="P68" s="20">
        <f>'GS &gt; 50 OLS model'!$B$6*D68</f>
        <v>10845409.719618546</v>
      </c>
      <c r="Q68" s="20">
        <f ca="1">'GS &gt; 50 OLS model'!$B$7*E68</f>
        <v>1555.2558151075507</v>
      </c>
      <c r="R68" s="20">
        <f ca="1">'GS &gt; 50 OLS model'!$B$8*F68</f>
        <v>2656512.3887509522</v>
      </c>
      <c r="S68" s="20">
        <f>'GS &gt; 50 OLS model'!$B$9*G68</f>
        <v>12874600.770618271</v>
      </c>
      <c r="T68" s="20">
        <f>'GS &gt; 50 OLS model'!$B$10*H68</f>
        <v>861653.04334734962</v>
      </c>
      <c r="U68" s="20">
        <f>'GS &gt; 50 OLS model'!$B$11*I68</f>
        <v>0</v>
      </c>
      <c r="V68" s="20">
        <f>'GS &gt; 50 OLS model'!$B$12*J68</f>
        <v>0</v>
      </c>
      <c r="W68" s="20">
        <f>'GS &gt; 50 OLS model'!$B$13*K68</f>
        <v>0</v>
      </c>
      <c r="X68" s="20">
        <f>'GS &gt; 50 OLS model'!$B$14*L68</f>
        <v>0</v>
      </c>
      <c r="Y68" s="20">
        <f>'GS &gt; 50 OLS model'!$B$15*M68</f>
        <v>0</v>
      </c>
      <c r="Z68" s="20">
        <f t="shared" ca="1" si="5"/>
        <v>15545157.283724425</v>
      </c>
    </row>
    <row r="69" spans="1:26" ht="15">
      <c r="A69" s="22">
        <v>41852</v>
      </c>
      <c r="B69" s="6">
        <f t="shared" si="4"/>
        <v>2014</v>
      </c>
      <c r="C69" s="20">
        <f ca="1">'Monthly Data'!O69</f>
        <v>15553654.723300757</v>
      </c>
      <c r="D69" s="20">
        <f>'Monthly Data'!Q69</f>
        <v>213</v>
      </c>
      <c r="E69" s="6">
        <f t="shared" ca="1" si="3"/>
        <v>1.7099999999999997</v>
      </c>
      <c r="F69" s="6">
        <f t="shared" ca="1" si="3"/>
        <v>158.1</v>
      </c>
      <c r="G69" s="6">
        <f>'Monthly Data'!AK69</f>
        <v>154.5</v>
      </c>
      <c r="H69" s="6">
        <f>'Monthly Data'!AO69</f>
        <v>68</v>
      </c>
      <c r="I69" s="6">
        <f>'Monthly Data'!AQ69</f>
        <v>0</v>
      </c>
      <c r="J69" s="6">
        <f>'Monthly Data'!AW69</f>
        <v>1</v>
      </c>
      <c r="K69" s="6">
        <f>'Monthly Data'!AX69</f>
        <v>0</v>
      </c>
      <c r="L69" s="6">
        <f>'Monthly Data'!AY69</f>
        <v>0</v>
      </c>
      <c r="M69" s="6">
        <f>'Monthly Data'!AZ69</f>
        <v>0</v>
      </c>
      <c r="O69" s="20">
        <f>'GS &gt; 50 OLS model'!$B$5</f>
        <v>-11694573.8944258</v>
      </c>
      <c r="P69" s="20">
        <f>'GS &gt; 50 OLS model'!$B$6*D69</f>
        <v>10794730.23494743</v>
      </c>
      <c r="Q69" s="20">
        <f ca="1">'GS &gt; 50 OLS model'!$B$7*E69</f>
        <v>4585.3231790239843</v>
      </c>
      <c r="R69" s="20">
        <f ca="1">'GS &gt; 50 OLS model'!$B$8*F69</f>
        <v>2337068.6587364399</v>
      </c>
      <c r="S69" s="20">
        <f>'GS &gt; 50 OLS model'!$B$9*G69</f>
        <v>12950037.884508612</v>
      </c>
      <c r="T69" s="20">
        <f>'GS &gt; 50 OLS model'!$B$10*H69</f>
        <v>874513.53653163835</v>
      </c>
      <c r="U69" s="20">
        <f>'GS &gt; 50 OLS model'!$B$11*I69</f>
        <v>0</v>
      </c>
      <c r="V69" s="20">
        <f>'GS &gt; 50 OLS model'!$B$12*J69</f>
        <v>1257541.23571065</v>
      </c>
      <c r="W69" s="20">
        <f>'GS &gt; 50 OLS model'!$B$13*K69</f>
        <v>0</v>
      </c>
      <c r="X69" s="20">
        <f>'GS &gt; 50 OLS model'!$B$14*L69</f>
        <v>0</v>
      </c>
      <c r="Y69" s="20">
        <f>'GS &gt; 50 OLS model'!$B$15*M69</f>
        <v>0</v>
      </c>
      <c r="Z69" s="20">
        <f t="shared" ca="1" si="5"/>
        <v>16523902.979187995</v>
      </c>
    </row>
    <row r="70" spans="1:26" ht="15">
      <c r="A70" s="22">
        <v>41883</v>
      </c>
      <c r="B70" s="6">
        <f t="shared" si="4"/>
        <v>2014</v>
      </c>
      <c r="C70" s="20">
        <f ca="1">'Monthly Data'!O70</f>
        <v>15488003.303288059</v>
      </c>
      <c r="D70" s="20">
        <f>'Monthly Data'!Q70</f>
        <v>214</v>
      </c>
      <c r="E70" s="6">
        <f t="shared" ca="1" si="3"/>
        <v>32.68</v>
      </c>
      <c r="F70" s="6">
        <f t="shared" ca="1" si="3"/>
        <v>67.34</v>
      </c>
      <c r="G70" s="6">
        <f>'Monthly Data'!AK70</f>
        <v>156.6</v>
      </c>
      <c r="H70" s="6">
        <f>'Monthly Data'!AO70</f>
        <v>69</v>
      </c>
      <c r="I70" s="6">
        <f>'Monthly Data'!AQ70</f>
        <v>0</v>
      </c>
      <c r="J70" s="6">
        <f>'Monthly Data'!AW70</f>
        <v>0</v>
      </c>
      <c r="K70" s="6">
        <f>'Monthly Data'!AX70</f>
        <v>1</v>
      </c>
      <c r="L70" s="6">
        <f>'Monthly Data'!AY70</f>
        <v>0</v>
      </c>
      <c r="M70" s="6">
        <f>'Monthly Data'!AZ70</f>
        <v>0</v>
      </c>
      <c r="O70" s="20">
        <f>'GS &gt; 50 OLS model'!$B$5</f>
        <v>-11694573.8944258</v>
      </c>
      <c r="P70" s="20">
        <f>'GS &gt; 50 OLS model'!$B$6*D70</f>
        <v>10845409.719618546</v>
      </c>
      <c r="Q70" s="20">
        <f ca="1">'GS &gt; 50 OLS model'!$B$7*E70</f>
        <v>87630.620754680596</v>
      </c>
      <c r="R70" s="20">
        <f ca="1">'GS &gt; 50 OLS model'!$B$8*F70</f>
        <v>995434.55711139692</v>
      </c>
      <c r="S70" s="20">
        <f>'GS &gt; 50 OLS model'!$B$9*G70</f>
        <v>13126057.816919409</v>
      </c>
      <c r="T70" s="20">
        <f>'GS &gt; 50 OLS model'!$B$10*H70</f>
        <v>887374.0297159272</v>
      </c>
      <c r="U70" s="20">
        <f>'GS &gt; 50 OLS model'!$B$11*I70</f>
        <v>0</v>
      </c>
      <c r="V70" s="20">
        <f>'GS &gt; 50 OLS model'!$B$12*J70</f>
        <v>0</v>
      </c>
      <c r="W70" s="20">
        <f>'GS &gt; 50 OLS model'!$B$13*K70</f>
        <v>1979532.62008895</v>
      </c>
      <c r="X70" s="20">
        <f>'GS &gt; 50 OLS model'!$B$14*L70</f>
        <v>0</v>
      </c>
      <c r="Y70" s="20">
        <f>'GS &gt; 50 OLS model'!$B$15*M70</f>
        <v>0</v>
      </c>
      <c r="Z70" s="20">
        <f t="shared" ca="1" si="5"/>
        <v>16226865.469783109</v>
      </c>
    </row>
    <row r="71" spans="1:26" ht="15">
      <c r="A71" s="22">
        <v>41913</v>
      </c>
      <c r="B71" s="6">
        <f t="shared" si="4"/>
        <v>2014</v>
      </c>
      <c r="C71" s="20">
        <f ca="1">'Monthly Data'!O71</f>
        <v>14136513.320189355</v>
      </c>
      <c r="D71" s="20">
        <f>'Monthly Data'!Q71</f>
        <v>214</v>
      </c>
      <c r="E71" s="6">
        <f t="shared" ca="1" si="3"/>
        <v>176.42</v>
      </c>
      <c r="F71" s="6">
        <f t="shared" ca="1" si="3"/>
        <v>10.18</v>
      </c>
      <c r="G71" s="6">
        <f>'Monthly Data'!AK71</f>
        <v>158.30000000000001</v>
      </c>
      <c r="H71" s="6">
        <f>'Monthly Data'!AO71</f>
        <v>70</v>
      </c>
      <c r="I71" s="6">
        <f>'Monthly Data'!AQ71</f>
        <v>0</v>
      </c>
      <c r="J71" s="6">
        <f>'Monthly Data'!AW71</f>
        <v>0</v>
      </c>
      <c r="K71" s="6">
        <f>'Monthly Data'!AX71</f>
        <v>0</v>
      </c>
      <c r="L71" s="6">
        <f>'Monthly Data'!AY71</f>
        <v>1</v>
      </c>
      <c r="M71" s="6">
        <f>'Monthly Data'!AZ71</f>
        <v>0</v>
      </c>
      <c r="O71" s="20">
        <f>'GS &gt; 50 OLS model'!$B$5</f>
        <v>-11694573.8944258</v>
      </c>
      <c r="P71" s="20">
        <f>'GS &gt; 50 OLS model'!$B$6*D71</f>
        <v>10845409.719618546</v>
      </c>
      <c r="Q71" s="20">
        <f ca="1">'GS &gt; 50 OLS model'!$B$7*E71</f>
        <v>473065.91534702422</v>
      </c>
      <c r="R71" s="20">
        <f ca="1">'GS &gt; 50 OLS model'!$B$8*F71</f>
        <v>150482.97878517999</v>
      </c>
      <c r="S71" s="20">
        <f>'GS &gt; 50 OLS model'!$B$9*G71</f>
        <v>13268550.143156722</v>
      </c>
      <c r="T71" s="20">
        <f>'GS &gt; 50 OLS model'!$B$10*H71</f>
        <v>900234.52290021605</v>
      </c>
      <c r="U71" s="20">
        <f>'GS &gt; 50 OLS model'!$B$11*I71</f>
        <v>0</v>
      </c>
      <c r="V71" s="20">
        <f>'GS &gt; 50 OLS model'!$B$12*J71</f>
        <v>0</v>
      </c>
      <c r="W71" s="20">
        <f>'GS &gt; 50 OLS model'!$B$13*K71</f>
        <v>0</v>
      </c>
      <c r="X71" s="20">
        <f>'GS &gt; 50 OLS model'!$B$14*L71</f>
        <v>1466841.9423256</v>
      </c>
      <c r="Y71" s="20">
        <f>'GS &gt; 50 OLS model'!$B$15*M71</f>
        <v>0</v>
      </c>
      <c r="Z71" s="20">
        <f t="shared" ca="1" si="5"/>
        <v>15410011.327707488</v>
      </c>
    </row>
    <row r="72" spans="1:26" ht="15">
      <c r="A72" s="22">
        <v>41944</v>
      </c>
      <c r="B72" s="6">
        <f t="shared" si="4"/>
        <v>2014</v>
      </c>
      <c r="C72" s="20">
        <f ca="1">'Monthly Data'!O72</f>
        <v>14316064.015974456</v>
      </c>
      <c r="D72" s="20">
        <f>'Monthly Data'!Q72</f>
        <v>203</v>
      </c>
      <c r="E72" s="6">
        <f t="shared" ca="1" si="3"/>
        <v>364.2299999999999</v>
      </c>
      <c r="F72" s="6">
        <f t="shared" ca="1" si="3"/>
        <v>0.05</v>
      </c>
      <c r="G72" s="6">
        <f>'Monthly Data'!AK72</f>
        <v>159.30000000000001</v>
      </c>
      <c r="H72" s="6">
        <f>'Monthly Data'!AO72</f>
        <v>71</v>
      </c>
      <c r="I72" s="6">
        <f>'Monthly Data'!AQ72</f>
        <v>0</v>
      </c>
      <c r="J72" s="6">
        <f>'Monthly Data'!AW72</f>
        <v>0</v>
      </c>
      <c r="K72" s="6">
        <f>'Monthly Data'!AX72</f>
        <v>0</v>
      </c>
      <c r="L72" s="6">
        <f>'Monthly Data'!AY72</f>
        <v>0</v>
      </c>
      <c r="M72" s="6">
        <f>'Monthly Data'!AZ72</f>
        <v>1</v>
      </c>
      <c r="O72" s="20">
        <f>'GS &gt; 50 OLS model'!$B$5</f>
        <v>-11694573.8944258</v>
      </c>
      <c r="P72" s="20">
        <f>'GS &gt; 50 OLS model'!$B$6*D72</f>
        <v>10287935.388236284</v>
      </c>
      <c r="Q72" s="20">
        <f ca="1">'GS &gt; 50 OLS model'!$B$7*E72</f>
        <v>976673.83713210851</v>
      </c>
      <c r="R72" s="20">
        <f ca="1">'GS &gt; 50 OLS model'!$B$8*F72</f>
        <v>739.11089776611004</v>
      </c>
      <c r="S72" s="20">
        <f>'GS &gt; 50 OLS model'!$B$9*G72</f>
        <v>13352369.158590434</v>
      </c>
      <c r="T72" s="20">
        <f>'GS &gt; 50 OLS model'!$B$10*H72</f>
        <v>913095.01608450478</v>
      </c>
      <c r="U72" s="20">
        <f>'GS &gt; 50 OLS model'!$B$11*I72</f>
        <v>0</v>
      </c>
      <c r="V72" s="20">
        <f>'GS &gt; 50 OLS model'!$B$12*J72</f>
        <v>0</v>
      </c>
      <c r="W72" s="20">
        <f>'GS &gt; 50 OLS model'!$B$13*K72</f>
        <v>0</v>
      </c>
      <c r="X72" s="20">
        <f>'GS &gt; 50 OLS model'!$B$14*L72</f>
        <v>0</v>
      </c>
      <c r="Y72" s="20">
        <f>'GS &gt; 50 OLS model'!$B$15*M72</f>
        <v>671693.73401239095</v>
      </c>
      <c r="Z72" s="20">
        <f t="shared" ca="1" si="5"/>
        <v>14507932.350527689</v>
      </c>
    </row>
    <row r="73" spans="1:26" ht="15">
      <c r="A73" s="22">
        <v>41974</v>
      </c>
      <c r="B73" s="6">
        <f t="shared" si="4"/>
        <v>2014</v>
      </c>
      <c r="C73" s="20">
        <f ca="1">'Monthly Data'!O73</f>
        <v>14393324.346090155</v>
      </c>
      <c r="D73" s="20">
        <f>'Monthly Data'!Q73</f>
        <v>207</v>
      </c>
      <c r="E73" s="6">
        <f t="shared" ca="1" si="3"/>
        <v>552.31000000000006</v>
      </c>
      <c r="F73" s="6">
        <f t="shared" ca="1" si="3"/>
        <v>0</v>
      </c>
      <c r="G73" s="6">
        <f>'Monthly Data'!AK73</f>
        <v>161.1</v>
      </c>
      <c r="H73" s="6">
        <f>'Monthly Data'!AO73</f>
        <v>72</v>
      </c>
      <c r="I73" s="6">
        <f>'Monthly Data'!AQ73</f>
        <v>0</v>
      </c>
      <c r="J73" s="6">
        <f>'Monthly Data'!AW73</f>
        <v>0</v>
      </c>
      <c r="K73" s="6">
        <f>'Monthly Data'!AX73</f>
        <v>0</v>
      </c>
      <c r="L73" s="6">
        <f>'Monthly Data'!AY73</f>
        <v>0</v>
      </c>
      <c r="M73" s="6">
        <f>'Monthly Data'!AZ73</f>
        <v>0</v>
      </c>
      <c r="O73" s="20">
        <f>'GS &gt; 50 OLS model'!$B$5</f>
        <v>-11694573.8944258</v>
      </c>
      <c r="P73" s="20">
        <f>'GS &gt; 50 OLS model'!$B$6*D73</f>
        <v>10490653.326920742</v>
      </c>
      <c r="Q73" s="20">
        <f ca="1">'GS &gt; 50 OLS model'!$B$7*E73</f>
        <v>1481005.7573138815</v>
      </c>
      <c r="R73" s="20">
        <f ca="1">'GS &gt; 50 OLS model'!$B$8*F73</f>
        <v>0</v>
      </c>
      <c r="S73" s="20">
        <f>'GS &gt; 50 OLS model'!$B$9*G73</f>
        <v>13503243.386371115</v>
      </c>
      <c r="T73" s="20">
        <f>'GS &gt; 50 OLS model'!$B$10*H73</f>
        <v>925955.50926879363</v>
      </c>
      <c r="U73" s="20">
        <f>'GS &gt; 50 OLS model'!$B$11*I73</f>
        <v>0</v>
      </c>
      <c r="V73" s="20">
        <f>'GS &gt; 50 OLS model'!$B$12*J73</f>
        <v>0</v>
      </c>
      <c r="W73" s="20">
        <f>'GS &gt; 50 OLS model'!$B$13*K73</f>
        <v>0</v>
      </c>
      <c r="X73" s="20">
        <f>'GS &gt; 50 OLS model'!$B$14*L73</f>
        <v>0</v>
      </c>
      <c r="Y73" s="20">
        <f>'GS &gt; 50 OLS model'!$B$15*M73</f>
        <v>0</v>
      </c>
      <c r="Z73" s="20">
        <f t="shared" ca="1" si="5"/>
        <v>14706284.085448733</v>
      </c>
    </row>
    <row r="74" spans="1:26" ht="15">
      <c r="A74" s="22">
        <v>42005</v>
      </c>
      <c r="B74" s="6">
        <f t="shared" si="4"/>
        <v>2015</v>
      </c>
      <c r="C74" s="20">
        <f ca="1">'Monthly Data'!O74</f>
        <v>15292979.442877699</v>
      </c>
      <c r="D74" s="20">
        <f>'Monthly Data'!Q74</f>
        <v>210</v>
      </c>
      <c r="E74" s="6">
        <f t="shared" ca="1" si="3"/>
        <v>661.18999999999994</v>
      </c>
      <c r="F74" s="6">
        <f t="shared" ca="1" si="3"/>
        <v>0</v>
      </c>
      <c r="G74" s="6">
        <f>'Monthly Data'!AK74</f>
        <v>159.30000000000001</v>
      </c>
      <c r="H74" s="6">
        <f>'Monthly Data'!AO74</f>
        <v>73</v>
      </c>
      <c r="I74" s="6">
        <f>'Monthly Data'!AQ74</f>
        <v>0</v>
      </c>
      <c r="J74" s="6">
        <f>'Monthly Data'!AW74</f>
        <v>0</v>
      </c>
      <c r="K74" s="6">
        <f>'Monthly Data'!AX74</f>
        <v>0</v>
      </c>
      <c r="L74" s="6">
        <f>'Monthly Data'!AY74</f>
        <v>0</v>
      </c>
      <c r="M74" s="6">
        <f>'Monthly Data'!AZ74</f>
        <v>0</v>
      </c>
      <c r="O74" s="20">
        <f>'GS &gt; 50 OLS model'!$B$5</f>
        <v>-11694573.8944258</v>
      </c>
      <c r="P74" s="20">
        <f>'GS &gt; 50 OLS model'!$B$6*D74</f>
        <v>10642691.780934086</v>
      </c>
      <c r="Q74" s="20">
        <f ca="1">'GS &gt; 50 OLS model'!$B$7*E74</f>
        <v>1772964.8144671745</v>
      </c>
      <c r="R74" s="20">
        <f ca="1">'GS &gt; 50 OLS model'!$B$8*F74</f>
        <v>0</v>
      </c>
      <c r="S74" s="20">
        <f>'GS &gt; 50 OLS model'!$B$9*G74</f>
        <v>13352369.158590434</v>
      </c>
      <c r="T74" s="20">
        <f>'GS &gt; 50 OLS model'!$B$10*H74</f>
        <v>938816.00245308236</v>
      </c>
      <c r="U74" s="20">
        <f>'GS &gt; 50 OLS model'!$B$11*I74</f>
        <v>0</v>
      </c>
      <c r="V74" s="20">
        <f>'GS &gt; 50 OLS model'!$B$12*J74</f>
        <v>0</v>
      </c>
      <c r="W74" s="20">
        <f>'GS &gt; 50 OLS model'!$B$13*K74</f>
        <v>0</v>
      </c>
      <c r="X74" s="20">
        <f>'GS &gt; 50 OLS model'!$B$14*L74</f>
        <v>0</v>
      </c>
      <c r="Y74" s="20">
        <f>'GS &gt; 50 OLS model'!$B$15*M74</f>
        <v>0</v>
      </c>
      <c r="Z74" s="20">
        <f t="shared" ca="1" si="5"/>
        <v>15012267.862018978</v>
      </c>
    </row>
    <row r="75" spans="1:26" ht="15">
      <c r="A75" s="22">
        <v>42036</v>
      </c>
      <c r="B75" s="6">
        <f t="shared" si="4"/>
        <v>2015</v>
      </c>
      <c r="C75" s="20">
        <f ca="1">'Monthly Data'!O75</f>
        <v>13718905.410599297</v>
      </c>
      <c r="D75" s="20">
        <f>'Monthly Data'!Q75</f>
        <v>209</v>
      </c>
      <c r="E75" s="6">
        <f t="shared" ca="1" si="3"/>
        <v>598.16999999999985</v>
      </c>
      <c r="F75" s="6">
        <f t="shared" ca="1" si="3"/>
        <v>0</v>
      </c>
      <c r="G75" s="6">
        <f>'Monthly Data'!AK75</f>
        <v>159.1</v>
      </c>
      <c r="H75" s="6">
        <f>'Monthly Data'!AO75</f>
        <v>74</v>
      </c>
      <c r="I75" s="6">
        <f>'Monthly Data'!AQ75</f>
        <v>1</v>
      </c>
      <c r="J75" s="6">
        <f>'Monthly Data'!AW75</f>
        <v>0</v>
      </c>
      <c r="K75" s="6">
        <f>'Monthly Data'!AX75</f>
        <v>0</v>
      </c>
      <c r="L75" s="6">
        <f>'Monthly Data'!AY75</f>
        <v>0</v>
      </c>
      <c r="M75" s="6">
        <f>'Monthly Data'!AZ75</f>
        <v>0</v>
      </c>
      <c r="O75" s="20">
        <f>'GS &gt; 50 OLS model'!$B$5</f>
        <v>-11694573.8944258</v>
      </c>
      <c r="P75" s="20">
        <f>'GS &gt; 50 OLS model'!$B$6*D75</f>
        <v>10592012.296262972</v>
      </c>
      <c r="Q75" s="20">
        <f ca="1">'GS &gt; 50 OLS model'!$B$7*E75</f>
        <v>1603978.225729109</v>
      </c>
      <c r="R75" s="20">
        <f ca="1">'GS &gt; 50 OLS model'!$B$8*F75</f>
        <v>0</v>
      </c>
      <c r="S75" s="20">
        <f>'GS &gt; 50 OLS model'!$B$9*G75</f>
        <v>13335605.355503691</v>
      </c>
      <c r="T75" s="20">
        <f>'GS &gt; 50 OLS model'!$B$10*H75</f>
        <v>951676.4956373712</v>
      </c>
      <c r="U75" s="20">
        <f>'GS &gt; 50 OLS model'!$B$11*I75</f>
        <v>-797686.81375559501</v>
      </c>
      <c r="V75" s="20">
        <f>'GS &gt; 50 OLS model'!$B$12*J75</f>
        <v>0</v>
      </c>
      <c r="W75" s="20">
        <f>'GS &gt; 50 OLS model'!$B$13*K75</f>
        <v>0</v>
      </c>
      <c r="X75" s="20">
        <f>'GS &gt; 50 OLS model'!$B$14*L75</f>
        <v>0</v>
      </c>
      <c r="Y75" s="20">
        <f>'GS &gt; 50 OLS model'!$B$15*M75</f>
        <v>0</v>
      </c>
      <c r="Z75" s="20">
        <f t="shared" ca="1" si="5"/>
        <v>13991011.664951749</v>
      </c>
    </row>
    <row r="76" spans="1:26" ht="15">
      <c r="A76" s="22">
        <v>42064</v>
      </c>
      <c r="B76" s="6">
        <f t="shared" si="4"/>
        <v>2015</v>
      </c>
      <c r="C76" s="20">
        <f ca="1">'Monthly Data'!O76</f>
        <v>14249105.727115598</v>
      </c>
      <c r="D76" s="20">
        <f>'Monthly Data'!Q76</f>
        <v>209</v>
      </c>
      <c r="E76" s="6">
        <f t="shared" ca="1" si="3"/>
        <v>451.34</v>
      </c>
      <c r="F76" s="6">
        <f t="shared" ca="1" si="3"/>
        <v>0.88000000000000012</v>
      </c>
      <c r="G76" s="6">
        <f>'Monthly Data'!AK76</f>
        <v>156.1</v>
      </c>
      <c r="H76" s="6">
        <f>'Monthly Data'!AO76</f>
        <v>75</v>
      </c>
      <c r="I76" s="6">
        <f>'Monthly Data'!AQ76</f>
        <v>0</v>
      </c>
      <c r="J76" s="6">
        <f>'Monthly Data'!AW76</f>
        <v>0</v>
      </c>
      <c r="K76" s="6">
        <f>'Monthly Data'!AX76</f>
        <v>0</v>
      </c>
      <c r="L76" s="6">
        <f>'Monthly Data'!AY76</f>
        <v>0</v>
      </c>
      <c r="M76" s="6">
        <f>'Monthly Data'!AZ76</f>
        <v>0</v>
      </c>
      <c r="O76" s="20">
        <f>'GS &gt; 50 OLS model'!$B$5</f>
        <v>-11694573.8944258</v>
      </c>
      <c r="P76" s="20">
        <f>'GS &gt; 50 OLS model'!$B$6*D76</f>
        <v>10592012.296262972</v>
      </c>
      <c r="Q76" s="20">
        <f ca="1">'GS &gt; 50 OLS model'!$B$7*E76</f>
        <v>1210257.1717080032</v>
      </c>
      <c r="R76" s="20">
        <f ca="1">'GS &gt; 50 OLS model'!$B$8*F76</f>
        <v>13008.351800683537</v>
      </c>
      <c r="S76" s="20">
        <f>'GS &gt; 50 OLS model'!$B$9*G76</f>
        <v>13084148.309202552</v>
      </c>
      <c r="T76" s="20">
        <f>'GS &gt; 50 OLS model'!$B$10*H76</f>
        <v>964536.98882166005</v>
      </c>
      <c r="U76" s="20">
        <f>'GS &gt; 50 OLS model'!$B$11*I76</f>
        <v>0</v>
      </c>
      <c r="V76" s="20">
        <f>'GS &gt; 50 OLS model'!$B$12*J76</f>
        <v>0</v>
      </c>
      <c r="W76" s="20">
        <f>'GS &gt; 50 OLS model'!$B$13*K76</f>
        <v>0</v>
      </c>
      <c r="X76" s="20">
        <f>'GS &gt; 50 OLS model'!$B$14*L76</f>
        <v>0</v>
      </c>
      <c r="Y76" s="20">
        <f>'GS &gt; 50 OLS model'!$B$15*M76</f>
        <v>0</v>
      </c>
      <c r="Z76" s="20">
        <f t="shared" ca="1" si="5"/>
        <v>14169389.22337007</v>
      </c>
    </row>
    <row r="77" spans="1:26" ht="15">
      <c r="A77" s="22">
        <v>42095</v>
      </c>
      <c r="B77" s="6">
        <f t="shared" si="4"/>
        <v>2015</v>
      </c>
      <c r="C77" s="20">
        <f ca="1">'Monthly Data'!O77</f>
        <v>13550882.035712998</v>
      </c>
      <c r="D77" s="20">
        <f>'Monthly Data'!Q77</f>
        <v>209</v>
      </c>
      <c r="E77" s="6">
        <f t="shared" ca="1" si="3"/>
        <v>259.5499999999999</v>
      </c>
      <c r="F77" s="6">
        <f t="shared" ca="1" si="3"/>
        <v>2.4500000000000002</v>
      </c>
      <c r="G77" s="6">
        <f>'Monthly Data'!AK77</f>
        <v>156.4</v>
      </c>
      <c r="H77" s="6">
        <f>'Monthly Data'!AO77</f>
        <v>76</v>
      </c>
      <c r="I77" s="6">
        <f>'Monthly Data'!AQ77</f>
        <v>0</v>
      </c>
      <c r="J77" s="6">
        <f>'Monthly Data'!AW77</f>
        <v>0</v>
      </c>
      <c r="K77" s="6">
        <f>'Monthly Data'!AX77</f>
        <v>0</v>
      </c>
      <c r="L77" s="6">
        <f>'Monthly Data'!AY77</f>
        <v>0</v>
      </c>
      <c r="M77" s="6">
        <f>'Monthly Data'!AZ77</f>
        <v>0</v>
      </c>
      <c r="O77" s="20">
        <f>'GS &gt; 50 OLS model'!$B$5</f>
        <v>-11694573.8944258</v>
      </c>
      <c r="P77" s="20">
        <f>'GS &gt; 50 OLS model'!$B$6*D77</f>
        <v>10592012.296262972</v>
      </c>
      <c r="Q77" s="20">
        <f ca="1">'GS &gt; 50 OLS model'!$B$7*E77</f>
        <v>695976.9772606286</v>
      </c>
      <c r="R77" s="20">
        <f ca="1">'GS &gt; 50 OLS model'!$B$8*F77</f>
        <v>36216.433990539394</v>
      </c>
      <c r="S77" s="20">
        <f>'GS &gt; 50 OLS model'!$B$9*G77</f>
        <v>13109294.013832668</v>
      </c>
      <c r="T77" s="20">
        <f>'GS &gt; 50 OLS model'!$B$10*H77</f>
        <v>977397.48200594878</v>
      </c>
      <c r="U77" s="20">
        <f>'GS &gt; 50 OLS model'!$B$11*I77</f>
        <v>0</v>
      </c>
      <c r="V77" s="20">
        <f>'GS &gt; 50 OLS model'!$B$12*J77</f>
        <v>0</v>
      </c>
      <c r="W77" s="20">
        <f>'GS &gt; 50 OLS model'!$B$13*K77</f>
        <v>0</v>
      </c>
      <c r="X77" s="20">
        <f>'GS &gt; 50 OLS model'!$B$14*L77</f>
        <v>0</v>
      </c>
      <c r="Y77" s="20">
        <f>'GS &gt; 50 OLS model'!$B$15*M77</f>
        <v>0</v>
      </c>
      <c r="Z77" s="20">
        <f t="shared" ca="1" si="5"/>
        <v>13716323.308926957</v>
      </c>
    </row>
    <row r="78" spans="1:26" ht="15">
      <c r="A78" s="22">
        <v>42125</v>
      </c>
      <c r="B78" s="6">
        <f t="shared" si="4"/>
        <v>2015</v>
      </c>
      <c r="C78" s="20">
        <f ca="1">'Monthly Data'!O78</f>
        <v>14127007.598327398</v>
      </c>
      <c r="D78" s="20">
        <f>'Monthly Data'!Q78</f>
        <v>209</v>
      </c>
      <c r="E78" s="6">
        <f t="shared" ca="1" si="3"/>
        <v>88.880000000000024</v>
      </c>
      <c r="F78" s="6">
        <f t="shared" ca="1" si="3"/>
        <v>43.79999999999999</v>
      </c>
      <c r="G78" s="6">
        <f>'Monthly Data'!AK78</f>
        <v>159.1</v>
      </c>
      <c r="H78" s="6">
        <f>'Monthly Data'!AO78</f>
        <v>77</v>
      </c>
      <c r="I78" s="6">
        <f>'Monthly Data'!AQ78</f>
        <v>0</v>
      </c>
      <c r="J78" s="6">
        <f>'Monthly Data'!AW78</f>
        <v>0</v>
      </c>
      <c r="K78" s="6">
        <f>'Monthly Data'!AX78</f>
        <v>0</v>
      </c>
      <c r="L78" s="6">
        <f>'Monthly Data'!AY78</f>
        <v>0</v>
      </c>
      <c r="M78" s="6">
        <f>'Monthly Data'!AZ78</f>
        <v>0</v>
      </c>
      <c r="O78" s="20">
        <f>'GS &gt; 50 OLS model'!$B$5</f>
        <v>-11694573.8944258</v>
      </c>
      <c r="P78" s="20">
        <f>'GS &gt; 50 OLS model'!$B$6*D78</f>
        <v>10592012.296262972</v>
      </c>
      <c r="Q78" s="20">
        <f ca="1">'GS &gt; 50 OLS model'!$B$7*E78</f>
        <v>238329.54628751572</v>
      </c>
      <c r="R78" s="20">
        <f ca="1">'GS &gt; 50 OLS model'!$B$8*F78</f>
        <v>647461.14644311217</v>
      </c>
      <c r="S78" s="20">
        <f>'GS &gt; 50 OLS model'!$B$9*G78</f>
        <v>13335605.355503691</v>
      </c>
      <c r="T78" s="20">
        <f>'GS &gt; 50 OLS model'!$B$10*H78</f>
        <v>990257.97519023763</v>
      </c>
      <c r="U78" s="20">
        <f>'GS &gt; 50 OLS model'!$B$11*I78</f>
        <v>0</v>
      </c>
      <c r="V78" s="20">
        <f>'GS &gt; 50 OLS model'!$B$12*J78</f>
        <v>0</v>
      </c>
      <c r="W78" s="20">
        <f>'GS &gt; 50 OLS model'!$B$13*K78</f>
        <v>0</v>
      </c>
      <c r="X78" s="20">
        <f>'GS &gt; 50 OLS model'!$B$14*L78</f>
        <v>0</v>
      </c>
      <c r="Y78" s="20">
        <f>'GS &gt; 50 OLS model'!$B$15*M78</f>
        <v>0</v>
      </c>
      <c r="Z78" s="20">
        <f t="shared" ca="1" si="5"/>
        <v>14109092.425261728</v>
      </c>
    </row>
    <row r="79" spans="1:26" ht="15">
      <c r="A79" s="22">
        <v>42156</v>
      </c>
      <c r="B79" s="6">
        <f t="shared" si="4"/>
        <v>2015</v>
      </c>
      <c r="C79" s="20">
        <f ca="1">'Monthly Data'!O79</f>
        <v>14819671.828454498</v>
      </c>
      <c r="D79" s="20">
        <f>'Monthly Data'!Q79</f>
        <v>210</v>
      </c>
      <c r="E79" s="6">
        <f t="shared" ref="E79:F121" ca="1" si="6">E67</f>
        <v>9.77</v>
      </c>
      <c r="F79" s="6">
        <f t="shared" ca="1" si="6"/>
        <v>117.38999999999999</v>
      </c>
      <c r="G79" s="6">
        <f>'Monthly Data'!AK79</f>
        <v>163.9</v>
      </c>
      <c r="H79" s="6">
        <f>'Monthly Data'!AO79</f>
        <v>78</v>
      </c>
      <c r="I79" s="6">
        <f>'Monthly Data'!AQ79</f>
        <v>0</v>
      </c>
      <c r="J79" s="6">
        <f>'Monthly Data'!AW79</f>
        <v>0</v>
      </c>
      <c r="K79" s="6">
        <f>'Monthly Data'!AX79</f>
        <v>0</v>
      </c>
      <c r="L79" s="6">
        <f>'Monthly Data'!AY79</f>
        <v>0</v>
      </c>
      <c r="M79" s="6">
        <f>'Monthly Data'!AZ79</f>
        <v>0</v>
      </c>
      <c r="O79" s="20">
        <f>'GS &gt; 50 OLS model'!$B$5</f>
        <v>-11694573.8944258</v>
      </c>
      <c r="P79" s="20">
        <f>'GS &gt; 50 OLS model'!$B$6*D79</f>
        <v>10642691.780934086</v>
      </c>
      <c r="Q79" s="20">
        <f ca="1">'GS &gt; 50 OLS model'!$B$7*E79</f>
        <v>26198.016057932356</v>
      </c>
      <c r="R79" s="20">
        <f ca="1">'GS &gt; 50 OLS model'!$B$8*F79</f>
        <v>1735284.5657752729</v>
      </c>
      <c r="S79" s="20">
        <f>'GS &gt; 50 OLS model'!$B$9*G79</f>
        <v>13737936.629585512</v>
      </c>
      <c r="T79" s="20">
        <f>'GS &gt; 50 OLS model'!$B$10*H79</f>
        <v>1003118.4683745264</v>
      </c>
      <c r="U79" s="20">
        <f>'GS &gt; 50 OLS model'!$B$11*I79</f>
        <v>0</v>
      </c>
      <c r="V79" s="20">
        <f>'GS &gt; 50 OLS model'!$B$12*J79</f>
        <v>0</v>
      </c>
      <c r="W79" s="20">
        <f>'GS &gt; 50 OLS model'!$B$13*K79</f>
        <v>0</v>
      </c>
      <c r="X79" s="20">
        <f>'GS &gt; 50 OLS model'!$B$14*L79</f>
        <v>0</v>
      </c>
      <c r="Y79" s="20">
        <f>'GS &gt; 50 OLS model'!$B$15*M79</f>
        <v>0</v>
      </c>
      <c r="Z79" s="20">
        <f t="shared" ca="1" si="5"/>
        <v>15450655.56630153</v>
      </c>
    </row>
    <row r="80" spans="1:26" ht="15">
      <c r="A80" s="22">
        <v>42186</v>
      </c>
      <c r="B80" s="6">
        <f t="shared" si="4"/>
        <v>2015</v>
      </c>
      <c r="C80" s="20">
        <f ca="1">'Monthly Data'!O80</f>
        <v>17164140.077347599</v>
      </c>
      <c r="D80" s="20">
        <f>'Monthly Data'!Q80</f>
        <v>211</v>
      </c>
      <c r="E80" s="6">
        <f t="shared" ca="1" si="6"/>
        <v>0.58000000000000007</v>
      </c>
      <c r="F80" s="6">
        <f t="shared" ca="1" si="6"/>
        <v>179.70999999999998</v>
      </c>
      <c r="G80" s="6">
        <f>'Monthly Data'!AK80</f>
        <v>164.8</v>
      </c>
      <c r="H80" s="6">
        <f>'Monthly Data'!AO80</f>
        <v>79</v>
      </c>
      <c r="I80" s="6">
        <f>'Monthly Data'!AQ80</f>
        <v>0</v>
      </c>
      <c r="J80" s="6">
        <f>'Monthly Data'!AW80</f>
        <v>0</v>
      </c>
      <c r="K80" s="6">
        <f>'Monthly Data'!AX80</f>
        <v>0</v>
      </c>
      <c r="L80" s="6">
        <f>'Monthly Data'!AY80</f>
        <v>0</v>
      </c>
      <c r="M80" s="6">
        <f>'Monthly Data'!AZ80</f>
        <v>0</v>
      </c>
      <c r="O80" s="20">
        <f>'GS &gt; 50 OLS model'!$B$5</f>
        <v>-11694573.8944258</v>
      </c>
      <c r="P80" s="20">
        <f>'GS &gt; 50 OLS model'!$B$6*D80</f>
        <v>10693371.2656052</v>
      </c>
      <c r="Q80" s="20">
        <f ca="1">'GS &gt; 50 OLS model'!$B$7*E80</f>
        <v>1555.2558151075507</v>
      </c>
      <c r="R80" s="20">
        <f ca="1">'GS &gt; 50 OLS model'!$B$8*F80</f>
        <v>2656512.3887509522</v>
      </c>
      <c r="S80" s="20">
        <f>'GS &gt; 50 OLS model'!$B$9*G80</f>
        <v>13813373.743475854</v>
      </c>
      <c r="T80" s="20">
        <f>'GS &gt; 50 OLS model'!$B$10*H80</f>
        <v>1015978.9615588152</v>
      </c>
      <c r="U80" s="20">
        <f>'GS &gt; 50 OLS model'!$B$11*I80</f>
        <v>0</v>
      </c>
      <c r="V80" s="20">
        <f>'GS &gt; 50 OLS model'!$B$12*J80</f>
        <v>0</v>
      </c>
      <c r="W80" s="20">
        <f>'GS &gt; 50 OLS model'!$B$13*K80</f>
        <v>0</v>
      </c>
      <c r="X80" s="20">
        <f>'GS &gt; 50 OLS model'!$B$14*L80</f>
        <v>0</v>
      </c>
      <c r="Y80" s="20">
        <f>'GS &gt; 50 OLS model'!$B$15*M80</f>
        <v>0</v>
      </c>
      <c r="Z80" s="20">
        <f t="shared" ca="1" si="5"/>
        <v>16486217.720780129</v>
      </c>
    </row>
    <row r="81" spans="1:26" ht="15">
      <c r="A81" s="22">
        <v>42217</v>
      </c>
      <c r="B81" s="6">
        <f t="shared" si="4"/>
        <v>2015</v>
      </c>
      <c r="C81" s="20">
        <f ca="1">'Monthly Data'!O81</f>
        <v>17217721.319291797</v>
      </c>
      <c r="D81" s="20">
        <f>'Monthly Data'!Q81</f>
        <v>213</v>
      </c>
      <c r="E81" s="6">
        <f t="shared" ca="1" si="6"/>
        <v>1.7099999999999997</v>
      </c>
      <c r="F81" s="6">
        <f t="shared" ca="1" si="6"/>
        <v>158.1</v>
      </c>
      <c r="G81" s="6">
        <f>'Monthly Data'!AK81</f>
        <v>160.80000000000001</v>
      </c>
      <c r="H81" s="6">
        <f>'Monthly Data'!AO81</f>
        <v>80</v>
      </c>
      <c r="I81" s="6">
        <f>'Monthly Data'!AQ81</f>
        <v>0</v>
      </c>
      <c r="J81" s="6">
        <f>'Monthly Data'!AW81</f>
        <v>1</v>
      </c>
      <c r="K81" s="6">
        <f>'Monthly Data'!AX81</f>
        <v>0</v>
      </c>
      <c r="L81" s="6">
        <f>'Monthly Data'!AY81</f>
        <v>0</v>
      </c>
      <c r="M81" s="6">
        <f>'Monthly Data'!AZ81</f>
        <v>0</v>
      </c>
      <c r="O81" s="20">
        <f>'GS &gt; 50 OLS model'!$B$5</f>
        <v>-11694573.8944258</v>
      </c>
      <c r="P81" s="20">
        <f>'GS &gt; 50 OLS model'!$B$6*D81</f>
        <v>10794730.23494743</v>
      </c>
      <c r="Q81" s="20">
        <f ca="1">'GS &gt; 50 OLS model'!$B$7*E81</f>
        <v>4585.3231790239843</v>
      </c>
      <c r="R81" s="20">
        <f ca="1">'GS &gt; 50 OLS model'!$B$8*F81</f>
        <v>2337068.6587364399</v>
      </c>
      <c r="S81" s="20">
        <f>'GS &gt; 50 OLS model'!$B$9*G81</f>
        <v>13478097.681741003</v>
      </c>
      <c r="T81" s="20">
        <f>'GS &gt; 50 OLS model'!$B$10*H81</f>
        <v>1028839.4547431041</v>
      </c>
      <c r="U81" s="20">
        <f>'GS &gt; 50 OLS model'!$B$11*I81</f>
        <v>0</v>
      </c>
      <c r="V81" s="20">
        <f>'GS &gt; 50 OLS model'!$B$12*J81</f>
        <v>1257541.23571065</v>
      </c>
      <c r="W81" s="20">
        <f>'GS &gt; 50 OLS model'!$B$13*K81</f>
        <v>0</v>
      </c>
      <c r="X81" s="20">
        <f>'GS &gt; 50 OLS model'!$B$14*L81</f>
        <v>0</v>
      </c>
      <c r="Y81" s="20">
        <f>'GS &gt; 50 OLS model'!$B$15*M81</f>
        <v>0</v>
      </c>
      <c r="Z81" s="20">
        <f t="shared" ca="1" si="5"/>
        <v>17206288.694631852</v>
      </c>
    </row>
    <row r="82" spans="1:26" ht="15">
      <c r="A82" s="22">
        <v>42248</v>
      </c>
      <c r="B82" s="6">
        <f t="shared" si="4"/>
        <v>2015</v>
      </c>
      <c r="C82" s="20">
        <f ca="1">'Monthly Data'!O82</f>
        <v>17819369.446930595</v>
      </c>
      <c r="D82" s="20">
        <f>'Monthly Data'!Q82</f>
        <v>221</v>
      </c>
      <c r="E82" s="6">
        <f t="shared" ca="1" si="6"/>
        <v>32.68</v>
      </c>
      <c r="F82" s="6">
        <f t="shared" ca="1" si="6"/>
        <v>67.34</v>
      </c>
      <c r="G82" s="6">
        <f>'Monthly Data'!AK82</f>
        <v>156.69999999999999</v>
      </c>
      <c r="H82" s="6">
        <f>'Monthly Data'!AO82</f>
        <v>81</v>
      </c>
      <c r="I82" s="6">
        <f>'Monthly Data'!AQ82</f>
        <v>0</v>
      </c>
      <c r="J82" s="6">
        <f>'Monthly Data'!AW82</f>
        <v>0</v>
      </c>
      <c r="K82" s="6">
        <f>'Monthly Data'!AX82</f>
        <v>1</v>
      </c>
      <c r="L82" s="6">
        <f>'Monthly Data'!AY82</f>
        <v>0</v>
      </c>
      <c r="M82" s="6">
        <f>'Monthly Data'!AZ82</f>
        <v>0</v>
      </c>
      <c r="O82" s="20">
        <f>'GS &gt; 50 OLS model'!$B$5</f>
        <v>-11694573.8944258</v>
      </c>
      <c r="P82" s="20">
        <f>'GS &gt; 50 OLS model'!$B$6*D82</f>
        <v>11200166.112316348</v>
      </c>
      <c r="Q82" s="20">
        <f ca="1">'GS &gt; 50 OLS model'!$B$7*E82</f>
        <v>87630.620754680596</v>
      </c>
      <c r="R82" s="20">
        <f ca="1">'GS &gt; 50 OLS model'!$B$8*F82</f>
        <v>995434.55711139692</v>
      </c>
      <c r="S82" s="20">
        <f>'GS &gt; 50 OLS model'!$B$9*G82</f>
        <v>13134439.71846278</v>
      </c>
      <c r="T82" s="20">
        <f>'GS &gt; 50 OLS model'!$B$10*H82</f>
        <v>1041699.9479273928</v>
      </c>
      <c r="U82" s="20">
        <f>'GS &gt; 50 OLS model'!$B$11*I82</f>
        <v>0</v>
      </c>
      <c r="V82" s="20">
        <f>'GS &gt; 50 OLS model'!$B$12*J82</f>
        <v>0</v>
      </c>
      <c r="W82" s="20">
        <f>'GS &gt; 50 OLS model'!$B$13*K82</f>
        <v>1979532.62008895</v>
      </c>
      <c r="X82" s="20">
        <f>'GS &gt; 50 OLS model'!$B$14*L82</f>
        <v>0</v>
      </c>
      <c r="Y82" s="20">
        <f>'GS &gt; 50 OLS model'!$B$15*M82</f>
        <v>0</v>
      </c>
      <c r="Z82" s="20">
        <f t="shared" ca="1" si="5"/>
        <v>16744329.682235748</v>
      </c>
    </row>
    <row r="83" spans="1:26" ht="15">
      <c r="A83" s="22">
        <v>42278</v>
      </c>
      <c r="B83" s="6">
        <f t="shared" si="4"/>
        <v>2015</v>
      </c>
      <c r="C83" s="20">
        <f ca="1">'Monthly Data'!O83</f>
        <v>15846417.326269798</v>
      </c>
      <c r="D83" s="20">
        <f>'Monthly Data'!Q83</f>
        <v>212</v>
      </c>
      <c r="E83" s="6">
        <f t="shared" ca="1" si="6"/>
        <v>176.42</v>
      </c>
      <c r="F83" s="6">
        <f t="shared" ca="1" si="6"/>
        <v>10.18</v>
      </c>
      <c r="G83" s="6">
        <f>'Monthly Data'!AK83</f>
        <v>155.1</v>
      </c>
      <c r="H83" s="6">
        <f>'Monthly Data'!AO83</f>
        <v>82</v>
      </c>
      <c r="I83" s="6">
        <f>'Monthly Data'!AQ83</f>
        <v>0</v>
      </c>
      <c r="J83" s="6">
        <f>'Monthly Data'!AW83</f>
        <v>0</v>
      </c>
      <c r="K83" s="6">
        <f>'Monthly Data'!AX83</f>
        <v>0</v>
      </c>
      <c r="L83" s="6">
        <f>'Monthly Data'!AY83</f>
        <v>1</v>
      </c>
      <c r="M83" s="6">
        <f>'Monthly Data'!AZ83</f>
        <v>0</v>
      </c>
      <c r="O83" s="20">
        <f>'GS &gt; 50 OLS model'!$B$5</f>
        <v>-11694573.8944258</v>
      </c>
      <c r="P83" s="20">
        <f>'GS &gt; 50 OLS model'!$B$6*D83</f>
        <v>10744050.750276316</v>
      </c>
      <c r="Q83" s="20">
        <f ca="1">'GS &gt; 50 OLS model'!$B$7*E83</f>
        <v>473065.91534702422</v>
      </c>
      <c r="R83" s="20">
        <f ca="1">'GS &gt; 50 OLS model'!$B$8*F83</f>
        <v>150482.97878517999</v>
      </c>
      <c r="S83" s="20">
        <f>'GS &gt; 50 OLS model'!$B$9*G83</f>
        <v>13000329.29376884</v>
      </c>
      <c r="T83" s="20">
        <f>'GS &gt; 50 OLS model'!$B$10*H83</f>
        <v>1054560.4411116815</v>
      </c>
      <c r="U83" s="20">
        <f>'GS &gt; 50 OLS model'!$B$11*I83</f>
        <v>0</v>
      </c>
      <c r="V83" s="20">
        <f>'GS &gt; 50 OLS model'!$B$12*J83</f>
        <v>0</v>
      </c>
      <c r="W83" s="20">
        <f>'GS &gt; 50 OLS model'!$B$13*K83</f>
        <v>0</v>
      </c>
      <c r="X83" s="20">
        <f>'GS &gt; 50 OLS model'!$B$14*L83</f>
        <v>1466841.9423256</v>
      </c>
      <c r="Y83" s="20">
        <f>'GS &gt; 50 OLS model'!$B$15*M83</f>
        <v>0</v>
      </c>
      <c r="Z83" s="20">
        <f t="shared" ca="1" si="5"/>
        <v>15194757.427188842</v>
      </c>
    </row>
    <row r="84" spans="1:26" ht="15">
      <c r="A84" s="22">
        <v>42309</v>
      </c>
      <c r="B84" s="6">
        <f t="shared" si="4"/>
        <v>2015</v>
      </c>
      <c r="C84" s="20">
        <f ca="1">'Monthly Data'!O84</f>
        <v>15229786.954621598</v>
      </c>
      <c r="D84" s="20">
        <f>'Monthly Data'!Q84</f>
        <v>214</v>
      </c>
      <c r="E84" s="6">
        <f t="shared" ca="1" si="6"/>
        <v>364.2299999999999</v>
      </c>
      <c r="F84" s="6">
        <f t="shared" ca="1" si="6"/>
        <v>0.05</v>
      </c>
      <c r="G84" s="6">
        <f>'Monthly Data'!AK84</f>
        <v>155.19999999999999</v>
      </c>
      <c r="H84" s="6">
        <f>'Monthly Data'!AO84</f>
        <v>83</v>
      </c>
      <c r="I84" s="6">
        <f>'Monthly Data'!AQ84</f>
        <v>0</v>
      </c>
      <c r="J84" s="6">
        <f>'Monthly Data'!AW84</f>
        <v>0</v>
      </c>
      <c r="K84" s="6">
        <f>'Monthly Data'!AX84</f>
        <v>0</v>
      </c>
      <c r="L84" s="6">
        <f>'Monthly Data'!AY84</f>
        <v>0</v>
      </c>
      <c r="M84" s="6">
        <f>'Monthly Data'!AZ84</f>
        <v>1</v>
      </c>
      <c r="O84" s="20">
        <f>'GS &gt; 50 OLS model'!$B$5</f>
        <v>-11694573.8944258</v>
      </c>
      <c r="P84" s="20">
        <f>'GS &gt; 50 OLS model'!$B$6*D84</f>
        <v>10845409.719618546</v>
      </c>
      <c r="Q84" s="20">
        <f ca="1">'GS &gt; 50 OLS model'!$B$7*E84</f>
        <v>976673.83713210851</v>
      </c>
      <c r="R84" s="20">
        <f ca="1">'GS &gt; 50 OLS model'!$B$8*F84</f>
        <v>739.11089776611004</v>
      </c>
      <c r="S84" s="20">
        <f>'GS &gt; 50 OLS model'!$B$9*G84</f>
        <v>13008711.195312211</v>
      </c>
      <c r="T84" s="20">
        <f>'GS &gt; 50 OLS model'!$B$10*H84</f>
        <v>1067420.9342959705</v>
      </c>
      <c r="U84" s="20">
        <f>'GS &gt; 50 OLS model'!$B$11*I84</f>
        <v>0</v>
      </c>
      <c r="V84" s="20">
        <f>'GS &gt; 50 OLS model'!$B$12*J84</f>
        <v>0</v>
      </c>
      <c r="W84" s="20">
        <f>'GS &gt; 50 OLS model'!$B$13*K84</f>
        <v>0</v>
      </c>
      <c r="X84" s="20">
        <f>'GS &gt; 50 OLS model'!$B$14*L84</f>
        <v>0</v>
      </c>
      <c r="Y84" s="20">
        <f>'GS &gt; 50 OLS model'!$B$15*M84</f>
        <v>671693.73401239095</v>
      </c>
      <c r="Z84" s="20">
        <f t="shared" ca="1" si="5"/>
        <v>14876074.636843193</v>
      </c>
    </row>
    <row r="85" spans="1:26" ht="15">
      <c r="A85" s="22">
        <v>42339</v>
      </c>
      <c r="B85" s="6">
        <f t="shared" si="4"/>
        <v>2015</v>
      </c>
      <c r="C85" s="20">
        <f ca="1">'Monthly Data'!O85</f>
        <v>14365011.014332298</v>
      </c>
      <c r="D85" s="20">
        <f>'Monthly Data'!Q85</f>
        <v>216</v>
      </c>
      <c r="E85" s="6">
        <f t="shared" ca="1" si="6"/>
        <v>552.31000000000006</v>
      </c>
      <c r="F85" s="6">
        <f t="shared" ca="1" si="6"/>
        <v>0</v>
      </c>
      <c r="G85" s="6">
        <f>'Monthly Data'!AK85</f>
        <v>155.19999999999999</v>
      </c>
      <c r="H85" s="6">
        <f>'Monthly Data'!AO85</f>
        <v>84</v>
      </c>
      <c r="I85" s="6">
        <f>'Monthly Data'!AQ85</f>
        <v>0</v>
      </c>
      <c r="J85" s="6">
        <f>'Monthly Data'!AW85</f>
        <v>0</v>
      </c>
      <c r="K85" s="6">
        <f>'Monthly Data'!AX85</f>
        <v>0</v>
      </c>
      <c r="L85" s="6">
        <f>'Monthly Data'!AY85</f>
        <v>0</v>
      </c>
      <c r="M85" s="6">
        <f>'Monthly Data'!AZ85</f>
        <v>0</v>
      </c>
      <c r="O85" s="20">
        <f>'GS &gt; 50 OLS model'!$B$5</f>
        <v>-11694573.8944258</v>
      </c>
      <c r="P85" s="20">
        <f>'GS &gt; 50 OLS model'!$B$6*D85</f>
        <v>10946768.688960774</v>
      </c>
      <c r="Q85" s="20">
        <f ca="1">'GS &gt; 50 OLS model'!$B$7*E85</f>
        <v>1481005.7573138815</v>
      </c>
      <c r="R85" s="20">
        <f ca="1">'GS &gt; 50 OLS model'!$B$8*F85</f>
        <v>0</v>
      </c>
      <c r="S85" s="20">
        <f>'GS &gt; 50 OLS model'!$B$9*G85</f>
        <v>13008711.195312211</v>
      </c>
      <c r="T85" s="20">
        <f>'GS &gt; 50 OLS model'!$B$10*H85</f>
        <v>1080281.4274802592</v>
      </c>
      <c r="U85" s="20">
        <f>'GS &gt; 50 OLS model'!$B$11*I85</f>
        <v>0</v>
      </c>
      <c r="V85" s="20">
        <f>'GS &gt; 50 OLS model'!$B$12*J85</f>
        <v>0</v>
      </c>
      <c r="W85" s="20">
        <f>'GS &gt; 50 OLS model'!$B$13*K85</f>
        <v>0</v>
      </c>
      <c r="X85" s="20">
        <f>'GS &gt; 50 OLS model'!$B$14*L85</f>
        <v>0</v>
      </c>
      <c r="Y85" s="20">
        <f>'GS &gt; 50 OLS model'!$B$15*M85</f>
        <v>0</v>
      </c>
      <c r="Z85" s="20">
        <f t="shared" ca="1" si="5"/>
        <v>14822193.174641326</v>
      </c>
    </row>
    <row r="86" spans="1:26" ht="15">
      <c r="A86" s="22">
        <v>42370</v>
      </c>
      <c r="B86" s="6">
        <f t="shared" si="4"/>
        <v>2016</v>
      </c>
      <c r="C86" s="20">
        <f ca="1">'Monthly Data'!O86</f>
        <v>15431424.738603622</v>
      </c>
      <c r="D86" s="20">
        <f>'Monthly Data'!Q86</f>
        <v>213</v>
      </c>
      <c r="E86" s="6">
        <f t="shared" ca="1" si="6"/>
        <v>661.18999999999994</v>
      </c>
      <c r="F86" s="6">
        <f t="shared" ca="1" si="6"/>
        <v>0</v>
      </c>
      <c r="G86" s="6">
        <f>'Monthly Data'!AK86</f>
        <v>155</v>
      </c>
      <c r="H86" s="6">
        <f>'Monthly Data'!AO86</f>
        <v>85</v>
      </c>
      <c r="I86" s="6">
        <f>'Monthly Data'!AQ86</f>
        <v>0</v>
      </c>
      <c r="J86" s="6">
        <f>'Monthly Data'!AW86</f>
        <v>0</v>
      </c>
      <c r="K86" s="6">
        <f>'Monthly Data'!AX86</f>
        <v>0</v>
      </c>
      <c r="L86" s="6">
        <f>'Monthly Data'!AY86</f>
        <v>0</v>
      </c>
      <c r="M86" s="6">
        <f>'Monthly Data'!AZ86</f>
        <v>0</v>
      </c>
      <c r="O86" s="20">
        <f>'GS &gt; 50 OLS model'!$B$5</f>
        <v>-11694573.8944258</v>
      </c>
      <c r="P86" s="20">
        <f>'GS &gt; 50 OLS model'!$B$6*D86</f>
        <v>10794730.23494743</v>
      </c>
      <c r="Q86" s="20">
        <f ca="1">'GS &gt; 50 OLS model'!$B$7*E86</f>
        <v>1772964.8144671745</v>
      </c>
      <c r="R86" s="20">
        <f ca="1">'GS &gt; 50 OLS model'!$B$8*F86</f>
        <v>0</v>
      </c>
      <c r="S86" s="20">
        <f>'GS &gt; 50 OLS model'!$B$9*G86</f>
        <v>12991947.392225469</v>
      </c>
      <c r="T86" s="20">
        <f>'GS &gt; 50 OLS model'!$B$10*H86</f>
        <v>1093141.9206645479</v>
      </c>
      <c r="U86" s="20">
        <f>'GS &gt; 50 OLS model'!$B$11*I86</f>
        <v>0</v>
      </c>
      <c r="V86" s="20">
        <f>'GS &gt; 50 OLS model'!$B$12*J86</f>
        <v>0</v>
      </c>
      <c r="W86" s="20">
        <f>'GS &gt; 50 OLS model'!$B$13*K86</f>
        <v>0</v>
      </c>
      <c r="X86" s="20">
        <f>'GS &gt; 50 OLS model'!$B$14*L86</f>
        <v>0</v>
      </c>
      <c r="Y86" s="20">
        <f>'GS &gt; 50 OLS model'!$B$15*M86</f>
        <v>0</v>
      </c>
      <c r="Z86" s="20">
        <f t="shared" ca="1" si="5"/>
        <v>14958210.467878822</v>
      </c>
    </row>
    <row r="87" spans="1:26" ht="15">
      <c r="A87" s="22">
        <v>42401</v>
      </c>
      <c r="B87" s="6">
        <f t="shared" si="4"/>
        <v>2016</v>
      </c>
      <c r="C87" s="20">
        <f ca="1">'Monthly Data'!O87</f>
        <v>15030864.146966521</v>
      </c>
      <c r="D87" s="20">
        <f>'Monthly Data'!Q87</f>
        <v>213</v>
      </c>
      <c r="E87" s="6">
        <f t="shared" ca="1" si="6"/>
        <v>598.16999999999985</v>
      </c>
      <c r="F87" s="6">
        <f t="shared" ca="1" si="6"/>
        <v>0</v>
      </c>
      <c r="G87" s="6">
        <f>'Monthly Data'!AK87</f>
        <v>156</v>
      </c>
      <c r="H87" s="6">
        <f>'Monthly Data'!AO87</f>
        <v>86</v>
      </c>
      <c r="I87" s="6">
        <f>'Monthly Data'!AQ87</f>
        <v>1</v>
      </c>
      <c r="J87" s="6">
        <f>'Monthly Data'!AW87</f>
        <v>0</v>
      </c>
      <c r="K87" s="6">
        <f>'Monthly Data'!AX87</f>
        <v>0</v>
      </c>
      <c r="L87" s="6">
        <f>'Monthly Data'!AY87</f>
        <v>0</v>
      </c>
      <c r="M87" s="6">
        <f>'Monthly Data'!AZ87</f>
        <v>0</v>
      </c>
      <c r="O87" s="20">
        <f>'GS &gt; 50 OLS model'!$B$5</f>
        <v>-11694573.8944258</v>
      </c>
      <c r="P87" s="20">
        <f>'GS &gt; 50 OLS model'!$B$6*D87</f>
        <v>10794730.23494743</v>
      </c>
      <c r="Q87" s="20">
        <f ca="1">'GS &gt; 50 OLS model'!$B$7*E87</f>
        <v>1603978.225729109</v>
      </c>
      <c r="R87" s="20">
        <f ca="1">'GS &gt; 50 OLS model'!$B$8*F87</f>
        <v>0</v>
      </c>
      <c r="S87" s="20">
        <f>'GS &gt; 50 OLS model'!$B$9*G87</f>
        <v>13075766.407659182</v>
      </c>
      <c r="T87" s="20">
        <f>'GS &gt; 50 OLS model'!$B$10*H87</f>
        <v>1106002.4138488369</v>
      </c>
      <c r="U87" s="20">
        <f>'GS &gt; 50 OLS model'!$B$11*I87</f>
        <v>-797686.81375559501</v>
      </c>
      <c r="V87" s="20">
        <f>'GS &gt; 50 OLS model'!$B$12*J87</f>
        <v>0</v>
      </c>
      <c r="W87" s="20">
        <f>'GS &gt; 50 OLS model'!$B$13*K87</f>
        <v>0</v>
      </c>
      <c r="X87" s="20">
        <f>'GS &gt; 50 OLS model'!$B$14*L87</f>
        <v>0</v>
      </c>
      <c r="Y87" s="20">
        <f>'GS &gt; 50 OLS model'!$B$15*M87</f>
        <v>0</v>
      </c>
      <c r="Z87" s="20">
        <f t="shared" ca="1" si="5"/>
        <v>14088216.574003164</v>
      </c>
    </row>
    <row r="88" spans="1:26" ht="15">
      <c r="A88" s="22">
        <v>42430</v>
      </c>
      <c r="B88" s="6">
        <f t="shared" si="4"/>
        <v>2016</v>
      </c>
      <c r="C88" s="20">
        <f ca="1">'Monthly Data'!O88</f>
        <v>15122357.521874521</v>
      </c>
      <c r="D88" s="20">
        <f>'Monthly Data'!Q88</f>
        <v>214</v>
      </c>
      <c r="E88" s="6">
        <f t="shared" ca="1" si="6"/>
        <v>451.34</v>
      </c>
      <c r="F88" s="6">
        <f t="shared" ca="1" si="6"/>
        <v>0.88000000000000012</v>
      </c>
      <c r="G88" s="6">
        <f>'Monthly Data'!AK88</f>
        <v>156.80000000000001</v>
      </c>
      <c r="H88" s="6">
        <f>'Monthly Data'!AO88</f>
        <v>87</v>
      </c>
      <c r="I88" s="6">
        <f>'Monthly Data'!AQ88</f>
        <v>0</v>
      </c>
      <c r="J88" s="6">
        <f>'Monthly Data'!AW88</f>
        <v>0</v>
      </c>
      <c r="K88" s="6">
        <f>'Monthly Data'!AX88</f>
        <v>0</v>
      </c>
      <c r="L88" s="6">
        <f>'Monthly Data'!AY88</f>
        <v>0</v>
      </c>
      <c r="M88" s="6">
        <f>'Monthly Data'!AZ88</f>
        <v>0</v>
      </c>
      <c r="O88" s="20">
        <f>'GS &gt; 50 OLS model'!$B$5</f>
        <v>-11694573.8944258</v>
      </c>
      <c r="P88" s="20">
        <f>'GS &gt; 50 OLS model'!$B$6*D88</f>
        <v>10845409.719618546</v>
      </c>
      <c r="Q88" s="20">
        <f ca="1">'GS &gt; 50 OLS model'!$B$7*E88</f>
        <v>1210257.1717080032</v>
      </c>
      <c r="R88" s="20">
        <f ca="1">'GS &gt; 50 OLS model'!$B$8*F88</f>
        <v>13008.351800683537</v>
      </c>
      <c r="S88" s="20">
        <f>'GS &gt; 50 OLS model'!$B$9*G88</f>
        <v>13142821.620006153</v>
      </c>
      <c r="T88" s="20">
        <f>'GS &gt; 50 OLS model'!$B$10*H88</f>
        <v>1118862.9070331256</v>
      </c>
      <c r="U88" s="20">
        <f>'GS &gt; 50 OLS model'!$B$11*I88</f>
        <v>0</v>
      </c>
      <c r="V88" s="20">
        <f>'GS &gt; 50 OLS model'!$B$12*J88</f>
        <v>0</v>
      </c>
      <c r="W88" s="20">
        <f>'GS &gt; 50 OLS model'!$B$13*K88</f>
        <v>0</v>
      </c>
      <c r="X88" s="20">
        <f>'GS &gt; 50 OLS model'!$B$14*L88</f>
        <v>0</v>
      </c>
      <c r="Y88" s="20">
        <f>'GS &gt; 50 OLS model'!$B$15*M88</f>
        <v>0</v>
      </c>
      <c r="Z88" s="20">
        <f t="shared" ca="1" si="5"/>
        <v>14635785.875740711</v>
      </c>
    </row>
    <row r="89" spans="1:26" ht="15">
      <c r="A89" s="22">
        <v>42461</v>
      </c>
      <c r="B89" s="6">
        <f t="shared" si="4"/>
        <v>2016</v>
      </c>
      <c r="C89" s="20">
        <f ca="1">'Monthly Data'!O89</f>
        <v>14803652.51585792</v>
      </c>
      <c r="D89" s="20">
        <f>'Monthly Data'!Q89</f>
        <v>218</v>
      </c>
      <c r="E89" s="6">
        <f t="shared" ca="1" si="6"/>
        <v>259.5499999999999</v>
      </c>
      <c r="F89" s="6">
        <f t="shared" ca="1" si="6"/>
        <v>2.4500000000000002</v>
      </c>
      <c r="G89" s="6">
        <f>'Monthly Data'!AK89</f>
        <v>159.30000000000001</v>
      </c>
      <c r="H89" s="6">
        <f>'Monthly Data'!AO89</f>
        <v>88</v>
      </c>
      <c r="I89" s="6">
        <f>'Monthly Data'!AQ89</f>
        <v>0</v>
      </c>
      <c r="J89" s="6">
        <f>'Monthly Data'!AW89</f>
        <v>0</v>
      </c>
      <c r="K89" s="6">
        <f>'Monthly Data'!AX89</f>
        <v>0</v>
      </c>
      <c r="L89" s="6">
        <f>'Monthly Data'!AY89</f>
        <v>0</v>
      </c>
      <c r="M89" s="6">
        <f>'Monthly Data'!AZ89</f>
        <v>0</v>
      </c>
      <c r="O89" s="20">
        <f>'GS &gt; 50 OLS model'!$B$5</f>
        <v>-11694573.8944258</v>
      </c>
      <c r="P89" s="20">
        <f>'GS &gt; 50 OLS model'!$B$6*D89</f>
        <v>11048127.658303004</v>
      </c>
      <c r="Q89" s="20">
        <f ca="1">'GS &gt; 50 OLS model'!$B$7*E89</f>
        <v>695976.9772606286</v>
      </c>
      <c r="R89" s="20">
        <f ca="1">'GS &gt; 50 OLS model'!$B$8*F89</f>
        <v>36216.433990539394</v>
      </c>
      <c r="S89" s="20">
        <f>'GS &gt; 50 OLS model'!$B$9*G89</f>
        <v>13352369.158590434</v>
      </c>
      <c r="T89" s="20">
        <f>'GS &gt; 50 OLS model'!$B$10*H89</f>
        <v>1131723.4002174144</v>
      </c>
      <c r="U89" s="20">
        <f>'GS &gt; 50 OLS model'!$B$11*I89</f>
        <v>0</v>
      </c>
      <c r="V89" s="20">
        <f>'GS &gt; 50 OLS model'!$B$12*J89</f>
        <v>0</v>
      </c>
      <c r="W89" s="20">
        <f>'GS &gt; 50 OLS model'!$B$13*K89</f>
        <v>0</v>
      </c>
      <c r="X89" s="20">
        <f>'GS &gt; 50 OLS model'!$B$14*L89</f>
        <v>0</v>
      </c>
      <c r="Y89" s="20">
        <f>'GS &gt; 50 OLS model'!$B$15*M89</f>
        <v>0</v>
      </c>
      <c r="Z89" s="20">
        <f t="shared" ca="1" si="5"/>
        <v>14569839.73393622</v>
      </c>
    </row>
    <row r="90" spans="1:26" ht="15">
      <c r="A90" s="22">
        <v>42491</v>
      </c>
      <c r="B90" s="6">
        <f t="shared" si="4"/>
        <v>2016</v>
      </c>
      <c r="C90" s="20">
        <f ca="1">'Monthly Data'!O90</f>
        <v>15283276.211668622</v>
      </c>
      <c r="D90" s="20">
        <f>'Monthly Data'!Q90</f>
        <v>220</v>
      </c>
      <c r="E90" s="6">
        <f t="shared" ca="1" si="6"/>
        <v>88.880000000000024</v>
      </c>
      <c r="F90" s="6">
        <f t="shared" ca="1" si="6"/>
        <v>43.79999999999999</v>
      </c>
      <c r="G90" s="6">
        <f>'Monthly Data'!AK90</f>
        <v>162.1</v>
      </c>
      <c r="H90" s="6">
        <f>'Monthly Data'!AO90</f>
        <v>89</v>
      </c>
      <c r="I90" s="6">
        <f>'Monthly Data'!AQ90</f>
        <v>0</v>
      </c>
      <c r="J90" s="6">
        <f>'Monthly Data'!AW90</f>
        <v>0</v>
      </c>
      <c r="K90" s="6">
        <f>'Monthly Data'!AX90</f>
        <v>0</v>
      </c>
      <c r="L90" s="6">
        <f>'Monthly Data'!AY90</f>
        <v>0</v>
      </c>
      <c r="M90" s="6">
        <f>'Monthly Data'!AZ90</f>
        <v>0</v>
      </c>
      <c r="O90" s="20">
        <f>'GS &gt; 50 OLS model'!$B$5</f>
        <v>-11694573.8944258</v>
      </c>
      <c r="P90" s="20">
        <f>'GS &gt; 50 OLS model'!$B$6*D90</f>
        <v>11149486.627645234</v>
      </c>
      <c r="Q90" s="20">
        <f ca="1">'GS &gt; 50 OLS model'!$B$7*E90</f>
        <v>238329.54628751572</v>
      </c>
      <c r="R90" s="20">
        <f ca="1">'GS &gt; 50 OLS model'!$B$8*F90</f>
        <v>647461.14644311217</v>
      </c>
      <c r="S90" s="20">
        <f>'GS &gt; 50 OLS model'!$B$9*G90</f>
        <v>13587062.401804829</v>
      </c>
      <c r="T90" s="20">
        <f>'GS &gt; 50 OLS model'!$B$10*H90</f>
        <v>1144583.8934017031</v>
      </c>
      <c r="U90" s="20">
        <f>'GS &gt; 50 OLS model'!$B$11*I90</f>
        <v>0</v>
      </c>
      <c r="V90" s="20">
        <f>'GS &gt; 50 OLS model'!$B$12*J90</f>
        <v>0</v>
      </c>
      <c r="W90" s="20">
        <f>'GS &gt; 50 OLS model'!$B$13*K90</f>
        <v>0</v>
      </c>
      <c r="X90" s="20">
        <f>'GS &gt; 50 OLS model'!$B$14*L90</f>
        <v>0</v>
      </c>
      <c r="Y90" s="20">
        <f>'GS &gt; 50 OLS model'!$B$15*M90</f>
        <v>0</v>
      </c>
      <c r="Z90" s="20">
        <f t="shared" ca="1" si="5"/>
        <v>15072349.721156593</v>
      </c>
    </row>
    <row r="91" spans="1:26" ht="15">
      <c r="A91" s="22">
        <v>42522</v>
      </c>
      <c r="B91" s="6">
        <f t="shared" si="4"/>
        <v>2016</v>
      </c>
      <c r="C91" s="20">
        <f ca="1">'Monthly Data'!O91</f>
        <v>17013951.366398223</v>
      </c>
      <c r="D91" s="20">
        <f>'Monthly Data'!Q91</f>
        <v>221</v>
      </c>
      <c r="E91" s="6">
        <f t="shared" ca="1" si="6"/>
        <v>9.77</v>
      </c>
      <c r="F91" s="6">
        <f t="shared" ca="1" si="6"/>
        <v>117.38999999999999</v>
      </c>
      <c r="G91" s="6">
        <f>'Monthly Data'!AK91</f>
        <v>166.7</v>
      </c>
      <c r="H91" s="6">
        <f>'Monthly Data'!AO91</f>
        <v>90</v>
      </c>
      <c r="I91" s="6">
        <f>'Monthly Data'!AQ91</f>
        <v>0</v>
      </c>
      <c r="J91" s="6">
        <f>'Monthly Data'!AW91</f>
        <v>0</v>
      </c>
      <c r="K91" s="6">
        <f>'Monthly Data'!AX91</f>
        <v>0</v>
      </c>
      <c r="L91" s="6">
        <f>'Monthly Data'!AY91</f>
        <v>0</v>
      </c>
      <c r="M91" s="6">
        <f>'Monthly Data'!AZ91</f>
        <v>0</v>
      </c>
      <c r="O91" s="20">
        <f>'GS &gt; 50 OLS model'!$B$5</f>
        <v>-11694573.8944258</v>
      </c>
      <c r="P91" s="20">
        <f>'GS &gt; 50 OLS model'!$B$6*D91</f>
        <v>11200166.112316348</v>
      </c>
      <c r="Q91" s="20">
        <f ca="1">'GS &gt; 50 OLS model'!$B$7*E91</f>
        <v>26198.016057932356</v>
      </c>
      <c r="R91" s="20">
        <f ca="1">'GS &gt; 50 OLS model'!$B$8*F91</f>
        <v>1735284.5657752729</v>
      </c>
      <c r="S91" s="20">
        <f>'GS &gt; 50 OLS model'!$B$9*G91</f>
        <v>13972629.872799907</v>
      </c>
      <c r="T91" s="20">
        <f>'GS &gt; 50 OLS model'!$B$10*H91</f>
        <v>1157444.3865859921</v>
      </c>
      <c r="U91" s="20">
        <f>'GS &gt; 50 OLS model'!$B$11*I91</f>
        <v>0</v>
      </c>
      <c r="V91" s="20">
        <f>'GS &gt; 50 OLS model'!$B$12*J91</f>
        <v>0</v>
      </c>
      <c r="W91" s="20">
        <f>'GS &gt; 50 OLS model'!$B$13*K91</f>
        <v>0</v>
      </c>
      <c r="X91" s="20">
        <f>'GS &gt; 50 OLS model'!$B$14*L91</f>
        <v>0</v>
      </c>
      <c r="Y91" s="20">
        <f>'GS &gt; 50 OLS model'!$B$15*M91</f>
        <v>0</v>
      </c>
      <c r="Z91" s="20">
        <f t="shared" ca="1" si="5"/>
        <v>16397149.059109651</v>
      </c>
    </row>
    <row r="92" spans="1:26" ht="15">
      <c r="A92" s="22">
        <v>42552</v>
      </c>
      <c r="B92" s="6">
        <f t="shared" si="4"/>
        <v>2016</v>
      </c>
      <c r="C92" s="20">
        <f ca="1">'Monthly Data'!O92</f>
        <v>18981418.061228823</v>
      </c>
      <c r="D92" s="20">
        <f>'Monthly Data'!Q92</f>
        <v>247</v>
      </c>
      <c r="E92" s="6">
        <f t="shared" ca="1" si="6"/>
        <v>0.58000000000000007</v>
      </c>
      <c r="F92" s="6">
        <f t="shared" ca="1" si="6"/>
        <v>179.70999999999998</v>
      </c>
      <c r="G92" s="6">
        <f>'Monthly Data'!AK92</f>
        <v>169.9</v>
      </c>
      <c r="H92" s="6">
        <f>'Monthly Data'!AO92</f>
        <v>91</v>
      </c>
      <c r="I92" s="6">
        <f>'Monthly Data'!AQ92</f>
        <v>0</v>
      </c>
      <c r="J92" s="6">
        <f>'Monthly Data'!AW92</f>
        <v>0</v>
      </c>
      <c r="K92" s="6">
        <f>'Monthly Data'!AX92</f>
        <v>0</v>
      </c>
      <c r="L92" s="6">
        <f>'Monthly Data'!AY92</f>
        <v>0</v>
      </c>
      <c r="M92" s="6">
        <f>'Monthly Data'!AZ92</f>
        <v>0</v>
      </c>
      <c r="O92" s="20">
        <f>'GS &gt; 50 OLS model'!$B$5</f>
        <v>-11694573.8944258</v>
      </c>
      <c r="P92" s="20">
        <f>'GS &gt; 50 OLS model'!$B$6*D92</f>
        <v>12517832.713765331</v>
      </c>
      <c r="Q92" s="20">
        <f ca="1">'GS &gt; 50 OLS model'!$B$7*E92</f>
        <v>1555.2558151075507</v>
      </c>
      <c r="R92" s="20">
        <f ca="1">'GS &gt; 50 OLS model'!$B$8*F92</f>
        <v>2656512.3887509522</v>
      </c>
      <c r="S92" s="20">
        <f>'GS &gt; 50 OLS model'!$B$9*G92</f>
        <v>14240850.722187789</v>
      </c>
      <c r="T92" s="20">
        <f>'GS &gt; 50 OLS model'!$B$10*H92</f>
        <v>1170304.8797702808</v>
      </c>
      <c r="U92" s="20">
        <f>'GS &gt; 50 OLS model'!$B$11*I92</f>
        <v>0</v>
      </c>
      <c r="V92" s="20">
        <f>'GS &gt; 50 OLS model'!$B$12*J92</f>
        <v>0</v>
      </c>
      <c r="W92" s="20">
        <f>'GS &gt; 50 OLS model'!$B$13*K92</f>
        <v>0</v>
      </c>
      <c r="X92" s="20">
        <f>'GS &gt; 50 OLS model'!$B$14*L92</f>
        <v>0</v>
      </c>
      <c r="Y92" s="20">
        <f>'GS &gt; 50 OLS model'!$B$15*M92</f>
        <v>0</v>
      </c>
      <c r="Z92" s="20">
        <f t="shared" ca="1" si="5"/>
        <v>18892482.065863661</v>
      </c>
    </row>
    <row r="93" spans="1:26" ht="15">
      <c r="A93" s="22">
        <v>42583</v>
      </c>
      <c r="B93" s="6">
        <f t="shared" si="4"/>
        <v>2016</v>
      </c>
      <c r="C93" s="20">
        <f ca="1">'Monthly Data'!O93</f>
        <v>21159046.159141023</v>
      </c>
      <c r="D93" s="20">
        <f>'Monthly Data'!Q93</f>
        <v>218</v>
      </c>
      <c r="E93" s="6">
        <f t="shared" ca="1" si="6"/>
        <v>1.7099999999999997</v>
      </c>
      <c r="F93" s="6">
        <f t="shared" ca="1" si="6"/>
        <v>158.1</v>
      </c>
      <c r="G93" s="6">
        <f>'Monthly Data'!AK93</f>
        <v>171.7</v>
      </c>
      <c r="H93" s="6">
        <f>'Monthly Data'!AO93</f>
        <v>92</v>
      </c>
      <c r="I93" s="6">
        <f>'Monthly Data'!AQ93</f>
        <v>0</v>
      </c>
      <c r="J93" s="6">
        <f>'Monthly Data'!AW93</f>
        <v>1</v>
      </c>
      <c r="K93" s="6">
        <f>'Monthly Data'!AX93</f>
        <v>0</v>
      </c>
      <c r="L93" s="6">
        <f>'Monthly Data'!AY93</f>
        <v>0</v>
      </c>
      <c r="M93" s="6">
        <f>'Monthly Data'!AZ93</f>
        <v>0</v>
      </c>
      <c r="O93" s="20">
        <f>'GS &gt; 50 OLS model'!$B$5</f>
        <v>-11694573.8944258</v>
      </c>
      <c r="P93" s="20">
        <f>'GS &gt; 50 OLS model'!$B$6*D93</f>
        <v>11048127.658303004</v>
      </c>
      <c r="Q93" s="20">
        <f ca="1">'GS &gt; 50 OLS model'!$B$7*E93</f>
        <v>4585.3231790239843</v>
      </c>
      <c r="R93" s="20">
        <f ca="1">'GS &gt; 50 OLS model'!$B$8*F93</f>
        <v>2337068.6587364399</v>
      </c>
      <c r="S93" s="20">
        <f>'GS &gt; 50 OLS model'!$B$9*G93</f>
        <v>14391724.94996847</v>
      </c>
      <c r="T93" s="20">
        <f>'GS &gt; 50 OLS model'!$B$10*H93</f>
        <v>1183165.3729545695</v>
      </c>
      <c r="U93" s="20">
        <f>'GS &gt; 50 OLS model'!$B$11*I93</f>
        <v>0</v>
      </c>
      <c r="V93" s="20">
        <f>'GS &gt; 50 OLS model'!$B$12*J93</f>
        <v>1257541.23571065</v>
      </c>
      <c r="W93" s="20">
        <f>'GS &gt; 50 OLS model'!$B$13*K93</f>
        <v>0</v>
      </c>
      <c r="X93" s="20">
        <f>'GS &gt; 50 OLS model'!$B$14*L93</f>
        <v>0</v>
      </c>
      <c r="Y93" s="20">
        <f>'GS &gt; 50 OLS model'!$B$15*M93</f>
        <v>0</v>
      </c>
      <c r="Z93" s="20">
        <f t="shared" ca="1" si="5"/>
        <v>18527639.304426357</v>
      </c>
    </row>
    <row r="94" spans="1:26" ht="15">
      <c r="A94" s="22">
        <v>42614</v>
      </c>
      <c r="B94" s="6">
        <f t="shared" si="4"/>
        <v>2016</v>
      </c>
      <c r="C94" s="20">
        <f ca="1">'Monthly Data'!O94</f>
        <v>20280486.904661123</v>
      </c>
      <c r="D94" s="20">
        <f>'Monthly Data'!Q94</f>
        <v>218</v>
      </c>
      <c r="E94" s="6">
        <f t="shared" ca="1" si="6"/>
        <v>32.68</v>
      </c>
      <c r="F94" s="6">
        <f t="shared" ca="1" si="6"/>
        <v>67.34</v>
      </c>
      <c r="G94" s="6">
        <f>'Monthly Data'!AK94</f>
        <v>170.5</v>
      </c>
      <c r="H94" s="6">
        <f>'Monthly Data'!AO94</f>
        <v>93</v>
      </c>
      <c r="I94" s="6">
        <f>'Monthly Data'!AQ94</f>
        <v>0</v>
      </c>
      <c r="J94" s="6">
        <f>'Monthly Data'!AW94</f>
        <v>0</v>
      </c>
      <c r="K94" s="6">
        <f>'Monthly Data'!AX94</f>
        <v>1</v>
      </c>
      <c r="L94" s="6">
        <f>'Monthly Data'!AY94</f>
        <v>0</v>
      </c>
      <c r="M94" s="6">
        <f>'Monthly Data'!AZ94</f>
        <v>0</v>
      </c>
      <c r="O94" s="20">
        <f>'GS &gt; 50 OLS model'!$B$5</f>
        <v>-11694573.8944258</v>
      </c>
      <c r="P94" s="20">
        <f>'GS &gt; 50 OLS model'!$B$6*D94</f>
        <v>11048127.658303004</v>
      </c>
      <c r="Q94" s="20">
        <f ca="1">'GS &gt; 50 OLS model'!$B$7*E94</f>
        <v>87630.620754680596</v>
      </c>
      <c r="R94" s="20">
        <f ca="1">'GS &gt; 50 OLS model'!$B$8*F94</f>
        <v>995434.55711139692</v>
      </c>
      <c r="S94" s="20">
        <f>'GS &gt; 50 OLS model'!$B$9*G94</f>
        <v>14291142.131448016</v>
      </c>
      <c r="T94" s="20">
        <f>'GS &gt; 50 OLS model'!$B$10*H94</f>
        <v>1196025.8661388585</v>
      </c>
      <c r="U94" s="20">
        <f>'GS &gt; 50 OLS model'!$B$11*I94</f>
        <v>0</v>
      </c>
      <c r="V94" s="20">
        <f>'GS &gt; 50 OLS model'!$B$12*J94</f>
        <v>0</v>
      </c>
      <c r="W94" s="20">
        <f>'GS &gt; 50 OLS model'!$B$13*K94</f>
        <v>1979532.62008895</v>
      </c>
      <c r="X94" s="20">
        <f>'GS &gt; 50 OLS model'!$B$14*L94</f>
        <v>0</v>
      </c>
      <c r="Y94" s="20">
        <f>'GS &gt; 50 OLS model'!$B$15*M94</f>
        <v>0</v>
      </c>
      <c r="Z94" s="20">
        <f t="shared" ca="1" si="5"/>
        <v>17903319.559419107</v>
      </c>
    </row>
    <row r="95" spans="1:26" ht="15">
      <c r="A95" s="22">
        <v>42644</v>
      </c>
      <c r="B95" s="6">
        <f t="shared" si="4"/>
        <v>2016</v>
      </c>
      <c r="C95" s="20">
        <f ca="1">'Monthly Data'!O95</f>
        <v>17866088.555173323</v>
      </c>
      <c r="D95" s="20">
        <f>'Monthly Data'!Q95</f>
        <v>217</v>
      </c>
      <c r="E95" s="6">
        <f t="shared" ca="1" si="6"/>
        <v>176.42</v>
      </c>
      <c r="F95" s="6">
        <f t="shared" ca="1" si="6"/>
        <v>10.18</v>
      </c>
      <c r="G95" s="6">
        <f>'Monthly Data'!AK95</f>
        <v>169.2</v>
      </c>
      <c r="H95" s="6">
        <f>'Monthly Data'!AO95</f>
        <v>94</v>
      </c>
      <c r="I95" s="6">
        <f>'Monthly Data'!AQ95</f>
        <v>0</v>
      </c>
      <c r="J95" s="6">
        <f>'Monthly Data'!AW95</f>
        <v>0</v>
      </c>
      <c r="K95" s="6">
        <f>'Monthly Data'!AX95</f>
        <v>0</v>
      </c>
      <c r="L95" s="6">
        <f>'Monthly Data'!AY95</f>
        <v>1</v>
      </c>
      <c r="M95" s="6">
        <f>'Monthly Data'!AZ95</f>
        <v>0</v>
      </c>
      <c r="O95" s="20">
        <f>'GS &gt; 50 OLS model'!$B$5</f>
        <v>-11694573.8944258</v>
      </c>
      <c r="P95" s="20">
        <f>'GS &gt; 50 OLS model'!$B$6*D95</f>
        <v>10997448.17363189</v>
      </c>
      <c r="Q95" s="20">
        <f ca="1">'GS &gt; 50 OLS model'!$B$7*E95</f>
        <v>473065.91534702422</v>
      </c>
      <c r="R95" s="20">
        <f ca="1">'GS &gt; 50 OLS model'!$B$8*F95</f>
        <v>150482.97878517999</v>
      </c>
      <c r="S95" s="20">
        <f>'GS &gt; 50 OLS model'!$B$9*G95</f>
        <v>14182177.411384188</v>
      </c>
      <c r="T95" s="20">
        <f>'GS &gt; 50 OLS model'!$B$10*H95</f>
        <v>1208886.3593231472</v>
      </c>
      <c r="U95" s="20">
        <f>'GS &gt; 50 OLS model'!$B$11*I95</f>
        <v>0</v>
      </c>
      <c r="V95" s="20">
        <f>'GS &gt; 50 OLS model'!$B$12*J95</f>
        <v>0</v>
      </c>
      <c r="W95" s="20">
        <f>'GS &gt; 50 OLS model'!$B$13*K95</f>
        <v>0</v>
      </c>
      <c r="X95" s="20">
        <f>'GS &gt; 50 OLS model'!$B$14*L95</f>
        <v>1466841.9423256</v>
      </c>
      <c r="Y95" s="20">
        <f>'GS &gt; 50 OLS model'!$B$15*M95</f>
        <v>0</v>
      </c>
      <c r="Z95" s="20">
        <f t="shared" ca="1" si="5"/>
        <v>16784328.886371229</v>
      </c>
    </row>
    <row r="96" spans="1:26" ht="15">
      <c r="A96" s="22">
        <v>42675</v>
      </c>
      <c r="B96" s="6">
        <f t="shared" si="4"/>
        <v>2016</v>
      </c>
      <c r="C96" s="20">
        <f ca="1">'Monthly Data'!O96</f>
        <v>16907552.106454022</v>
      </c>
      <c r="D96" s="20">
        <f>'Monthly Data'!Q96</f>
        <v>218</v>
      </c>
      <c r="E96" s="6">
        <f t="shared" ca="1" si="6"/>
        <v>364.2299999999999</v>
      </c>
      <c r="F96" s="6">
        <f t="shared" ca="1" si="6"/>
        <v>0.05</v>
      </c>
      <c r="G96" s="6">
        <f>'Monthly Data'!AK96</f>
        <v>165.5</v>
      </c>
      <c r="H96" s="6">
        <f>'Monthly Data'!AO96</f>
        <v>95</v>
      </c>
      <c r="I96" s="6">
        <f>'Monthly Data'!AQ96</f>
        <v>0</v>
      </c>
      <c r="J96" s="6">
        <f>'Monthly Data'!AW96</f>
        <v>0</v>
      </c>
      <c r="K96" s="6">
        <f>'Monthly Data'!AX96</f>
        <v>0</v>
      </c>
      <c r="L96" s="6">
        <f>'Monthly Data'!AY96</f>
        <v>0</v>
      </c>
      <c r="M96" s="6">
        <f>'Monthly Data'!AZ96</f>
        <v>1</v>
      </c>
      <c r="O96" s="20">
        <f>'GS &gt; 50 OLS model'!$B$5</f>
        <v>-11694573.8944258</v>
      </c>
      <c r="P96" s="20">
        <f>'GS &gt; 50 OLS model'!$B$6*D96</f>
        <v>11048127.658303004</v>
      </c>
      <c r="Q96" s="20">
        <f ca="1">'GS &gt; 50 OLS model'!$B$7*E96</f>
        <v>976673.83713210851</v>
      </c>
      <c r="R96" s="20">
        <f ca="1">'GS &gt; 50 OLS model'!$B$8*F96</f>
        <v>739.11089776611004</v>
      </c>
      <c r="S96" s="20">
        <f>'GS &gt; 50 OLS model'!$B$9*G96</f>
        <v>13872047.054279452</v>
      </c>
      <c r="T96" s="20">
        <f>'GS &gt; 50 OLS model'!$B$10*H96</f>
        <v>1221746.8525074359</v>
      </c>
      <c r="U96" s="20">
        <f>'GS &gt; 50 OLS model'!$B$11*I96</f>
        <v>0</v>
      </c>
      <c r="V96" s="20">
        <f>'GS &gt; 50 OLS model'!$B$12*J96</f>
        <v>0</v>
      </c>
      <c r="W96" s="20">
        <f>'GS &gt; 50 OLS model'!$B$13*K96</f>
        <v>0</v>
      </c>
      <c r="X96" s="20">
        <f>'GS &gt; 50 OLS model'!$B$14*L96</f>
        <v>0</v>
      </c>
      <c r="Y96" s="20">
        <f>'GS &gt; 50 OLS model'!$B$15*M96</f>
        <v>671693.73401239095</v>
      </c>
      <c r="Z96" s="20">
        <f t="shared" ca="1" si="5"/>
        <v>16096454.352706358</v>
      </c>
    </row>
    <row r="97" spans="1:26" ht="15">
      <c r="A97" s="22">
        <v>42705</v>
      </c>
      <c r="B97" s="6">
        <f t="shared" si="4"/>
        <v>2016</v>
      </c>
      <c r="C97" s="20">
        <f ca="1">'Monthly Data'!O97</f>
        <v>16478686.250430923</v>
      </c>
      <c r="D97" s="20">
        <f>'Monthly Data'!Q97</f>
        <v>218</v>
      </c>
      <c r="E97" s="6">
        <f t="shared" ca="1" si="6"/>
        <v>552.31000000000006</v>
      </c>
      <c r="F97" s="6">
        <f t="shared" ca="1" si="6"/>
        <v>0</v>
      </c>
      <c r="G97" s="6">
        <f>'Monthly Data'!AK97</f>
        <v>162.5</v>
      </c>
      <c r="H97" s="6">
        <f>'Monthly Data'!AO97</f>
        <v>96</v>
      </c>
      <c r="I97" s="6">
        <f>'Monthly Data'!AQ97</f>
        <v>0</v>
      </c>
      <c r="J97" s="6">
        <f>'Monthly Data'!AW97</f>
        <v>0</v>
      </c>
      <c r="K97" s="6">
        <f>'Monthly Data'!AX97</f>
        <v>0</v>
      </c>
      <c r="L97" s="6">
        <f>'Monthly Data'!AY97</f>
        <v>0</v>
      </c>
      <c r="M97" s="6">
        <f>'Monthly Data'!AZ97</f>
        <v>0</v>
      </c>
      <c r="O97" s="20">
        <f>'GS &gt; 50 OLS model'!$B$5</f>
        <v>-11694573.8944258</v>
      </c>
      <c r="P97" s="20">
        <f>'GS &gt; 50 OLS model'!$B$6*D97</f>
        <v>11048127.658303004</v>
      </c>
      <c r="Q97" s="20">
        <f ca="1">'GS &gt; 50 OLS model'!$B$7*E97</f>
        <v>1481005.7573138815</v>
      </c>
      <c r="R97" s="20">
        <f ca="1">'GS &gt; 50 OLS model'!$B$8*F97</f>
        <v>0</v>
      </c>
      <c r="S97" s="20">
        <f>'GS &gt; 50 OLS model'!$B$9*G97</f>
        <v>13620590.007978315</v>
      </c>
      <c r="T97" s="20">
        <f>'GS &gt; 50 OLS model'!$B$10*H97</f>
        <v>1234607.3456917247</v>
      </c>
      <c r="U97" s="20">
        <f>'GS &gt; 50 OLS model'!$B$11*I97</f>
        <v>0</v>
      </c>
      <c r="V97" s="20">
        <f>'GS &gt; 50 OLS model'!$B$12*J97</f>
        <v>0</v>
      </c>
      <c r="W97" s="20">
        <f>'GS &gt; 50 OLS model'!$B$13*K97</f>
        <v>0</v>
      </c>
      <c r="X97" s="20">
        <f>'GS &gt; 50 OLS model'!$B$14*L97</f>
        <v>0</v>
      </c>
      <c r="Y97" s="20">
        <f>'GS &gt; 50 OLS model'!$B$15*M97</f>
        <v>0</v>
      </c>
      <c r="Z97" s="20">
        <f t="shared" ca="1" si="5"/>
        <v>15689756.874861125</v>
      </c>
    </row>
    <row r="98" spans="1:26" ht="15">
      <c r="A98" s="22">
        <v>42736</v>
      </c>
      <c r="B98" s="6">
        <f t="shared" si="4"/>
        <v>2017</v>
      </c>
      <c r="D98" s="20">
        <f>'Connection count '!K$12</f>
        <v>216.58333333333334</v>
      </c>
      <c r="E98" s="6">
        <f t="shared" ca="1" si="6"/>
        <v>661.18999999999994</v>
      </c>
      <c r="F98" s="6">
        <f t="shared" ca="1" si="6"/>
        <v>0</v>
      </c>
      <c r="G98" s="137">
        <f>'Monthly Data'!AK98</f>
        <v>160.69999999999999</v>
      </c>
      <c r="H98" s="6">
        <f>H97+1</f>
        <v>97</v>
      </c>
      <c r="I98" s="6">
        <f>I86</f>
        <v>0</v>
      </c>
      <c r="J98" s="6">
        <f t="shared" ref="J98:M109" si="7">J86</f>
        <v>0</v>
      </c>
      <c r="K98" s="6">
        <f t="shared" ref="K98:M99" si="8">K86</f>
        <v>0</v>
      </c>
      <c r="L98" s="6">
        <f>'Monthly Data'!AY98</f>
        <v>0</v>
      </c>
      <c r="M98" s="6">
        <f t="shared" si="8"/>
        <v>0</v>
      </c>
      <c r="O98" s="20">
        <f>'GS &gt; 50 OLS model'!$B$5</f>
        <v>-11694573.8944258</v>
      </c>
      <c r="P98" s="20">
        <f>'GS &gt; 50 OLS model'!$B$6*D98</f>
        <v>10976331.721685592</v>
      </c>
      <c r="Q98" s="20">
        <f ca="1">'GS &gt; 50 OLS model'!$B$7*E98</f>
        <v>1772964.8144671745</v>
      </c>
      <c r="R98" s="20">
        <f ca="1">'GS &gt; 50 OLS model'!$B$8*F98</f>
        <v>0</v>
      </c>
      <c r="S98" s="20">
        <f>'GS &gt; 50 OLS model'!$B$9*G98</f>
        <v>13469715.78019763</v>
      </c>
      <c r="T98" s="20">
        <f>'GS &gt; 50 OLS model'!$B$10*H98</f>
        <v>1247467.8388760136</v>
      </c>
      <c r="U98" s="20">
        <f>'GS &gt; 50 OLS model'!$B$11*I98</f>
        <v>0</v>
      </c>
      <c r="V98" s="20">
        <f>'GS &gt; 50 OLS model'!$B$12*J98</f>
        <v>0</v>
      </c>
      <c r="W98" s="20">
        <f>'GS &gt; 50 OLS model'!$B$13*K98</f>
        <v>0</v>
      </c>
      <c r="X98" s="20">
        <f>'GS &gt; 50 OLS model'!$B$14*L98</f>
        <v>0</v>
      </c>
      <c r="Y98" s="20">
        <f>'GS &gt; 50 OLS model'!$B$15*M98</f>
        <v>0</v>
      </c>
      <c r="Z98" s="20">
        <f t="shared" ca="1" si="5"/>
        <v>15771906.260800611</v>
      </c>
    </row>
    <row r="99" spans="1:26" ht="15">
      <c r="A99" s="22">
        <v>42767</v>
      </c>
      <c r="B99" s="6">
        <f t="shared" si="4"/>
        <v>2017</v>
      </c>
      <c r="D99" s="20">
        <f>'Connection count '!K$12</f>
        <v>216.58333333333334</v>
      </c>
      <c r="E99" s="6">
        <f t="shared" ca="1" si="6"/>
        <v>598.16999999999985</v>
      </c>
      <c r="F99" s="6">
        <f t="shared" ca="1" si="6"/>
        <v>0</v>
      </c>
      <c r="G99" s="137">
        <f>'Monthly Data'!AK99</f>
        <v>158.80000000000001</v>
      </c>
      <c r="H99" s="6">
        <f t="shared" ref="H99:H121" si="9">H98+1</f>
        <v>98</v>
      </c>
      <c r="I99" s="6">
        <f>I87</f>
        <v>1</v>
      </c>
      <c r="J99" s="6">
        <f t="shared" si="7"/>
        <v>0</v>
      </c>
      <c r="K99" s="6">
        <f t="shared" si="8"/>
        <v>0</v>
      </c>
      <c r="L99" s="6">
        <f>'Monthly Data'!AY99</f>
        <v>0</v>
      </c>
      <c r="M99" s="6">
        <f t="shared" si="8"/>
        <v>0</v>
      </c>
      <c r="O99" s="20">
        <f>'GS &gt; 50 OLS model'!$B$5</f>
        <v>-11694573.8944258</v>
      </c>
      <c r="P99" s="20">
        <f>'GS &gt; 50 OLS model'!$B$6*D99</f>
        <v>10976331.721685592</v>
      </c>
      <c r="Q99" s="20">
        <f ca="1">'GS &gt; 50 OLS model'!$B$7*E99</f>
        <v>1603978.225729109</v>
      </c>
      <c r="R99" s="20">
        <f ca="1">'GS &gt; 50 OLS model'!$B$8*F99</f>
        <v>0</v>
      </c>
      <c r="S99" s="20">
        <f>'GS &gt; 50 OLS model'!$B$9*G99</f>
        <v>13310459.650873577</v>
      </c>
      <c r="T99" s="20">
        <f>'GS &gt; 50 OLS model'!$B$10*H99</f>
        <v>1260328.3320603024</v>
      </c>
      <c r="U99" s="20">
        <f>'GS &gt; 50 OLS model'!$B$11*I99</f>
        <v>-797686.81375559501</v>
      </c>
      <c r="V99" s="20">
        <f>'GS &gt; 50 OLS model'!$B$12*J99</f>
        <v>0</v>
      </c>
      <c r="W99" s="20">
        <f>'GS &gt; 50 OLS model'!$B$13*K99</f>
        <v>0</v>
      </c>
      <c r="X99" s="20">
        <f>'GS &gt; 50 OLS model'!$B$14*L99</f>
        <v>0</v>
      </c>
      <c r="Y99" s="20">
        <f>'GS &gt; 50 OLS model'!$B$15*M99</f>
        <v>0</v>
      </c>
      <c r="Z99" s="20">
        <f t="shared" ca="1" si="5"/>
        <v>14658837.222167186</v>
      </c>
    </row>
    <row r="100" spans="1:26" ht="15">
      <c r="A100" s="22">
        <v>42795</v>
      </c>
      <c r="B100" s="6">
        <f t="shared" si="4"/>
        <v>2017</v>
      </c>
      <c r="D100" s="20">
        <f>'Connection count '!K$12</f>
        <v>216.58333333333334</v>
      </c>
      <c r="E100" s="6">
        <f t="shared" ca="1" si="6"/>
        <v>451.34</v>
      </c>
      <c r="F100" s="6">
        <f t="shared" ca="1" si="6"/>
        <v>0.88000000000000012</v>
      </c>
      <c r="G100" s="137">
        <f>'Monthly Data'!AK100</f>
        <v>157.6</v>
      </c>
      <c r="H100" s="6">
        <f t="shared" si="9"/>
        <v>99</v>
      </c>
      <c r="I100" s="6">
        <f t="shared" ref="I100:I109" si="10">I88</f>
        <v>0</v>
      </c>
      <c r="J100" s="6">
        <f t="shared" si="7"/>
        <v>0</v>
      </c>
      <c r="K100" s="6">
        <f t="shared" si="7"/>
        <v>0</v>
      </c>
      <c r="L100" s="6">
        <f>'Monthly Data'!AY100</f>
        <v>0</v>
      </c>
      <c r="M100" s="6">
        <f t="shared" si="7"/>
        <v>0</v>
      </c>
      <c r="O100" s="20">
        <f>'GS &gt; 50 OLS model'!$B$5</f>
        <v>-11694573.8944258</v>
      </c>
      <c r="P100" s="20">
        <f>'GS &gt; 50 OLS model'!$B$6*D100</f>
        <v>10976331.721685592</v>
      </c>
      <c r="Q100" s="20">
        <f ca="1">'GS &gt; 50 OLS model'!$B$7*E100</f>
        <v>1210257.1717080032</v>
      </c>
      <c r="R100" s="20">
        <f ca="1">'GS &gt; 50 OLS model'!$B$8*F100</f>
        <v>13008.351800683537</v>
      </c>
      <c r="S100" s="20">
        <f>'GS &gt; 50 OLS model'!$B$9*G100</f>
        <v>13209876.832353121</v>
      </c>
      <c r="T100" s="20">
        <f>'GS &gt; 50 OLS model'!$B$10*H100</f>
        <v>1273188.8252445911</v>
      </c>
      <c r="U100" s="20">
        <f>'GS &gt; 50 OLS model'!$B$11*I100</f>
        <v>0</v>
      </c>
      <c r="V100" s="20">
        <f>'GS &gt; 50 OLS model'!$B$12*J100</f>
        <v>0</v>
      </c>
      <c r="W100" s="20">
        <f>'GS &gt; 50 OLS model'!$B$13*K100</f>
        <v>0</v>
      </c>
      <c r="X100" s="20">
        <f>'GS &gt; 50 OLS model'!$B$14*L100</f>
        <v>0</v>
      </c>
      <c r="Y100" s="20">
        <f>'GS &gt; 50 OLS model'!$B$15*M100</f>
        <v>0</v>
      </c>
      <c r="Z100" s="20">
        <f t="shared" ca="1" si="5"/>
        <v>14988089.00836619</v>
      </c>
    </row>
    <row r="101" spans="1:26" ht="15">
      <c r="A101" s="22">
        <v>42826</v>
      </c>
      <c r="B101" s="6">
        <f t="shared" si="4"/>
        <v>2017</v>
      </c>
      <c r="D101" s="20">
        <f>'Connection count '!K$12</f>
        <v>216.58333333333334</v>
      </c>
      <c r="E101" s="6">
        <f t="shared" ca="1" si="6"/>
        <v>259.5499999999999</v>
      </c>
      <c r="F101" s="6">
        <f t="shared" ca="1" si="6"/>
        <v>2.4500000000000002</v>
      </c>
      <c r="G101" s="137">
        <f>'Monthly Data'!AK101</f>
        <v>156.80000000000001</v>
      </c>
      <c r="H101" s="6">
        <f t="shared" si="9"/>
        <v>100</v>
      </c>
      <c r="I101" s="6">
        <f t="shared" si="10"/>
        <v>0</v>
      </c>
      <c r="J101" s="6">
        <f t="shared" si="7"/>
        <v>0</v>
      </c>
      <c r="K101" s="6">
        <f t="shared" si="7"/>
        <v>0</v>
      </c>
      <c r="L101" s="6">
        <f>'Monthly Data'!AY101</f>
        <v>0</v>
      </c>
      <c r="M101" s="6">
        <f t="shared" si="7"/>
        <v>0</v>
      </c>
      <c r="O101" s="20">
        <f>'GS &gt; 50 OLS model'!$B$5</f>
        <v>-11694573.8944258</v>
      </c>
      <c r="P101" s="20">
        <f>'GS &gt; 50 OLS model'!$B$6*D101</f>
        <v>10976331.721685592</v>
      </c>
      <c r="Q101" s="20">
        <f ca="1">'GS &gt; 50 OLS model'!$B$7*E101</f>
        <v>695976.9772606286</v>
      </c>
      <c r="R101" s="20">
        <f ca="1">'GS &gt; 50 OLS model'!$B$8*F101</f>
        <v>36216.433990539394</v>
      </c>
      <c r="S101" s="20">
        <f>'GS &gt; 50 OLS model'!$B$9*G101</f>
        <v>13142821.620006153</v>
      </c>
      <c r="T101" s="20">
        <f>'GS &gt; 50 OLS model'!$B$10*H101</f>
        <v>1286049.3184288801</v>
      </c>
      <c r="U101" s="20">
        <f>'GS &gt; 50 OLS model'!$B$11*I101</f>
        <v>0</v>
      </c>
      <c r="V101" s="20">
        <f>'GS &gt; 50 OLS model'!$B$12*J101</f>
        <v>0</v>
      </c>
      <c r="W101" s="20">
        <f>'GS &gt; 50 OLS model'!$B$13*K101</f>
        <v>0</v>
      </c>
      <c r="X101" s="20">
        <f>'GS &gt; 50 OLS model'!$B$14*L101</f>
        <v>0</v>
      </c>
      <c r="Y101" s="20">
        <f>'GS &gt; 50 OLS model'!$B$15*M101</f>
        <v>0</v>
      </c>
      <c r="Z101" s="20">
        <f t="shared" ca="1" si="5"/>
        <v>14442822.176945994</v>
      </c>
    </row>
    <row r="102" spans="1:26" ht="15">
      <c r="A102" s="22">
        <v>42856</v>
      </c>
      <c r="B102" s="6">
        <f t="shared" si="4"/>
        <v>2017</v>
      </c>
      <c r="D102" s="20">
        <f>'Connection count '!K$12</f>
        <v>216.58333333333334</v>
      </c>
      <c r="E102" s="6">
        <f t="shared" ca="1" si="6"/>
        <v>88.880000000000024</v>
      </c>
      <c r="F102" s="6">
        <f t="shared" ca="1" si="6"/>
        <v>43.79999999999999</v>
      </c>
      <c r="G102" s="137">
        <f>'Monthly Data'!AK102</f>
        <v>157.69999999999999</v>
      </c>
      <c r="H102" s="6">
        <f t="shared" si="9"/>
        <v>101</v>
      </c>
      <c r="I102" s="6">
        <f t="shared" si="10"/>
        <v>0</v>
      </c>
      <c r="J102" s="6">
        <f t="shared" si="7"/>
        <v>0</v>
      </c>
      <c r="K102" s="6">
        <f t="shared" si="7"/>
        <v>0</v>
      </c>
      <c r="L102" s="6">
        <f>'Monthly Data'!AY102</f>
        <v>0</v>
      </c>
      <c r="M102" s="6">
        <f t="shared" si="7"/>
        <v>0</v>
      </c>
      <c r="O102" s="20">
        <f>'GS &gt; 50 OLS model'!$B$5</f>
        <v>-11694573.8944258</v>
      </c>
      <c r="P102" s="20">
        <f>'GS &gt; 50 OLS model'!$B$6*D102</f>
        <v>10976331.721685592</v>
      </c>
      <c r="Q102" s="20">
        <f ca="1">'GS &gt; 50 OLS model'!$B$7*E102</f>
        <v>238329.54628751572</v>
      </c>
      <c r="R102" s="20">
        <f ca="1">'GS &gt; 50 OLS model'!$B$8*F102</f>
        <v>647461.14644311217</v>
      </c>
      <c r="S102" s="20">
        <f>'GS &gt; 50 OLS model'!$B$9*G102</f>
        <v>13218258.733896492</v>
      </c>
      <c r="T102" s="20">
        <f>'GS &gt; 50 OLS model'!$B$10*H102</f>
        <v>1298909.8116131688</v>
      </c>
      <c r="U102" s="20">
        <f>'GS &gt; 50 OLS model'!$B$11*I102</f>
        <v>0</v>
      </c>
      <c r="V102" s="20">
        <f>'GS &gt; 50 OLS model'!$B$12*J102</f>
        <v>0</v>
      </c>
      <c r="W102" s="20">
        <f>'GS &gt; 50 OLS model'!$B$13*K102</f>
        <v>0</v>
      </c>
      <c r="X102" s="20">
        <f>'GS &gt; 50 OLS model'!$B$14*L102</f>
        <v>0</v>
      </c>
      <c r="Y102" s="20">
        <f>'GS &gt; 50 OLS model'!$B$15*M102</f>
        <v>0</v>
      </c>
      <c r="Z102" s="20">
        <f t="shared" ca="1" si="5"/>
        <v>14684717.065500081</v>
      </c>
    </row>
    <row r="103" spans="1:26" ht="15">
      <c r="A103" s="22">
        <v>42887</v>
      </c>
      <c r="B103" s="6">
        <f t="shared" si="4"/>
        <v>2017</v>
      </c>
      <c r="D103" s="20">
        <f>'Connection count '!K$12</f>
        <v>216.58333333333334</v>
      </c>
      <c r="E103" s="6">
        <f t="shared" ca="1" si="6"/>
        <v>9.77</v>
      </c>
      <c r="F103" s="6">
        <f t="shared" ca="1" si="6"/>
        <v>117.38999999999999</v>
      </c>
      <c r="G103" s="137">
        <f>'Monthly Data'!AK103</f>
        <v>161.19999999999999</v>
      </c>
      <c r="H103" s="6">
        <f t="shared" si="9"/>
        <v>102</v>
      </c>
      <c r="I103" s="6">
        <f t="shared" si="10"/>
        <v>0</v>
      </c>
      <c r="J103" s="6">
        <f t="shared" si="7"/>
        <v>0</v>
      </c>
      <c r="K103" s="6">
        <f t="shared" si="7"/>
        <v>0</v>
      </c>
      <c r="L103" s="6">
        <f>'Monthly Data'!AY103</f>
        <v>0</v>
      </c>
      <c r="M103" s="6">
        <f t="shared" si="7"/>
        <v>0</v>
      </c>
      <c r="O103" s="20">
        <f>'GS &gt; 50 OLS model'!$B$5</f>
        <v>-11694573.8944258</v>
      </c>
      <c r="P103" s="20">
        <f>'GS &gt; 50 OLS model'!$B$6*D103</f>
        <v>10976331.721685592</v>
      </c>
      <c r="Q103" s="20">
        <f ca="1">'GS &gt; 50 OLS model'!$B$7*E103</f>
        <v>26198.016057932356</v>
      </c>
      <c r="R103" s="20">
        <f ca="1">'GS &gt; 50 OLS model'!$B$8*F103</f>
        <v>1735284.5657752729</v>
      </c>
      <c r="S103" s="20">
        <f>'GS &gt; 50 OLS model'!$B$9*G103</f>
        <v>13511625.287914487</v>
      </c>
      <c r="T103" s="20">
        <f>'GS &gt; 50 OLS model'!$B$10*H103</f>
        <v>1311770.3047974575</v>
      </c>
      <c r="U103" s="20">
        <f>'GS &gt; 50 OLS model'!$B$11*I103</f>
        <v>0</v>
      </c>
      <c r="V103" s="20">
        <f>'GS &gt; 50 OLS model'!$B$12*J103</f>
        <v>0</v>
      </c>
      <c r="W103" s="20">
        <f>'GS &gt; 50 OLS model'!$B$13*K103</f>
        <v>0</v>
      </c>
      <c r="X103" s="20">
        <f>'GS &gt; 50 OLS model'!$B$14*L103</f>
        <v>0</v>
      </c>
      <c r="Y103" s="20">
        <f>'GS &gt; 50 OLS model'!$B$15*M103</f>
        <v>0</v>
      </c>
      <c r="Z103" s="20">
        <f t="shared" ca="1" si="5"/>
        <v>15866636.001804942</v>
      </c>
    </row>
    <row r="104" spans="1:26" ht="15">
      <c r="A104" s="22">
        <v>42917</v>
      </c>
      <c r="B104" s="6">
        <f t="shared" si="4"/>
        <v>2017</v>
      </c>
      <c r="D104" s="20">
        <f>'Connection count '!K$12</f>
        <v>216.58333333333334</v>
      </c>
      <c r="E104" s="6">
        <f t="shared" ca="1" si="6"/>
        <v>0.58000000000000007</v>
      </c>
      <c r="F104" s="6">
        <f t="shared" ca="1" si="6"/>
        <v>179.70999999999998</v>
      </c>
      <c r="G104" s="137">
        <f>'Monthly Data'!AK104</f>
        <v>163.19999999999999</v>
      </c>
      <c r="H104" s="6">
        <f t="shared" si="9"/>
        <v>103</v>
      </c>
      <c r="I104" s="6">
        <f t="shared" si="10"/>
        <v>0</v>
      </c>
      <c r="J104" s="6">
        <f t="shared" si="7"/>
        <v>0</v>
      </c>
      <c r="K104" s="6">
        <f t="shared" si="7"/>
        <v>0</v>
      </c>
      <c r="L104" s="6">
        <f>'Monthly Data'!AY104</f>
        <v>0</v>
      </c>
      <c r="M104" s="6">
        <f t="shared" si="7"/>
        <v>0</v>
      </c>
      <c r="O104" s="20">
        <f>'GS &gt; 50 OLS model'!$B$5</f>
        <v>-11694573.8944258</v>
      </c>
      <c r="P104" s="20">
        <f>'GS &gt; 50 OLS model'!$B$6*D104</f>
        <v>10976331.721685592</v>
      </c>
      <c r="Q104" s="20">
        <f ca="1">'GS &gt; 50 OLS model'!$B$7*E104</f>
        <v>1555.2558151075507</v>
      </c>
      <c r="R104" s="20">
        <f ca="1">'GS &gt; 50 OLS model'!$B$8*F104</f>
        <v>2656512.3887509522</v>
      </c>
      <c r="S104" s="20">
        <f>'GS &gt; 50 OLS model'!$B$9*G104</f>
        <v>13679263.318781912</v>
      </c>
      <c r="T104" s="20">
        <f>'GS &gt; 50 OLS model'!$B$10*H104</f>
        <v>1324630.7979817465</v>
      </c>
      <c r="U104" s="20">
        <f>'GS &gt; 50 OLS model'!$B$11*I104</f>
        <v>0</v>
      </c>
      <c r="V104" s="20">
        <f>'GS &gt; 50 OLS model'!$B$12*J104</f>
        <v>0</v>
      </c>
      <c r="W104" s="20">
        <f>'GS &gt; 50 OLS model'!$B$13*K104</f>
        <v>0</v>
      </c>
      <c r="X104" s="20">
        <f>'GS &gt; 50 OLS model'!$B$14*L104</f>
        <v>0</v>
      </c>
      <c r="Y104" s="20">
        <f>'GS &gt; 50 OLS model'!$B$15*M104</f>
        <v>0</v>
      </c>
      <c r="Z104" s="20">
        <f t="shared" ca="1" si="5"/>
        <v>16943719.588589512</v>
      </c>
    </row>
    <row r="105" spans="1:26" ht="15">
      <c r="A105" s="22">
        <v>42948</v>
      </c>
      <c r="B105" s="6">
        <f t="shared" si="4"/>
        <v>2017</v>
      </c>
      <c r="D105" s="20">
        <f>'Connection count '!K$12</f>
        <v>216.58333333333334</v>
      </c>
      <c r="E105" s="6">
        <f t="shared" ca="1" si="6"/>
        <v>1.7099999999999997</v>
      </c>
      <c r="F105" s="6">
        <f t="shared" ca="1" si="6"/>
        <v>158.1</v>
      </c>
      <c r="G105" s="137">
        <f>'Monthly Data'!AK105</f>
        <v>167.5</v>
      </c>
      <c r="H105" s="6">
        <f t="shared" si="9"/>
        <v>104</v>
      </c>
      <c r="I105" s="6">
        <f t="shared" si="10"/>
        <v>0</v>
      </c>
      <c r="J105" s="6">
        <f t="shared" si="7"/>
        <v>1</v>
      </c>
      <c r="K105" s="6">
        <f t="shared" si="7"/>
        <v>0</v>
      </c>
      <c r="L105" s="6">
        <f>'Monthly Data'!AY105</f>
        <v>0</v>
      </c>
      <c r="M105" s="6">
        <f t="shared" si="7"/>
        <v>0</v>
      </c>
      <c r="O105" s="20">
        <f>'GS &gt; 50 OLS model'!$B$5</f>
        <v>-11694573.8944258</v>
      </c>
      <c r="P105" s="20">
        <f>'GS &gt; 50 OLS model'!$B$6*D105</f>
        <v>10976331.721685592</v>
      </c>
      <c r="Q105" s="20">
        <f ca="1">'GS &gt; 50 OLS model'!$B$7*E105</f>
        <v>4585.3231790239843</v>
      </c>
      <c r="R105" s="20">
        <f ca="1">'GS &gt; 50 OLS model'!$B$8*F105</f>
        <v>2337068.6587364399</v>
      </c>
      <c r="S105" s="20">
        <f>'GS &gt; 50 OLS model'!$B$9*G105</f>
        <v>14039685.085146878</v>
      </c>
      <c r="T105" s="20">
        <f>'GS &gt; 50 OLS model'!$B$10*H105</f>
        <v>1337491.2911660352</v>
      </c>
      <c r="U105" s="20">
        <f>'GS &gt; 50 OLS model'!$B$11*I105</f>
        <v>0</v>
      </c>
      <c r="V105" s="20">
        <f>'GS &gt; 50 OLS model'!$B$12*J105</f>
        <v>1257541.23571065</v>
      </c>
      <c r="W105" s="20">
        <f>'GS &gt; 50 OLS model'!$B$13*K105</f>
        <v>0</v>
      </c>
      <c r="X105" s="20">
        <f>'GS &gt; 50 OLS model'!$B$14*L105</f>
        <v>0</v>
      </c>
      <c r="Y105" s="20">
        <f>'GS &gt; 50 OLS model'!$B$15*M105</f>
        <v>0</v>
      </c>
      <c r="Z105" s="20">
        <f t="shared" ca="1" si="5"/>
        <v>18258129.421198819</v>
      </c>
    </row>
    <row r="106" spans="1:26" ht="15">
      <c r="A106" s="22">
        <v>42979</v>
      </c>
      <c r="B106" s="6">
        <f t="shared" si="4"/>
        <v>2017</v>
      </c>
      <c r="D106" s="20">
        <f>'Connection count '!K$12</f>
        <v>216.58333333333334</v>
      </c>
      <c r="E106" s="6">
        <f t="shared" ca="1" si="6"/>
        <v>32.68</v>
      </c>
      <c r="F106" s="6">
        <f t="shared" ca="1" si="6"/>
        <v>67.34</v>
      </c>
      <c r="G106" s="137">
        <f>'Monthly Data'!AK106</f>
        <v>168.1</v>
      </c>
      <c r="H106" s="6">
        <f t="shared" si="9"/>
        <v>105</v>
      </c>
      <c r="I106" s="6">
        <f t="shared" si="10"/>
        <v>0</v>
      </c>
      <c r="J106" s="6">
        <f t="shared" si="7"/>
        <v>0</v>
      </c>
      <c r="K106" s="6">
        <f t="shared" si="7"/>
        <v>1</v>
      </c>
      <c r="L106" s="6">
        <f>'Monthly Data'!AY106</f>
        <v>0</v>
      </c>
      <c r="M106" s="6">
        <f t="shared" si="7"/>
        <v>0</v>
      </c>
      <c r="O106" s="20">
        <f>'GS &gt; 50 OLS model'!$B$5</f>
        <v>-11694573.8944258</v>
      </c>
      <c r="P106" s="20">
        <f>'GS &gt; 50 OLS model'!$B$6*D106</f>
        <v>10976331.721685592</v>
      </c>
      <c r="Q106" s="20">
        <f ca="1">'GS &gt; 50 OLS model'!$B$7*E106</f>
        <v>87630.620754680596</v>
      </c>
      <c r="R106" s="20">
        <f ca="1">'GS &gt; 50 OLS model'!$B$8*F106</f>
        <v>995434.55711139692</v>
      </c>
      <c r="S106" s="20">
        <f>'GS &gt; 50 OLS model'!$B$9*G106</f>
        <v>14089976.494407104</v>
      </c>
      <c r="T106" s="20">
        <f>'GS &gt; 50 OLS model'!$B$10*H106</f>
        <v>1350351.784350324</v>
      </c>
      <c r="U106" s="20">
        <f>'GS &gt; 50 OLS model'!$B$11*I106</f>
        <v>0</v>
      </c>
      <c r="V106" s="20">
        <f>'GS &gt; 50 OLS model'!$B$12*J106</f>
        <v>0</v>
      </c>
      <c r="W106" s="20">
        <f>'GS &gt; 50 OLS model'!$B$13*K106</f>
        <v>1979532.62008895</v>
      </c>
      <c r="X106" s="20">
        <f>'GS &gt; 50 OLS model'!$B$14*L106</f>
        <v>0</v>
      </c>
      <c r="Y106" s="20">
        <f>'GS &gt; 50 OLS model'!$B$15*M106</f>
        <v>0</v>
      </c>
      <c r="Z106" s="20">
        <f t="shared" ca="1" si="5"/>
        <v>17784683.903972249</v>
      </c>
    </row>
    <row r="107" spans="1:26" ht="15">
      <c r="A107" s="22">
        <v>43009</v>
      </c>
      <c r="B107" s="6">
        <f t="shared" si="4"/>
        <v>2017</v>
      </c>
      <c r="D107" s="20">
        <f>'Connection count '!K$12</f>
        <v>216.58333333333334</v>
      </c>
      <c r="E107" s="6">
        <f t="shared" ca="1" si="6"/>
        <v>176.42</v>
      </c>
      <c r="F107" s="6">
        <f t="shared" ca="1" si="6"/>
        <v>10.18</v>
      </c>
      <c r="G107" s="137">
        <f>'Monthly Data'!AK107</f>
        <v>165.1</v>
      </c>
      <c r="H107" s="6">
        <f t="shared" si="9"/>
        <v>106</v>
      </c>
      <c r="I107" s="6">
        <f t="shared" si="10"/>
        <v>0</v>
      </c>
      <c r="J107" s="6">
        <f t="shared" si="7"/>
        <v>0</v>
      </c>
      <c r="K107" s="6">
        <f t="shared" si="7"/>
        <v>0</v>
      </c>
      <c r="L107" s="6">
        <f>'Monthly Data'!AY107</f>
        <v>0</v>
      </c>
      <c r="M107" s="6">
        <f t="shared" si="7"/>
        <v>0</v>
      </c>
      <c r="O107" s="20">
        <f>'GS &gt; 50 OLS model'!$B$5</f>
        <v>-11694573.8944258</v>
      </c>
      <c r="P107" s="20">
        <f>'GS &gt; 50 OLS model'!$B$6*D107</f>
        <v>10976331.721685592</v>
      </c>
      <c r="Q107" s="20">
        <f ca="1">'GS &gt; 50 OLS model'!$B$7*E107</f>
        <v>473065.91534702422</v>
      </c>
      <c r="R107" s="20">
        <f ca="1">'GS &gt; 50 OLS model'!$B$8*F107</f>
        <v>150482.97878517999</v>
      </c>
      <c r="S107" s="20">
        <f>'GS &gt; 50 OLS model'!$B$9*G107</f>
        <v>13838519.448105967</v>
      </c>
      <c r="T107" s="20">
        <f>'GS &gt; 50 OLS model'!$B$10*H107</f>
        <v>1363212.2775346127</v>
      </c>
      <c r="U107" s="20">
        <f>'GS &gt; 50 OLS model'!$B$11*I107</f>
        <v>0</v>
      </c>
      <c r="V107" s="20">
        <f>'GS &gt; 50 OLS model'!$B$12*J107</f>
        <v>0</v>
      </c>
      <c r="W107" s="20">
        <f>'GS &gt; 50 OLS model'!$B$13*K107</f>
        <v>0</v>
      </c>
      <c r="X107" s="20">
        <f>'GS &gt; 50 OLS model'!$B$14*L107</f>
        <v>0</v>
      </c>
      <c r="Y107" s="20">
        <f>'GS &gt; 50 OLS model'!$B$15*M107</f>
        <v>0</v>
      </c>
      <c r="Z107" s="20">
        <f t="shared" ca="1" si="5"/>
        <v>15107038.447032576</v>
      </c>
    </row>
    <row r="108" spans="1:26" ht="15">
      <c r="A108" s="22">
        <v>43040</v>
      </c>
      <c r="B108" s="6">
        <f t="shared" si="4"/>
        <v>2017</v>
      </c>
      <c r="D108" s="20">
        <f>'Connection count '!K$12</f>
        <v>216.58333333333334</v>
      </c>
      <c r="E108" s="6">
        <f t="shared" ca="1" si="6"/>
        <v>364.2299999999999</v>
      </c>
      <c r="F108" s="6">
        <f t="shared" ca="1" si="6"/>
        <v>0.05</v>
      </c>
      <c r="G108" s="137">
        <f>'Monthly Data'!AK108</f>
        <v>164.7</v>
      </c>
      <c r="H108" s="6">
        <f t="shared" si="9"/>
        <v>107</v>
      </c>
      <c r="I108" s="6">
        <f t="shared" si="10"/>
        <v>0</v>
      </c>
      <c r="J108" s="6">
        <f t="shared" si="7"/>
        <v>0</v>
      </c>
      <c r="K108" s="6">
        <f t="shared" si="7"/>
        <v>0</v>
      </c>
      <c r="L108" s="6">
        <f>'Monthly Data'!AY108</f>
        <v>0</v>
      </c>
      <c r="M108" s="6">
        <f t="shared" si="7"/>
        <v>1</v>
      </c>
      <c r="O108" s="20">
        <f>'GS &gt; 50 OLS model'!$B$5</f>
        <v>-11694573.8944258</v>
      </c>
      <c r="P108" s="20">
        <f>'GS &gt; 50 OLS model'!$B$6*D108</f>
        <v>10976331.721685592</v>
      </c>
      <c r="Q108" s="20">
        <f ca="1">'GS &gt; 50 OLS model'!$B$7*E108</f>
        <v>976673.83713210851</v>
      </c>
      <c r="R108" s="20">
        <f ca="1">'GS &gt; 50 OLS model'!$B$8*F108</f>
        <v>739.11089776611004</v>
      </c>
      <c r="S108" s="20">
        <f>'GS &gt; 50 OLS model'!$B$9*G108</f>
        <v>13804991.841932481</v>
      </c>
      <c r="T108" s="20">
        <f>'GS &gt; 50 OLS model'!$B$10*H108</f>
        <v>1376072.7707189017</v>
      </c>
      <c r="U108" s="20">
        <f>'GS &gt; 50 OLS model'!$B$11*I108</f>
        <v>0</v>
      </c>
      <c r="V108" s="20">
        <f>'GS &gt; 50 OLS model'!$B$12*J108</f>
        <v>0</v>
      </c>
      <c r="W108" s="20">
        <f>'GS &gt; 50 OLS model'!$B$13*K108</f>
        <v>0</v>
      </c>
      <c r="X108" s="20">
        <f>'GS &gt; 50 OLS model'!$B$14*L108</f>
        <v>0</v>
      </c>
      <c r="Y108" s="20">
        <f>'GS &gt; 50 OLS model'!$B$15*M108</f>
        <v>671693.73401239095</v>
      </c>
      <c r="Z108" s="20">
        <f t="shared" ca="1" si="5"/>
        <v>16111929.121953441</v>
      </c>
    </row>
    <row r="109" spans="1:26" ht="15">
      <c r="A109" s="22">
        <v>43070</v>
      </c>
      <c r="B109" s="6">
        <f t="shared" si="4"/>
        <v>2017</v>
      </c>
      <c r="D109" s="20">
        <f>'Connection count '!K$12</f>
        <v>216.58333333333334</v>
      </c>
      <c r="E109" s="6">
        <f t="shared" ca="1" si="6"/>
        <v>552.31000000000006</v>
      </c>
      <c r="F109" s="6">
        <f t="shared" ca="1" si="6"/>
        <v>0</v>
      </c>
      <c r="G109" s="137">
        <f>'Monthly Data'!AK109</f>
        <v>164.3</v>
      </c>
      <c r="H109" s="6">
        <f t="shared" si="9"/>
        <v>108</v>
      </c>
      <c r="I109" s="6">
        <f t="shared" si="10"/>
        <v>0</v>
      </c>
      <c r="J109" s="6">
        <f t="shared" si="7"/>
        <v>0</v>
      </c>
      <c r="K109" s="6">
        <f t="shared" si="7"/>
        <v>0</v>
      </c>
      <c r="L109" s="6">
        <f>'Monthly Data'!AY109</f>
        <v>0</v>
      </c>
      <c r="M109" s="6">
        <f t="shared" si="7"/>
        <v>0</v>
      </c>
      <c r="O109" s="20">
        <f>'GS &gt; 50 OLS model'!$B$5</f>
        <v>-11694573.8944258</v>
      </c>
      <c r="P109" s="20">
        <f>'GS &gt; 50 OLS model'!$B$6*D109</f>
        <v>10976331.721685592</v>
      </c>
      <c r="Q109" s="20">
        <f ca="1">'GS &gt; 50 OLS model'!$B$7*E109</f>
        <v>1481005.7573138815</v>
      </c>
      <c r="R109" s="20">
        <f ca="1">'GS &gt; 50 OLS model'!$B$8*F109</f>
        <v>0</v>
      </c>
      <c r="S109" s="20">
        <f>'GS &gt; 50 OLS model'!$B$9*G109</f>
        <v>13771464.235758997</v>
      </c>
      <c r="T109" s="20">
        <f>'GS &gt; 50 OLS model'!$B$10*H109</f>
        <v>1388933.2639031904</v>
      </c>
      <c r="U109" s="20">
        <f>'GS &gt; 50 OLS model'!$B$11*I109</f>
        <v>0</v>
      </c>
      <c r="V109" s="20">
        <f>'GS &gt; 50 OLS model'!$B$12*J109</f>
        <v>0</v>
      </c>
      <c r="W109" s="20">
        <f>'GS &gt; 50 OLS model'!$B$13*K109</f>
        <v>0</v>
      </c>
      <c r="X109" s="20">
        <f>'GS &gt; 50 OLS model'!$B$14*L109</f>
        <v>0</v>
      </c>
      <c r="Y109" s="20">
        <f>'GS &gt; 50 OLS model'!$B$15*M109</f>
        <v>0</v>
      </c>
      <c r="Z109" s="20">
        <f t="shared" ca="1" si="5"/>
        <v>15923161.084235862</v>
      </c>
    </row>
    <row r="110" spans="1:26" ht="15">
      <c r="A110" s="22">
        <v>43101</v>
      </c>
      <c r="B110" s="6">
        <f t="shared" ref="B110:B121" si="11">YEAR(A110)</f>
        <v>2018</v>
      </c>
      <c r="D110" s="20">
        <f>'Connection count '!K$13</f>
        <v>216.90668429258918</v>
      </c>
      <c r="E110" s="6">
        <f t="shared" ca="1" si="6"/>
        <v>661.18999999999994</v>
      </c>
      <c r="F110" s="6">
        <f t="shared" ca="1" si="6"/>
        <v>0</v>
      </c>
      <c r="G110" s="143">
        <f>G98*(1+Employment!J$14)</f>
        <v>163.11049999999997</v>
      </c>
      <c r="H110" s="6">
        <f t="shared" si="9"/>
        <v>109</v>
      </c>
      <c r="I110" s="6">
        <f t="shared" ref="I110:I121" si="12">I98</f>
        <v>0</v>
      </c>
      <c r="J110" s="6">
        <f t="shared" ref="J110:J121" si="13">J98</f>
        <v>0</v>
      </c>
      <c r="K110" s="6">
        <f t="shared" ref="K110:M121" si="14">K98</f>
        <v>0</v>
      </c>
      <c r="L110" s="6">
        <f>'Monthly Data'!AY110</f>
        <v>0</v>
      </c>
      <c r="M110" s="6">
        <f t="shared" si="14"/>
        <v>0</v>
      </c>
      <c r="O110" s="20">
        <f>'GS &gt; 50 OLS model'!$B$5</f>
        <v>-11694573.8944258</v>
      </c>
      <c r="P110" s="20">
        <f>'GS &gt; 50 OLS model'!$B$6*D110</f>
        <v>10992718.981668588</v>
      </c>
      <c r="Q110" s="20">
        <f ca="1">'GS &gt; 50 OLS model'!$B$7*E110</f>
        <v>1772964.8144671745</v>
      </c>
      <c r="R110" s="20">
        <f ca="1">'GS &gt; 50 OLS model'!$B$8*F110</f>
        <v>0</v>
      </c>
      <c r="S110" s="20">
        <f>'GS &gt; 50 OLS model'!$B$9*G110</f>
        <v>13671761.516900593</v>
      </c>
      <c r="T110" s="20">
        <f>'GS &gt; 50 OLS model'!$B$10*H110</f>
        <v>1401793.7570874791</v>
      </c>
      <c r="U110" s="20">
        <f>'GS &gt; 50 OLS model'!$B$11*I110</f>
        <v>0</v>
      </c>
      <c r="V110" s="20">
        <f>'GS &gt; 50 OLS model'!$B$12*J110</f>
        <v>0</v>
      </c>
      <c r="W110" s="20">
        <f>'GS &gt; 50 OLS model'!$B$13*K110</f>
        <v>0</v>
      </c>
      <c r="X110" s="20">
        <f>'GS &gt; 50 OLS model'!$B$14*L110</f>
        <v>0</v>
      </c>
      <c r="Y110" s="20">
        <f>'GS &gt; 50 OLS model'!$B$15*M110</f>
        <v>0</v>
      </c>
      <c r="Z110" s="20">
        <f t="shared" ca="1" si="5"/>
        <v>16144665.175698034</v>
      </c>
    </row>
    <row r="111" spans="1:26" ht="15">
      <c r="A111" s="22">
        <v>43132</v>
      </c>
      <c r="B111" s="6">
        <f t="shared" si="11"/>
        <v>2018</v>
      </c>
      <c r="D111" s="20">
        <f>'Connection count '!K$13</f>
        <v>216.90668429258918</v>
      </c>
      <c r="E111" s="6">
        <f t="shared" ca="1" si="6"/>
        <v>598.16999999999985</v>
      </c>
      <c r="F111" s="6">
        <f t="shared" ca="1" si="6"/>
        <v>0</v>
      </c>
      <c r="G111" s="143">
        <f>G99*(1+Employment!J$14)</f>
        <v>161.18199999999999</v>
      </c>
      <c r="H111" s="6">
        <f t="shared" si="9"/>
        <v>110</v>
      </c>
      <c r="I111" s="6">
        <f t="shared" si="12"/>
        <v>1</v>
      </c>
      <c r="J111" s="6">
        <f t="shared" si="13"/>
        <v>0</v>
      </c>
      <c r="K111" s="6">
        <f t="shared" si="14"/>
        <v>0</v>
      </c>
      <c r="L111" s="6">
        <f>'Monthly Data'!AY111</f>
        <v>0</v>
      </c>
      <c r="M111" s="6">
        <f t="shared" si="14"/>
        <v>0</v>
      </c>
      <c r="O111" s="20">
        <f>'GS &gt; 50 OLS model'!$B$5</f>
        <v>-11694573.8944258</v>
      </c>
      <c r="P111" s="20">
        <f>'GS &gt; 50 OLS model'!$B$6*D111</f>
        <v>10992718.981668588</v>
      </c>
      <c r="Q111" s="20">
        <f ca="1">'GS &gt; 50 OLS model'!$B$7*E111</f>
        <v>1603978.225729109</v>
      </c>
      <c r="R111" s="20">
        <f ca="1">'GS &gt; 50 OLS model'!$B$8*F111</f>
        <v>0</v>
      </c>
      <c r="S111" s="20">
        <f>'GS &gt; 50 OLS model'!$B$9*G111</f>
        <v>13510116.54563668</v>
      </c>
      <c r="T111" s="20">
        <f>'GS &gt; 50 OLS model'!$B$10*H111</f>
        <v>1414654.2502717681</v>
      </c>
      <c r="U111" s="20">
        <f>'GS &gt; 50 OLS model'!$B$11*I111</f>
        <v>-797686.81375559501</v>
      </c>
      <c r="V111" s="20">
        <f>'GS &gt; 50 OLS model'!$B$12*J111</f>
        <v>0</v>
      </c>
      <c r="W111" s="20">
        <f>'GS &gt; 50 OLS model'!$B$13*K111</f>
        <v>0</v>
      </c>
      <c r="X111" s="20">
        <f>'GS &gt; 50 OLS model'!$B$14*L111</f>
        <v>0</v>
      </c>
      <c r="Y111" s="20">
        <f>'GS &gt; 50 OLS model'!$B$15*M111</f>
        <v>0</v>
      </c>
      <c r="Z111" s="20">
        <f t="shared" ca="1" si="5"/>
        <v>15029207.295124751</v>
      </c>
    </row>
    <row r="112" spans="1:26" ht="15">
      <c r="A112" s="22">
        <v>43160</v>
      </c>
      <c r="B112" s="6">
        <f t="shared" si="11"/>
        <v>2018</v>
      </c>
      <c r="D112" s="20">
        <f>'Connection count '!K$13</f>
        <v>216.90668429258918</v>
      </c>
      <c r="E112" s="6">
        <f t="shared" ca="1" si="6"/>
        <v>451.34</v>
      </c>
      <c r="F112" s="6">
        <f t="shared" ca="1" si="6"/>
        <v>0.88000000000000012</v>
      </c>
      <c r="G112" s="143">
        <f>G100*(1+Employment!J$14)</f>
        <v>159.96399999999997</v>
      </c>
      <c r="H112" s="6">
        <f t="shared" si="9"/>
        <v>111</v>
      </c>
      <c r="I112" s="6">
        <f t="shared" si="12"/>
        <v>0</v>
      </c>
      <c r="J112" s="6">
        <f t="shared" si="13"/>
        <v>0</v>
      </c>
      <c r="K112" s="6">
        <f t="shared" si="14"/>
        <v>0</v>
      </c>
      <c r="L112" s="6">
        <f>'Monthly Data'!AY112</f>
        <v>0</v>
      </c>
      <c r="M112" s="6">
        <f t="shared" si="14"/>
        <v>0</v>
      </c>
      <c r="O112" s="20">
        <f>'GS &gt; 50 OLS model'!$B$5</f>
        <v>-11694573.8944258</v>
      </c>
      <c r="P112" s="20">
        <f>'GS &gt; 50 OLS model'!$B$6*D112</f>
        <v>10992718.981668588</v>
      </c>
      <c r="Q112" s="20">
        <f ca="1">'GS &gt; 50 OLS model'!$B$7*E112</f>
        <v>1210257.1717080032</v>
      </c>
      <c r="R112" s="20">
        <f ca="1">'GS &gt; 50 OLS model'!$B$8*F112</f>
        <v>13008.351800683537</v>
      </c>
      <c r="S112" s="20">
        <f>'GS &gt; 50 OLS model'!$B$9*G112</f>
        <v>13408024.984838417</v>
      </c>
      <c r="T112" s="20">
        <f>'GS &gt; 50 OLS model'!$B$10*H112</f>
        <v>1427514.7434560568</v>
      </c>
      <c r="U112" s="20">
        <f>'GS &gt; 50 OLS model'!$B$11*I112</f>
        <v>0</v>
      </c>
      <c r="V112" s="20">
        <f>'GS &gt; 50 OLS model'!$B$12*J112</f>
        <v>0</v>
      </c>
      <c r="W112" s="20">
        <f>'GS &gt; 50 OLS model'!$B$13*K112</f>
        <v>0</v>
      </c>
      <c r="X112" s="20">
        <f>'GS &gt; 50 OLS model'!$B$14*L112</f>
        <v>0</v>
      </c>
      <c r="Y112" s="20">
        <f>'GS &gt; 50 OLS model'!$B$15*M112</f>
        <v>0</v>
      </c>
      <c r="Z112" s="20">
        <f t="shared" ca="1" si="5"/>
        <v>15356950.339045947</v>
      </c>
    </row>
    <row r="113" spans="1:26" ht="15">
      <c r="A113" s="22">
        <v>43191</v>
      </c>
      <c r="B113" s="6">
        <f t="shared" si="11"/>
        <v>2018</v>
      </c>
      <c r="D113" s="20">
        <f>'Connection count '!K$13</f>
        <v>216.90668429258918</v>
      </c>
      <c r="E113" s="6">
        <f t="shared" ca="1" si="6"/>
        <v>259.5499999999999</v>
      </c>
      <c r="F113" s="6">
        <f t="shared" ca="1" si="6"/>
        <v>2.4500000000000002</v>
      </c>
      <c r="G113" s="143">
        <f>G101*(1+Employment!J$14)</f>
        <v>159.15199999999999</v>
      </c>
      <c r="H113" s="6">
        <f t="shared" si="9"/>
        <v>112</v>
      </c>
      <c r="I113" s="6">
        <f t="shared" si="12"/>
        <v>0</v>
      </c>
      <c r="J113" s="6">
        <f t="shared" si="13"/>
        <v>0</v>
      </c>
      <c r="K113" s="6">
        <f t="shared" si="14"/>
        <v>0</v>
      </c>
      <c r="L113" s="6">
        <f>'Monthly Data'!AY113</f>
        <v>0</v>
      </c>
      <c r="M113" s="6">
        <f t="shared" si="14"/>
        <v>0</v>
      </c>
      <c r="O113" s="20">
        <f>'GS &gt; 50 OLS model'!$B$5</f>
        <v>-11694573.8944258</v>
      </c>
      <c r="P113" s="20">
        <f>'GS &gt; 50 OLS model'!$B$6*D113</f>
        <v>10992718.981668588</v>
      </c>
      <c r="Q113" s="20">
        <f ca="1">'GS &gt; 50 OLS model'!$B$7*E113</f>
        <v>695976.9772606286</v>
      </c>
      <c r="R113" s="20">
        <f ca="1">'GS &gt; 50 OLS model'!$B$8*F113</f>
        <v>36216.433990539394</v>
      </c>
      <c r="S113" s="20">
        <f>'GS &gt; 50 OLS model'!$B$9*G113</f>
        <v>13339963.944306243</v>
      </c>
      <c r="T113" s="20">
        <f>'GS &gt; 50 OLS model'!$B$10*H113</f>
        <v>1440375.2366403455</v>
      </c>
      <c r="U113" s="20">
        <f>'GS &gt; 50 OLS model'!$B$11*I113</f>
        <v>0</v>
      </c>
      <c r="V113" s="20">
        <f>'GS &gt; 50 OLS model'!$B$12*J113</f>
        <v>0</v>
      </c>
      <c r="W113" s="20">
        <f>'GS &gt; 50 OLS model'!$B$13*K113</f>
        <v>0</v>
      </c>
      <c r="X113" s="20">
        <f>'GS &gt; 50 OLS model'!$B$14*L113</f>
        <v>0</v>
      </c>
      <c r="Y113" s="20">
        <f>'GS &gt; 50 OLS model'!$B$15*M113</f>
        <v>0</v>
      </c>
      <c r="Z113" s="20">
        <f t="shared" ca="1" si="5"/>
        <v>14810677.679440545</v>
      </c>
    </row>
    <row r="114" spans="1:26" ht="15">
      <c r="A114" s="22">
        <v>43221</v>
      </c>
      <c r="B114" s="6">
        <f t="shared" si="11"/>
        <v>2018</v>
      </c>
      <c r="D114" s="20">
        <f>'Connection count '!K$13</f>
        <v>216.90668429258918</v>
      </c>
      <c r="E114" s="6">
        <f t="shared" ca="1" si="6"/>
        <v>88.880000000000024</v>
      </c>
      <c r="F114" s="6">
        <f t="shared" ca="1" si="6"/>
        <v>43.79999999999999</v>
      </c>
      <c r="G114" s="143">
        <f>G102*(1+Employment!J$14)</f>
        <v>160.06549999999999</v>
      </c>
      <c r="H114" s="6">
        <f t="shared" si="9"/>
        <v>113</v>
      </c>
      <c r="I114" s="6">
        <f t="shared" si="12"/>
        <v>0</v>
      </c>
      <c r="J114" s="6">
        <f t="shared" si="13"/>
        <v>0</v>
      </c>
      <c r="K114" s="6">
        <f t="shared" si="14"/>
        <v>0</v>
      </c>
      <c r="L114" s="6">
        <f>'Monthly Data'!AY114</f>
        <v>0</v>
      </c>
      <c r="M114" s="6">
        <f t="shared" si="14"/>
        <v>0</v>
      </c>
      <c r="O114" s="20">
        <f>'GS &gt; 50 OLS model'!$B$5</f>
        <v>-11694573.8944258</v>
      </c>
      <c r="P114" s="20">
        <f>'GS &gt; 50 OLS model'!$B$6*D114</f>
        <v>10992718.981668588</v>
      </c>
      <c r="Q114" s="20">
        <f ca="1">'GS &gt; 50 OLS model'!$B$7*E114</f>
        <v>238329.54628751572</v>
      </c>
      <c r="R114" s="20">
        <f ca="1">'GS &gt; 50 OLS model'!$B$8*F114</f>
        <v>647461.14644311217</v>
      </c>
      <c r="S114" s="20">
        <f>'GS &gt; 50 OLS model'!$B$9*G114</f>
        <v>13416532.61490494</v>
      </c>
      <c r="T114" s="20">
        <f>'GS &gt; 50 OLS model'!$B$10*H114</f>
        <v>1453235.7298246345</v>
      </c>
      <c r="U114" s="20">
        <f>'GS &gt; 50 OLS model'!$B$11*I114</f>
        <v>0</v>
      </c>
      <c r="V114" s="20">
        <f>'GS &gt; 50 OLS model'!$B$12*J114</f>
        <v>0</v>
      </c>
      <c r="W114" s="20">
        <f>'GS &gt; 50 OLS model'!$B$13*K114</f>
        <v>0</v>
      </c>
      <c r="X114" s="20">
        <f>'GS &gt; 50 OLS model'!$B$14*L114</f>
        <v>0</v>
      </c>
      <c r="Y114" s="20">
        <f>'GS &gt; 50 OLS model'!$B$15*M114</f>
        <v>0</v>
      </c>
      <c r="Z114" s="20">
        <f t="shared" ca="1" si="5"/>
        <v>15053704.12470299</v>
      </c>
    </row>
    <row r="115" spans="1:26" ht="15">
      <c r="A115" s="22">
        <v>43252</v>
      </c>
      <c r="B115" s="6">
        <f t="shared" si="11"/>
        <v>2018</v>
      </c>
      <c r="D115" s="20">
        <f>'Connection count '!K$13</f>
        <v>216.90668429258918</v>
      </c>
      <c r="E115" s="6">
        <f t="shared" ca="1" si="6"/>
        <v>9.77</v>
      </c>
      <c r="F115" s="6">
        <f t="shared" ca="1" si="6"/>
        <v>117.38999999999999</v>
      </c>
      <c r="G115" s="143">
        <f>G103*(1+Employment!J$14)</f>
        <v>163.61799999999997</v>
      </c>
      <c r="H115" s="6">
        <f t="shared" si="9"/>
        <v>114</v>
      </c>
      <c r="I115" s="6">
        <f t="shared" si="12"/>
        <v>0</v>
      </c>
      <c r="J115" s="6">
        <f t="shared" si="13"/>
        <v>0</v>
      </c>
      <c r="K115" s="6">
        <f t="shared" si="14"/>
        <v>0</v>
      </c>
      <c r="L115" s="6">
        <f>'Monthly Data'!AY115</f>
        <v>0</v>
      </c>
      <c r="M115" s="6">
        <f t="shared" si="14"/>
        <v>0</v>
      </c>
      <c r="O115" s="20">
        <f>'GS &gt; 50 OLS model'!$B$5</f>
        <v>-11694573.8944258</v>
      </c>
      <c r="P115" s="20">
        <f>'GS &gt; 50 OLS model'!$B$6*D115</f>
        <v>10992718.981668588</v>
      </c>
      <c r="Q115" s="20">
        <f ca="1">'GS &gt; 50 OLS model'!$B$7*E115</f>
        <v>26198.016057932356</v>
      </c>
      <c r="R115" s="20">
        <f ca="1">'GS &gt; 50 OLS model'!$B$8*F115</f>
        <v>1735284.5657752729</v>
      </c>
      <c r="S115" s="20">
        <f>'GS &gt; 50 OLS model'!$B$9*G115</f>
        <v>13714299.667233203</v>
      </c>
      <c r="T115" s="20">
        <f>'GS &gt; 50 OLS model'!$B$10*H115</f>
        <v>1466096.2230089232</v>
      </c>
      <c r="U115" s="20">
        <f>'GS &gt; 50 OLS model'!$B$11*I115</f>
        <v>0</v>
      </c>
      <c r="V115" s="20">
        <f>'GS &gt; 50 OLS model'!$B$12*J115</f>
        <v>0</v>
      </c>
      <c r="W115" s="20">
        <f>'GS &gt; 50 OLS model'!$B$13*K115</f>
        <v>0</v>
      </c>
      <c r="X115" s="20">
        <f>'GS &gt; 50 OLS model'!$B$14*L115</f>
        <v>0</v>
      </c>
      <c r="Y115" s="20">
        <f>'GS &gt; 50 OLS model'!$B$15*M115</f>
        <v>0</v>
      </c>
      <c r="Z115" s="20">
        <f t="shared" ca="1" si="5"/>
        <v>16240023.559318118</v>
      </c>
    </row>
    <row r="116" spans="1:26" ht="15">
      <c r="A116" s="22">
        <v>43282</v>
      </c>
      <c r="B116" s="6">
        <f t="shared" si="11"/>
        <v>2018</v>
      </c>
      <c r="D116" s="20">
        <f>'Connection count '!K$13</f>
        <v>216.90668429258918</v>
      </c>
      <c r="E116" s="6">
        <f t="shared" ca="1" si="6"/>
        <v>0.58000000000000007</v>
      </c>
      <c r="F116" s="6">
        <f t="shared" ca="1" si="6"/>
        <v>179.70999999999998</v>
      </c>
      <c r="G116" s="143">
        <f>G104*(1+Employment!J$14)</f>
        <v>165.64799999999997</v>
      </c>
      <c r="H116" s="6">
        <f t="shared" si="9"/>
        <v>115</v>
      </c>
      <c r="I116" s="6">
        <f t="shared" si="12"/>
        <v>0</v>
      </c>
      <c r="J116" s="6">
        <f t="shared" si="13"/>
        <v>0</v>
      </c>
      <c r="K116" s="6">
        <f t="shared" si="14"/>
        <v>0</v>
      </c>
      <c r="L116" s="6">
        <f>'Monthly Data'!AY116</f>
        <v>0</v>
      </c>
      <c r="M116" s="6">
        <f t="shared" si="14"/>
        <v>0</v>
      </c>
      <c r="O116" s="20">
        <f>'GS &gt; 50 OLS model'!$B$5</f>
        <v>-11694573.8944258</v>
      </c>
      <c r="P116" s="20">
        <f>'GS &gt; 50 OLS model'!$B$6*D116</f>
        <v>10992718.981668588</v>
      </c>
      <c r="Q116" s="20">
        <f ca="1">'GS &gt; 50 OLS model'!$B$7*E116</f>
        <v>1555.2558151075507</v>
      </c>
      <c r="R116" s="20">
        <f ca="1">'GS &gt; 50 OLS model'!$B$8*F116</f>
        <v>2656512.3887509522</v>
      </c>
      <c r="S116" s="20">
        <f>'GS &gt; 50 OLS model'!$B$9*G116</f>
        <v>13884452.268563639</v>
      </c>
      <c r="T116" s="20">
        <f>'GS &gt; 50 OLS model'!$B$10*H116</f>
        <v>1478956.716193212</v>
      </c>
      <c r="U116" s="20">
        <f>'GS &gt; 50 OLS model'!$B$11*I116</f>
        <v>0</v>
      </c>
      <c r="V116" s="20">
        <f>'GS &gt; 50 OLS model'!$B$12*J116</f>
        <v>0</v>
      </c>
      <c r="W116" s="20">
        <f>'GS &gt; 50 OLS model'!$B$13*K116</f>
        <v>0</v>
      </c>
      <c r="X116" s="20">
        <f>'GS &gt; 50 OLS model'!$B$14*L116</f>
        <v>0</v>
      </c>
      <c r="Y116" s="20">
        <f>'GS &gt; 50 OLS model'!$B$15*M116</f>
        <v>0</v>
      </c>
      <c r="Z116" s="20">
        <f t="shared" ca="1" si="5"/>
        <v>17319621.716565698</v>
      </c>
    </row>
    <row r="117" spans="1:26" ht="15">
      <c r="A117" s="22">
        <v>43313</v>
      </c>
      <c r="B117" s="6">
        <f t="shared" si="11"/>
        <v>2018</v>
      </c>
      <c r="D117" s="20">
        <f>'Connection count '!K$13</f>
        <v>216.90668429258918</v>
      </c>
      <c r="E117" s="6">
        <f t="shared" ca="1" si="6"/>
        <v>1.7099999999999997</v>
      </c>
      <c r="F117" s="6">
        <f t="shared" ca="1" si="6"/>
        <v>158.1</v>
      </c>
      <c r="G117" s="143">
        <f>G105*(1+Employment!J$14)</f>
        <v>170.01249999999999</v>
      </c>
      <c r="H117" s="6">
        <f t="shared" si="9"/>
        <v>116</v>
      </c>
      <c r="I117" s="6">
        <f t="shared" si="12"/>
        <v>0</v>
      </c>
      <c r="J117" s="6">
        <f t="shared" si="13"/>
        <v>1</v>
      </c>
      <c r="K117" s="6">
        <f t="shared" si="14"/>
        <v>0</v>
      </c>
      <c r="L117" s="6">
        <f>'Monthly Data'!AY117</f>
        <v>0</v>
      </c>
      <c r="M117" s="6">
        <f t="shared" si="14"/>
        <v>0</v>
      </c>
      <c r="O117" s="20">
        <f>'GS &gt; 50 OLS model'!$B$5</f>
        <v>-11694573.8944258</v>
      </c>
      <c r="P117" s="20">
        <f>'GS &gt; 50 OLS model'!$B$6*D117</f>
        <v>10992718.981668588</v>
      </c>
      <c r="Q117" s="20">
        <f ca="1">'GS &gt; 50 OLS model'!$B$7*E117</f>
        <v>4585.3231790239843</v>
      </c>
      <c r="R117" s="20">
        <f ca="1">'GS &gt; 50 OLS model'!$B$8*F117</f>
        <v>2337068.6587364399</v>
      </c>
      <c r="S117" s="20">
        <f>'GS &gt; 50 OLS model'!$B$9*G117</f>
        <v>14250280.361424079</v>
      </c>
      <c r="T117" s="20">
        <f>'GS &gt; 50 OLS model'!$B$10*H117</f>
        <v>1491817.2093775007</v>
      </c>
      <c r="U117" s="20">
        <f>'GS &gt; 50 OLS model'!$B$11*I117</f>
        <v>0</v>
      </c>
      <c r="V117" s="20">
        <f>'GS &gt; 50 OLS model'!$B$12*J117</f>
        <v>1257541.23571065</v>
      </c>
      <c r="W117" s="20">
        <f>'GS &gt; 50 OLS model'!$B$13*K117</f>
        <v>0</v>
      </c>
      <c r="X117" s="20">
        <f>'GS &gt; 50 OLS model'!$B$14*L117</f>
        <v>0</v>
      </c>
      <c r="Y117" s="20">
        <f>'GS &gt; 50 OLS model'!$B$15*M117</f>
        <v>0</v>
      </c>
      <c r="Z117" s="20">
        <f t="shared" ca="1" si="5"/>
        <v>18639437.875670481</v>
      </c>
    </row>
    <row r="118" spans="1:26" ht="15">
      <c r="A118" s="22">
        <v>43344</v>
      </c>
      <c r="B118" s="6">
        <f t="shared" si="11"/>
        <v>2018</v>
      </c>
      <c r="D118" s="20">
        <f>'Connection count '!K$13</f>
        <v>216.90668429258918</v>
      </c>
      <c r="E118" s="6">
        <f t="shared" ca="1" si="6"/>
        <v>32.68</v>
      </c>
      <c r="F118" s="6">
        <f t="shared" ca="1" si="6"/>
        <v>67.34</v>
      </c>
      <c r="G118" s="143">
        <f>G106*(1+Employment!J$14)</f>
        <v>170.62149999999997</v>
      </c>
      <c r="H118" s="6">
        <f t="shared" si="9"/>
        <v>117</v>
      </c>
      <c r="I118" s="6">
        <f t="shared" si="12"/>
        <v>0</v>
      </c>
      <c r="J118" s="6">
        <f t="shared" si="13"/>
        <v>0</v>
      </c>
      <c r="K118" s="6">
        <f t="shared" si="14"/>
        <v>1</v>
      </c>
      <c r="L118" s="6">
        <f>'Monthly Data'!AY118</f>
        <v>0</v>
      </c>
      <c r="M118" s="6">
        <f t="shared" si="14"/>
        <v>0</v>
      </c>
      <c r="O118" s="20">
        <f>'GS &gt; 50 OLS model'!$B$5</f>
        <v>-11694573.8944258</v>
      </c>
      <c r="P118" s="20">
        <f>'GS &gt; 50 OLS model'!$B$6*D118</f>
        <v>10992718.981668588</v>
      </c>
      <c r="Q118" s="20">
        <f ca="1">'GS &gt; 50 OLS model'!$B$7*E118</f>
        <v>87630.620754680596</v>
      </c>
      <c r="R118" s="20">
        <f ca="1">'GS &gt; 50 OLS model'!$B$8*F118</f>
        <v>995434.55711139692</v>
      </c>
      <c r="S118" s="20">
        <f>'GS &gt; 50 OLS model'!$B$9*G118</f>
        <v>14301326.14182321</v>
      </c>
      <c r="T118" s="20">
        <f>'GS &gt; 50 OLS model'!$B$10*H118</f>
        <v>1504677.7025617897</v>
      </c>
      <c r="U118" s="20">
        <f>'GS &gt; 50 OLS model'!$B$11*I118</f>
        <v>0</v>
      </c>
      <c r="V118" s="20">
        <f>'GS &gt; 50 OLS model'!$B$12*J118</f>
        <v>0</v>
      </c>
      <c r="W118" s="20">
        <f>'GS &gt; 50 OLS model'!$B$13*K118</f>
        <v>1979532.62008895</v>
      </c>
      <c r="X118" s="20">
        <f>'GS &gt; 50 OLS model'!$B$14*L118</f>
        <v>0</v>
      </c>
      <c r="Y118" s="20">
        <f>'GS &gt; 50 OLS model'!$B$15*M118</f>
        <v>0</v>
      </c>
      <c r="Z118" s="20">
        <f t="shared" ca="1" si="5"/>
        <v>18166746.729582816</v>
      </c>
    </row>
    <row r="119" spans="1:26" ht="15">
      <c r="A119" s="22">
        <v>43374</v>
      </c>
      <c r="B119" s="6">
        <f t="shared" si="11"/>
        <v>2018</v>
      </c>
      <c r="D119" s="20">
        <f>'Connection count '!K$13</f>
        <v>216.90668429258918</v>
      </c>
      <c r="E119" s="6">
        <f t="shared" ca="1" si="6"/>
        <v>176.42</v>
      </c>
      <c r="F119" s="6">
        <f t="shared" ca="1" si="6"/>
        <v>10.18</v>
      </c>
      <c r="G119" s="143">
        <f>G107*(1+Employment!J$14)</f>
        <v>167.57649999999998</v>
      </c>
      <c r="H119" s="6">
        <f t="shared" si="9"/>
        <v>118</v>
      </c>
      <c r="I119" s="6">
        <f t="shared" si="12"/>
        <v>0</v>
      </c>
      <c r="J119" s="6">
        <f t="shared" si="13"/>
        <v>0</v>
      </c>
      <c r="K119" s="6">
        <f t="shared" si="14"/>
        <v>0</v>
      </c>
      <c r="L119" s="6">
        <f>'Monthly Data'!AY119</f>
        <v>0</v>
      </c>
      <c r="M119" s="6">
        <f t="shared" si="14"/>
        <v>0</v>
      </c>
      <c r="O119" s="20">
        <f>'GS &gt; 50 OLS model'!$B$5</f>
        <v>-11694573.8944258</v>
      </c>
      <c r="P119" s="20">
        <f>'GS &gt; 50 OLS model'!$B$6*D119</f>
        <v>10992718.981668588</v>
      </c>
      <c r="Q119" s="20">
        <f ca="1">'GS &gt; 50 OLS model'!$B$7*E119</f>
        <v>473065.91534702422</v>
      </c>
      <c r="R119" s="20">
        <f ca="1">'GS &gt; 50 OLS model'!$B$8*F119</f>
        <v>150482.97878517999</v>
      </c>
      <c r="S119" s="20">
        <f>'GS &gt; 50 OLS model'!$B$9*G119</f>
        <v>14046097.239827555</v>
      </c>
      <c r="T119" s="20">
        <f>'GS &gt; 50 OLS model'!$B$10*H119</f>
        <v>1517538.1957460784</v>
      </c>
      <c r="U119" s="20">
        <f>'GS &gt; 50 OLS model'!$B$11*I119</f>
        <v>0</v>
      </c>
      <c r="V119" s="20">
        <f>'GS &gt; 50 OLS model'!$B$12*J119</f>
        <v>0</v>
      </c>
      <c r="W119" s="20">
        <f>'GS &gt; 50 OLS model'!$B$13*K119</f>
        <v>0</v>
      </c>
      <c r="X119" s="20">
        <f>'GS &gt; 50 OLS model'!$B$14*L119</f>
        <v>0</v>
      </c>
      <c r="Y119" s="20">
        <f>'GS &gt; 50 OLS model'!$B$15*M119</f>
        <v>0</v>
      </c>
      <c r="Z119" s="20">
        <f t="shared" ca="1" si="5"/>
        <v>15485329.416948626</v>
      </c>
    </row>
    <row r="120" spans="1:26" ht="15">
      <c r="A120" s="22">
        <v>43405</v>
      </c>
      <c r="B120" s="6">
        <f t="shared" si="11"/>
        <v>2018</v>
      </c>
      <c r="D120" s="20">
        <f>'Connection count '!K$13</f>
        <v>216.90668429258918</v>
      </c>
      <c r="E120" s="6">
        <f t="shared" ca="1" si="6"/>
        <v>364.2299999999999</v>
      </c>
      <c r="F120" s="6">
        <f t="shared" ca="1" si="6"/>
        <v>0.05</v>
      </c>
      <c r="G120" s="143">
        <f>G108*(1+Employment!J$14)</f>
        <v>167.17049999999998</v>
      </c>
      <c r="H120" s="6">
        <f t="shared" si="9"/>
        <v>119</v>
      </c>
      <c r="I120" s="6">
        <f t="shared" si="12"/>
        <v>0</v>
      </c>
      <c r="J120" s="6">
        <f t="shared" si="13"/>
        <v>0</v>
      </c>
      <c r="K120" s="6">
        <f t="shared" si="14"/>
        <v>0</v>
      </c>
      <c r="L120" s="6">
        <f>'Monthly Data'!AY120</f>
        <v>0</v>
      </c>
      <c r="M120" s="6">
        <f t="shared" si="14"/>
        <v>1</v>
      </c>
      <c r="O120" s="20">
        <f>'GS &gt; 50 OLS model'!$B$5</f>
        <v>-11694573.8944258</v>
      </c>
      <c r="P120" s="20">
        <f>'GS &gt; 50 OLS model'!$B$6*D120</f>
        <v>10992718.981668588</v>
      </c>
      <c r="Q120" s="20">
        <f ca="1">'GS &gt; 50 OLS model'!$B$7*E120</f>
        <v>976673.83713210851</v>
      </c>
      <c r="R120" s="20">
        <f ca="1">'GS &gt; 50 OLS model'!$B$8*F120</f>
        <v>739.11089776611004</v>
      </c>
      <c r="S120" s="20">
        <f>'GS &gt; 50 OLS model'!$B$9*G120</f>
        <v>14012066.719561467</v>
      </c>
      <c r="T120" s="20">
        <f>'GS &gt; 50 OLS model'!$B$10*H120</f>
        <v>1530398.6889303671</v>
      </c>
      <c r="U120" s="20">
        <f>'GS &gt; 50 OLS model'!$B$11*I120</f>
        <v>0</v>
      </c>
      <c r="V120" s="20">
        <f>'GS &gt; 50 OLS model'!$B$12*J120</f>
        <v>0</v>
      </c>
      <c r="W120" s="20">
        <f>'GS &gt; 50 OLS model'!$B$13*K120</f>
        <v>0</v>
      </c>
      <c r="X120" s="20">
        <f>'GS &gt; 50 OLS model'!$B$14*L120</f>
        <v>0</v>
      </c>
      <c r="Y120" s="20">
        <f>'GS &gt; 50 OLS model'!$B$15*M120</f>
        <v>671693.73401239095</v>
      </c>
      <c r="Z120" s="20">
        <f t="shared" ca="1" si="5"/>
        <v>16489717.177776888</v>
      </c>
    </row>
    <row r="121" spans="1:26" ht="15">
      <c r="A121" s="22">
        <v>43435</v>
      </c>
      <c r="B121" s="6">
        <f t="shared" si="11"/>
        <v>2018</v>
      </c>
      <c r="D121" s="20">
        <f>'Connection count '!K$13</f>
        <v>216.90668429258918</v>
      </c>
      <c r="E121" s="6">
        <f t="shared" ca="1" si="6"/>
        <v>552.31000000000006</v>
      </c>
      <c r="F121" s="6">
        <f t="shared" ca="1" si="6"/>
        <v>0</v>
      </c>
      <c r="G121" s="143">
        <f>G109*(1+Employment!J$14)</f>
        <v>166.7645</v>
      </c>
      <c r="H121" s="6">
        <f t="shared" si="9"/>
        <v>120</v>
      </c>
      <c r="I121" s="6">
        <f t="shared" si="12"/>
        <v>0</v>
      </c>
      <c r="J121" s="6">
        <f t="shared" si="13"/>
        <v>0</v>
      </c>
      <c r="K121" s="6">
        <f t="shared" si="14"/>
        <v>0</v>
      </c>
      <c r="L121" s="6">
        <f>'Monthly Data'!AY121</f>
        <v>0</v>
      </c>
      <c r="M121" s="6">
        <f t="shared" si="14"/>
        <v>0</v>
      </c>
      <c r="O121" s="20">
        <f>'GS &gt; 50 OLS model'!$B$5</f>
        <v>-11694573.8944258</v>
      </c>
      <c r="P121" s="20">
        <f>'GS &gt; 50 OLS model'!$B$6*D121</f>
        <v>10992718.981668588</v>
      </c>
      <c r="Q121" s="20">
        <f ca="1">'GS &gt; 50 OLS model'!$B$7*E121</f>
        <v>1481005.7573138815</v>
      </c>
      <c r="R121" s="20">
        <f ca="1">'GS &gt; 50 OLS model'!$B$8*F121</f>
        <v>0</v>
      </c>
      <c r="S121" s="20">
        <f>'GS &gt; 50 OLS model'!$B$9*G121</f>
        <v>13978036.199295381</v>
      </c>
      <c r="T121" s="20">
        <f>'GS &gt; 50 OLS model'!$B$10*H121</f>
        <v>1543259.1821146561</v>
      </c>
      <c r="U121" s="20">
        <f>'GS &gt; 50 OLS model'!$B$11*I121</f>
        <v>0</v>
      </c>
      <c r="V121" s="20">
        <f>'GS &gt; 50 OLS model'!$B$12*J121</f>
        <v>0</v>
      </c>
      <c r="W121" s="20">
        <f>'GS &gt; 50 OLS model'!$B$13*K121</f>
        <v>0</v>
      </c>
      <c r="X121" s="20">
        <f>'GS &gt; 50 OLS model'!$B$14*L121</f>
        <v>0</v>
      </c>
      <c r="Y121" s="20">
        <f>'GS &gt; 50 OLS model'!$B$15*M121</f>
        <v>0</v>
      </c>
      <c r="Z121" s="20">
        <f t="shared" ca="1" si="5"/>
        <v>16300446.225966707</v>
      </c>
    </row>
  </sheetData>
  <pageMargins left="0.7" right="0.7" top="0.75" bottom="0.75" header="0.3" footer="0.3"/>
  <pageSetup orientation="portrait" horizontalDpi="1200" verticalDpi="120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1:Y13"/>
  <sheetViews>
    <sheetView workbookViewId="0">
      <selection activeCell="S33" sqref="S33"/>
    </sheetView>
  </sheetViews>
  <sheetFormatPr defaultColWidth="9.28515625" defaultRowHeight="12.75"/>
  <cols>
    <col min="1" max="1" width="3.42578125" style="29" customWidth="1"/>
    <col min="2" max="2" width="5.7109375" style="29" customWidth="1"/>
    <col min="3" max="3" width="11.7109375" style="29" customWidth="1"/>
    <col min="4" max="4" width="12.5703125" style="29" customWidth="1"/>
    <col min="5" max="5" width="3.42578125" style="29" customWidth="1"/>
    <col min="6" max="6" width="5.7109375" style="29" customWidth="1"/>
    <col min="7" max="7" width="11.7109375" style="29" customWidth="1"/>
    <col min="8" max="8" width="12.5703125" style="29" customWidth="1"/>
    <col min="9" max="9" width="3.42578125" style="29" customWidth="1"/>
    <col min="10" max="10" width="5.7109375" style="29" customWidth="1"/>
    <col min="11" max="11" width="11.7109375" style="29" customWidth="1"/>
    <col min="12" max="12" width="12.5703125" style="29" customWidth="1"/>
    <col min="13" max="13" width="3.85546875" style="29" customWidth="1"/>
    <col min="14" max="14" width="5" style="29" bestFit="1" customWidth="1"/>
    <col min="15" max="15" width="9.7109375" style="29" bestFit="1" customWidth="1"/>
    <col min="16" max="16" width="12.42578125" style="29" customWidth="1"/>
    <col min="17" max="17" width="3.85546875" style="29" customWidth="1"/>
    <col min="18" max="18" width="10.28515625" style="29" bestFit="1" customWidth="1"/>
    <col min="19" max="19" width="10.7109375" style="29" customWidth="1"/>
    <col min="20" max="20" width="3.42578125" style="29" customWidth="1"/>
    <col min="21" max="21" width="5.7109375" style="29" customWidth="1"/>
    <col min="22" max="22" width="13.140625" style="29" customWidth="1"/>
    <col min="23" max="23" width="3.42578125" style="29" customWidth="1"/>
    <col min="24" max="24" width="9.28515625" style="29"/>
    <col min="25" max="25" width="13.28515625" style="29" customWidth="1"/>
    <col min="26" max="16384" width="9.28515625" style="29"/>
  </cols>
  <sheetData>
    <row r="1" spans="2:25">
      <c r="R1" s="160" t="s">
        <v>97</v>
      </c>
    </row>
    <row r="2" spans="2:25" ht="13.15" customHeight="1">
      <c r="B2" s="161" t="s">
        <v>1</v>
      </c>
      <c r="C2" s="161"/>
      <c r="D2" s="160" t="s">
        <v>165</v>
      </c>
      <c r="F2" s="161" t="s">
        <v>98</v>
      </c>
      <c r="G2" s="161"/>
      <c r="H2" s="160" t="s">
        <v>165</v>
      </c>
      <c r="J2" s="161" t="s">
        <v>99</v>
      </c>
      <c r="K2" s="161"/>
      <c r="L2" s="160" t="s">
        <v>165</v>
      </c>
      <c r="N2" s="161" t="s">
        <v>194</v>
      </c>
      <c r="O2" s="161"/>
      <c r="P2" s="160" t="s">
        <v>165</v>
      </c>
      <c r="R2" s="160"/>
      <c r="S2" s="160" t="s">
        <v>100</v>
      </c>
      <c r="U2" s="29" t="s">
        <v>101</v>
      </c>
      <c r="V2" s="30"/>
      <c r="X2" s="29" t="s">
        <v>6</v>
      </c>
      <c r="Y2" s="30"/>
    </row>
    <row r="3" spans="2:25">
      <c r="B3" s="30" t="s">
        <v>83</v>
      </c>
      <c r="C3" s="30" t="s">
        <v>102</v>
      </c>
      <c r="D3" s="160"/>
      <c r="F3" s="30" t="s">
        <v>83</v>
      </c>
      <c r="G3" s="30" t="s">
        <v>102</v>
      </c>
      <c r="H3" s="160"/>
      <c r="J3" s="30" t="s">
        <v>83</v>
      </c>
      <c r="K3" s="30" t="s">
        <v>102</v>
      </c>
      <c r="L3" s="160"/>
      <c r="N3" s="30" t="s">
        <v>83</v>
      </c>
      <c r="O3" s="30" t="s">
        <v>102</v>
      </c>
      <c r="P3" s="160"/>
      <c r="R3" s="30" t="s">
        <v>83</v>
      </c>
      <c r="S3" s="160"/>
      <c r="U3" s="30" t="s">
        <v>83</v>
      </c>
      <c r="V3" s="30" t="s">
        <v>3</v>
      </c>
      <c r="X3" s="30" t="s">
        <v>83</v>
      </c>
      <c r="Y3" s="30" t="s">
        <v>3</v>
      </c>
    </row>
    <row r="4" spans="2:25">
      <c r="B4" s="29">
        <v>2009</v>
      </c>
      <c r="C4" s="31">
        <f>SUMIF('Monthly Data'!$C:$C,B4,'Monthly Data'!H:H)/12</f>
        <v>25956.583333333332</v>
      </c>
      <c r="D4" s="32"/>
      <c r="F4" s="29">
        <v>2009</v>
      </c>
      <c r="G4" s="31">
        <f>SUMIF('Monthly Data'!$C:$C,F4,'Monthly Data'!L:L)/12</f>
        <v>1869.6666666666667</v>
      </c>
      <c r="H4" s="32"/>
      <c r="J4" s="29">
        <v>2009</v>
      </c>
      <c r="K4" s="31">
        <f>SUMIF('Monthly Data'!$C:$C,J4,'Monthly Data'!Q:Q)/12</f>
        <v>221.41666666666666</v>
      </c>
      <c r="L4" s="32"/>
      <c r="N4" s="29">
        <v>2009</v>
      </c>
      <c r="O4" s="31">
        <f>SUMIF('Monthly Data'!C:C,J4,'Monthly Data'!AG:AG)/12</f>
        <v>6.666666666666667</v>
      </c>
      <c r="P4" s="32"/>
      <c r="R4" s="29">
        <v>2009</v>
      </c>
      <c r="S4" s="31">
        <f>SUMIF('Monthly Data'!C:C,R4,'Monthly Data'!W:W)/12</f>
        <v>7633.833333333333</v>
      </c>
      <c r="U4" s="29">
        <v>2009</v>
      </c>
      <c r="V4" s="31">
        <f>SUMIF('Monthly Data'!C:C,U4,'Monthly Data'!Z:Z)/12</f>
        <v>173.83333333333334</v>
      </c>
      <c r="X4" s="29">
        <v>2009</v>
      </c>
      <c r="Y4" s="31">
        <f>SUMIF('Monthly Data'!C:C,X4,'Monthly Data'!AB:AB)/12</f>
        <v>139.66666666666666</v>
      </c>
    </row>
    <row r="5" spans="2:25">
      <c r="B5" s="29">
        <v>2010</v>
      </c>
      <c r="C5" s="31">
        <f>SUMIF('Monthly Data'!$C:$C,B5,'Monthly Data'!H:H)/12</f>
        <v>26075.333333333332</v>
      </c>
      <c r="D5" s="33">
        <f>C5/C4</f>
        <v>1.004574947267713</v>
      </c>
      <c r="E5" s="34"/>
      <c r="F5" s="29">
        <v>2010</v>
      </c>
      <c r="G5" s="31">
        <f>SUMIF('Monthly Data'!$C:$C,F5,'Monthly Data'!L:L)/12</f>
        <v>1895.25</v>
      </c>
      <c r="H5" s="33">
        <f>G5/G4</f>
        <v>1.0136833660188982</v>
      </c>
      <c r="I5" s="34"/>
      <c r="J5" s="29">
        <v>2010</v>
      </c>
      <c r="K5" s="31">
        <f>SUMIF('Monthly Data'!$C:$C,J5,'Monthly Data'!Q:Q)/12</f>
        <v>214.33333333333334</v>
      </c>
      <c r="L5" s="33">
        <f>K5/K4</f>
        <v>0.96800903274369599</v>
      </c>
      <c r="M5" s="34"/>
      <c r="N5" s="29">
        <v>2010</v>
      </c>
      <c r="O5" s="31">
        <f>SUMIF('Monthly Data'!C:C,J5,'Monthly Data'!AG:AG)/12</f>
        <v>7</v>
      </c>
      <c r="P5" s="33">
        <f>O5/O4</f>
        <v>1.05</v>
      </c>
      <c r="Q5" s="34"/>
      <c r="R5" s="29">
        <v>2010</v>
      </c>
      <c r="S5" s="31">
        <f>SUMIF('Monthly Data'!C:C,R5,'Monthly Data'!W:W)/12</f>
        <v>6786.833333333333</v>
      </c>
      <c r="T5" s="34"/>
      <c r="U5" s="29">
        <v>2010</v>
      </c>
      <c r="V5" s="31">
        <f>SUMIF('Monthly Data'!C:C,U5,'Monthly Data'!Z:Z)/12</f>
        <v>174.08333333333334</v>
      </c>
      <c r="X5" s="29">
        <v>2010</v>
      </c>
      <c r="Y5" s="31">
        <f>SUMIF('Monthly Data'!C:C,X5,'Monthly Data'!AB:AB)/12</f>
        <v>141</v>
      </c>
    </row>
    <row r="6" spans="2:25">
      <c r="B6" s="29">
        <v>2011</v>
      </c>
      <c r="C6" s="31">
        <f>SUMIF('Monthly Data'!$C:$C,B6,'Monthly Data'!H:H)/12</f>
        <v>26200.583333333332</v>
      </c>
      <c r="D6" s="33">
        <f t="shared" ref="D6:D12" si="0">C6/C5</f>
        <v>1.0048033901771789</v>
      </c>
      <c r="E6" s="34"/>
      <c r="F6" s="29">
        <v>2011</v>
      </c>
      <c r="G6" s="31">
        <f>SUMIF('Monthly Data'!$C:$C,F6,'Monthly Data'!L:L)/12</f>
        <v>2055.75</v>
      </c>
      <c r="H6" s="33">
        <f t="shared" ref="H6:H12" si="1">G6/G5</f>
        <v>1.0846853977047883</v>
      </c>
      <c r="I6" s="34"/>
      <c r="J6" s="29">
        <v>2011</v>
      </c>
      <c r="K6" s="31">
        <f>SUMIF('Monthly Data'!$C:$C,J6,'Monthly Data'!Q:Q)/12</f>
        <v>222.16666666666666</v>
      </c>
      <c r="L6" s="33">
        <f t="shared" ref="L6:L12" si="2">K6/K5</f>
        <v>1.036547433903577</v>
      </c>
      <c r="M6" s="34"/>
      <c r="N6" s="29">
        <v>2011</v>
      </c>
      <c r="O6" s="31">
        <f>SUMIF('Monthly Data'!C:C,J6,'Monthly Data'!AG:AG)/12</f>
        <v>7</v>
      </c>
      <c r="P6" s="33">
        <f t="shared" ref="P6:P11" si="3">O6/O5</f>
        <v>1</v>
      </c>
      <c r="Q6" s="34"/>
      <c r="R6" s="29">
        <v>2011</v>
      </c>
      <c r="S6" s="31">
        <f>SUMIF('Monthly Data'!C:C,R6,'Monthly Data'!W:W)/12</f>
        <v>2896.1666666666665</v>
      </c>
      <c r="T6" s="34"/>
      <c r="U6" s="29">
        <v>2011</v>
      </c>
      <c r="V6" s="31">
        <f>SUMIF('Monthly Data'!C:C,U6,'Monthly Data'!Z:Z)/12</f>
        <v>173.66666666666666</v>
      </c>
      <c r="X6" s="29">
        <v>2011</v>
      </c>
      <c r="Y6" s="31">
        <f>SUMIF('Monthly Data'!C:C,X6,'Monthly Data'!AB:AB)/12</f>
        <v>141</v>
      </c>
    </row>
    <row r="7" spans="2:25">
      <c r="B7" s="35">
        <v>2012</v>
      </c>
      <c r="C7" s="31">
        <f>SUMIF('Monthly Data'!$C:$C,B7,'Monthly Data'!H:H)/12</f>
        <v>26337</v>
      </c>
      <c r="D7" s="33">
        <f t="shared" si="0"/>
        <v>1.0052066270789137</v>
      </c>
      <c r="E7" s="34"/>
      <c r="F7" s="35">
        <v>2012</v>
      </c>
      <c r="G7" s="31">
        <f>SUMIF('Monthly Data'!$C:$C,F7,'Monthly Data'!L:L)/12</f>
        <v>1906.1666666666667</v>
      </c>
      <c r="H7" s="33">
        <f t="shared" si="1"/>
        <v>0.92723661275284774</v>
      </c>
      <c r="I7" s="34"/>
      <c r="J7" s="35">
        <v>2012</v>
      </c>
      <c r="K7" s="31">
        <f>SUMIF('Monthly Data'!$C:$C,J7,'Monthly Data'!Q:Q)/12</f>
        <v>208.25</v>
      </c>
      <c r="L7" s="33">
        <f t="shared" si="2"/>
        <v>0.93735933983495878</v>
      </c>
      <c r="M7" s="34"/>
      <c r="N7" s="35">
        <v>2012</v>
      </c>
      <c r="O7" s="31">
        <f>SUMIF('Monthly Data'!C:C,J7,'Monthly Data'!AG:AG)/12</f>
        <v>7</v>
      </c>
      <c r="P7" s="33">
        <f t="shared" si="3"/>
        <v>1</v>
      </c>
      <c r="Q7" s="34"/>
      <c r="R7" s="35">
        <v>2012</v>
      </c>
      <c r="S7" s="31">
        <f>SUMIF('Monthly Data'!C:C,R7,'Monthly Data'!W:W)/12</f>
        <v>2474.4166666666665</v>
      </c>
      <c r="T7" s="34"/>
      <c r="U7" s="35">
        <v>2012</v>
      </c>
      <c r="V7" s="31">
        <f>SUMIF('Monthly Data'!C:C,U7,'Monthly Data'!Z:Z)/12</f>
        <v>175</v>
      </c>
      <c r="X7" s="35">
        <v>2012</v>
      </c>
      <c r="Y7" s="31">
        <f>SUMIF('Monthly Data'!C:C,X7,'Monthly Data'!AB:AB)/12</f>
        <v>141</v>
      </c>
    </row>
    <row r="8" spans="2:25">
      <c r="B8" s="29">
        <v>2013</v>
      </c>
      <c r="C8" s="31">
        <f>SUMIF('Monthly Data'!$C:$C,B8,'Monthly Data'!H:H)/12</f>
        <v>26466.416666666668</v>
      </c>
      <c r="D8" s="33">
        <f t="shared" si="0"/>
        <v>1.0049138727518954</v>
      </c>
      <c r="E8" s="34"/>
      <c r="F8" s="29">
        <v>2013</v>
      </c>
      <c r="G8" s="31">
        <f>SUMIF('Monthly Data'!$C:$C,F8,'Monthly Data'!L:L)/12</f>
        <v>1904.25</v>
      </c>
      <c r="H8" s="33">
        <f t="shared" si="1"/>
        <v>0.99899449156247266</v>
      </c>
      <c r="I8" s="34"/>
      <c r="J8" s="29">
        <v>2013</v>
      </c>
      <c r="K8" s="31">
        <f>SUMIF('Monthly Data'!$C:$C,J8,'Monthly Data'!Q:Q)/12</f>
        <v>208.08333333333334</v>
      </c>
      <c r="L8" s="33">
        <f t="shared" si="2"/>
        <v>0.9991996798719488</v>
      </c>
      <c r="M8" s="34"/>
      <c r="N8" s="29">
        <v>2013</v>
      </c>
      <c r="O8" s="31">
        <f>SUMIF('Monthly Data'!C:C,J8,'Monthly Data'!AG:AG)/12</f>
        <v>6.333333333333333</v>
      </c>
      <c r="P8" s="33">
        <f t="shared" si="3"/>
        <v>0.90476190476190477</v>
      </c>
      <c r="Q8" s="34"/>
      <c r="R8" s="29">
        <v>2013</v>
      </c>
      <c r="S8" s="31">
        <f>SUMIF('Monthly Data'!C:C,R8,'Monthly Data'!W:W)/12</f>
        <v>2620.9166666666665</v>
      </c>
      <c r="T8" s="34"/>
      <c r="U8" s="29">
        <v>2013</v>
      </c>
      <c r="V8" s="31">
        <f>SUMIF('Monthly Data'!C:C,U8,'Monthly Data'!Z:Z)/12</f>
        <v>175</v>
      </c>
      <c r="X8" s="29">
        <v>2013</v>
      </c>
      <c r="Y8" s="31">
        <f>SUMIF('Monthly Data'!C:C,X8,'Monthly Data'!AB:AB)/12</f>
        <v>139.91666666666666</v>
      </c>
    </row>
    <row r="9" spans="2:25" s="36" customFormat="1">
      <c r="B9" s="29">
        <v>2014</v>
      </c>
      <c r="C9" s="31">
        <f>SUMIF('Monthly Data'!$C:$C,B9,'Monthly Data'!H:H)/12</f>
        <v>26590.166666666668</v>
      </c>
      <c r="D9" s="33">
        <f t="shared" si="0"/>
        <v>1.0046757368614943</v>
      </c>
      <c r="F9" s="29">
        <v>2014</v>
      </c>
      <c r="G9" s="31">
        <f>SUMIF('Monthly Data'!$C:$C,F9,'Monthly Data'!L:L)/12</f>
        <v>1909.75</v>
      </c>
      <c r="H9" s="33">
        <f t="shared" si="1"/>
        <v>1.0028882762242353</v>
      </c>
      <c r="I9" s="34"/>
      <c r="J9" s="29">
        <v>2014</v>
      </c>
      <c r="K9" s="31">
        <f>SUMIF('Monthly Data'!$C:$C,J9,'Monthly Data'!Q:Q)/12</f>
        <v>211.41666666666666</v>
      </c>
      <c r="L9" s="33">
        <f t="shared" si="2"/>
        <v>1.0160192230676812</v>
      </c>
      <c r="M9" s="34"/>
      <c r="N9" s="29">
        <v>2014</v>
      </c>
      <c r="O9" s="31">
        <f>SUMIF('Monthly Data'!C:C,J9,'Monthly Data'!AG:AG)/12</f>
        <v>6</v>
      </c>
      <c r="P9" s="33">
        <f t="shared" si="3"/>
        <v>0.94736842105263164</v>
      </c>
      <c r="Q9" s="34"/>
      <c r="R9" s="29">
        <v>2014</v>
      </c>
      <c r="S9" s="31">
        <f>SUMIF('Monthly Data'!C:C,R9,'Monthly Data'!W:W)/12</f>
        <v>2712.8333333333335</v>
      </c>
      <c r="U9" s="29">
        <v>2014</v>
      </c>
      <c r="V9" s="31">
        <f>SUMIF('Monthly Data'!C:C,U9,'Monthly Data'!Z:Z)/12</f>
        <v>172.33333333333334</v>
      </c>
      <c r="X9" s="29">
        <v>2014</v>
      </c>
      <c r="Y9" s="31">
        <f>SUMIF('Monthly Data'!C:C,X9,'Monthly Data'!AB:AB)/12</f>
        <v>139.83333333333334</v>
      </c>
    </row>
    <row r="10" spans="2:25" s="36" customFormat="1">
      <c r="B10" s="29">
        <v>2015</v>
      </c>
      <c r="C10" s="31">
        <f>SUMIF('Monthly Data'!$C:$C,B10,'Monthly Data'!H:H)/12</f>
        <v>26815.083333333332</v>
      </c>
      <c r="D10" s="33">
        <f t="shared" si="0"/>
        <v>1.0084586407255813</v>
      </c>
      <c r="F10" s="29">
        <v>2015</v>
      </c>
      <c r="G10" s="31">
        <f>SUMIF('Monthly Data'!$C:$C,F10,'Monthly Data'!L:L)/12</f>
        <v>1935.6666666666667</v>
      </c>
      <c r="H10" s="33">
        <f t="shared" si="1"/>
        <v>1.0135707116987389</v>
      </c>
      <c r="J10" s="29">
        <v>2015</v>
      </c>
      <c r="K10" s="31">
        <f>SUMIF('Monthly Data'!$C:$C,J10,'Monthly Data'!Q:Q)/12</f>
        <v>211.91666666666666</v>
      </c>
      <c r="L10" s="33">
        <f t="shared" si="2"/>
        <v>1.0023649980291682</v>
      </c>
      <c r="N10" s="29">
        <v>2015</v>
      </c>
      <c r="O10" s="31">
        <f>SUMIF('Monthly Data'!C:C,J10,'Monthly Data'!AG:AG)/12</f>
        <v>5.666666666666667</v>
      </c>
      <c r="P10" s="33">
        <f t="shared" si="3"/>
        <v>0.94444444444444453</v>
      </c>
      <c r="R10" s="29">
        <v>2015</v>
      </c>
      <c r="S10" s="31">
        <f>SUMIF('Monthly Data'!C:C,R10,'Monthly Data'!W:W)/12</f>
        <v>2700.5833333333335</v>
      </c>
      <c r="U10" s="29">
        <v>2015</v>
      </c>
      <c r="V10" s="31">
        <f>SUMIF('Monthly Data'!C:C,U10,'Monthly Data'!Z:Z)/12</f>
        <v>174</v>
      </c>
      <c r="X10" s="29">
        <v>2015</v>
      </c>
      <c r="Y10" s="31">
        <f>SUMIF('Monthly Data'!C:C,X10,'Monthly Data'!AB:AB)/12</f>
        <v>141</v>
      </c>
    </row>
    <row r="11" spans="2:25">
      <c r="B11" s="29">
        <v>2016</v>
      </c>
      <c r="C11" s="31">
        <f>SUMIF('Monthly Data'!$C:$C,B11,'Monthly Data'!H:H)/12</f>
        <v>27136.833333333332</v>
      </c>
      <c r="D11" s="33">
        <f t="shared" si="0"/>
        <v>1.0119988439342285</v>
      </c>
      <c r="F11" s="29">
        <v>2016</v>
      </c>
      <c r="G11" s="31">
        <f>SUMIF('Monthly Data'!$C:$C,F11,'Monthly Data'!L:L)/12</f>
        <v>1952.9166666666667</v>
      </c>
      <c r="H11" s="33">
        <f t="shared" si="1"/>
        <v>1.0089116583433786</v>
      </c>
      <c r="J11" s="29">
        <v>2016</v>
      </c>
      <c r="K11" s="31">
        <f>SUMIF('Monthly Data'!$C:$C,J11,'Monthly Data'!Q:Q)/12</f>
        <v>219.58333333333334</v>
      </c>
      <c r="L11" s="33">
        <f t="shared" si="2"/>
        <v>1.0361777428234369</v>
      </c>
      <c r="N11" s="29">
        <v>2016</v>
      </c>
      <c r="O11" s="31">
        <f>SUMIF('Monthly Data'!C:C,J11,'Monthly Data'!AG:AG)/12</f>
        <v>3</v>
      </c>
      <c r="P11" s="33">
        <f t="shared" si="3"/>
        <v>0.52941176470588236</v>
      </c>
      <c r="R11" s="29">
        <v>2016</v>
      </c>
      <c r="S11" s="31">
        <f>SUMIF('Monthly Data'!C:C,R11,'Monthly Data'!W:W)/12</f>
        <v>2719.6666666666665</v>
      </c>
      <c r="U11" s="29">
        <v>2016</v>
      </c>
      <c r="V11" s="31">
        <f>SUMIF('Monthly Data'!C:C,U11,'Monthly Data'!Z:Z)/12</f>
        <v>173.33333333333334</v>
      </c>
      <c r="X11" s="29">
        <v>2016</v>
      </c>
      <c r="Y11" s="31">
        <f>SUMIF('Monthly Data'!C:C,X11,'Monthly Data'!AB:AB)/12</f>
        <v>139.66666666666666</v>
      </c>
    </row>
    <row r="12" spans="2:25">
      <c r="B12" s="29">
        <v>2017</v>
      </c>
      <c r="C12" s="31">
        <f>SUMIF('Monthly Data'!$C:$C,B12,'Monthly Data'!H:H)/12</f>
        <v>27575</v>
      </c>
      <c r="D12" s="33">
        <f t="shared" si="0"/>
        <v>1.0161465658606692</v>
      </c>
      <c r="E12" s="36"/>
      <c r="F12" s="36">
        <v>2017</v>
      </c>
      <c r="G12" s="31">
        <f>SUMIF('Monthly Data'!$C:$C,F12,'Monthly Data'!L:L)/12</f>
        <v>1982.4166666666667</v>
      </c>
      <c r="H12" s="33">
        <f t="shared" si="1"/>
        <v>1.0151056112652017</v>
      </c>
      <c r="I12" s="36"/>
      <c r="J12" s="36">
        <v>2017</v>
      </c>
      <c r="K12" s="31">
        <f>SUMIF('Monthly Data'!$C:$C,J12,'Monthly Data'!Q:Q)/12</f>
        <v>216.58333333333334</v>
      </c>
      <c r="L12" s="33">
        <f t="shared" si="2"/>
        <v>0.98633776091081593</v>
      </c>
      <c r="M12" s="36"/>
      <c r="N12" s="36">
        <v>2017</v>
      </c>
      <c r="O12" s="31">
        <f>SUMIF('Monthly Data'!C:C,J12,'Monthly Data'!AG:AG)/12</f>
        <v>3</v>
      </c>
      <c r="P12" s="38">
        <v>1</v>
      </c>
      <c r="Q12" s="36"/>
      <c r="R12" s="36">
        <v>2017</v>
      </c>
      <c r="S12" s="31">
        <f>SUMIF('Monthly Data'!C:C,R12,'Monthly Data'!W:W)/12</f>
        <v>2752.9166666666665</v>
      </c>
      <c r="T12" s="36"/>
      <c r="U12" s="36">
        <v>2017</v>
      </c>
      <c r="V12" s="31">
        <f>SUMIF('Monthly Data'!C:C,U12,'Monthly Data'!Z:Z)/12</f>
        <v>172.33333333333334</v>
      </c>
      <c r="W12" s="36"/>
      <c r="X12" s="36">
        <v>2017</v>
      </c>
      <c r="Y12" s="31">
        <f>SUMIF('Monthly Data'!C:C,X12,'Monthly Data'!AB:AB)/12</f>
        <v>141.08333333333334</v>
      </c>
    </row>
    <row r="13" spans="2:25">
      <c r="B13" s="36">
        <v>2018</v>
      </c>
      <c r="C13" s="37">
        <f>C12*D13</f>
        <v>27784.271910437321</v>
      </c>
      <c r="D13" s="38">
        <f>GEOMEAN(D5:D12)</f>
        <v>1.0075891898617342</v>
      </c>
      <c r="E13" s="36"/>
      <c r="F13" s="36">
        <v>2018</v>
      </c>
      <c r="G13" s="37">
        <f>G12*H13</f>
        <v>1996.9803184759301</v>
      </c>
      <c r="H13" s="38">
        <f>GEOMEAN(H5:H12)</f>
        <v>1.0073464131199781</v>
      </c>
      <c r="I13" s="36"/>
      <c r="J13" s="36">
        <v>2018</v>
      </c>
      <c r="K13" s="37">
        <f>K12*L13</f>
        <v>216.90668429258918</v>
      </c>
      <c r="L13" s="38">
        <f>GEOMEAN(L6:L12)</f>
        <v>1.0014929632593574</v>
      </c>
      <c r="M13" s="36"/>
      <c r="N13" s="36">
        <v>2018</v>
      </c>
      <c r="O13" s="37">
        <f>O12</f>
        <v>3</v>
      </c>
      <c r="P13" s="38">
        <f>P12</f>
        <v>1</v>
      </c>
      <c r="Q13" s="36"/>
      <c r="R13" s="36">
        <v>2018</v>
      </c>
      <c r="S13" s="37">
        <f>AVERAGE('Monthly Data'!W108:W109)</f>
        <v>2757.5</v>
      </c>
      <c r="T13" s="36"/>
      <c r="U13" s="36">
        <v>2018</v>
      </c>
      <c r="V13" s="37">
        <f>'Monthly Data'!Z109</f>
        <v>173</v>
      </c>
      <c r="W13" s="36"/>
      <c r="X13" s="36">
        <v>2018</v>
      </c>
      <c r="Y13" s="37">
        <f>'Monthly Data'!AB109</f>
        <v>141</v>
      </c>
    </row>
  </sheetData>
  <mergeCells count="10">
    <mergeCell ref="S2:S3"/>
    <mergeCell ref="R1:R2"/>
    <mergeCell ref="L2:L3"/>
    <mergeCell ref="B2:C2"/>
    <mergeCell ref="D2:D3"/>
    <mergeCell ref="F2:G2"/>
    <mergeCell ref="H2:H3"/>
    <mergeCell ref="J2:K2"/>
    <mergeCell ref="N2:O2"/>
    <mergeCell ref="P2:P3"/>
  </mergeCells>
  <pageMargins left="0.7" right="0.7" top="0.75" bottom="0.75" header="0.3" footer="0.3"/>
  <pageSetup paperSize="9" orientation="portrait" horizontalDpi="1200" verticalDpi="12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N14"/>
  <sheetViews>
    <sheetView workbookViewId="0">
      <selection activeCell="O12" sqref="O12"/>
    </sheetView>
  </sheetViews>
  <sheetFormatPr defaultColWidth="9.28515625" defaultRowHeight="12.75"/>
  <cols>
    <col min="1" max="1" width="14.28515625" style="115" bestFit="1" customWidth="1"/>
    <col min="2" max="2" width="5" style="115" bestFit="1" customWidth="1"/>
    <col min="3" max="3" width="11.140625" style="115" bestFit="1" customWidth="1"/>
    <col min="4" max="4" width="23.28515625" style="115" bestFit="1" customWidth="1"/>
    <col min="5" max="5" width="13.28515625" style="115" bestFit="1" customWidth="1"/>
    <col min="6" max="6" width="17.42578125" style="115" bestFit="1" customWidth="1"/>
    <col min="7" max="7" width="23.28515625" style="115" bestFit="1" customWidth="1"/>
    <col min="8" max="8" width="11.140625" style="115" bestFit="1" customWidth="1"/>
    <col min="9" max="9" width="13.140625" style="115" customWidth="1"/>
    <col min="10" max="10" width="5" style="115" bestFit="1" customWidth="1"/>
    <col min="11" max="11" width="10.140625" style="115" bestFit="1" customWidth="1"/>
    <col min="12" max="12" width="23.28515625" style="115" bestFit="1" customWidth="1"/>
    <col min="13" max="13" width="13.28515625" style="115" bestFit="1" customWidth="1"/>
    <col min="14" max="14" width="17.42578125" style="115" bestFit="1" customWidth="1"/>
    <col min="15" max="15" width="23.28515625" style="115" bestFit="1" customWidth="1"/>
    <col min="16" max="16" width="10.140625" style="115" customWidth="1"/>
    <col min="17" max="17" width="13.140625" style="115" customWidth="1"/>
    <col min="18" max="18" width="5" style="115" bestFit="1" customWidth="1"/>
    <col min="19" max="19" width="11.140625" style="115" bestFit="1" customWidth="1"/>
    <col min="20" max="20" width="23.28515625" style="115" bestFit="1" customWidth="1"/>
    <col min="21" max="21" width="13.28515625" style="115" bestFit="1" customWidth="1"/>
    <col min="22" max="22" width="17.42578125" style="115" bestFit="1" customWidth="1"/>
    <col min="23" max="23" width="23.28515625" style="115" bestFit="1" customWidth="1"/>
    <col min="24" max="24" width="11.140625" style="115" customWidth="1"/>
    <col min="25" max="25" width="11.140625" style="115" bestFit="1" customWidth="1"/>
    <col min="26" max="29" width="11.140625" style="115" customWidth="1"/>
    <col min="30" max="30" width="5" style="115" bestFit="1" customWidth="1"/>
    <col min="31" max="31" width="10.28515625" style="115" bestFit="1" customWidth="1"/>
    <col min="32" max="32" width="10" style="115" bestFit="1" customWidth="1"/>
    <col min="33" max="33" width="9.28515625" style="115"/>
    <col min="34" max="34" width="5" style="115" bestFit="1" customWidth="1"/>
    <col min="35" max="35" width="9.140625" style="115" bestFit="1" customWidth="1"/>
    <col min="36" max="36" width="10" style="115" bestFit="1" customWidth="1"/>
    <col min="37" max="37" width="10.7109375" style="115" customWidth="1"/>
    <col min="38" max="38" width="5" style="115" bestFit="1" customWidth="1"/>
    <col min="39" max="39" width="9.140625" style="115" bestFit="1" customWidth="1"/>
    <col min="40" max="40" width="10" style="115" bestFit="1" customWidth="1"/>
    <col min="41" max="16384" width="9.28515625" style="115"/>
  </cols>
  <sheetData>
    <row r="1" spans="1:40">
      <c r="A1" s="115" t="s">
        <v>103</v>
      </c>
    </row>
    <row r="2" spans="1:40" ht="12.75" customHeight="1">
      <c r="E2" s="116" t="s">
        <v>87</v>
      </c>
      <c r="M2" s="116" t="s">
        <v>89</v>
      </c>
      <c r="U2" s="116" t="s">
        <v>90</v>
      </c>
      <c r="Z2" s="115" t="s">
        <v>194</v>
      </c>
      <c r="AE2" s="116" t="s">
        <v>97</v>
      </c>
      <c r="AI2" s="116" t="s">
        <v>101</v>
      </c>
      <c r="AM2" s="116" t="s">
        <v>6</v>
      </c>
    </row>
    <row r="3" spans="1:40">
      <c r="B3" s="116" t="s">
        <v>83</v>
      </c>
      <c r="C3" s="116" t="s">
        <v>91</v>
      </c>
      <c r="D3" s="116" t="s">
        <v>166</v>
      </c>
      <c r="E3" s="116" t="s">
        <v>167</v>
      </c>
      <c r="F3" s="116" t="s">
        <v>168</v>
      </c>
      <c r="G3" s="116" t="s">
        <v>166</v>
      </c>
      <c r="H3" s="116" t="s">
        <v>104</v>
      </c>
      <c r="J3" s="116" t="s">
        <v>83</v>
      </c>
      <c r="K3" s="116" t="s">
        <v>91</v>
      </c>
      <c r="L3" s="116" t="s">
        <v>166</v>
      </c>
      <c r="M3" s="116" t="s">
        <v>167</v>
      </c>
      <c r="N3" s="116" t="s">
        <v>168</v>
      </c>
      <c r="O3" s="116" t="s">
        <v>166</v>
      </c>
      <c r="P3" s="116" t="s">
        <v>104</v>
      </c>
      <c r="R3" s="116" t="s">
        <v>83</v>
      </c>
      <c r="S3" s="116" t="s">
        <v>91</v>
      </c>
      <c r="T3" s="116" t="s">
        <v>166</v>
      </c>
      <c r="U3" s="116" t="s">
        <v>167</v>
      </c>
      <c r="V3" s="116" t="s">
        <v>168</v>
      </c>
      <c r="W3" s="116" t="s">
        <v>166</v>
      </c>
      <c r="X3" s="116" t="s">
        <v>104</v>
      </c>
      <c r="Z3" s="116" t="s">
        <v>83</v>
      </c>
      <c r="AA3" s="116" t="s">
        <v>91</v>
      </c>
      <c r="AB3" s="116" t="s">
        <v>104</v>
      </c>
      <c r="AD3" s="116" t="s">
        <v>83</v>
      </c>
      <c r="AE3" s="116" t="s">
        <v>91</v>
      </c>
      <c r="AF3" s="116" t="s">
        <v>104</v>
      </c>
      <c r="AH3" s="116" t="s">
        <v>83</v>
      </c>
      <c r="AI3" s="116" t="s">
        <v>91</v>
      </c>
      <c r="AJ3" s="116" t="s">
        <v>104</v>
      </c>
      <c r="AL3" s="116" t="s">
        <v>83</v>
      </c>
      <c r="AM3" s="116" t="s">
        <v>91</v>
      </c>
      <c r="AN3" s="116" t="s">
        <v>104</v>
      </c>
    </row>
    <row r="4" spans="1:40">
      <c r="B4" s="116"/>
      <c r="C4" s="116" t="s">
        <v>108</v>
      </c>
      <c r="D4" s="116" t="s">
        <v>110</v>
      </c>
      <c r="E4" s="116" t="s">
        <v>169</v>
      </c>
      <c r="F4" s="116" t="s">
        <v>112</v>
      </c>
      <c r="G4" s="116" t="s">
        <v>170</v>
      </c>
      <c r="H4" s="116" t="s">
        <v>171</v>
      </c>
      <c r="J4" s="116"/>
      <c r="K4" s="116" t="s">
        <v>108</v>
      </c>
      <c r="L4" s="116" t="s">
        <v>110</v>
      </c>
      <c r="M4" s="116" t="s">
        <v>169</v>
      </c>
      <c r="N4" s="116" t="s">
        <v>112</v>
      </c>
      <c r="O4" s="116" t="s">
        <v>170</v>
      </c>
      <c r="P4" s="116" t="s">
        <v>171</v>
      </c>
      <c r="R4" s="116"/>
      <c r="S4" s="116" t="s">
        <v>108</v>
      </c>
      <c r="T4" s="116" t="s">
        <v>110</v>
      </c>
      <c r="U4" s="116" t="s">
        <v>169</v>
      </c>
      <c r="V4" s="116" t="s">
        <v>112</v>
      </c>
      <c r="W4" s="116" t="s">
        <v>170</v>
      </c>
      <c r="X4" s="116" t="s">
        <v>171</v>
      </c>
      <c r="AD4" s="116"/>
      <c r="AE4" s="116"/>
      <c r="AF4" s="116"/>
      <c r="AH4" s="116"/>
      <c r="AI4" s="116"/>
      <c r="AJ4" s="116"/>
      <c r="AL4" s="116"/>
      <c r="AM4" s="116"/>
      <c r="AN4" s="116"/>
    </row>
    <row r="5" spans="1:40">
      <c r="B5" s="115">
        <v>2009</v>
      </c>
      <c r="C5" s="117">
        <f>SUMIF('Monthly Data'!C:C,B5,'Monthly Data'!E:E)</f>
        <v>248399886.49214149</v>
      </c>
      <c r="D5" s="117">
        <f ca="1">SUMIF('Monthly Data'!$C:$C,B5,'Monthly Data'!F:F)</f>
        <v>848858.03416797949</v>
      </c>
      <c r="E5" s="117">
        <f ca="1">SUMIF('Res Normalized Monthly'!B:B,B5,'Res Normalized Monthly'!C:C)</f>
        <v>249248744.52630949</v>
      </c>
      <c r="F5" s="125">
        <f ca="1">SUMIF('Res Normalized Monthly'!$B$2:$B$157,B5,'Res Normalized Monthly'!R$2:R$157)</f>
        <v>261672821.96498096</v>
      </c>
      <c r="G5" s="117">
        <f ca="1">D5</f>
        <v>848858.03416797949</v>
      </c>
      <c r="H5" s="125">
        <f ca="1">F5-G5</f>
        <v>260823963.93081298</v>
      </c>
      <c r="J5" s="115">
        <v>2009</v>
      </c>
      <c r="K5" s="117">
        <f>SUMIF('Monthly Data'!C:C,B5,'Monthly Data'!I:I)</f>
        <v>67411402.249553397</v>
      </c>
      <c r="L5" s="117">
        <f ca="1">SUMIF('Monthly Data'!C:C,B5,'Monthly Data'!J:J)</f>
        <v>223864.07437800596</v>
      </c>
      <c r="M5" s="117">
        <f ca="1">SUMIF('GS &lt; 50 Normalized Monthly'!$B$2:$B$145,B5,'GS &lt; 50 Normalized Monthly'!C$2:C$145)</f>
        <v>67635266.323931411</v>
      </c>
      <c r="N5" s="125">
        <f ca="1">SUMIF('GS &lt; 50 Normalized Monthly'!$B$2:$B$145,B5,'GS &lt; 50 Normalized Monthly'!T$2:T$145)</f>
        <v>67952712.958381981</v>
      </c>
      <c r="O5" s="117">
        <f ca="1">L5</f>
        <v>223864.07437800596</v>
      </c>
      <c r="P5" s="125">
        <f ca="1">N5-O5</f>
        <v>67728848.884003982</v>
      </c>
      <c r="R5" s="115">
        <v>2009</v>
      </c>
      <c r="S5" s="117">
        <f ca="1">U5-T5</f>
        <v>164879031.73586524</v>
      </c>
      <c r="T5" s="117">
        <f ca="1">SUMIF('Monthly Data'!C:C,B5,'Monthly Data'!N:N)</f>
        <v>571217.47096941445</v>
      </c>
      <c r="U5" s="117">
        <f ca="1">SUMIF('GS &gt; 50 Normalized Monthly'!$B$2:$B$157,B5,'GS &gt; 50 Normalized Monthly'!C$2:C$157)</f>
        <v>165450249.20683464</v>
      </c>
      <c r="V5" s="125">
        <f ca="1">SUMIF('GS &gt; 50 Normalized Monthly'!$B$2:$B$157,B5,'GS &gt; 50 Normalized Monthly'!Z$2:Z$157)</f>
        <v>164827280.98932108</v>
      </c>
      <c r="W5" s="117">
        <f ca="1">T5</f>
        <v>571217.47096941445</v>
      </c>
      <c r="X5" s="125">
        <f ca="1">V5-W5</f>
        <v>164256063.51835167</v>
      </c>
      <c r="Z5" s="115">
        <v>2009</v>
      </c>
      <c r="AA5" s="117">
        <f>SUMIF('Monthly Data'!C:C,Z5,'Monthly Data'!AE:AE)</f>
        <v>44707889.906451605</v>
      </c>
      <c r="AB5" s="117">
        <f>AA5</f>
        <v>44707889.906451605</v>
      </c>
      <c r="AD5" s="115">
        <v>2009</v>
      </c>
      <c r="AE5" s="117">
        <f>SUMIF('Monthly Data'!C:C,AD5,'Monthly Data'!U:U)</f>
        <v>5814687.6945161298</v>
      </c>
      <c r="AF5" s="117">
        <f>AE5</f>
        <v>5814687.6945161298</v>
      </c>
      <c r="AH5" s="115">
        <v>2009</v>
      </c>
      <c r="AI5" s="117">
        <f>SUMIF('Monthly Data'!C:C,AH5,'Monthly Data'!X:X)</f>
        <v>398170.55999999994</v>
      </c>
      <c r="AJ5" s="117">
        <f t="shared" ref="AJ5:AJ12" si="0">AI5</f>
        <v>398170.55999999994</v>
      </c>
      <c r="AL5" s="115">
        <v>2009</v>
      </c>
      <c r="AM5" s="117">
        <f>SUMIF('Monthly Data'!C:C,AL5,'Monthly Data'!AA:AA)</f>
        <v>1553160</v>
      </c>
      <c r="AN5" s="117">
        <f t="shared" ref="AN5:AN12" si="1">AM5</f>
        <v>1553160</v>
      </c>
    </row>
    <row r="6" spans="1:40">
      <c r="B6" s="115">
        <v>2010</v>
      </c>
      <c r="C6" s="117">
        <f>SUMIF('Monthly Data'!C:C,B6,'Monthly Data'!E:E)</f>
        <v>265216568.13992596</v>
      </c>
      <c r="D6" s="117">
        <f ca="1">SUMIF('Monthly Data'!$C:$C,B6,'Monthly Data'!F:F)</f>
        <v>2001028.1423597566</v>
      </c>
      <c r="E6" s="117">
        <f ca="1">SUMIF('Res Normalized Monthly'!$B$2:$B$157,B6,'Res Normalized Monthly'!C$2:C$157)</f>
        <v>267217596.28228575</v>
      </c>
      <c r="F6" s="125">
        <f ca="1">SUMIF('Res Normalized Monthly'!$B$2:$B$157,B6,'Res Normalized Monthly'!R$2:R$157)</f>
        <v>259297142.82967284</v>
      </c>
      <c r="G6" s="117">
        <f t="shared" ref="G6:G12" ca="1" si="2">D6</f>
        <v>2001028.1423597566</v>
      </c>
      <c r="H6" s="125">
        <f t="shared" ref="H6:H14" ca="1" si="3">F6-G6</f>
        <v>257296114.68731308</v>
      </c>
      <c r="J6" s="115">
        <v>2010</v>
      </c>
      <c r="K6" s="117">
        <f>SUMIF('Monthly Data'!C:C,B6,'Monthly Data'!I:I)</f>
        <v>68742429.66422531</v>
      </c>
      <c r="L6" s="117">
        <f ca="1">SUMIF('Monthly Data'!C:C,B6,'Monthly Data'!J:J)</f>
        <v>721136.34298843844</v>
      </c>
      <c r="M6" s="117">
        <f ca="1">SUMIF('GS &lt; 50 Normalized Monthly'!$B$2:$B$145,B6,'GS &lt; 50 Normalized Monthly'!C$2:C$145)</f>
        <v>69463566.007213742</v>
      </c>
      <c r="N6" s="125">
        <f ca="1">SUMIF('GS &lt; 50 Normalized Monthly'!$B$2:$B$145,B6,'GS &lt; 50 Normalized Monthly'!T$2:T$145)</f>
        <v>68069835.047798201</v>
      </c>
      <c r="O6" s="117">
        <f t="shared" ref="O6:O12" ca="1" si="4">L6</f>
        <v>721136.34298843844</v>
      </c>
      <c r="P6" s="125">
        <f t="shared" ref="P6:P14" ca="1" si="5">N6-O6</f>
        <v>67348698.70480977</v>
      </c>
      <c r="R6" s="115">
        <v>2010</v>
      </c>
      <c r="S6" s="117">
        <f t="shared" ref="S6:S12" ca="1" si="6">U6-T6</f>
        <v>167052602.51730582</v>
      </c>
      <c r="T6" s="117">
        <f ca="1">SUMIF('Monthly Data'!C:C,B6,'Monthly Data'!N:N)</f>
        <v>1346541.1044117827</v>
      </c>
      <c r="U6" s="117">
        <f ca="1">SUMIF('GS &gt; 50 Normalized Monthly'!$B$2:$B$157,B6,'GS &gt; 50 Normalized Monthly'!C$2:C$157)</f>
        <v>168399143.6217176</v>
      </c>
      <c r="V6" s="125">
        <f ca="1">SUMIF('GS &gt; 50 Normalized Monthly'!$B$2:$B$157,B6,'GS &gt; 50 Normalized Monthly'!Z$2:Z$157)</f>
        <v>163109043.14663059</v>
      </c>
      <c r="W6" s="117">
        <f t="shared" ref="W6:W12" ca="1" si="7">T6</f>
        <v>1346541.1044117827</v>
      </c>
      <c r="X6" s="125">
        <f t="shared" ref="X6:X14" ca="1" si="8">V6-W6</f>
        <v>161762502.0422188</v>
      </c>
      <c r="Z6" s="115">
        <v>2010</v>
      </c>
      <c r="AA6" s="117">
        <f>SUMIF('Monthly Data'!C:C,Z6,'Monthly Data'!AE:AE)</f>
        <v>49638852.089677416</v>
      </c>
      <c r="AB6" s="117">
        <f t="shared" ref="AB6:AB12" si="9">AA6</f>
        <v>49638852.089677416</v>
      </c>
      <c r="AD6" s="115">
        <v>2010</v>
      </c>
      <c r="AE6" s="117">
        <f>SUMIF('Monthly Data'!C:C,AD6,'Monthly Data'!U:U)</f>
        <v>5780507.0722580636</v>
      </c>
      <c r="AF6" s="117">
        <f t="shared" ref="AF6:AF12" si="10">AE6</f>
        <v>5780507.0722580636</v>
      </c>
      <c r="AH6" s="115">
        <v>2010</v>
      </c>
      <c r="AI6" s="117">
        <f>SUMIF('Monthly Data'!C:C,AH6,'Monthly Data'!X:X)</f>
        <v>393141.48000000004</v>
      </c>
      <c r="AJ6" s="117">
        <f t="shared" si="0"/>
        <v>393141.48000000004</v>
      </c>
      <c r="AK6" s="118"/>
      <c r="AL6" s="115">
        <v>2010</v>
      </c>
      <c r="AM6" s="117">
        <f>SUMIF('Monthly Data'!C:C,AL6,'Monthly Data'!AA:AA)</f>
        <v>1558152</v>
      </c>
      <c r="AN6" s="117">
        <f t="shared" si="1"/>
        <v>1558152</v>
      </c>
    </row>
    <row r="7" spans="1:40">
      <c r="B7" s="115">
        <v>2011</v>
      </c>
      <c r="C7" s="117">
        <f>SUMIF('Monthly Data'!C:C,B7,'Monthly Data'!E:E)</f>
        <v>258409725.96275184</v>
      </c>
      <c r="D7" s="117">
        <f ca="1">SUMIF('Monthly Data'!$C:$C,B7,'Monthly Data'!F:F)</f>
        <v>2530085.6192556922</v>
      </c>
      <c r="E7" s="117">
        <f ca="1">SUMIF('Res Normalized Monthly'!$B$2:$B$157,B7,'Res Normalized Monthly'!C$2:C$157)</f>
        <v>260939811.58200753</v>
      </c>
      <c r="F7" s="125">
        <f ca="1">SUMIF('Res Normalized Monthly'!$B$2:$B$157,B7,'Res Normalized Monthly'!R$2:R$157)</f>
        <v>256334134.22412032</v>
      </c>
      <c r="G7" s="117">
        <f t="shared" ca="1" si="2"/>
        <v>2530085.6192556922</v>
      </c>
      <c r="H7" s="125">
        <f t="shared" ca="1" si="3"/>
        <v>253804048.60486463</v>
      </c>
      <c r="J7" s="115">
        <v>2011</v>
      </c>
      <c r="K7" s="117">
        <f>SUMIF('Monthly Data'!C:C,B7,'Monthly Data'!I:I)</f>
        <v>67558142.667946845</v>
      </c>
      <c r="L7" s="117">
        <f ca="1">SUMIF('Monthly Data'!C:C,B7,'Monthly Data'!J:J)</f>
        <v>1022243.6761334607</v>
      </c>
      <c r="M7" s="117">
        <f ca="1">SUMIF('GS &lt; 50 Normalized Monthly'!$B$2:$B$145,B7,'GS &lt; 50 Normalized Monthly'!C$2:C$145)</f>
        <v>68580386.344080314</v>
      </c>
      <c r="N7" s="125">
        <f ca="1">SUMIF('GS &lt; 50 Normalized Monthly'!$B$2:$B$145,B7,'GS &lt; 50 Normalized Monthly'!T$2:T$145)</f>
        <v>68068504.114963919</v>
      </c>
      <c r="O7" s="117">
        <f t="shared" ca="1" si="4"/>
        <v>1022243.6761334607</v>
      </c>
      <c r="P7" s="125">
        <f t="shared" ca="1" si="5"/>
        <v>67046260.438830458</v>
      </c>
      <c r="R7" s="115">
        <v>2011</v>
      </c>
      <c r="S7" s="117">
        <f t="shared" ca="1" si="6"/>
        <v>165850871.69855252</v>
      </c>
      <c r="T7" s="117">
        <f ca="1">SUMIF('Monthly Data'!C:C,B7,'Monthly Data'!N:N)</f>
        <v>1938998.9002483257</v>
      </c>
      <c r="U7" s="117">
        <f ca="1">SUMIF('GS &gt; 50 Normalized Monthly'!$B$2:$B$157,B7,'GS &gt; 50 Normalized Monthly'!C$2:C$157)</f>
        <v>167789870.59880084</v>
      </c>
      <c r="V7" s="125">
        <f ca="1">SUMIF('GS &gt; 50 Normalized Monthly'!$B$2:$B$157,B7,'GS &gt; 50 Normalized Monthly'!Z$2:Z$157)</f>
        <v>169716443.82270956</v>
      </c>
      <c r="W7" s="117">
        <f t="shared" ca="1" si="7"/>
        <v>1938998.9002483257</v>
      </c>
      <c r="X7" s="125">
        <f t="shared" ca="1" si="8"/>
        <v>167777444.92246124</v>
      </c>
      <c r="Z7" s="115">
        <v>2011</v>
      </c>
      <c r="AA7" s="117">
        <f>SUMIF('Monthly Data'!C:C,Z7,'Monthly Data'!AE:AE)</f>
        <v>42820520.820967749</v>
      </c>
      <c r="AB7" s="117">
        <f t="shared" si="9"/>
        <v>42820520.820967749</v>
      </c>
      <c r="AD7" s="115">
        <v>2011</v>
      </c>
      <c r="AE7" s="117">
        <f>SUMIF('Monthly Data'!C:C,AD7,'Monthly Data'!U:U)</f>
        <v>5969304.1625806447</v>
      </c>
      <c r="AF7" s="117">
        <f t="shared" si="10"/>
        <v>5969304.1625806447</v>
      </c>
      <c r="AH7" s="115">
        <v>2011</v>
      </c>
      <c r="AI7" s="117">
        <f>SUMIF('Monthly Data'!C:C,AH7,'Monthly Data'!X:X)</f>
        <v>382813.79999999993</v>
      </c>
      <c r="AJ7" s="117">
        <f t="shared" si="0"/>
        <v>382813.79999999993</v>
      </c>
      <c r="AK7" s="118"/>
      <c r="AL7" s="115">
        <v>2011</v>
      </c>
      <c r="AM7" s="117">
        <f>SUMIF('Monthly Data'!C:C,AL7,'Monthly Data'!AA:AA)</f>
        <v>1558152</v>
      </c>
      <c r="AN7" s="117">
        <f t="shared" si="1"/>
        <v>1558152</v>
      </c>
    </row>
    <row r="8" spans="1:40">
      <c r="B8" s="115">
        <v>2012</v>
      </c>
      <c r="C8" s="117">
        <f>SUMIF('Monthly Data'!C:C,B8,'Monthly Data'!E:E)</f>
        <v>256003979.435274</v>
      </c>
      <c r="D8" s="117">
        <f ca="1">SUMIF('Monthly Data'!$C:$C,B8,'Monthly Data'!F:F)</f>
        <v>3245784.5770066655</v>
      </c>
      <c r="E8" s="117">
        <f ca="1">SUMIF('Res Normalized Monthly'!$B$2:$B$157,B8,'Res Normalized Monthly'!C$2:C$157)</f>
        <v>259249764.01228067</v>
      </c>
      <c r="F8" s="125">
        <f ca="1">SUMIF('Res Normalized Monthly'!$B$2:$B$157,B8,'Res Normalized Monthly'!R$2:R$157)</f>
        <v>258455457.59941426</v>
      </c>
      <c r="G8" s="117">
        <f t="shared" ca="1" si="2"/>
        <v>3245784.5770066655</v>
      </c>
      <c r="H8" s="125">
        <f t="shared" ca="1" si="3"/>
        <v>255209673.02240759</v>
      </c>
      <c r="J8" s="115">
        <v>2012</v>
      </c>
      <c r="K8" s="117">
        <f>SUMIF('Monthly Data'!C:C,B8,'Monthly Data'!I:I)</f>
        <v>67056277.620808907</v>
      </c>
      <c r="L8" s="117">
        <f ca="1">SUMIF('Monthly Data'!C:C,B8,'Monthly Data'!J:J)</f>
        <v>1445239.6573888592</v>
      </c>
      <c r="M8" s="117">
        <f ca="1">SUMIF('GS &lt; 50 Normalized Monthly'!$B$2:$B$145,B8,'GS &lt; 50 Normalized Monthly'!C$2:C$145)</f>
        <v>68501517.278197765</v>
      </c>
      <c r="N8" s="125">
        <f ca="1">SUMIF('GS &lt; 50 Normalized Monthly'!$B$2:$B$145,B8,'GS &lt; 50 Normalized Monthly'!T$2:T$145)</f>
        <v>69074306.457354233</v>
      </c>
      <c r="O8" s="117">
        <f t="shared" ca="1" si="4"/>
        <v>1445239.6573888592</v>
      </c>
      <c r="P8" s="125">
        <f t="shared" ca="1" si="5"/>
        <v>67629066.799965367</v>
      </c>
      <c r="R8" s="115">
        <v>2012</v>
      </c>
      <c r="S8" s="117">
        <f t="shared" ca="1" si="6"/>
        <v>160883811.68478131</v>
      </c>
      <c r="T8" s="117">
        <f ca="1">SUMIF('Monthly Data'!C:C,B8,'Monthly Data'!N:N)</f>
        <v>3020310.8509711083</v>
      </c>
      <c r="U8" s="117">
        <f ca="1">SUMIF('GS &gt; 50 Normalized Monthly'!$B$2:$B$157,B8,'GS &gt; 50 Normalized Monthly'!C$2:C$157)</f>
        <v>163904122.53575242</v>
      </c>
      <c r="V8" s="125">
        <f ca="1">SUMIF('GS &gt; 50 Normalized Monthly'!$B$2:$B$157,B8,'GS &gt; 50 Normalized Monthly'!Z$2:Z$157)</f>
        <v>168502825.49510211</v>
      </c>
      <c r="W8" s="117">
        <f t="shared" ca="1" si="7"/>
        <v>3020310.8509711083</v>
      </c>
      <c r="X8" s="125">
        <f t="shared" ca="1" si="8"/>
        <v>165482514.644131</v>
      </c>
      <c r="Z8" s="115">
        <v>2012</v>
      </c>
      <c r="AA8" s="117">
        <f>SUMIF('Monthly Data'!C:C,Z8,'Monthly Data'!AE:AE)</f>
        <v>35429534.452903233</v>
      </c>
      <c r="AB8" s="117">
        <f t="shared" si="9"/>
        <v>35429534.452903233</v>
      </c>
      <c r="AD8" s="115">
        <v>2012</v>
      </c>
      <c r="AE8" s="117">
        <f>SUMIF('Monthly Data'!C:C,AD8,'Monthly Data'!U:U)</f>
        <v>6205705.2712903218</v>
      </c>
      <c r="AF8" s="117">
        <f t="shared" si="10"/>
        <v>6205705.2712903218</v>
      </c>
      <c r="AH8" s="115">
        <v>2012</v>
      </c>
      <c r="AI8" s="117">
        <f>SUMIF('Monthly Data'!C:C,AH8,'Monthly Data'!X:X)</f>
        <v>383993.93000000005</v>
      </c>
      <c r="AJ8" s="117">
        <f t="shared" si="0"/>
        <v>383993.93000000005</v>
      </c>
      <c r="AK8" s="118"/>
      <c r="AL8" s="115">
        <v>2012</v>
      </c>
      <c r="AM8" s="117">
        <f>SUMIF('Monthly Data'!C:C,AL8,'Monthly Data'!AA:AA)</f>
        <v>1558152</v>
      </c>
      <c r="AN8" s="117">
        <f t="shared" si="1"/>
        <v>1558152</v>
      </c>
    </row>
    <row r="9" spans="1:40">
      <c r="B9" s="115">
        <v>2013</v>
      </c>
      <c r="C9" s="117">
        <f>SUMIF('Monthly Data'!C:C,B9,'Monthly Data'!E:E)</f>
        <v>250406104.76660007</v>
      </c>
      <c r="D9" s="117">
        <f ca="1">SUMIF('Monthly Data'!$C:$C,B9,'Monthly Data'!F:F)</f>
        <v>3886093.3549973648</v>
      </c>
      <c r="E9" s="117">
        <f ca="1">SUMIF('Res Normalized Monthly'!$B$2:$B$157,B9,'Res Normalized Monthly'!C$2:C$157)</f>
        <v>254292198.12159741</v>
      </c>
      <c r="F9" s="125">
        <f ca="1">SUMIF('Res Normalized Monthly'!$B$2:$B$157,B9,'Res Normalized Monthly'!R$2:R$157)</f>
        <v>255753475.11299255</v>
      </c>
      <c r="G9" s="117">
        <f t="shared" ca="1" si="2"/>
        <v>3886093.3549973648</v>
      </c>
      <c r="H9" s="125">
        <f t="shared" ca="1" si="3"/>
        <v>251867381.75799519</v>
      </c>
      <c r="J9" s="115">
        <v>2013</v>
      </c>
      <c r="K9" s="117">
        <f>SUMIF('Monthly Data'!C:C,B9,'Monthly Data'!I:I)</f>
        <v>65663989.680238001</v>
      </c>
      <c r="L9" s="117">
        <f ca="1">SUMIF('Monthly Data'!C:C,B9,'Monthly Data'!J:J)</f>
        <v>1901581.5328935359</v>
      </c>
      <c r="M9" s="117">
        <f ca="1">SUMIF('GS &lt; 50 Normalized Monthly'!$B$2:$B$145,B9,'GS &lt; 50 Normalized Monthly'!C$2:C$145)</f>
        <v>67565571.213131547</v>
      </c>
      <c r="N9" s="125">
        <f ca="1">SUMIF('GS &lt; 50 Normalized Monthly'!$B$2:$B$145,B9,'GS &lt; 50 Normalized Monthly'!T$2:T$145)</f>
        <v>69143897.845058337</v>
      </c>
      <c r="O9" s="117">
        <f t="shared" ca="1" si="4"/>
        <v>1901581.5328935359</v>
      </c>
      <c r="P9" s="125">
        <f t="shared" ca="1" si="5"/>
        <v>67242316.312164798</v>
      </c>
      <c r="R9" s="115">
        <v>2013</v>
      </c>
      <c r="S9" s="117">
        <f t="shared" ca="1" si="6"/>
        <v>164887609.10912561</v>
      </c>
      <c r="T9" s="117">
        <f ca="1">SUMIF('Monthly Data'!C:C,B9,'Monthly Data'!N:N)</f>
        <v>4184874.0773844956</v>
      </c>
      <c r="U9" s="117">
        <f ca="1">SUMIF('GS &gt; 50 Normalized Monthly'!$B$2:$B$157,B9,'GS &gt; 50 Normalized Monthly'!C$2:C$157)</f>
        <v>169072483.18651012</v>
      </c>
      <c r="V9" s="125">
        <f ca="1">SUMIF('GS &gt; 50 Normalized Monthly'!$B$2:$B$157,B9,'GS &gt; 50 Normalized Monthly'!Z$2:Z$157)</f>
        <v>171628009.39741033</v>
      </c>
      <c r="W9" s="117">
        <f t="shared" ca="1" si="7"/>
        <v>4184874.0773844956</v>
      </c>
      <c r="X9" s="125">
        <f t="shared" ca="1" si="8"/>
        <v>167443135.32002583</v>
      </c>
      <c r="Z9" s="115">
        <v>2013</v>
      </c>
      <c r="AA9" s="117">
        <f>SUMIF('Monthly Data'!C:C,Z9,'Monthly Data'!AE:AE)</f>
        <v>36931636.277741931</v>
      </c>
      <c r="AB9" s="117">
        <f t="shared" si="9"/>
        <v>36931636.277741931</v>
      </c>
      <c r="AD9" s="115">
        <v>2013</v>
      </c>
      <c r="AE9" s="117">
        <f>SUMIF('Monthly Data'!C:C,AD9,'Monthly Data'!U:U)</f>
        <v>6271491.3612118578</v>
      </c>
      <c r="AF9" s="117">
        <f t="shared" si="10"/>
        <v>6271491.3612118578</v>
      </c>
      <c r="AH9" s="115">
        <v>2013</v>
      </c>
      <c r="AI9" s="117">
        <f>SUMIF('Monthly Data'!C:C,AH9,'Monthly Data'!X:X)</f>
        <v>342834.13</v>
      </c>
      <c r="AJ9" s="117">
        <f t="shared" si="0"/>
        <v>342834.13</v>
      </c>
      <c r="AK9" s="118"/>
      <c r="AL9" s="115">
        <v>2013</v>
      </c>
      <c r="AM9" s="117">
        <f>SUMIF('Monthly Data'!C:C,AL9,'Monthly Data'!AA:AA)</f>
        <v>1549960</v>
      </c>
      <c r="AN9" s="117">
        <f t="shared" si="1"/>
        <v>1549960</v>
      </c>
    </row>
    <row r="10" spans="1:40">
      <c r="B10" s="115">
        <v>2014</v>
      </c>
      <c r="C10" s="117">
        <f>SUMIF('Monthly Data'!C:C,B10,'Monthly Data'!E:E)</f>
        <v>245551952.96402693</v>
      </c>
      <c r="D10" s="117">
        <f ca="1">SUMIF('Monthly Data'!$C:$C,B10,'Monthly Data'!F:F)</f>
        <v>4916295.1868177652</v>
      </c>
      <c r="E10" s="117">
        <f ca="1">SUMIF('Res Normalized Monthly'!$B$2:$B$157,B10,'Res Normalized Monthly'!C$2:C$157)</f>
        <v>250468248.15084472</v>
      </c>
      <c r="F10" s="125">
        <f ca="1">SUMIF('Res Normalized Monthly'!$B$2:$B$157,B10,'Res Normalized Monthly'!R$2:R$157)</f>
        <v>253338200.73249945</v>
      </c>
      <c r="G10" s="117">
        <f t="shared" ca="1" si="2"/>
        <v>4916295.1868177652</v>
      </c>
      <c r="H10" s="125">
        <f t="shared" ca="1" si="3"/>
        <v>248421905.54568169</v>
      </c>
      <c r="J10" s="115">
        <v>2014</v>
      </c>
      <c r="K10" s="117">
        <f>SUMIF('Monthly Data'!C:C,B10,'Monthly Data'!I:I)</f>
        <v>65242010.853368044</v>
      </c>
      <c r="L10" s="117">
        <f ca="1">SUMIF('Monthly Data'!C:C,B10,'Monthly Data'!J:J)</f>
        <v>2343744.833660088</v>
      </c>
      <c r="M10" s="117">
        <f ca="1">SUMIF('GS &lt; 50 Normalized Monthly'!$B$2:$B$145,B10,'GS &lt; 50 Normalized Monthly'!C$2:C$145)</f>
        <v>67585755.68702814</v>
      </c>
      <c r="N10" s="125">
        <f ca="1">SUMIF('GS &lt; 50 Normalized Monthly'!$B$2:$B$145,B10,'GS &lt; 50 Normalized Monthly'!T$2:T$145)</f>
        <v>69253034.337468922</v>
      </c>
      <c r="O10" s="117">
        <f t="shared" ca="1" si="4"/>
        <v>2343744.833660088</v>
      </c>
      <c r="P10" s="125">
        <f t="shared" ca="1" si="5"/>
        <v>66909289.503808834</v>
      </c>
      <c r="R10" s="115">
        <v>2014</v>
      </c>
      <c r="S10" s="117">
        <f t="shared" ca="1" si="6"/>
        <v>166100613.01807362</v>
      </c>
      <c r="T10" s="117">
        <f ca="1">SUMIF('Monthly Data'!C:C,B10,'Monthly Data'!N:N)</f>
        <v>5322896.424609079</v>
      </c>
      <c r="U10" s="117">
        <f ca="1">SUMIF('GS &gt; 50 Normalized Monthly'!$B$2:$B$157,B10,'GS &gt; 50 Normalized Monthly'!C$2:C$157)</f>
        <v>171423509.44268268</v>
      </c>
      <c r="V10" s="125">
        <f ca="1">SUMIF('GS &gt; 50 Normalized Monthly'!$B$2:$B$157,B10,'GS &gt; 50 Normalized Monthly'!Z$2:Z$157)</f>
        <v>176194415.72934902</v>
      </c>
      <c r="W10" s="117">
        <f t="shared" ca="1" si="7"/>
        <v>5322896.424609079</v>
      </c>
      <c r="X10" s="125">
        <f t="shared" ca="1" si="8"/>
        <v>170871519.30473995</v>
      </c>
      <c r="Z10" s="115">
        <v>2014</v>
      </c>
      <c r="AA10" s="117">
        <f>SUMIF('Monthly Data'!C:C,Z10,'Monthly Data'!AE:AE)</f>
        <v>38058828.017419361</v>
      </c>
      <c r="AB10" s="117">
        <f t="shared" si="9"/>
        <v>38058828.017419361</v>
      </c>
      <c r="AD10" s="115">
        <v>2014</v>
      </c>
      <c r="AE10" s="117">
        <f>SUMIF('Monthly Data'!C:C,AD10,'Monthly Data'!U:U)</f>
        <v>6286757.8567741932</v>
      </c>
      <c r="AF10" s="117">
        <f t="shared" si="10"/>
        <v>6286757.8567741932</v>
      </c>
      <c r="AH10" s="115">
        <v>2014</v>
      </c>
      <c r="AI10" s="117">
        <f>SUMIF('Monthly Data'!C:C,AH10,'Monthly Data'!X:X)</f>
        <v>350517.73</v>
      </c>
      <c r="AJ10" s="117">
        <f t="shared" si="0"/>
        <v>350517.73</v>
      </c>
      <c r="AK10" s="118"/>
      <c r="AL10" s="115">
        <v>2014</v>
      </c>
      <c r="AM10" s="117">
        <f>SUMIF('Monthly Data'!C:C,AL10,'Monthly Data'!AA:AA)</f>
        <v>1555546</v>
      </c>
      <c r="AN10" s="117">
        <f t="shared" si="1"/>
        <v>1555546</v>
      </c>
    </row>
    <row r="11" spans="1:40" s="119" customFormat="1">
      <c r="B11" s="115">
        <v>2015</v>
      </c>
      <c r="C11" s="117">
        <f>SUMIF('Monthly Data'!C:C,B11,'Monthly Data'!E:E)</f>
        <v>244757239.4788945</v>
      </c>
      <c r="D11" s="117">
        <f ca="1">SUMIF('Monthly Data'!$C:$C,B11,'Monthly Data'!F:F)</f>
        <v>6061046.6722106775</v>
      </c>
      <c r="E11" s="117">
        <f ca="1">SUMIF('Res Normalized Monthly'!$B$2:$B$157,B11,'Res Normalized Monthly'!C$2:C$157)</f>
        <v>250818286.1511052</v>
      </c>
      <c r="F11" s="125">
        <f ca="1">SUMIF('Res Normalized Monthly'!$B$2:$B$157,B11,'Res Normalized Monthly'!R$2:R$157)</f>
        <v>253080867.21458974</v>
      </c>
      <c r="G11" s="117">
        <f t="shared" ca="1" si="2"/>
        <v>6061046.6722106775</v>
      </c>
      <c r="H11" s="125">
        <f t="shared" ca="1" si="3"/>
        <v>247019820.54237908</v>
      </c>
      <c r="J11" s="115">
        <v>2015</v>
      </c>
      <c r="K11" s="117">
        <f>SUMIF('Monthly Data'!C:C,B11,'Monthly Data'!I:I)</f>
        <v>65329579.275105581</v>
      </c>
      <c r="L11" s="117">
        <f ca="1">SUMIF('Monthly Data'!C:C,B11,'Monthly Data'!J:J)</f>
        <v>3556242.216354778</v>
      </c>
      <c r="M11" s="117">
        <f ca="1">SUMIF('GS &lt; 50 Normalized Monthly'!$B$2:$B$145,B11,'GS &lt; 50 Normalized Monthly'!C$2:C$145)</f>
        <v>68885821.491460353</v>
      </c>
      <c r="N11" s="125">
        <f ca="1">SUMIF('GS &lt; 50 Normalized Monthly'!$B$2:$B$145,B11,'GS &lt; 50 Normalized Monthly'!T$2:T$145)</f>
        <v>69797385.866687506</v>
      </c>
      <c r="O11" s="117">
        <f t="shared" ca="1" si="4"/>
        <v>3556242.216354778</v>
      </c>
      <c r="P11" s="125">
        <f t="shared" ca="1" si="5"/>
        <v>66241143.650332727</v>
      </c>
      <c r="R11" s="115">
        <v>2015</v>
      </c>
      <c r="S11" s="117">
        <f t="shared" ca="1" si="6"/>
        <v>171874065.5064584</v>
      </c>
      <c r="T11" s="117">
        <f ca="1">SUMIF('Monthly Data'!C:C,B11,'Monthly Data'!N:N)</f>
        <v>11526932.675422778</v>
      </c>
      <c r="U11" s="117">
        <f ca="1">SUMIF('GS &gt; 50 Normalized Monthly'!$B$2:$B$157,B11,'GS &gt; 50 Normalized Monthly'!C$2:C$157)</f>
        <v>183400998.18188119</v>
      </c>
      <c r="V11" s="125">
        <f ca="1">SUMIF('GS &gt; 50 Normalized Monthly'!$B$2:$B$157,B11,'GS &gt; 50 Normalized Monthly'!Z$2:Z$157)</f>
        <v>181778601.38715214</v>
      </c>
      <c r="W11" s="117">
        <f t="shared" ca="1" si="7"/>
        <v>11526932.675422778</v>
      </c>
      <c r="X11" s="125">
        <f t="shared" ca="1" si="8"/>
        <v>170251668.71172935</v>
      </c>
      <c r="Y11" s="115"/>
      <c r="Z11" s="115">
        <v>2015</v>
      </c>
      <c r="AA11" s="117">
        <f>SUMIF('Monthly Data'!C:C,Z11,'Monthly Data'!AE:AE)</f>
        <v>38655620.090000004</v>
      </c>
      <c r="AB11" s="117">
        <f t="shared" si="9"/>
        <v>38655620.090000004</v>
      </c>
      <c r="AC11" s="115"/>
      <c r="AD11" s="115">
        <v>2015</v>
      </c>
      <c r="AE11" s="117">
        <f>SUMIF('Monthly Data'!C:C,AD11,'Monthly Data'!U:U)</f>
        <v>6227062.8251612904</v>
      </c>
      <c r="AF11" s="117">
        <f t="shared" si="10"/>
        <v>6227062.8251612904</v>
      </c>
      <c r="AG11" s="115"/>
      <c r="AH11" s="115">
        <v>2015</v>
      </c>
      <c r="AI11" s="117">
        <f>SUMIF('Monthly Data'!C:C,AH11,'Monthly Data'!X:X)</f>
        <v>341135.62</v>
      </c>
      <c r="AJ11" s="117">
        <f t="shared" si="0"/>
        <v>341135.62</v>
      </c>
      <c r="AK11" s="118"/>
      <c r="AL11" s="115">
        <v>2015</v>
      </c>
      <c r="AM11" s="117">
        <f>SUMIF('Monthly Data'!C:C,AL11,'Monthly Data'!AA:AA)</f>
        <v>1558152</v>
      </c>
      <c r="AN11" s="117">
        <f t="shared" si="1"/>
        <v>1558152</v>
      </c>
    </row>
    <row r="12" spans="1:40">
      <c r="B12" s="115">
        <v>2016</v>
      </c>
      <c r="C12" s="117">
        <f>SUMIF('Monthly Data'!C:C,B12,'Monthly Data'!E:E)</f>
        <v>255390421.5791553</v>
      </c>
      <c r="D12" s="125">
        <f ca="1">SUMIF('Monthly Data'!$C:$C,B12,'Monthly Data'!F:F)</f>
        <v>8226790.3090495626</v>
      </c>
      <c r="E12" s="125">
        <f ca="1">SUMIF('Res Normalized Monthly'!$B$2:$B$157,B12,'Res Normalized Monthly'!C$2:C$157)</f>
        <v>263617211.88820487</v>
      </c>
      <c r="F12" s="125">
        <f ca="1">SUMIF('Res Normalized Monthly'!$B$2:$B$157,B12,'Res Normalized Monthly'!R$2:R$157)</f>
        <v>255142797.7221061</v>
      </c>
      <c r="G12" s="125">
        <f t="shared" ca="1" si="2"/>
        <v>8226790.3090495626</v>
      </c>
      <c r="H12" s="125">
        <f t="shared" ca="1" si="3"/>
        <v>246916007.41305652</v>
      </c>
      <c r="J12" s="115">
        <v>2016</v>
      </c>
      <c r="K12" s="125">
        <f>SUMIF('Monthly Data'!C:C,B12,'Monthly Data'!I:I)</f>
        <v>66808992.616394639</v>
      </c>
      <c r="L12" s="125">
        <f ca="1">SUMIF('Monthly Data'!C:C,B12,'Monthly Data'!J:J)</f>
        <v>4851668.154670231</v>
      </c>
      <c r="M12" s="125">
        <f ca="1">SUMIF('GS &lt; 50 Normalized Monthly'!$B$2:$B$145,B12,'GS &lt; 50 Normalized Monthly'!C$2:C$145)</f>
        <v>71660660.771064878</v>
      </c>
      <c r="N12" s="125">
        <f ca="1">SUMIF('GS &lt; 50 Normalized Monthly'!$B$2:$B$145,B12,'GS &lt; 50 Normalized Monthly'!T$2:T$145)</f>
        <v>70791209.813569307</v>
      </c>
      <c r="O12" s="125">
        <f t="shared" ca="1" si="4"/>
        <v>4851668.154670231</v>
      </c>
      <c r="P12" s="125">
        <f t="shared" ca="1" si="5"/>
        <v>65939541.658899076</v>
      </c>
      <c r="R12" s="115">
        <v>2016</v>
      </c>
      <c r="S12" s="125">
        <f t="shared" ca="1" si="6"/>
        <v>187031605.70527154</v>
      </c>
      <c r="T12" s="125">
        <f ca="1">SUMIF('Monthly Data'!C:C,B12,'Monthly Data'!N:N)</f>
        <v>17327198.833187066</v>
      </c>
      <c r="U12" s="125">
        <f ca="1">SUMIF('GS &gt; 50 Normalized Monthly'!$B$2:$B$157,B12,'GS &gt; 50 Normalized Monthly'!C$2:C$157)</f>
        <v>204358804.53845862</v>
      </c>
      <c r="V12" s="125">
        <f ca="1">SUMIF('GS &gt; 50 Normalized Monthly'!$B$2:$B$157,B12,'GS &gt; 50 Normalized Monthly'!Z$2:Z$157)</f>
        <v>193615532.47547299</v>
      </c>
      <c r="W12" s="125">
        <f t="shared" ca="1" si="7"/>
        <v>17327198.833187066</v>
      </c>
      <c r="X12" s="125">
        <f t="shared" ca="1" si="8"/>
        <v>176288333.64228591</v>
      </c>
      <c r="Z12" s="115">
        <v>2016</v>
      </c>
      <c r="AA12" s="117">
        <f>SUMIF('Monthly Data'!C:C,Z12,'Monthly Data'!AE:AE)</f>
        <v>32586842.712580636</v>
      </c>
      <c r="AB12" s="117">
        <f t="shared" si="9"/>
        <v>32586842.712580636</v>
      </c>
      <c r="AD12" s="115">
        <v>2016</v>
      </c>
      <c r="AE12" s="117">
        <f>SUMIF('Monthly Data'!C:C,AD12,'Monthly Data'!U:U)</f>
        <v>4268687.7145161303</v>
      </c>
      <c r="AF12" s="117">
        <f t="shared" si="10"/>
        <v>4268687.7145161303</v>
      </c>
      <c r="AH12" s="115">
        <v>2016</v>
      </c>
      <c r="AI12" s="117">
        <f>SUMIF('Monthly Data'!C:C,AH12,'Monthly Data'!X:X)</f>
        <v>335758.11000000004</v>
      </c>
      <c r="AJ12" s="117">
        <f t="shared" si="0"/>
        <v>335758.11000000004</v>
      </c>
      <c r="AL12" s="115">
        <v>2016</v>
      </c>
      <c r="AM12" s="117">
        <f>SUMIF('Monthly Data'!C:C,AL12,'Monthly Data'!AA:AA)</f>
        <v>1554368</v>
      </c>
      <c r="AN12" s="117">
        <f t="shared" si="1"/>
        <v>1554368</v>
      </c>
    </row>
    <row r="13" spans="1:40" s="119" customFormat="1">
      <c r="B13" s="119">
        <v>2017</v>
      </c>
      <c r="D13" s="115"/>
      <c r="E13" s="115"/>
      <c r="F13" s="126">
        <f ca="1">SUMIF('Res Normalized Monthly'!$B$2:$B$157,B13,'Res Normalized Monthly'!R$2:R$157)</f>
        <v>250071699.73211434</v>
      </c>
      <c r="G13" s="126">
        <f>SUM('Historic CDM'!K56:K62)+'Historic CDM'!K63/2</f>
        <v>7638184.5783638293</v>
      </c>
      <c r="H13" s="126">
        <f t="shared" ca="1" si="3"/>
        <v>242433515.15375051</v>
      </c>
      <c r="J13" s="119">
        <v>2017</v>
      </c>
      <c r="M13" s="120"/>
      <c r="N13" s="126">
        <f ca="1">SUMIF('GS &lt; 50 Normalized Monthly'!$B$2:$B$145,B13,'GS &lt; 50 Normalized Monthly'!T$2:T$145)</f>
        <v>70382996.313768625</v>
      </c>
      <c r="O13" s="126">
        <f>SUM('Historic CDM'!K68:K74)+'Historic CDM'!K75/2</f>
        <v>4590206.380910743</v>
      </c>
      <c r="P13" s="126">
        <f t="shared" ca="1" si="5"/>
        <v>65792789.932857886</v>
      </c>
      <c r="R13" s="119">
        <v>2017</v>
      </c>
      <c r="U13" s="120"/>
      <c r="V13" s="126">
        <f ca="1">SUMIF('GS &gt; 50 Normalized Monthly'!$B$2:$B$157,B13,'GS &gt; 50 Normalized Monthly'!Z$2:Z$157)</f>
        <v>190541669.30256742</v>
      </c>
      <c r="W13" s="126">
        <f>SUM('Historic CDM'!K80:K86)+'Historic CDM'!K87/2</f>
        <v>16685262.309504075</v>
      </c>
      <c r="X13" s="126">
        <f t="shared" ca="1" si="8"/>
        <v>173856406.99306336</v>
      </c>
      <c r="Z13" s="119">
        <v>2017</v>
      </c>
      <c r="AB13" s="120">
        <f>TREND(AB5:AB12,Z5:Z12,Z13)</f>
        <v>31681583.38839817</v>
      </c>
      <c r="AD13" s="119">
        <v>2017</v>
      </c>
      <c r="AE13" s="120"/>
      <c r="AF13" s="120">
        <f>'kW Forecast'!M17</f>
        <v>2799881.59816253</v>
      </c>
      <c r="AH13" s="119">
        <v>2017</v>
      </c>
      <c r="AI13" s="120"/>
      <c r="AJ13" s="120">
        <f>AJ12</f>
        <v>335758.11000000004</v>
      </c>
      <c r="AL13" s="119">
        <v>2017</v>
      </c>
      <c r="AM13" s="120"/>
      <c r="AN13" s="120">
        <f>AN12</f>
        <v>1554368</v>
      </c>
    </row>
    <row r="14" spans="1:40" s="119" customFormat="1">
      <c r="B14" s="119">
        <v>2018</v>
      </c>
      <c r="D14" s="115"/>
      <c r="E14" s="115"/>
      <c r="F14" s="126">
        <f ca="1">SUMIF('Res Normalized Monthly'!$B$2:$B$157,B14,'Res Normalized Monthly'!R$2:R$157)</f>
        <v>249041302.04800478</v>
      </c>
      <c r="G14" s="126">
        <f>SUM('Historic CDM'!L56:L62)+'Historic CDM'!L63/2</f>
        <v>6970674.7861374281</v>
      </c>
      <c r="H14" s="126">
        <f t="shared" ca="1" si="3"/>
        <v>242070627.26186734</v>
      </c>
      <c r="J14" s="119">
        <v>2018</v>
      </c>
      <c r="N14" s="126">
        <f ca="1">SUMIF('GS &lt; 50 Normalized Monthly'!$B$2:$B$145,B14,'GS &lt; 50 Normalized Monthly'!T$2:T$145)</f>
        <v>70771435.716116011</v>
      </c>
      <c r="O14" s="126">
        <f>SUM('Historic CDM'!L68:L74)+'Historic CDM'!L75/2</f>
        <v>4389250.2658726312</v>
      </c>
      <c r="P14" s="126">
        <f t="shared" ca="1" si="5"/>
        <v>66382185.450243384</v>
      </c>
      <c r="R14" s="119">
        <v>2018</v>
      </c>
      <c r="V14" s="126">
        <f ca="1">SUMIF('GS &gt; 50 Normalized Monthly'!$B$2:$B$157,B14,'GS &gt; 50 Normalized Monthly'!Z$2:Z$157)</f>
        <v>195036527.31584156</v>
      </c>
      <c r="W14" s="126">
        <f>SUM('Historic CDM'!L80:L86)+'Historic CDM'!L87/2</f>
        <v>16295228.815192111</v>
      </c>
      <c r="X14" s="126">
        <f t="shared" ca="1" si="8"/>
        <v>178741298.50064945</v>
      </c>
      <c r="Z14" s="119">
        <v>2018</v>
      </c>
      <c r="AB14" s="120">
        <f>TREND(AB5:AB12,Z5:Z12,Z14)</f>
        <v>29865554.020049572</v>
      </c>
      <c r="AD14" s="119">
        <v>2018</v>
      </c>
      <c r="AF14" s="120">
        <f>'kW Forecast'!M18</f>
        <v>2799881.59816253</v>
      </c>
      <c r="AH14" s="119">
        <v>2018</v>
      </c>
      <c r="AJ14" s="120">
        <f>AJ13</f>
        <v>335758.11000000004</v>
      </c>
      <c r="AL14" s="119">
        <v>2018</v>
      </c>
      <c r="AN14" s="120">
        <f>AN13</f>
        <v>1554368</v>
      </c>
    </row>
  </sheetData>
  <pageMargins left="0.7" right="0.7" top="0.75" bottom="0.75" header="0.3" footer="0.3"/>
  <pageSetup paperSize="9" orientation="portrait" horizontalDpi="1200" verticalDpi="1200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B2:T18"/>
  <sheetViews>
    <sheetView workbookViewId="0">
      <selection activeCell="M16" sqref="M16"/>
    </sheetView>
  </sheetViews>
  <sheetFormatPr defaultColWidth="9.28515625" defaultRowHeight="12.75"/>
  <cols>
    <col min="1" max="2" width="9.28515625" style="29"/>
    <col min="3" max="3" width="13" style="29" customWidth="1"/>
    <col min="4" max="4" width="9.28515625" style="29"/>
    <col min="5" max="5" width="13.140625" style="29" customWidth="1"/>
    <col min="6" max="7" width="9.28515625" style="29"/>
    <col min="8" max="8" width="14.42578125" style="29" bestFit="1" customWidth="1"/>
    <col min="9" max="9" width="12.28515625" style="29" bestFit="1" customWidth="1"/>
    <col min="10" max="12" width="9.28515625" style="29"/>
    <col min="13" max="13" width="14.42578125" style="29" bestFit="1" customWidth="1"/>
    <col min="14" max="16384" width="9.28515625" style="29"/>
  </cols>
  <sheetData>
    <row r="2" spans="2:20" s="40" customFormat="1" ht="12.75" customHeight="1">
      <c r="B2" s="162" t="s">
        <v>4</v>
      </c>
      <c r="C2" s="162"/>
      <c r="D2" s="162"/>
      <c r="E2" s="162"/>
      <c r="G2" s="162" t="s">
        <v>194</v>
      </c>
      <c r="H2" s="162"/>
      <c r="I2" s="162"/>
      <c r="J2" s="162"/>
      <c r="L2" s="162" t="s">
        <v>97</v>
      </c>
      <c r="M2" s="162"/>
      <c r="N2" s="162"/>
      <c r="O2" s="162"/>
      <c r="Q2" s="162" t="s">
        <v>101</v>
      </c>
      <c r="R2" s="162"/>
      <c r="S2" s="162"/>
      <c r="T2" s="162"/>
    </row>
    <row r="3" spans="2:20" s="41" customFormat="1" ht="25.5">
      <c r="B3" s="41" t="s">
        <v>83</v>
      </c>
      <c r="C3" s="41" t="s">
        <v>105</v>
      </c>
      <c r="D3" s="41" t="s">
        <v>106</v>
      </c>
      <c r="E3" s="39" t="s">
        <v>107</v>
      </c>
      <c r="G3" s="41" t="s">
        <v>83</v>
      </c>
      <c r="H3" s="41" t="s">
        <v>105</v>
      </c>
      <c r="I3" s="41" t="s">
        <v>106</v>
      </c>
      <c r="J3" s="39" t="s">
        <v>107</v>
      </c>
      <c r="L3" s="41" t="s">
        <v>83</v>
      </c>
      <c r="M3" s="41" t="s">
        <v>105</v>
      </c>
      <c r="N3" s="41" t="s">
        <v>106</v>
      </c>
      <c r="O3" s="39" t="s">
        <v>107</v>
      </c>
      <c r="Q3" s="41" t="s">
        <v>83</v>
      </c>
      <c r="R3" s="41" t="s">
        <v>105</v>
      </c>
      <c r="S3" s="41" t="s">
        <v>106</v>
      </c>
      <c r="T3" s="39" t="s">
        <v>107</v>
      </c>
    </row>
    <row r="4" spans="2:20" s="42" customFormat="1">
      <c r="C4" s="42" t="s">
        <v>108</v>
      </c>
      <c r="D4" s="42" t="s">
        <v>109</v>
      </c>
      <c r="E4" s="42" t="s">
        <v>110</v>
      </c>
      <c r="H4" s="42" t="s">
        <v>108</v>
      </c>
      <c r="I4" s="42" t="s">
        <v>109</v>
      </c>
      <c r="J4" s="42" t="s">
        <v>110</v>
      </c>
      <c r="M4" s="42" t="s">
        <v>108</v>
      </c>
      <c r="N4" s="42" t="s">
        <v>109</v>
      </c>
      <c r="O4" s="42" t="s">
        <v>110</v>
      </c>
      <c r="R4" s="42" t="s">
        <v>108</v>
      </c>
      <c r="S4" s="42" t="s">
        <v>109</v>
      </c>
      <c r="T4" s="42" t="s">
        <v>110</v>
      </c>
    </row>
    <row r="5" spans="2:20">
      <c r="B5" s="29">
        <v>2009</v>
      </c>
      <c r="C5" s="31">
        <f ca="1">'Normalized Annual Summary'!S5</f>
        <v>164879031.73586524</v>
      </c>
      <c r="D5" s="29">
        <f t="shared" ref="D5:D11" ca="1" si="0">E5/C5</f>
        <v>2.6371016703721929E-3</v>
      </c>
      <c r="E5" s="43">
        <f>SUMIF('Monthly Data'!$C:$C,B5,'Monthly Data'!P:P)</f>
        <v>434802.77</v>
      </c>
      <c r="G5" s="29">
        <v>2009</v>
      </c>
      <c r="H5" s="31">
        <f>'Normalized Annual Summary'!AA5</f>
        <v>44707889.906451605</v>
      </c>
      <c r="I5" s="29">
        <f t="shared" ref="I5:I11" si="1">J5/H5</f>
        <v>2.5674533117125667E-3</v>
      </c>
      <c r="J5" s="43">
        <f>SUMIF('Monthly Data'!$C:$C,G5,'Monthly Data'!AF:AF)</f>
        <v>114785.42000000001</v>
      </c>
      <c r="L5" s="29">
        <v>2009</v>
      </c>
      <c r="M5" s="31">
        <f>'Normalized Annual Summary'!AE5</f>
        <v>5814687.6945161298</v>
      </c>
      <c r="N5" s="29">
        <f t="shared" ref="N5:N11" si="2">O5/M5</f>
        <v>3.0285788205974213E-3</v>
      </c>
      <c r="O5" s="43">
        <f>SUMIF('Monthly Data'!$C:$C,L5,'Monthly Data'!V:V)</f>
        <v>17610.239999999998</v>
      </c>
      <c r="Q5" s="29">
        <v>2009</v>
      </c>
      <c r="R5" s="31">
        <f>'Normalized Annual Summary'!AI5</f>
        <v>398170.55999999994</v>
      </c>
      <c r="S5" s="29">
        <f t="shared" ref="S5:S11" si="3">T5/R5</f>
        <v>5.2389609116254105E-3</v>
      </c>
      <c r="T5" s="43">
        <f>SUMIF('Monthly Data'!$C:$C,Q5,'Monthly Data'!Z:Z)</f>
        <v>2086</v>
      </c>
    </row>
    <row r="6" spans="2:20">
      <c r="B6" s="29">
        <v>2010</v>
      </c>
      <c r="C6" s="31">
        <f ca="1">'Normalized Annual Summary'!S6</f>
        <v>167052602.51730582</v>
      </c>
      <c r="D6" s="29">
        <f t="shared" ca="1" si="0"/>
        <v>2.534533815216304E-3</v>
      </c>
      <c r="E6" s="43">
        <f>SUMIF('Monthly Data'!$C:$C,B6,'Monthly Data'!P:P)</f>
        <v>423400.46999999986</v>
      </c>
      <c r="G6" s="29">
        <v>2010</v>
      </c>
      <c r="H6" s="31">
        <f>'Normalized Annual Summary'!AA6</f>
        <v>49638852.089677416</v>
      </c>
      <c r="I6" s="29">
        <f t="shared" si="1"/>
        <v>2.7953067840755892E-3</v>
      </c>
      <c r="J6" s="43">
        <f>SUMIF('Monthly Data'!$C:$C,G6,'Monthly Data'!AF:AF)</f>
        <v>138755.82</v>
      </c>
      <c r="L6" s="29">
        <v>2010</v>
      </c>
      <c r="M6" s="31">
        <f>'Normalized Annual Summary'!AE6</f>
        <v>5780507.0722580636</v>
      </c>
      <c r="N6" s="29">
        <f t="shared" si="2"/>
        <v>3.0349067617604321E-3</v>
      </c>
      <c r="O6" s="43">
        <f>SUMIF('Monthly Data'!$C:$C,L6,'Monthly Data'!V:V)</f>
        <v>17543.299999999996</v>
      </c>
      <c r="Q6" s="29">
        <v>2010</v>
      </c>
      <c r="R6" s="31">
        <f>'Normalized Annual Summary'!AI6</f>
        <v>393141.48000000004</v>
      </c>
      <c r="S6" s="29">
        <f t="shared" si="3"/>
        <v>5.3136087293561588E-3</v>
      </c>
      <c r="T6" s="43">
        <f>SUMIF('Monthly Data'!$C:$C,Q6,'Monthly Data'!Z:Z)</f>
        <v>2089</v>
      </c>
    </row>
    <row r="7" spans="2:20">
      <c r="B7" s="29">
        <v>2011</v>
      </c>
      <c r="C7" s="31">
        <f ca="1">'Normalized Annual Summary'!S7</f>
        <v>165850871.69855252</v>
      </c>
      <c r="D7" s="29">
        <f t="shared" ca="1" si="0"/>
        <v>2.4783924002950383E-3</v>
      </c>
      <c r="E7" s="43">
        <f>SUMIF('Monthly Data'!$C:$C,B7,'Monthly Data'!P:P)</f>
        <v>411043.54</v>
      </c>
      <c r="G7" s="29">
        <v>2011</v>
      </c>
      <c r="H7" s="31">
        <f>'Normalized Annual Summary'!AA7</f>
        <v>42820520.820967749</v>
      </c>
      <c r="I7" s="29">
        <f t="shared" si="1"/>
        <v>2.9357592478988187E-3</v>
      </c>
      <c r="J7" s="43">
        <f>SUMIF('Monthly Data'!$C:$C,G7,'Monthly Data'!AF:AF)</f>
        <v>125710.73999999999</v>
      </c>
      <c r="L7" s="29">
        <v>2011</v>
      </c>
      <c r="M7" s="31">
        <f>'Normalized Annual Summary'!AE7</f>
        <v>5969304.1625806447</v>
      </c>
      <c r="N7" s="29">
        <f t="shared" si="2"/>
        <v>3.0288052857711518E-3</v>
      </c>
      <c r="O7" s="43">
        <f>SUMIF('Monthly Data'!$C:$C,L7,'Monthly Data'!V:V)</f>
        <v>18079.859999999997</v>
      </c>
      <c r="Q7" s="29">
        <v>2011</v>
      </c>
      <c r="R7" s="31">
        <f>'Normalized Annual Summary'!AI7</f>
        <v>382813.79999999993</v>
      </c>
      <c r="S7" s="29">
        <f t="shared" si="3"/>
        <v>5.4438998803073464E-3</v>
      </c>
      <c r="T7" s="43">
        <f>SUMIF('Monthly Data'!$C:$C,Q7,'Monthly Data'!Z:Z)</f>
        <v>2084</v>
      </c>
    </row>
    <row r="8" spans="2:20">
      <c r="B8" s="29">
        <v>2012</v>
      </c>
      <c r="C8" s="31">
        <f ca="1">'Normalized Annual Summary'!S8</f>
        <v>160883811.68478131</v>
      </c>
      <c r="D8" s="29">
        <f t="shared" ca="1" si="0"/>
        <v>2.5879352039207375E-3</v>
      </c>
      <c r="E8" s="43">
        <f>SUMIF('Monthly Data'!$C:$C,B8,'Monthly Data'!P:P)</f>
        <v>416356.88000000006</v>
      </c>
      <c r="G8" s="29">
        <v>2012</v>
      </c>
      <c r="H8" s="31">
        <f>'Normalized Annual Summary'!AA8</f>
        <v>35429534.452903233</v>
      </c>
      <c r="I8" s="29">
        <f t="shared" si="1"/>
        <v>3.0851190027715194E-3</v>
      </c>
      <c r="J8" s="43">
        <f>SUMIF('Monthly Data'!$C:$C,G8,'Monthly Data'!AF:AF)</f>
        <v>109304.33000000002</v>
      </c>
      <c r="L8" s="29">
        <v>2012</v>
      </c>
      <c r="M8" s="31">
        <f>'Normalized Annual Summary'!AE8</f>
        <v>6205705.2712903218</v>
      </c>
      <c r="N8" s="29">
        <f t="shared" si="2"/>
        <v>3.0201337608969387E-3</v>
      </c>
      <c r="O8" s="43">
        <f>SUMIF('Monthly Data'!$C:$C,L8,'Monthly Data'!V:V)</f>
        <v>18742.059999999998</v>
      </c>
      <c r="Q8" s="29">
        <v>2012</v>
      </c>
      <c r="R8" s="31">
        <f>'Normalized Annual Summary'!AI8</f>
        <v>383993.93000000005</v>
      </c>
      <c r="S8" s="29">
        <f t="shared" si="3"/>
        <v>5.4688364474928019E-3</v>
      </c>
      <c r="T8" s="43">
        <f>SUMIF('Monthly Data'!$C:$C,Q8,'Monthly Data'!Z:Z)</f>
        <v>2100</v>
      </c>
    </row>
    <row r="9" spans="2:20">
      <c r="B9" s="29">
        <v>2013</v>
      </c>
      <c r="C9" s="31">
        <f ca="1">'Normalized Annual Summary'!S9</f>
        <v>164887609.10912561</v>
      </c>
      <c r="D9" s="29">
        <f t="shared" ca="1" si="0"/>
        <v>2.4211439668325296E-3</v>
      </c>
      <c r="E9" s="43">
        <f>SUMIF('Monthly Data'!$C:$C,B9,'Monthly Data'!P:P)</f>
        <v>399216.63999999996</v>
      </c>
      <c r="G9" s="29">
        <v>2013</v>
      </c>
      <c r="H9" s="31">
        <f>'Normalized Annual Summary'!AA9</f>
        <v>36931636.277741931</v>
      </c>
      <c r="I9" s="29">
        <f t="shared" si="1"/>
        <v>2.601511865801208E-3</v>
      </c>
      <c r="J9" s="43">
        <f>SUMIF('Monthly Data'!$C:$C,G9,'Monthly Data'!AF:AF)</f>
        <v>96078.09</v>
      </c>
      <c r="L9" s="29">
        <v>2013</v>
      </c>
      <c r="M9" s="31">
        <f>'Normalized Annual Summary'!AE9</f>
        <v>6271491.3612118578</v>
      </c>
      <c r="N9" s="29">
        <f t="shared" si="2"/>
        <v>3.0336388753828499E-3</v>
      </c>
      <c r="O9" s="43">
        <f>SUMIF('Monthly Data'!$C:$C,L9,'Monthly Data'!V:V)</f>
        <v>19025.439999999999</v>
      </c>
      <c r="Q9" s="29">
        <v>2013</v>
      </c>
      <c r="R9" s="31">
        <f>'Normalized Annual Summary'!AI9</f>
        <v>342834.13</v>
      </c>
      <c r="S9" s="29">
        <f t="shared" si="3"/>
        <v>6.1254111427004069E-3</v>
      </c>
      <c r="T9" s="43">
        <f>SUMIF('Monthly Data'!$C:$C,Q9,'Monthly Data'!Z:Z)</f>
        <v>2100</v>
      </c>
    </row>
    <row r="10" spans="2:20">
      <c r="B10" s="29">
        <v>2014</v>
      </c>
      <c r="C10" s="31">
        <f ca="1">'Normalized Annual Summary'!S10</f>
        <v>166100613.01807362</v>
      </c>
      <c r="D10" s="29">
        <f t="shared" ca="1" si="0"/>
        <v>2.3757542662233375E-3</v>
      </c>
      <c r="E10" s="43">
        <f>SUMIF('Monthly Data'!$C:$C,B10,'Monthly Data'!P:P)</f>
        <v>394614.24000000005</v>
      </c>
      <c r="G10" s="29">
        <v>2014</v>
      </c>
      <c r="H10" s="31">
        <f>'Normalized Annual Summary'!AA10</f>
        <v>38058828.017419361</v>
      </c>
      <c r="I10" s="29">
        <f t="shared" si="1"/>
        <v>2.2190002792872774E-3</v>
      </c>
      <c r="J10" s="43">
        <f>SUMIF('Monthly Data'!$C:$C,G10,'Monthly Data'!AF:AF)</f>
        <v>84452.550000000017</v>
      </c>
      <c r="L10" s="29">
        <v>2014</v>
      </c>
      <c r="M10" s="31">
        <f>'Normalized Annual Summary'!AE10</f>
        <v>6286757.8567741932</v>
      </c>
      <c r="N10" s="29">
        <f t="shared" si="2"/>
        <v>2.5247226569887755E-3</v>
      </c>
      <c r="O10" s="43">
        <f>SUMIF('Monthly Data'!$C:$C,L10,'Monthly Data'!V:V)</f>
        <v>15872.32</v>
      </c>
      <c r="Q10" s="29">
        <v>2014</v>
      </c>
      <c r="R10" s="31">
        <f>'Normalized Annual Summary'!AI10</f>
        <v>350517.73</v>
      </c>
      <c r="S10" s="29">
        <f t="shared" si="3"/>
        <v>5.8998442104483562E-3</v>
      </c>
      <c r="T10" s="43">
        <f>SUMIF('Monthly Data'!$C:$C,Q10,'Monthly Data'!Z:Z)</f>
        <v>2068</v>
      </c>
    </row>
    <row r="11" spans="2:20">
      <c r="B11" s="29">
        <v>2015</v>
      </c>
      <c r="C11" s="31">
        <f ca="1">'Normalized Annual Summary'!S11</f>
        <v>171874065.5064584</v>
      </c>
      <c r="D11" s="29">
        <f t="shared" ca="1" si="0"/>
        <v>2.6714529539230963E-3</v>
      </c>
      <c r="E11" s="43">
        <f>SUMIF('Monthly Data'!$C:$C,B11,'Monthly Data'!P:P)</f>
        <v>459153.48000000004</v>
      </c>
      <c r="G11" s="29">
        <v>2015</v>
      </c>
      <c r="H11" s="31">
        <f>'Normalized Annual Summary'!AA11</f>
        <v>38655620.090000004</v>
      </c>
      <c r="I11" s="29">
        <f t="shared" si="1"/>
        <v>2.7628018836936986E-3</v>
      </c>
      <c r="J11" s="43">
        <f>SUMIF('Monthly Data'!$C:$C,G11,'Monthly Data'!AF:AF)</f>
        <v>106797.81999999999</v>
      </c>
      <c r="L11" s="29">
        <v>2015</v>
      </c>
      <c r="M11" s="31">
        <f>'Normalized Annual Summary'!AE11</f>
        <v>6227062.8251612904</v>
      </c>
      <c r="N11" s="29">
        <f t="shared" si="2"/>
        <v>2.8942505489388867E-3</v>
      </c>
      <c r="O11" s="43">
        <f>SUMIF('Monthly Data'!$C:$C,L11,'Monthly Data'!V:V)</f>
        <v>18022.68</v>
      </c>
      <c r="Q11" s="29">
        <v>2015</v>
      </c>
      <c r="R11" s="31">
        <f>'Normalized Annual Summary'!AI11</f>
        <v>341135.62</v>
      </c>
      <c r="S11" s="29">
        <f t="shared" si="3"/>
        <v>6.1207328627834292E-3</v>
      </c>
      <c r="T11" s="43">
        <f>SUMIF('Monthly Data'!$C:$C,Q11,'Monthly Data'!Z:Z)</f>
        <v>2088</v>
      </c>
    </row>
    <row r="12" spans="2:20">
      <c r="B12" s="29">
        <v>2016</v>
      </c>
      <c r="C12" s="31">
        <f ca="1">'Normalized Annual Summary'!S12</f>
        <v>187031605.70527154</v>
      </c>
      <c r="D12" s="29">
        <f ca="1">E12/C12</f>
        <v>2.5456698519194746E-3</v>
      </c>
      <c r="E12" s="43">
        <f>SUMIF('Monthly Data'!$C:$C,B12,'Monthly Data'!P:P)</f>
        <v>476120.7200000002</v>
      </c>
      <c r="G12" s="29">
        <v>2016</v>
      </c>
      <c r="H12" s="31">
        <f>'Normalized Annual Summary'!AA12</f>
        <v>32586842.712580636</v>
      </c>
      <c r="I12" s="29">
        <f>J12/H12</f>
        <v>2.6952107872080691E-3</v>
      </c>
      <c r="J12" s="43">
        <f>SUMIF('Monthly Data'!$C:$C,G12,'Monthly Data'!AF:AF)</f>
        <v>87828.409999999989</v>
      </c>
      <c r="L12" s="29">
        <v>2016</v>
      </c>
      <c r="M12" s="31">
        <f>'Normalized Annual Summary'!AE12</f>
        <v>4268687.7145161303</v>
      </c>
      <c r="N12" s="29">
        <f>O12/M12</f>
        <v>3.1602264916512262E-3</v>
      </c>
      <c r="O12" s="43">
        <f>SUMIF('Monthly Data'!$C:$C,L12,'Monthly Data'!V:V)</f>
        <v>13490.02</v>
      </c>
      <c r="Q12" s="29">
        <v>2016</v>
      </c>
      <c r="R12" s="31">
        <f>'Normalized Annual Summary'!AI12</f>
        <v>335758.11000000004</v>
      </c>
      <c r="S12" s="29">
        <f>T12/R12</f>
        <v>6.1949359912706198E-3</v>
      </c>
      <c r="T12" s="43">
        <f>SUMIF('Monthly Data'!$C:$C,Q12,'Monthly Data'!Z:Z)</f>
        <v>2080</v>
      </c>
    </row>
    <row r="13" spans="2:20">
      <c r="C13" s="31"/>
      <c r="E13" s="43"/>
      <c r="H13" s="31"/>
      <c r="J13" s="43"/>
      <c r="M13" s="31"/>
      <c r="O13" s="43"/>
      <c r="R13" s="31"/>
      <c r="T13" s="43"/>
    </row>
    <row r="14" spans="2:20">
      <c r="C14" s="29" t="s">
        <v>111</v>
      </c>
      <c r="E14" s="43"/>
      <c r="H14" s="29" t="s">
        <v>111</v>
      </c>
      <c r="J14" s="43"/>
      <c r="M14" s="29" t="s">
        <v>111</v>
      </c>
      <c r="O14" s="43"/>
      <c r="R14" s="29" t="s">
        <v>111</v>
      </c>
      <c r="T14" s="43"/>
    </row>
    <row r="15" spans="2:20" s="42" customFormat="1">
      <c r="C15" s="42" t="s">
        <v>112</v>
      </c>
      <c r="D15" s="42" t="s">
        <v>113</v>
      </c>
      <c r="E15" s="44" t="s">
        <v>114</v>
      </c>
      <c r="H15" s="42" t="s">
        <v>112</v>
      </c>
      <c r="I15" s="42" t="s">
        <v>113</v>
      </c>
      <c r="J15" s="44" t="s">
        <v>114</v>
      </c>
      <c r="M15" s="42" t="s">
        <v>172</v>
      </c>
      <c r="N15" s="42" t="s">
        <v>113</v>
      </c>
      <c r="O15" s="44" t="s">
        <v>116</v>
      </c>
      <c r="R15" s="42" t="s">
        <v>112</v>
      </c>
      <c r="S15" s="42" t="s">
        <v>113</v>
      </c>
      <c r="T15" s="44" t="s">
        <v>114</v>
      </c>
    </row>
    <row r="16" spans="2:20" s="36" customFormat="1">
      <c r="B16" s="36">
        <v>2016</v>
      </c>
      <c r="C16" s="126">
        <f ca="1">'Normalized Annual Summary'!X12</f>
        <v>176288333.64228591</v>
      </c>
      <c r="D16" s="36">
        <f ca="1">AVERAGE(D5:D12)</f>
        <v>2.5314980160878386E-3</v>
      </c>
      <c r="E16" s="127">
        <f ca="1">C16*D16</f>
        <v>446273.56687487778</v>
      </c>
      <c r="G16" s="36">
        <v>2016</v>
      </c>
      <c r="H16" s="37">
        <f>'Normalized Annual Summary'!AB12</f>
        <v>32586842.712580636</v>
      </c>
      <c r="I16" s="36">
        <f>AVERAGE(I5:I12)</f>
        <v>2.7077703953060938E-3</v>
      </c>
      <c r="J16" s="45">
        <f>H16*I16</f>
        <v>88237.687973621971</v>
      </c>
      <c r="L16" s="36">
        <v>2016</v>
      </c>
      <c r="M16" s="37">
        <f>O16/N16</f>
        <v>4268687.7145161303</v>
      </c>
      <c r="N16" s="36">
        <f>N12</f>
        <v>3.1602264916512262E-3</v>
      </c>
      <c r="O16" s="45">
        <f>O12</f>
        <v>13490.02</v>
      </c>
      <c r="Q16" s="36">
        <v>2016</v>
      </c>
      <c r="R16" s="37">
        <f>'Normalized Annual Summary'!AJ12</f>
        <v>335758.11000000004</v>
      </c>
      <c r="S16" s="36">
        <f>S12</f>
        <v>6.1949359912706198E-3</v>
      </c>
      <c r="T16" s="45">
        <f>R16*S16</f>
        <v>2080</v>
      </c>
    </row>
    <row r="17" spans="2:20">
      <c r="B17" s="36">
        <v>2017</v>
      </c>
      <c r="C17" s="126">
        <f ca="1">'Normalized Annual Summary'!X13</f>
        <v>173856406.99306336</v>
      </c>
      <c r="D17" s="36">
        <f ca="1">D16</f>
        <v>2.5314980160878386E-3</v>
      </c>
      <c r="E17" s="127">
        <f ca="1">C17*D17</f>
        <v>440117.14938709972</v>
      </c>
      <c r="F17" s="36"/>
      <c r="G17" s="36">
        <v>2017</v>
      </c>
      <c r="H17" s="37">
        <f>'Normalized Annual Summary'!AB13</f>
        <v>31681583.38839817</v>
      </c>
      <c r="I17" s="36">
        <f>I16</f>
        <v>2.7077703953060938E-3</v>
      </c>
      <c r="J17" s="45">
        <f>H17*I17</f>
        <v>85786.453575525884</v>
      </c>
      <c r="K17" s="36"/>
      <c r="L17" s="36">
        <v>2017</v>
      </c>
      <c r="M17" s="37">
        <f>O17/N17</f>
        <v>2799881.59816253</v>
      </c>
      <c r="N17" s="36">
        <f>N16</f>
        <v>3.1602264916512262E-3</v>
      </c>
      <c r="O17" s="45">
        <f>AVERAGE('Monthly Data'!V95:V96)*12</f>
        <v>8848.26</v>
      </c>
      <c r="P17" s="36"/>
      <c r="Q17" s="36">
        <v>2017</v>
      </c>
      <c r="R17" s="37">
        <f>'Normalized Annual Summary'!AJ13</f>
        <v>335758.11000000004</v>
      </c>
      <c r="S17" s="36">
        <f>S16</f>
        <v>6.1949359912706198E-3</v>
      </c>
      <c r="T17" s="45">
        <f>R17*S17</f>
        <v>2080</v>
      </c>
    </row>
    <row r="18" spans="2:20">
      <c r="B18" s="36">
        <v>2018</v>
      </c>
      <c r="C18" s="126">
        <f ca="1">'Normalized Annual Summary'!X14</f>
        <v>178741298.50064945</v>
      </c>
      <c r="D18" s="36">
        <f ca="1">D17</f>
        <v>2.5314980160878386E-3</v>
      </c>
      <c r="E18" s="127">
        <f ca="1">C18*D18</f>
        <v>452483.24254735827</v>
      </c>
      <c r="F18" s="36"/>
      <c r="G18" s="36">
        <v>2018</v>
      </c>
      <c r="H18" s="37">
        <f>'Normalized Annual Summary'!AB14</f>
        <v>29865554.020049572</v>
      </c>
      <c r="I18" s="36">
        <f>I17</f>
        <v>2.7077703953060938E-3</v>
      </c>
      <c r="J18" s="45">
        <f>H18*I18</f>
        <v>80869.063014905129</v>
      </c>
      <c r="K18" s="36"/>
      <c r="L18" s="36">
        <v>2018</v>
      </c>
      <c r="M18" s="37">
        <f>O18/N18</f>
        <v>2799881.59816253</v>
      </c>
      <c r="N18" s="36">
        <f>N17</f>
        <v>3.1602264916512262E-3</v>
      </c>
      <c r="O18" s="45">
        <f>O17</f>
        <v>8848.26</v>
      </c>
      <c r="P18" s="36"/>
      <c r="Q18" s="36">
        <v>2018</v>
      </c>
      <c r="R18" s="37">
        <f>'Normalized Annual Summary'!AJ14</f>
        <v>335758.11000000004</v>
      </c>
      <c r="S18" s="36">
        <f>S17</f>
        <v>6.1949359912706198E-3</v>
      </c>
      <c r="T18" s="45">
        <f>R18*S18</f>
        <v>2080</v>
      </c>
    </row>
  </sheetData>
  <mergeCells count="4">
    <mergeCell ref="B2:E2"/>
    <mergeCell ref="L2:O2"/>
    <mergeCell ref="Q2:T2"/>
    <mergeCell ref="G2:J2"/>
  </mergeCells>
  <pageMargins left="0.7" right="0.7" top="0.75" bottom="0.75" header="0.3" footer="0.3"/>
  <pageSetup paperSize="9"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O23"/>
  <sheetViews>
    <sheetView tabSelected="1" workbookViewId="0">
      <selection activeCell="G16" sqref="G16"/>
    </sheetView>
  </sheetViews>
  <sheetFormatPr defaultColWidth="8.85546875" defaultRowHeight="15"/>
  <cols>
    <col min="1" max="1" width="9.7109375" style="46" customWidth="1"/>
    <col min="2" max="2" width="24.5703125" style="46" bestFit="1" customWidth="1"/>
    <col min="3" max="3" width="13.42578125" style="46" bestFit="1" customWidth="1"/>
    <col min="4" max="4" width="15.7109375" style="46" bestFit="1" customWidth="1"/>
    <col min="5" max="5" width="14.85546875" style="46" bestFit="1" customWidth="1"/>
    <col min="6" max="6" width="14.85546875" style="46" customWidth="1"/>
    <col min="7" max="7" width="6.7109375" style="46" bestFit="1" customWidth="1"/>
    <col min="8" max="8" width="11.42578125" style="46" bestFit="1" customWidth="1"/>
    <col min="9" max="9" width="13.28515625" style="46" bestFit="1" customWidth="1"/>
    <col min="10" max="10" width="11.42578125" style="46" bestFit="1" customWidth="1"/>
    <col min="11" max="11" width="7.85546875" style="46" bestFit="1" customWidth="1"/>
    <col min="12" max="12" width="13.28515625" style="46" bestFit="1" customWidth="1"/>
    <col min="13" max="13" width="11.42578125" style="46" bestFit="1" customWidth="1"/>
    <col min="14" max="16384" width="8.85546875" style="46"/>
  </cols>
  <sheetData>
    <row r="1" spans="1:15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</row>
    <row r="2" spans="1:15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</row>
    <row r="3" spans="1:15">
      <c r="A3" s="17"/>
      <c r="B3" s="17"/>
      <c r="C3" s="17" t="s">
        <v>2</v>
      </c>
      <c r="D3" s="17"/>
      <c r="E3" s="17"/>
      <c r="F3" s="63"/>
      <c r="G3" s="163" t="s">
        <v>123</v>
      </c>
      <c r="H3" s="164"/>
      <c r="I3" s="163" t="s">
        <v>173</v>
      </c>
      <c r="J3" s="164"/>
      <c r="K3" s="17"/>
      <c r="L3" s="17"/>
      <c r="M3" s="17"/>
      <c r="N3" s="17"/>
      <c r="O3" s="17"/>
    </row>
    <row r="4" spans="1:15">
      <c r="A4" s="17"/>
      <c r="B4" t="s">
        <v>130</v>
      </c>
      <c r="C4">
        <f>'Historic CDM'!C7</f>
        <v>31430000</v>
      </c>
      <c r="D4" s="17"/>
      <c r="E4" s="17"/>
      <c r="F4" s="64" t="s">
        <v>174</v>
      </c>
      <c r="G4" s="65" t="s">
        <v>175</v>
      </c>
      <c r="H4" s="66" t="s">
        <v>176</v>
      </c>
      <c r="I4" s="66" t="s">
        <v>175</v>
      </c>
      <c r="J4" s="67" t="s">
        <v>176</v>
      </c>
      <c r="K4" s="17"/>
      <c r="L4" s="17"/>
      <c r="M4" s="17"/>
      <c r="N4" s="17"/>
      <c r="O4" s="17"/>
    </row>
    <row r="5" spans="1:15">
      <c r="A5" s="17"/>
      <c r="B5" t="s">
        <v>131</v>
      </c>
      <c r="C5">
        <f>'Historic CDM'!F7</f>
        <v>3819710</v>
      </c>
      <c r="D5" s="17"/>
      <c r="E5" s="68">
        <v>2016</v>
      </c>
      <c r="F5" s="69">
        <v>7078022</v>
      </c>
      <c r="G5" s="68">
        <v>0.5</v>
      </c>
      <c r="H5" s="70">
        <f>F5*G5</f>
        <v>3539011</v>
      </c>
      <c r="I5" s="68">
        <v>1</v>
      </c>
      <c r="J5" s="70">
        <f>I5*F5</f>
        <v>7078022</v>
      </c>
      <c r="K5" s="17"/>
      <c r="L5" s="17"/>
      <c r="M5" s="17"/>
      <c r="N5" s="17"/>
      <c r="O5" s="17"/>
    </row>
    <row r="6" spans="1:15">
      <c r="A6" s="17"/>
      <c r="B6" s="128" t="s">
        <v>200</v>
      </c>
      <c r="C6" s="46">
        <v>1720380</v>
      </c>
      <c r="D6" s="17"/>
      <c r="E6" s="71">
        <v>2017</v>
      </c>
      <c r="F6" s="72">
        <f>C9</f>
        <v>4707723</v>
      </c>
      <c r="G6" s="71">
        <v>1</v>
      </c>
      <c r="H6" s="73">
        <f>F6*G6</f>
        <v>4707723</v>
      </c>
      <c r="I6" s="71">
        <v>1</v>
      </c>
      <c r="J6" s="73">
        <f>I6*F6</f>
        <v>4707723</v>
      </c>
      <c r="K6" s="17"/>
      <c r="L6" s="17"/>
      <c r="M6" s="17"/>
      <c r="N6" s="17"/>
      <c r="O6" s="17"/>
    </row>
    <row r="7" spans="1:15">
      <c r="A7" s="17"/>
      <c r="B7" s="128" t="s">
        <v>201</v>
      </c>
      <c r="C7" s="46">
        <v>7059018</v>
      </c>
      <c r="D7" s="17"/>
      <c r="E7" s="74">
        <v>2018</v>
      </c>
      <c r="F7" s="75">
        <f>F6</f>
        <v>4707723</v>
      </c>
      <c r="G7" s="74">
        <v>0.5</v>
      </c>
      <c r="H7" s="76">
        <f>F7*G7</f>
        <v>2353861.5</v>
      </c>
      <c r="I7" s="74">
        <v>1</v>
      </c>
      <c r="J7" s="76">
        <f>I7*F7</f>
        <v>4707723</v>
      </c>
      <c r="K7" s="17"/>
      <c r="L7" s="17"/>
      <c r="M7" s="17"/>
      <c r="N7" s="17"/>
      <c r="O7" s="17"/>
    </row>
    <row r="8" spans="1:15">
      <c r="A8" s="17"/>
      <c r="B8" t="s">
        <v>202</v>
      </c>
      <c r="C8">
        <f>C4-SUM(C5:C7)</f>
        <v>18830892</v>
      </c>
      <c r="D8" s="17"/>
      <c r="E8" s="74" t="s">
        <v>115</v>
      </c>
      <c r="F8" s="75"/>
      <c r="G8" s="74"/>
      <c r="H8" s="76">
        <f>SUM(H5:H7)</f>
        <v>10600595.5</v>
      </c>
      <c r="I8" s="74"/>
      <c r="J8" s="76">
        <f>SUM(J5:J7)</f>
        <v>16493468</v>
      </c>
      <c r="K8" s="17"/>
      <c r="L8" s="17"/>
      <c r="M8" s="17"/>
      <c r="N8" s="17"/>
      <c r="O8" s="17"/>
    </row>
    <row r="9" spans="1:15">
      <c r="A9" s="17"/>
      <c r="B9" t="s">
        <v>177</v>
      </c>
      <c r="C9">
        <f>C8/4</f>
        <v>4707723</v>
      </c>
      <c r="D9" s="17"/>
      <c r="E9" s="17"/>
      <c r="F9" s="17"/>
      <c r="G9" s="17"/>
      <c r="H9" s="77"/>
      <c r="I9" s="17"/>
      <c r="J9" s="17"/>
      <c r="K9" s="17"/>
      <c r="L9" s="17"/>
      <c r="M9" s="17"/>
      <c r="N9" s="17"/>
      <c r="O9" s="17"/>
    </row>
    <row r="10" spans="1:15" ht="64.5">
      <c r="A10" s="17"/>
      <c r="B10" s="42" t="s">
        <v>207</v>
      </c>
      <c r="C10" s="42" t="s">
        <v>178</v>
      </c>
      <c r="D10" s="42" t="s">
        <v>123</v>
      </c>
      <c r="E10" s="42" t="s">
        <v>173</v>
      </c>
      <c r="F10" s="78"/>
      <c r="G10" s="78"/>
      <c r="H10" s="78"/>
      <c r="I10" s="79" t="s">
        <v>179</v>
      </c>
      <c r="J10" s="79" t="s">
        <v>193</v>
      </c>
      <c r="K10" s="79" t="s">
        <v>180</v>
      </c>
      <c r="L10" s="79" t="s">
        <v>181</v>
      </c>
      <c r="M10" s="79" t="s">
        <v>192</v>
      </c>
      <c r="N10" s="17"/>
      <c r="O10" s="17"/>
    </row>
    <row r="11" spans="1:15">
      <c r="A11" s="17" t="s">
        <v>1</v>
      </c>
      <c r="B11" s="80">
        <f>'Historic CDM'!J63*2</f>
        <v>3369489</v>
      </c>
      <c r="C11" s="81">
        <f>B11*(1-$C$14)/($B$15-$B$14)</f>
        <v>0.67309535388089337</v>
      </c>
      <c r="D11" s="77">
        <f>D$15*C11</f>
        <v>7135211.5794207053</v>
      </c>
      <c r="E11" s="77">
        <f>E$15*C11</f>
        <v>11101676.680183191</v>
      </c>
      <c r="F11" s="17"/>
      <c r="G11" s="17"/>
      <c r="H11" s="17" t="s">
        <v>99</v>
      </c>
      <c r="I11" s="60">
        <f ca="1">'Summary Tables'!J5</f>
        <v>178741298.50064945</v>
      </c>
      <c r="J11" s="60">
        <f>D13</f>
        <v>1585940.6824694921</v>
      </c>
      <c r="K11" s="81">
        <f ca="1">J11/I11</f>
        <v>8.8728273531241564E-3</v>
      </c>
      <c r="L11" s="60">
        <f ca="1">'Summary Tables'!J25</f>
        <v>452483.24254735827</v>
      </c>
      <c r="M11" s="60">
        <f ca="1">K11*L11</f>
        <v>4014.8056913045125</v>
      </c>
      <c r="N11" s="17"/>
      <c r="O11" s="17"/>
    </row>
    <row r="12" spans="1:15">
      <c r="A12" s="17" t="s">
        <v>98</v>
      </c>
      <c r="B12" s="80">
        <f>'Historic CDM'!J75*2</f>
        <v>742364</v>
      </c>
      <c r="C12" s="81">
        <f t="shared" ref="C12:C13" si="0">B12*(1-$C$14)/($B$15-$B$14)</f>
        <v>0.14829600550363439</v>
      </c>
      <c r="D12" s="77">
        <f>D$15*C12</f>
        <v>1572025.968609802</v>
      </c>
      <c r="E12" s="77">
        <f>E$15*C12</f>
        <v>2445915.4213020178</v>
      </c>
      <c r="F12" s="17"/>
      <c r="G12" s="17"/>
      <c r="H12" s="17" t="s">
        <v>97</v>
      </c>
      <c r="I12" s="155">
        <f ca="1">'Summary Tables'!J7</f>
        <v>2799881.59816253</v>
      </c>
      <c r="J12" s="60">
        <f>D14</f>
        <v>307417.26949999999</v>
      </c>
      <c r="K12" s="81">
        <f ca="1">J12/I12</f>
        <v>0.10979652486081834</v>
      </c>
      <c r="L12" s="60">
        <f ca="1">'Summary Tables'!J27</f>
        <v>8848.26</v>
      </c>
      <c r="M12" s="60">
        <f ca="1">K12*L12</f>
        <v>971.50819906498452</v>
      </c>
      <c r="N12" s="17"/>
      <c r="O12" s="17"/>
    </row>
    <row r="13" spans="1:15">
      <c r="A13" s="17" t="s">
        <v>99</v>
      </c>
      <c r="B13" s="80">
        <f>'Historic CDM'!J87*2</f>
        <v>748935</v>
      </c>
      <c r="C13" s="81">
        <f t="shared" si="0"/>
        <v>0.14960864061547222</v>
      </c>
      <c r="D13" s="77">
        <f>D$15*C13</f>
        <v>1585940.6824694921</v>
      </c>
      <c r="E13" s="77">
        <f>E$15*C13</f>
        <v>2467565.3265147912</v>
      </c>
      <c r="F13" s="17"/>
      <c r="G13" s="17"/>
      <c r="H13" s="17" t="s">
        <v>115</v>
      </c>
      <c r="I13" s="60">
        <f ca="1">SUM(I11:I12)</f>
        <v>181541180.09881198</v>
      </c>
      <c r="J13" s="60">
        <f t="shared" ref="J13:M13" si="1">SUM(J11:J12)</f>
        <v>1893357.951969492</v>
      </c>
      <c r="K13" s="60">
        <f t="shared" ca="1" si="1"/>
        <v>0.11866935221394249</v>
      </c>
      <c r="L13" s="60">
        <f t="shared" ca="1" si="1"/>
        <v>461331.50254735828</v>
      </c>
      <c r="M13" s="60">
        <f t="shared" ca="1" si="1"/>
        <v>4986.3138903694971</v>
      </c>
      <c r="N13" s="17"/>
      <c r="O13" s="17"/>
    </row>
    <row r="14" spans="1:15">
      <c r="A14" s="17" t="s">
        <v>97</v>
      </c>
      <c r="B14" s="80">
        <v>2217234</v>
      </c>
      <c r="C14" s="165">
        <v>2.9000000000000001E-2</v>
      </c>
      <c r="D14" s="77">
        <f>D$15*C14</f>
        <v>307417.26949999999</v>
      </c>
      <c r="E14" s="77">
        <f>E$15*C14</f>
        <v>478310.57200000004</v>
      </c>
      <c r="F14" s="17"/>
      <c r="G14" s="17"/>
      <c r="H14" s="17"/>
      <c r="I14" s="17"/>
      <c r="J14" s="17"/>
      <c r="K14" s="17"/>
      <c r="L14" s="17"/>
      <c r="M14" s="17"/>
      <c r="N14" s="17"/>
      <c r="O14" s="17"/>
    </row>
    <row r="15" spans="1:15">
      <c r="A15" s="17" t="s">
        <v>115</v>
      </c>
      <c r="B15" s="80">
        <f>SUM(B11:B14)</f>
        <v>7078022</v>
      </c>
      <c r="C15" s="81">
        <v>1</v>
      </c>
      <c r="D15" s="80">
        <f>H8</f>
        <v>10600595.5</v>
      </c>
      <c r="E15" s="80">
        <f>J8</f>
        <v>16493468</v>
      </c>
      <c r="F15" s="17"/>
      <c r="G15" s="17"/>
      <c r="H15" s="17"/>
      <c r="I15" s="17"/>
      <c r="J15" s="17"/>
      <c r="K15" s="17"/>
      <c r="L15" s="17"/>
      <c r="M15" s="17"/>
      <c r="N15" s="17"/>
      <c r="O15" s="17"/>
    </row>
    <row r="16" spans="1:15" ht="64.5">
      <c r="C16" s="82"/>
      <c r="D16" s="17"/>
      <c r="E16" s="17"/>
      <c r="F16" s="17"/>
      <c r="G16" s="17"/>
      <c r="H16" s="78"/>
      <c r="I16" s="79" t="s">
        <v>179</v>
      </c>
      <c r="J16" s="79" t="s">
        <v>190</v>
      </c>
      <c r="K16" s="79" t="s">
        <v>180</v>
      </c>
      <c r="L16" s="79" t="s">
        <v>181</v>
      </c>
      <c r="M16" s="79" t="s">
        <v>191</v>
      </c>
      <c r="N16" s="17"/>
      <c r="O16" s="17"/>
    </row>
    <row r="17" spans="3:15">
      <c r="C17" s="145"/>
      <c r="F17" s="17"/>
      <c r="G17" s="17"/>
      <c r="H17" s="17" t="s">
        <v>99</v>
      </c>
      <c r="I17" s="60">
        <f ca="1">I11</f>
        <v>178741298.50064945</v>
      </c>
      <c r="J17" s="60">
        <f>E13</f>
        <v>2467565.3265147912</v>
      </c>
      <c r="K17" s="81">
        <f ca="1">J17/I17</f>
        <v>1.3805233302060998E-2</v>
      </c>
      <c r="L17" s="60">
        <f ca="1">L11</f>
        <v>452483.24254735827</v>
      </c>
      <c r="M17" s="60">
        <f ca="1">K17*L17</f>
        <v>6246.6367286393343</v>
      </c>
      <c r="N17" s="17"/>
      <c r="O17" s="17"/>
    </row>
    <row r="18" spans="3:15">
      <c r="F18" s="17"/>
      <c r="G18" s="17"/>
      <c r="H18" s="17" t="s">
        <v>97</v>
      </c>
      <c r="I18" s="60">
        <f ca="1">I12</f>
        <v>2799881.59816253</v>
      </c>
      <c r="J18" s="60">
        <f>E14</f>
        <v>478310.57200000004</v>
      </c>
      <c r="K18" s="81">
        <f ca="1">J18/I18</f>
        <v>0.17083242816906954</v>
      </c>
      <c r="L18" s="60">
        <f ca="1">L12</f>
        <v>8848.26</v>
      </c>
      <c r="M18" s="60">
        <f ca="1">K18*L18</f>
        <v>1511.5697408712513</v>
      </c>
      <c r="N18" s="17"/>
      <c r="O18" s="17"/>
    </row>
    <row r="19" spans="3:15">
      <c r="H19" s="17" t="s">
        <v>115</v>
      </c>
      <c r="I19" s="60">
        <f ca="1">SUM(I17:I18)</f>
        <v>181541180.09881198</v>
      </c>
      <c r="J19" s="60">
        <f t="shared" ref="J19:M19" si="2">SUM(J17:J18)</f>
        <v>2945875.8985147914</v>
      </c>
      <c r="K19" s="60">
        <f t="shared" ca="1" si="2"/>
        <v>0.18463766147113053</v>
      </c>
      <c r="L19" s="60">
        <f t="shared" ca="1" si="2"/>
        <v>461331.50254735828</v>
      </c>
      <c r="M19" s="60">
        <f t="shared" ca="1" si="2"/>
        <v>7758.2064695105855</v>
      </c>
    </row>
    <row r="21" spans="3:15">
      <c r="D21" s="146"/>
    </row>
    <row r="22" spans="3:15">
      <c r="D22" s="146"/>
    </row>
    <row r="23" spans="3:15">
      <c r="D23" s="146"/>
    </row>
  </sheetData>
  <mergeCells count="2">
    <mergeCell ref="G3:H3"/>
    <mergeCell ref="I3:J3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B1:J48"/>
  <sheetViews>
    <sheetView topLeftCell="A25" workbookViewId="0">
      <selection activeCell="M44" sqref="M44"/>
    </sheetView>
  </sheetViews>
  <sheetFormatPr defaultColWidth="9.28515625" defaultRowHeight="12.75"/>
  <cols>
    <col min="1" max="1" width="3.42578125" style="17" customWidth="1"/>
    <col min="2" max="2" width="25.5703125" style="17" bestFit="1" customWidth="1"/>
    <col min="3" max="7" width="12.140625" style="17" customWidth="1"/>
    <col min="8" max="8" width="16.140625" style="17" customWidth="1"/>
    <col min="9" max="10" width="14.28515625" style="17" customWidth="1"/>
    <col min="11" max="16384" width="9.28515625" style="17"/>
  </cols>
  <sheetData>
    <row r="1" spans="2:10" ht="16.5" thickBot="1">
      <c r="B1" s="111" t="s">
        <v>117</v>
      </c>
      <c r="C1" s="112"/>
      <c r="D1" s="112"/>
      <c r="E1" s="112"/>
      <c r="F1" s="112"/>
      <c r="G1" s="112"/>
      <c r="H1" s="112"/>
      <c r="I1" s="112"/>
      <c r="J1" s="112"/>
    </row>
    <row r="2" spans="2:10">
      <c r="B2" s="48" t="s">
        <v>2</v>
      </c>
      <c r="C2" s="151" t="s">
        <v>187</v>
      </c>
      <c r="D2" s="49" t="s">
        <v>188</v>
      </c>
      <c r="E2" s="49" t="s">
        <v>118</v>
      </c>
      <c r="F2" s="49" t="s">
        <v>119</v>
      </c>
      <c r="G2" s="49" t="s">
        <v>185</v>
      </c>
      <c r="H2" s="49" t="s">
        <v>186</v>
      </c>
      <c r="I2" s="49" t="s">
        <v>120</v>
      </c>
      <c r="J2" s="50" t="s">
        <v>182</v>
      </c>
    </row>
    <row r="3" spans="2:10">
      <c r="B3" s="147" t="s">
        <v>1</v>
      </c>
      <c r="C3" s="152">
        <f ca="1">OFFSET('Normalized Annual Summary'!$C$8,COLUMN(C3)-COLUMN($C3),0)</f>
        <v>256003979.435274</v>
      </c>
      <c r="D3" s="108">
        <f ca="1">OFFSET('Normalized Annual Summary'!$C$8,COLUMN(D3)-COLUMN($C3),0)</f>
        <v>250406104.76660007</v>
      </c>
      <c r="E3" s="108">
        <f ca="1">OFFSET('Normalized Annual Summary'!$C$8,COLUMN(E3)-COLUMN($C3),0)</f>
        <v>245551952.96402693</v>
      </c>
      <c r="F3" s="108">
        <f ca="1">OFFSET('Normalized Annual Summary'!$C$8,COLUMN(F3)-COLUMN($C3),0)</f>
        <v>244757239.4788945</v>
      </c>
      <c r="G3" s="108">
        <f ca="1">OFFSET('Normalized Annual Summary'!$C$8,COLUMN(G3)-COLUMN($C3),0)</f>
        <v>255390421.5791553</v>
      </c>
      <c r="H3" s="108">
        <f ca="1">OFFSET('Normalized Annual Summary'!$H$12,COLUMN(H3)-COLUMN($H3),0)</f>
        <v>246916007.41305652</v>
      </c>
      <c r="I3" s="108">
        <f ca="1">OFFSET('Normalized Annual Summary'!$H$12,COLUMN(I3)-COLUMN($H3),0)</f>
        <v>242433515.15375051</v>
      </c>
      <c r="J3" s="109">
        <f ca="1">OFFSET('Normalized Annual Summary'!$H$12,COLUMN(J3)-COLUMN($H3),0)</f>
        <v>242070627.26186734</v>
      </c>
    </row>
    <row r="4" spans="2:10">
      <c r="B4" s="148" t="s">
        <v>98</v>
      </c>
      <c r="C4" s="152">
        <f ca="1">OFFSET('Normalized Annual Summary'!$K$8,COLUMN(C4)-COLUMN($C4),0)</f>
        <v>67056277.620808907</v>
      </c>
      <c r="D4" s="108">
        <f ca="1">OFFSET('Normalized Annual Summary'!$K$8,COLUMN(D4)-COLUMN($C4),0)</f>
        <v>65663989.680238001</v>
      </c>
      <c r="E4" s="108">
        <f ca="1">OFFSET('Normalized Annual Summary'!$K$8,COLUMN(E4)-COLUMN($C4),0)</f>
        <v>65242010.853368044</v>
      </c>
      <c r="F4" s="108">
        <f ca="1">OFFSET('Normalized Annual Summary'!$K$8,COLUMN(F4)-COLUMN($C4),0)</f>
        <v>65329579.275105581</v>
      </c>
      <c r="G4" s="108">
        <f ca="1">OFFSET('Normalized Annual Summary'!$K$8,COLUMN(G4)-COLUMN($C4),0)</f>
        <v>66808992.616394639</v>
      </c>
      <c r="H4" s="108">
        <f ca="1">OFFSET('Normalized Annual Summary'!$P$12,COLUMN(H4)-COLUMN($H4),0)</f>
        <v>65939541.658899076</v>
      </c>
      <c r="I4" s="108">
        <f ca="1">OFFSET('Normalized Annual Summary'!$P$12,COLUMN(I4)-COLUMN($H4),0)</f>
        <v>65792789.932857886</v>
      </c>
      <c r="J4" s="109">
        <f ca="1">OFFSET('Normalized Annual Summary'!$P$12,COLUMN(J4)-COLUMN($H4),0)</f>
        <v>66382185.450243384</v>
      </c>
    </row>
    <row r="5" spans="2:10">
      <c r="B5" s="148" t="s">
        <v>99</v>
      </c>
      <c r="C5" s="152">
        <f ca="1">OFFSET('Normalized Annual Summary'!$S$8,COLUMN(C5)-COLUMN($C5),0)</f>
        <v>160883811.68478131</v>
      </c>
      <c r="D5" s="108">
        <f ca="1">OFFSET('Normalized Annual Summary'!$S$8,COLUMN(D5)-COLUMN($C5),0)</f>
        <v>164887609.10912561</v>
      </c>
      <c r="E5" s="108">
        <f ca="1">OFFSET('Normalized Annual Summary'!$S$8,COLUMN(E5)-COLUMN($C5),0)</f>
        <v>166100613.01807362</v>
      </c>
      <c r="F5" s="108">
        <f ca="1">OFFSET('Normalized Annual Summary'!$S$8,COLUMN(F5)-COLUMN($C5),0)</f>
        <v>171874065.5064584</v>
      </c>
      <c r="G5" s="108">
        <f ca="1">OFFSET('Normalized Annual Summary'!$S$8,COLUMN(G5)-COLUMN($C5),0)</f>
        <v>187031605.70527154</v>
      </c>
      <c r="H5" s="108">
        <f ca="1">OFFSET('Normalized Annual Summary'!$X$12,COLUMN(H5)-COLUMN($H5),0)</f>
        <v>176288333.64228591</v>
      </c>
      <c r="I5" s="108">
        <f ca="1">OFFSET('Normalized Annual Summary'!$X$12,COLUMN(I5)-COLUMN($H5),0)</f>
        <v>173856406.99306336</v>
      </c>
      <c r="J5" s="109">
        <f ca="1">OFFSET('Normalized Annual Summary'!$X$12,COLUMN(J5)-COLUMN($H5),0)</f>
        <v>178741298.50064945</v>
      </c>
    </row>
    <row r="6" spans="2:10">
      <c r="B6" s="149" t="s">
        <v>194</v>
      </c>
      <c r="C6" s="152">
        <f ca="1">OFFSET('Normalized Annual Summary'!$AA$8,COLUMN(C6)-COLUMN($C6),0)</f>
        <v>35429534.452903233</v>
      </c>
      <c r="D6" s="108">
        <f ca="1">OFFSET('Normalized Annual Summary'!$AA$8,COLUMN(D6)-COLUMN($C6),0)</f>
        <v>36931636.277741931</v>
      </c>
      <c r="E6" s="108">
        <f ca="1">OFFSET('Normalized Annual Summary'!$AA$8,COLUMN(E6)-COLUMN($C6),0)</f>
        <v>38058828.017419361</v>
      </c>
      <c r="F6" s="108">
        <f ca="1">OFFSET('Normalized Annual Summary'!$AA$8,COLUMN(F6)-COLUMN($C6),0)</f>
        <v>38655620.090000004</v>
      </c>
      <c r="G6" s="108">
        <f ca="1">OFFSET('Normalized Annual Summary'!$AA$8,COLUMN(G6)-COLUMN($C6),0)</f>
        <v>32586842.712580636</v>
      </c>
      <c r="H6" s="108">
        <f ca="1">OFFSET('Normalized Annual Summary'!$AB$12,COLUMN(H6)-COLUMN($H6),0)</f>
        <v>32586842.712580636</v>
      </c>
      <c r="I6" s="108">
        <f ca="1">OFFSET('Normalized Annual Summary'!$AB$12,COLUMN(I6)-COLUMN($H6),0)</f>
        <v>31681583.38839817</v>
      </c>
      <c r="J6" s="109">
        <f ca="1">OFFSET('Normalized Annual Summary'!$AB$12,COLUMN(J6)-COLUMN($H6),0)</f>
        <v>29865554.020049572</v>
      </c>
    </row>
    <row r="7" spans="2:10">
      <c r="B7" s="148" t="s">
        <v>97</v>
      </c>
      <c r="C7" s="152">
        <f ca="1">OFFSET('Normalized Annual Summary'!$AE$8,COLUMN(C7)-COLUMN($C7),0)</f>
        <v>6205705.2712903218</v>
      </c>
      <c r="D7" s="108">
        <f ca="1">OFFSET('Normalized Annual Summary'!$AE$8,COLUMN(D7)-COLUMN($C7),0)</f>
        <v>6271491.3612118578</v>
      </c>
      <c r="E7" s="108">
        <f ca="1">OFFSET('Normalized Annual Summary'!$AE$8,COLUMN(E7)-COLUMN($C7),0)</f>
        <v>6286757.8567741932</v>
      </c>
      <c r="F7" s="108">
        <f ca="1">OFFSET('Normalized Annual Summary'!$AE$8,COLUMN(F7)-COLUMN($C7),0)</f>
        <v>6227062.8251612904</v>
      </c>
      <c r="G7" s="108">
        <f ca="1">OFFSET('Normalized Annual Summary'!$AE$8,COLUMN(G7)-COLUMN($C7),0)</f>
        <v>4268687.7145161303</v>
      </c>
      <c r="H7" s="108">
        <f ca="1">OFFSET('Normalized Annual Summary'!$AF$12,COLUMN(H7)-COLUMN($H7),0)</f>
        <v>4268687.7145161303</v>
      </c>
      <c r="I7" s="108">
        <f ca="1">OFFSET('Normalized Annual Summary'!$AF$12,COLUMN(I7)-COLUMN($H7),0)</f>
        <v>2799881.59816253</v>
      </c>
      <c r="J7" s="109">
        <f ca="1">OFFSET('Normalized Annual Summary'!$AF$12,COLUMN(J7)-COLUMN($H7),0)</f>
        <v>2799881.59816253</v>
      </c>
    </row>
    <row r="8" spans="2:10">
      <c r="B8" s="148" t="s">
        <v>121</v>
      </c>
      <c r="C8" s="152">
        <f ca="1">OFFSET('Normalized Annual Summary'!$AI$8,COLUMN(C8)-COLUMN($C8),0)</f>
        <v>383993.93000000005</v>
      </c>
      <c r="D8" s="108">
        <f ca="1">OFFSET('Normalized Annual Summary'!$AI$8,COLUMN(D8)-COLUMN($C8),0)</f>
        <v>342834.13</v>
      </c>
      <c r="E8" s="108">
        <f ca="1">OFFSET('Normalized Annual Summary'!$AI$8,COLUMN(E8)-COLUMN($C8),0)</f>
        <v>350517.73</v>
      </c>
      <c r="F8" s="108">
        <f ca="1">OFFSET('Normalized Annual Summary'!$AI$8,COLUMN(F8)-COLUMN($C8),0)</f>
        <v>341135.62</v>
      </c>
      <c r="G8" s="108">
        <f ca="1">OFFSET('Normalized Annual Summary'!$AI$8,COLUMN(G8)-COLUMN($C8),0)</f>
        <v>335758.11000000004</v>
      </c>
      <c r="H8" s="108">
        <f ca="1">OFFSET('Normalized Annual Summary'!$AJ$12,COLUMN(H8)-COLUMN($H8),0)</f>
        <v>335758.11000000004</v>
      </c>
      <c r="I8" s="108">
        <f ca="1">OFFSET('Normalized Annual Summary'!$AJ$12,COLUMN(I8)-COLUMN($H8),0)</f>
        <v>335758.11000000004</v>
      </c>
      <c r="J8" s="109">
        <f ca="1">OFFSET('Normalized Annual Summary'!$AJ$12,COLUMN(J8)-COLUMN($H8),0)</f>
        <v>335758.11000000004</v>
      </c>
    </row>
    <row r="9" spans="2:10">
      <c r="B9" s="148" t="s">
        <v>6</v>
      </c>
      <c r="C9" s="152">
        <f ca="1">OFFSET('Normalized Annual Summary'!$AM$8,COLUMN(C9)-COLUMN($C9),0)</f>
        <v>1558152</v>
      </c>
      <c r="D9" s="108">
        <f ca="1">OFFSET('Normalized Annual Summary'!$AM$8,COLUMN(D9)-COLUMN($C9),0)</f>
        <v>1549960</v>
      </c>
      <c r="E9" s="108">
        <f ca="1">OFFSET('Normalized Annual Summary'!$AM$8,COLUMN(E9)-COLUMN($C9),0)</f>
        <v>1555546</v>
      </c>
      <c r="F9" s="108">
        <f ca="1">OFFSET('Normalized Annual Summary'!$AM$8,COLUMN(F9)-COLUMN($C9),0)</f>
        <v>1558152</v>
      </c>
      <c r="G9" s="108">
        <f ca="1">OFFSET('Normalized Annual Summary'!$AM$8,COLUMN(G9)-COLUMN($C9),0)</f>
        <v>1554368</v>
      </c>
      <c r="H9" s="108">
        <f ca="1">OFFSET('Normalized Annual Summary'!$AN$12,COLUMN(H9)-COLUMN($H9),0)</f>
        <v>1554368</v>
      </c>
      <c r="I9" s="108">
        <f ca="1">OFFSET('Normalized Annual Summary'!$AN$12,COLUMN(I9)-COLUMN($H9),0)</f>
        <v>1554368</v>
      </c>
      <c r="J9" s="109">
        <f ca="1">OFFSET('Normalized Annual Summary'!$AN$12,COLUMN(J9)-COLUMN($H9),0)</f>
        <v>1554368</v>
      </c>
    </row>
    <row r="10" spans="2:10" ht="13.5" thickBot="1">
      <c r="B10" s="150" t="s">
        <v>115</v>
      </c>
      <c r="C10" s="153">
        <f t="shared" ref="C10:J10" ca="1" si="0">SUM(C3:C9)</f>
        <v>527521454.39505774</v>
      </c>
      <c r="D10" s="154">
        <f t="shared" ca="1" si="0"/>
        <v>526053625.32491744</v>
      </c>
      <c r="E10" s="154">
        <f t="shared" ca="1" si="0"/>
        <v>523146226.43966216</v>
      </c>
      <c r="F10" s="154">
        <f t="shared" ca="1" si="0"/>
        <v>528742854.79561979</v>
      </c>
      <c r="G10" s="154">
        <f t="shared" ca="1" si="0"/>
        <v>547976676.43791831</v>
      </c>
      <c r="H10" s="154">
        <f t="shared" ca="1" si="0"/>
        <v>527889539.25133824</v>
      </c>
      <c r="I10" s="154">
        <f t="shared" ca="1" si="0"/>
        <v>518454303.17623246</v>
      </c>
      <c r="J10" s="57">
        <f t="shared" ca="1" si="0"/>
        <v>521749672.94097233</v>
      </c>
    </row>
    <row r="12" spans="2:10" ht="16.5" thickBot="1">
      <c r="B12" s="111" t="s">
        <v>122</v>
      </c>
      <c r="C12" s="112"/>
      <c r="D12" s="112"/>
      <c r="E12" s="112"/>
    </row>
    <row r="13" spans="2:10" ht="51">
      <c r="B13" s="48" t="s">
        <v>2</v>
      </c>
      <c r="C13" s="58" t="s">
        <v>183</v>
      </c>
      <c r="D13" s="58" t="s">
        <v>123</v>
      </c>
      <c r="E13" s="59" t="s">
        <v>184</v>
      </c>
    </row>
    <row r="14" spans="2:10">
      <c r="B14" s="51" t="s">
        <v>1</v>
      </c>
      <c r="C14" s="52">
        <f t="shared" ref="C14:C20" ca="1" si="1">J3</f>
        <v>242070627.26186734</v>
      </c>
      <c r="D14" s="52">
        <f>'CDM Adjustments'!D11</f>
        <v>7135211.5794207053</v>
      </c>
      <c r="E14" s="53">
        <f ca="1">C14-D14</f>
        <v>234935415.68244663</v>
      </c>
    </row>
    <row r="15" spans="2:10">
      <c r="B15" s="54" t="s">
        <v>98</v>
      </c>
      <c r="C15" s="52">
        <f t="shared" ca="1" si="1"/>
        <v>66382185.450243384</v>
      </c>
      <c r="D15" s="52">
        <f>'CDM Adjustments'!D12</f>
        <v>1572025.968609802</v>
      </c>
      <c r="E15" s="53">
        <f t="shared" ref="E15:E20" ca="1" si="2">C15-D15</f>
        <v>64810159.481633581</v>
      </c>
    </row>
    <row r="16" spans="2:10">
      <c r="B16" s="54" t="s">
        <v>99</v>
      </c>
      <c r="C16" s="52">
        <f t="shared" ca="1" si="1"/>
        <v>178741298.50064945</v>
      </c>
      <c r="D16" s="52">
        <f>'CDM Adjustments'!D13</f>
        <v>1585940.6824694921</v>
      </c>
      <c r="E16" s="53">
        <f t="shared" ca="1" si="2"/>
        <v>177155357.81817997</v>
      </c>
    </row>
    <row r="17" spans="2:10">
      <c r="B17" s="54" t="s">
        <v>194</v>
      </c>
      <c r="C17" s="52">
        <f t="shared" ca="1" si="1"/>
        <v>29865554.020049572</v>
      </c>
      <c r="D17" s="52">
        <v>0</v>
      </c>
      <c r="E17" s="53">
        <f t="shared" ca="1" si="2"/>
        <v>29865554.020049572</v>
      </c>
    </row>
    <row r="18" spans="2:10">
      <c r="B18" s="54" t="s">
        <v>97</v>
      </c>
      <c r="C18" s="52">
        <f t="shared" ca="1" si="1"/>
        <v>2799881.59816253</v>
      </c>
      <c r="D18" s="52">
        <f>'CDM Adjustments'!D14</f>
        <v>307417.26949999999</v>
      </c>
      <c r="E18" s="53">
        <f t="shared" ca="1" si="2"/>
        <v>2492464.3286625301</v>
      </c>
    </row>
    <row r="19" spans="2:10">
      <c r="B19" s="54" t="s">
        <v>121</v>
      </c>
      <c r="C19" s="52">
        <f t="shared" ca="1" si="1"/>
        <v>335758.11000000004</v>
      </c>
      <c r="D19" s="52">
        <v>0</v>
      </c>
      <c r="E19" s="53">
        <f t="shared" ca="1" si="2"/>
        <v>335758.11000000004</v>
      </c>
    </row>
    <row r="20" spans="2:10">
      <c r="B20" s="54" t="s">
        <v>6</v>
      </c>
      <c r="C20" s="52">
        <f t="shared" ca="1" si="1"/>
        <v>1554368</v>
      </c>
      <c r="D20" s="52">
        <v>0</v>
      </c>
      <c r="E20" s="53">
        <f t="shared" ca="1" si="2"/>
        <v>1554368</v>
      </c>
    </row>
    <row r="21" spans="2:10" ht="13.5" thickBot="1">
      <c r="B21" s="55" t="s">
        <v>115</v>
      </c>
      <c r="C21" s="56">
        <f ca="1">SUM(C14:C20)</f>
        <v>521749672.94097233</v>
      </c>
      <c r="D21" s="56">
        <f>SUM(D14:D20)</f>
        <v>10600595.5</v>
      </c>
      <c r="E21" s="57">
        <f ca="1">SUM(E14:E20)</f>
        <v>511149077.44097227</v>
      </c>
    </row>
    <row r="23" spans="2:10" ht="16.5" thickBot="1">
      <c r="B23" s="111" t="s">
        <v>117</v>
      </c>
      <c r="C23" s="112"/>
      <c r="D23" s="112"/>
      <c r="E23" s="112"/>
      <c r="F23" s="112"/>
      <c r="G23" s="112"/>
      <c r="H23" s="112"/>
      <c r="I23" s="112"/>
      <c r="J23" s="112"/>
    </row>
    <row r="24" spans="2:10">
      <c r="B24" s="48" t="s">
        <v>5</v>
      </c>
      <c r="C24" s="49" t="s">
        <v>187</v>
      </c>
      <c r="D24" s="49" t="s">
        <v>188</v>
      </c>
      <c r="E24" s="49" t="s">
        <v>118</v>
      </c>
      <c r="F24" s="49" t="s">
        <v>119</v>
      </c>
      <c r="G24" s="49" t="s">
        <v>185</v>
      </c>
      <c r="H24" s="49" t="s">
        <v>186</v>
      </c>
      <c r="I24" s="49" t="s">
        <v>120</v>
      </c>
      <c r="J24" s="50" t="s">
        <v>182</v>
      </c>
    </row>
    <row r="25" spans="2:10">
      <c r="B25" s="110" t="s">
        <v>99</v>
      </c>
      <c r="C25" s="108">
        <f ca="1">OFFSET('kW Forecast'!$E$8,COLUMN()-COLUMN($C25),0)</f>
        <v>416356.88000000006</v>
      </c>
      <c r="D25" s="108">
        <f ca="1">OFFSET('kW Forecast'!$E$8,COLUMN()-COLUMN($C25),0)</f>
        <v>399216.63999999996</v>
      </c>
      <c r="E25" s="108">
        <f ca="1">OFFSET('kW Forecast'!$E$8,COLUMN()-COLUMN($C25),0)</f>
        <v>394614.24000000005</v>
      </c>
      <c r="F25" s="108">
        <f ca="1">OFFSET('kW Forecast'!$E$8,COLUMN()-COLUMN($C25),0)</f>
        <v>459153.48000000004</v>
      </c>
      <c r="G25" s="108">
        <f ca="1">OFFSET('kW Forecast'!$E$8,COLUMN()-COLUMN($C25),0)</f>
        <v>476120.7200000002</v>
      </c>
      <c r="H25" s="108">
        <f ca="1">OFFSET('kW Forecast'!$E$16,COLUMN()-COLUMN($H25),0)</f>
        <v>446273.56687487778</v>
      </c>
      <c r="I25" s="108">
        <f ca="1">OFFSET('kW Forecast'!$E$16,COLUMN()-COLUMN($H25),0)</f>
        <v>440117.14938709972</v>
      </c>
      <c r="J25" s="109">
        <f ca="1">OFFSET('kW Forecast'!$E$16,COLUMN()-COLUMN($H25),0)</f>
        <v>452483.24254735827</v>
      </c>
    </row>
    <row r="26" spans="2:10">
      <c r="B26" s="110" t="s">
        <v>194</v>
      </c>
      <c r="C26" s="108">
        <f ca="1">OFFSET('kW Forecast'!$J$8,COLUMN()-COLUMN($C26),0)</f>
        <v>109304.33000000002</v>
      </c>
      <c r="D26" s="108">
        <f ca="1">OFFSET('kW Forecast'!$J$8,COLUMN()-COLUMN($C26),0)</f>
        <v>96078.09</v>
      </c>
      <c r="E26" s="108">
        <f ca="1">OFFSET('kW Forecast'!$J$8,COLUMN()-COLUMN($C26),0)</f>
        <v>84452.550000000017</v>
      </c>
      <c r="F26" s="108">
        <f ca="1">OFFSET('kW Forecast'!$J$8,COLUMN()-COLUMN($C26),0)</f>
        <v>106797.81999999999</v>
      </c>
      <c r="G26" s="108">
        <f ca="1">OFFSET('kW Forecast'!$J$8,COLUMN()-COLUMN($C26),0)</f>
        <v>87828.409999999989</v>
      </c>
      <c r="H26" s="108">
        <f ca="1">OFFSET('kW Forecast'!$J$16,COLUMN()-COLUMN($H26),0)</f>
        <v>88237.687973621971</v>
      </c>
      <c r="I26" s="108">
        <f ca="1">OFFSET('kW Forecast'!$J$16,COLUMN()-COLUMN($H26),0)</f>
        <v>85786.453575525884</v>
      </c>
      <c r="J26" s="109">
        <f ca="1">OFFSET('kW Forecast'!$J$16,COLUMN()-COLUMN($H26),0)</f>
        <v>80869.063014905129</v>
      </c>
    </row>
    <row r="27" spans="2:10">
      <c r="B27" s="110" t="s">
        <v>97</v>
      </c>
      <c r="C27" s="108">
        <f ca="1">OFFSET('kW Forecast'!$O$8,COLUMN()-COLUMN($C27),0)</f>
        <v>18742.059999999998</v>
      </c>
      <c r="D27" s="108">
        <f ca="1">OFFSET('kW Forecast'!$O$8,COLUMN()-COLUMN($C27),0)</f>
        <v>19025.439999999999</v>
      </c>
      <c r="E27" s="108">
        <f ca="1">OFFSET('kW Forecast'!$O$8,COLUMN()-COLUMN($C27),0)</f>
        <v>15872.32</v>
      </c>
      <c r="F27" s="108">
        <f ca="1">OFFSET('kW Forecast'!$O$8,COLUMN()-COLUMN($C27),0)</f>
        <v>18022.68</v>
      </c>
      <c r="G27" s="108">
        <f ca="1">OFFSET('kW Forecast'!$O$8,COLUMN()-COLUMN($C27),0)</f>
        <v>13490.02</v>
      </c>
      <c r="H27" s="108">
        <f ca="1">OFFSET('kW Forecast'!$O$16,COLUMN()-COLUMN($H27),0)</f>
        <v>13490.02</v>
      </c>
      <c r="I27" s="108">
        <f ca="1">OFFSET('kW Forecast'!$O$16,COLUMN()-COLUMN($H27),0)</f>
        <v>8848.26</v>
      </c>
      <c r="J27" s="109">
        <f ca="1">OFFSET('kW Forecast'!$O$16,COLUMN()-COLUMN($H27),0)</f>
        <v>8848.26</v>
      </c>
    </row>
    <row r="28" spans="2:10">
      <c r="B28" s="110" t="s">
        <v>121</v>
      </c>
      <c r="C28" s="108">
        <f ca="1">OFFSET('kW Forecast'!$T$8,COLUMN()-COLUMN($C28),0)</f>
        <v>2100</v>
      </c>
      <c r="D28" s="108">
        <f ca="1">OFFSET('kW Forecast'!$T$8,COLUMN()-COLUMN($C28),0)</f>
        <v>2100</v>
      </c>
      <c r="E28" s="108">
        <f ca="1">OFFSET('kW Forecast'!$T$8,COLUMN()-COLUMN($C28),0)</f>
        <v>2068</v>
      </c>
      <c r="F28" s="108">
        <f ca="1">OFFSET('kW Forecast'!$T$8,COLUMN()-COLUMN($C28),0)</f>
        <v>2088</v>
      </c>
      <c r="G28" s="108">
        <f ca="1">OFFSET('kW Forecast'!$T$8,COLUMN()-COLUMN($C28),0)</f>
        <v>2080</v>
      </c>
      <c r="H28" s="108">
        <f ca="1">OFFSET('kW Forecast'!$T$16,COLUMN()-COLUMN($H28),0)</f>
        <v>2080</v>
      </c>
      <c r="I28" s="108">
        <f ca="1">OFFSET('kW Forecast'!$T$16,COLUMN()-COLUMN($H28),0)</f>
        <v>2080</v>
      </c>
      <c r="J28" s="109">
        <f ca="1">OFFSET('kW Forecast'!$T$16,COLUMN()-COLUMN($H28),0)</f>
        <v>2080</v>
      </c>
    </row>
    <row r="29" spans="2:10" ht="13.5" thickBot="1">
      <c r="B29" s="55" t="s">
        <v>115</v>
      </c>
      <c r="C29" s="154">
        <f t="shared" ref="C29:J29" ca="1" si="3">SUM(C25:C28)</f>
        <v>546503.27</v>
      </c>
      <c r="D29" s="154">
        <f t="shared" ca="1" si="3"/>
        <v>516420.17</v>
      </c>
      <c r="E29" s="154">
        <f t="shared" ca="1" si="3"/>
        <v>497007.11000000004</v>
      </c>
      <c r="F29" s="154">
        <f t="shared" ca="1" si="3"/>
        <v>586061.9800000001</v>
      </c>
      <c r="G29" s="154">
        <f t="shared" ca="1" si="3"/>
        <v>579519.15000000026</v>
      </c>
      <c r="H29" s="154">
        <f t="shared" ca="1" si="3"/>
        <v>550081.2748484998</v>
      </c>
      <c r="I29" s="154">
        <f t="shared" ca="1" si="3"/>
        <v>536831.86296262557</v>
      </c>
      <c r="J29" s="57">
        <f t="shared" ca="1" si="3"/>
        <v>544280.56556226336</v>
      </c>
    </row>
    <row r="31" spans="2:10" ht="16.5" thickBot="1">
      <c r="B31" s="111" t="s">
        <v>122</v>
      </c>
      <c r="C31" s="112"/>
      <c r="D31" s="112"/>
      <c r="E31" s="112"/>
      <c r="F31" s="112"/>
    </row>
    <row r="32" spans="2:10" ht="51">
      <c r="B32" s="48" t="s">
        <v>5</v>
      </c>
      <c r="C32" s="58" t="s">
        <v>183</v>
      </c>
      <c r="D32" s="58" t="s">
        <v>123</v>
      </c>
      <c r="E32" s="59" t="s">
        <v>184</v>
      </c>
    </row>
    <row r="33" spans="2:10">
      <c r="B33" s="54" t="s">
        <v>99</v>
      </c>
      <c r="C33" s="52">
        <f ca="1">J25</f>
        <v>452483.24254735827</v>
      </c>
      <c r="D33" s="52">
        <f ca="1">'CDM Adjustments'!M11</f>
        <v>4014.8056913045125</v>
      </c>
      <c r="E33" s="53">
        <f ca="1">C33-D33</f>
        <v>448468.43685605377</v>
      </c>
    </row>
    <row r="34" spans="2:10">
      <c r="B34" s="54" t="s">
        <v>194</v>
      </c>
      <c r="C34" s="52">
        <f ca="1">J26</f>
        <v>80869.063014905129</v>
      </c>
      <c r="D34" s="52">
        <v>0</v>
      </c>
      <c r="E34" s="53">
        <f ca="1">C34-D34</f>
        <v>80869.063014905129</v>
      </c>
    </row>
    <row r="35" spans="2:10">
      <c r="B35" s="54" t="s">
        <v>97</v>
      </c>
      <c r="C35" s="52">
        <f ca="1">J27</f>
        <v>8848.26</v>
      </c>
      <c r="D35" s="52">
        <f ca="1">'CDM Adjustments'!M12</f>
        <v>971.50819906498452</v>
      </c>
      <c r="E35" s="53">
        <f ca="1">C35-D35</f>
        <v>7876.751800935016</v>
      </c>
    </row>
    <row r="36" spans="2:10">
      <c r="B36" s="54" t="s">
        <v>121</v>
      </c>
      <c r="C36" s="52">
        <f ca="1">J28</f>
        <v>2080</v>
      </c>
      <c r="D36" s="52">
        <v>0</v>
      </c>
      <c r="E36" s="53">
        <f ca="1">C36-D36</f>
        <v>2080</v>
      </c>
    </row>
    <row r="37" spans="2:10" ht="13.5" thickBot="1">
      <c r="B37" s="55" t="s">
        <v>115</v>
      </c>
      <c r="C37" s="56">
        <f ca="1">SUM(C33:C36)</f>
        <v>544280.56556226336</v>
      </c>
      <c r="D37" s="56">
        <f ca="1">SUM(D33:D36)</f>
        <v>4986.3138903694971</v>
      </c>
      <c r="E37" s="57">
        <f ca="1">SUM(E33:E36)</f>
        <v>539294.25167189387</v>
      </c>
    </row>
    <row r="39" spans="2:10" ht="16.5" thickBot="1">
      <c r="B39" s="111" t="s">
        <v>124</v>
      </c>
      <c r="C39" s="112"/>
      <c r="D39" s="112"/>
      <c r="E39" s="112"/>
      <c r="F39" s="112"/>
      <c r="G39" s="112"/>
      <c r="H39" s="112"/>
      <c r="I39" s="112"/>
    </row>
    <row r="40" spans="2:10">
      <c r="B40" s="48" t="s">
        <v>5</v>
      </c>
      <c r="C40" s="49" t="s">
        <v>187</v>
      </c>
      <c r="D40" s="49" t="s">
        <v>188</v>
      </c>
      <c r="E40" s="49" t="s">
        <v>118</v>
      </c>
      <c r="F40" s="49" t="s">
        <v>119</v>
      </c>
      <c r="G40" s="49" t="s">
        <v>185</v>
      </c>
      <c r="H40" s="49" t="s">
        <v>203</v>
      </c>
      <c r="I40" s="50" t="s">
        <v>182</v>
      </c>
    </row>
    <row r="41" spans="2:10">
      <c r="B41" s="107" t="s">
        <v>1</v>
      </c>
      <c r="C41" s="108">
        <f ca="1">OFFSET('Connection count '!$C$7,COLUMN()-COLUMN($C41),0)</f>
        <v>26337</v>
      </c>
      <c r="D41" s="108">
        <f ca="1">OFFSET('Connection count '!$C$7,COLUMN()-COLUMN($C41),0)</f>
        <v>26466.416666666668</v>
      </c>
      <c r="E41" s="108">
        <f ca="1">OFFSET('Connection count '!$C$7,COLUMN()-COLUMN($C41),0)</f>
        <v>26590.166666666668</v>
      </c>
      <c r="F41" s="108">
        <f ca="1">OFFSET('Connection count '!$C$7,COLUMN()-COLUMN($C41),0)</f>
        <v>26815.083333333332</v>
      </c>
      <c r="G41" s="108">
        <f ca="1">OFFSET('Connection count '!$C$7,COLUMN()-COLUMN($C41),0)</f>
        <v>27136.833333333332</v>
      </c>
      <c r="H41" s="108">
        <v>27575</v>
      </c>
      <c r="I41" s="109">
        <v>27784</v>
      </c>
      <c r="J41" s="60"/>
    </row>
    <row r="42" spans="2:10">
      <c r="B42" s="110" t="s">
        <v>98</v>
      </c>
      <c r="C42" s="108">
        <f ca="1">OFFSET('Connection count '!$G$7,COLUMN()-COLUMN($C42),0)</f>
        <v>1906.1666666666667</v>
      </c>
      <c r="D42" s="108">
        <f ca="1">OFFSET('Connection count '!$G$7,COLUMN()-COLUMN($C42),0)</f>
        <v>1904.25</v>
      </c>
      <c r="E42" s="108">
        <f ca="1">OFFSET('Connection count '!$G$7,COLUMN()-COLUMN($C42),0)</f>
        <v>1909.75</v>
      </c>
      <c r="F42" s="108">
        <f ca="1">OFFSET('Connection count '!$G$7,COLUMN()-COLUMN($C42),0)</f>
        <v>1935.6666666666667</v>
      </c>
      <c r="G42" s="108">
        <f ca="1">OFFSET('Connection count '!$G$7,COLUMN()-COLUMN($C42),0)</f>
        <v>1952.9166666666667</v>
      </c>
      <c r="H42" s="108">
        <v>1982</v>
      </c>
      <c r="I42" s="109">
        <v>1997</v>
      </c>
      <c r="J42" s="60"/>
    </row>
    <row r="43" spans="2:10">
      <c r="B43" s="110" t="s">
        <v>99</v>
      </c>
      <c r="C43" s="108">
        <f ca="1">OFFSET('Connection count '!$K$7,COLUMN()-COLUMN($C43),0)</f>
        <v>208.25</v>
      </c>
      <c r="D43" s="108">
        <f ca="1">OFFSET('Connection count '!$K$7,COLUMN()-COLUMN($C43),0)</f>
        <v>208.08333333333334</v>
      </c>
      <c r="E43" s="108">
        <f ca="1">OFFSET('Connection count '!$K$7,COLUMN()-COLUMN($C43),0)</f>
        <v>211.41666666666666</v>
      </c>
      <c r="F43" s="108">
        <f ca="1">OFFSET('Connection count '!$K$7,COLUMN()-COLUMN($C43),0)</f>
        <v>211.91666666666666</v>
      </c>
      <c r="G43" s="108">
        <f ca="1">OFFSET('Connection count '!$K$7,COLUMN()-COLUMN($C43),0)</f>
        <v>219.58333333333334</v>
      </c>
      <c r="H43" s="108">
        <v>217</v>
      </c>
      <c r="I43" s="109">
        <v>217</v>
      </c>
      <c r="J43" s="60"/>
    </row>
    <row r="44" spans="2:10">
      <c r="B44" s="110" t="s">
        <v>194</v>
      </c>
      <c r="C44" s="108">
        <f ca="1">OFFSET('Connection count '!$O$7,COLUMN()-COLUMN($C44),0)</f>
        <v>7</v>
      </c>
      <c r="D44" s="108">
        <f ca="1">OFFSET('Connection count '!$O$7,COLUMN()-COLUMN($C44),0)</f>
        <v>6.333333333333333</v>
      </c>
      <c r="E44" s="108">
        <f ca="1">OFFSET('Connection count '!$O$7,COLUMN()-COLUMN($C44),0)</f>
        <v>6</v>
      </c>
      <c r="F44" s="108">
        <f ca="1">OFFSET('Connection count '!$O$7,COLUMN()-COLUMN($C44),0)</f>
        <v>5.666666666666667</v>
      </c>
      <c r="G44" s="108">
        <f ca="1">OFFSET('Connection count '!$O$7,COLUMN()-COLUMN($C44),0)</f>
        <v>3</v>
      </c>
      <c r="H44" s="108">
        <f ca="1">OFFSET('Connection count '!$O$7,COLUMN()-COLUMN($C44),0)</f>
        <v>3</v>
      </c>
      <c r="I44" s="109">
        <f ca="1">OFFSET('Connection count '!$O$7,COLUMN()-COLUMN($C44),0)</f>
        <v>3</v>
      </c>
      <c r="J44" s="60"/>
    </row>
    <row r="45" spans="2:10">
      <c r="B45" s="110" t="s">
        <v>97</v>
      </c>
      <c r="C45" s="108">
        <f ca="1">OFFSET('Connection count '!$S$7,COLUMN()-COLUMN($C45),0)</f>
        <v>2474.4166666666665</v>
      </c>
      <c r="D45" s="108">
        <f ca="1">OFFSET('Connection count '!$S$7,COLUMN()-COLUMN($C45),0)</f>
        <v>2620.9166666666665</v>
      </c>
      <c r="E45" s="108">
        <f ca="1">OFFSET('Connection count '!$S$7,COLUMN()-COLUMN($C45),0)</f>
        <v>2712.8333333333335</v>
      </c>
      <c r="F45" s="108">
        <f ca="1">OFFSET('Connection count '!$S$7,COLUMN()-COLUMN($C45),0)</f>
        <v>2700.5833333333335</v>
      </c>
      <c r="G45" s="108">
        <f ca="1">OFFSET('Connection count '!$S$7,COLUMN()-COLUMN($C45),0)</f>
        <v>2719.6666666666665</v>
      </c>
      <c r="H45" s="108">
        <v>2753</v>
      </c>
      <c r="I45" s="109">
        <v>2758</v>
      </c>
      <c r="J45" s="60"/>
    </row>
    <row r="46" spans="2:10">
      <c r="B46" s="110" t="s">
        <v>121</v>
      </c>
      <c r="C46" s="108">
        <f ca="1">OFFSET('Connection count '!$V$7,COLUMN()-COLUMN($C46),0)</f>
        <v>175</v>
      </c>
      <c r="D46" s="108">
        <f ca="1">OFFSET('Connection count '!$V$7,COLUMN()-COLUMN($C46),0)</f>
        <v>175</v>
      </c>
      <c r="E46" s="108">
        <f ca="1">OFFSET('Connection count '!$V$7,COLUMN()-COLUMN($C46),0)</f>
        <v>172.33333333333334</v>
      </c>
      <c r="F46" s="108">
        <f ca="1">OFFSET('Connection count '!$V$7,COLUMN()-COLUMN($C46),0)</f>
        <v>174</v>
      </c>
      <c r="G46" s="108">
        <f ca="1">OFFSET('Connection count '!$V$7,COLUMN()-COLUMN($C46),0)</f>
        <v>173.33333333333334</v>
      </c>
      <c r="H46" s="108">
        <v>172</v>
      </c>
      <c r="I46" s="109">
        <v>173</v>
      </c>
      <c r="J46" s="60"/>
    </row>
    <row r="47" spans="2:10">
      <c r="B47" s="110" t="s">
        <v>6</v>
      </c>
      <c r="C47" s="108">
        <f ca="1">OFFSET('Connection count '!$Y$7,COLUMN()-COLUMN($C47),0)</f>
        <v>141</v>
      </c>
      <c r="D47" s="108">
        <f ca="1">OFFSET('Connection count '!$Y$7,COLUMN()-COLUMN($C47),0)</f>
        <v>139.91666666666666</v>
      </c>
      <c r="E47" s="108">
        <f ca="1">OFFSET('Connection count '!$Y$7,COLUMN()-COLUMN($C47),0)</f>
        <v>139.83333333333334</v>
      </c>
      <c r="F47" s="108">
        <f ca="1">OFFSET('Connection count '!$Y$7,COLUMN()-COLUMN($C47),0)</f>
        <v>141</v>
      </c>
      <c r="G47" s="108">
        <f ca="1">OFFSET('Connection count '!$Y$7,COLUMN()-COLUMN($C47),0)</f>
        <v>139.66666666666666</v>
      </c>
      <c r="H47" s="108">
        <v>141</v>
      </c>
      <c r="I47" s="109">
        <v>141</v>
      </c>
      <c r="J47" s="60"/>
    </row>
    <row r="48" spans="2:10" ht="13.5" thickBot="1">
      <c r="B48" s="55" t="s">
        <v>115</v>
      </c>
      <c r="C48" s="56">
        <f t="shared" ref="C48:I48" ca="1" si="4">SUM(C41:C47)</f>
        <v>31248.833333333336</v>
      </c>
      <c r="D48" s="56">
        <f t="shared" ca="1" si="4"/>
        <v>31520.916666666668</v>
      </c>
      <c r="E48" s="56">
        <f t="shared" ca="1" si="4"/>
        <v>31742.333333333332</v>
      </c>
      <c r="F48" s="56">
        <f t="shared" ca="1" si="4"/>
        <v>31983.916666666668</v>
      </c>
      <c r="G48" s="56">
        <f t="shared" ca="1" si="4"/>
        <v>32345</v>
      </c>
      <c r="H48" s="56">
        <f t="shared" ca="1" si="4"/>
        <v>32843</v>
      </c>
      <c r="I48" s="57">
        <f t="shared" ca="1" si="4"/>
        <v>33073</v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N92"/>
  <sheetViews>
    <sheetView topLeftCell="A67" workbookViewId="0">
      <selection activeCell="L97" sqref="L97"/>
    </sheetView>
  </sheetViews>
  <sheetFormatPr defaultRowHeight="15"/>
  <cols>
    <col min="2" max="2" width="19.7109375" customWidth="1"/>
    <col min="3" max="3" width="11.28515625" customWidth="1"/>
    <col min="5" max="5" width="12" bestFit="1" customWidth="1"/>
  </cols>
  <sheetData>
    <row r="1" spans="2:14">
      <c r="B1" t="s">
        <v>141</v>
      </c>
    </row>
    <row r="2" spans="2:14">
      <c r="C2" s="156"/>
      <c r="D2" s="156"/>
      <c r="E2" s="156"/>
      <c r="F2" s="156"/>
      <c r="G2" s="156"/>
      <c r="H2" s="156"/>
      <c r="I2" s="156"/>
      <c r="J2" s="156"/>
      <c r="K2" s="156"/>
      <c r="L2" s="156"/>
    </row>
    <row r="3" spans="2:14">
      <c r="B3" t="s">
        <v>143</v>
      </c>
      <c r="C3">
        <v>2009</v>
      </c>
      <c r="D3">
        <f t="shared" ref="D3:L3" si="0">C3+1</f>
        <v>2010</v>
      </c>
      <c r="E3">
        <f t="shared" si="0"/>
        <v>2011</v>
      </c>
      <c r="F3">
        <f t="shared" si="0"/>
        <v>2012</v>
      </c>
      <c r="G3">
        <f t="shared" si="0"/>
        <v>2013</v>
      </c>
      <c r="H3">
        <f t="shared" si="0"/>
        <v>2014</v>
      </c>
      <c r="I3">
        <f t="shared" si="0"/>
        <v>2015</v>
      </c>
      <c r="J3">
        <f t="shared" si="0"/>
        <v>2016</v>
      </c>
      <c r="K3">
        <f t="shared" si="0"/>
        <v>2017</v>
      </c>
      <c r="L3">
        <f t="shared" si="0"/>
        <v>2018</v>
      </c>
    </row>
    <row r="4" spans="2:14">
      <c r="B4">
        <v>2009</v>
      </c>
      <c r="C4">
        <v>3287879.1590308002</v>
      </c>
      <c r="D4">
        <v>2959889.4112171498</v>
      </c>
      <c r="E4">
        <v>2959889.4112171498</v>
      </c>
      <c r="F4">
        <v>2959191.4812846701</v>
      </c>
      <c r="G4">
        <v>2947487.7653675</v>
      </c>
      <c r="H4">
        <v>2899746.4431029698</v>
      </c>
      <c r="I4">
        <v>2837903.4449383402</v>
      </c>
      <c r="J4">
        <v>2836554.07510019</v>
      </c>
      <c r="K4">
        <v>2068228.8063085999</v>
      </c>
      <c r="L4">
        <v>1189123.0928114101</v>
      </c>
    </row>
    <row r="5" spans="2:14">
      <c r="B5">
        <v>2010</v>
      </c>
      <c r="C5">
        <v>0</v>
      </c>
      <c r="D5">
        <v>1830797.1997946701</v>
      </c>
      <c r="E5">
        <v>1241575.6867436999</v>
      </c>
      <c r="F5">
        <v>1237895.28187136</v>
      </c>
      <c r="G5">
        <v>1237618.4114628199</v>
      </c>
      <c r="H5">
        <v>1219465.81565578</v>
      </c>
      <c r="I5">
        <v>1110377.7150829299</v>
      </c>
      <c r="J5">
        <v>1096750.51071574</v>
      </c>
      <c r="K5">
        <v>988966.42838938499</v>
      </c>
      <c r="L5">
        <v>761324.111822012</v>
      </c>
    </row>
    <row r="7" spans="2:14">
      <c r="B7" t="s">
        <v>130</v>
      </c>
      <c r="C7">
        <v>31430000</v>
      </c>
      <c r="E7" t="s">
        <v>131</v>
      </c>
      <c r="F7">
        <v>3819710</v>
      </c>
    </row>
    <row r="8" spans="2:14">
      <c r="B8" t="s">
        <v>204</v>
      </c>
      <c r="C8">
        <f>F10</f>
        <v>12599108</v>
      </c>
      <c r="E8" t="s">
        <v>205</v>
      </c>
      <c r="F8">
        <v>1720380</v>
      </c>
    </row>
    <row r="9" spans="2:14">
      <c r="B9" t="s">
        <v>132</v>
      </c>
      <c r="C9">
        <f>C7-C8</f>
        <v>18830892</v>
      </c>
      <c r="E9" t="s">
        <v>201</v>
      </c>
      <c r="F9">
        <v>7059018</v>
      </c>
    </row>
    <row r="10" spans="2:14">
      <c r="B10" t="s">
        <v>133</v>
      </c>
      <c r="C10">
        <f>C9/4</f>
        <v>4707723</v>
      </c>
      <c r="E10" t="s">
        <v>206</v>
      </c>
      <c r="F10">
        <f>SUM(F7:F9)</f>
        <v>12599108</v>
      </c>
    </row>
    <row r="12" spans="2:14">
      <c r="B12" t="s">
        <v>134</v>
      </c>
    </row>
    <row r="13" spans="2:14">
      <c r="C13" s="156"/>
      <c r="D13" s="156"/>
      <c r="E13" s="156"/>
      <c r="F13" s="156"/>
      <c r="G13" s="156"/>
      <c r="H13" s="156"/>
      <c r="I13" s="156"/>
      <c r="J13" s="156"/>
      <c r="K13" s="156"/>
      <c r="L13" s="156"/>
    </row>
    <row r="14" spans="2:14">
      <c r="B14" t="s">
        <v>144</v>
      </c>
      <c r="C14">
        <v>2009</v>
      </c>
      <c r="D14">
        <f t="shared" ref="D14:L14" si="1">C14+1</f>
        <v>2010</v>
      </c>
      <c r="E14">
        <f t="shared" si="1"/>
        <v>2011</v>
      </c>
      <c r="F14">
        <f t="shared" si="1"/>
        <v>2012</v>
      </c>
      <c r="G14">
        <f t="shared" si="1"/>
        <v>2013</v>
      </c>
      <c r="H14">
        <f t="shared" si="1"/>
        <v>2014</v>
      </c>
      <c r="I14">
        <f t="shared" si="1"/>
        <v>2015</v>
      </c>
      <c r="J14">
        <f t="shared" si="1"/>
        <v>2016</v>
      </c>
      <c r="K14">
        <f t="shared" si="1"/>
        <v>2017</v>
      </c>
      <c r="L14">
        <f t="shared" si="1"/>
        <v>2018</v>
      </c>
      <c r="N14" t="s">
        <v>135</v>
      </c>
    </row>
    <row r="15" spans="2:14">
      <c r="B15">
        <v>2011</v>
      </c>
      <c r="E15">
        <v>829314.54312409484</v>
      </c>
      <c r="F15">
        <v>829314.54312409484</v>
      </c>
      <c r="G15">
        <v>829314.54312409484</v>
      </c>
      <c r="H15">
        <v>827312.5281787049</v>
      </c>
      <c r="I15">
        <v>789121.71410089894</v>
      </c>
      <c r="J15">
        <v>722650.49001296412</v>
      </c>
      <c r="K15">
        <v>661767.06434641941</v>
      </c>
      <c r="L15">
        <v>660820.63699511695</v>
      </c>
    </row>
    <row r="16" spans="2:14">
      <c r="B16">
        <f>B15+1</f>
        <v>2012</v>
      </c>
      <c r="E16">
        <v>-54023.284301090185</v>
      </c>
      <c r="F16">
        <v>487794.88012521784</v>
      </c>
      <c r="G16">
        <v>487794.88058298151</v>
      </c>
      <c r="H16">
        <v>487794.88058298151</v>
      </c>
      <c r="I16">
        <v>487603.92025510618</v>
      </c>
      <c r="J16">
        <v>457695.66655077535</v>
      </c>
      <c r="K16">
        <v>412053.04910819349</v>
      </c>
      <c r="L16">
        <v>352049.33192057267</v>
      </c>
    </row>
    <row r="17" spans="2:14">
      <c r="B17">
        <f>B16+1</f>
        <v>2013</v>
      </c>
      <c r="F17">
        <v>5381.7411882030692</v>
      </c>
      <c r="G17">
        <v>798261.29258507828</v>
      </c>
      <c r="H17">
        <v>788886.06940453139</v>
      </c>
      <c r="I17">
        <v>770008.34556074138</v>
      </c>
      <c r="J17">
        <v>707457.94912564149</v>
      </c>
      <c r="K17">
        <v>677970.65311223618</v>
      </c>
      <c r="L17">
        <v>660157.67103651899</v>
      </c>
    </row>
    <row r="18" spans="2:14">
      <c r="B18">
        <f>B17+1</f>
        <v>2014</v>
      </c>
      <c r="G18">
        <v>8848.6797703000011</v>
      </c>
      <c r="H18">
        <v>1370643.644254345</v>
      </c>
      <c r="I18">
        <v>1251265.600929345</v>
      </c>
      <c r="J18">
        <v>1189159.3556603447</v>
      </c>
      <c r="K18">
        <v>1188951.2674943449</v>
      </c>
      <c r="L18">
        <v>1171680.5665873368</v>
      </c>
    </row>
    <row r="19" spans="2:14">
      <c r="B19">
        <f>B18+1</f>
        <v>2015</v>
      </c>
      <c r="I19">
        <f>1356938+91719</f>
        <v>1448657</v>
      </c>
      <c r="J19">
        <f>1343240+90857</f>
        <v>1434097</v>
      </c>
      <c r="K19">
        <f>1343240+90857</f>
        <v>1434097</v>
      </c>
      <c r="L19" s="144">
        <f>1343240+90857</f>
        <v>1434097</v>
      </c>
    </row>
    <row r="20" spans="2:14">
      <c r="B20">
        <v>2016</v>
      </c>
      <c r="J20" s="132">
        <v>3369489</v>
      </c>
      <c r="K20">
        <v>3369489</v>
      </c>
      <c r="L20">
        <v>3369489</v>
      </c>
    </row>
    <row r="21" spans="2:14">
      <c r="B21" t="s">
        <v>115</v>
      </c>
      <c r="C21">
        <f t="shared" ref="C21:H21" si="2">SUM(C15:C19)</f>
        <v>0</v>
      </c>
      <c r="D21">
        <f t="shared" si="2"/>
        <v>0</v>
      </c>
      <c r="E21">
        <f t="shared" si="2"/>
        <v>775291.25882300467</v>
      </c>
      <c r="F21">
        <f t="shared" si="2"/>
        <v>1322491.1644375157</v>
      </c>
      <c r="G21">
        <f t="shared" si="2"/>
        <v>2124219.3960624547</v>
      </c>
      <c r="H21">
        <f t="shared" si="2"/>
        <v>3474637.1224205629</v>
      </c>
      <c r="I21">
        <f>SUM(I15:I20)</f>
        <v>4746656.5808460917</v>
      </c>
      <c r="J21">
        <f>SUM(J15:J20)</f>
        <v>7880549.4613497257</v>
      </c>
      <c r="K21">
        <f>SUM(K15:K20)</f>
        <v>7744328.0340611935</v>
      </c>
      <c r="L21">
        <f>SUM(L15:L20)</f>
        <v>7648294.2065395452</v>
      </c>
    </row>
    <row r="24" spans="2:14">
      <c r="B24" t="s">
        <v>137</v>
      </c>
    </row>
    <row r="25" spans="2:14">
      <c r="C25" s="156"/>
      <c r="D25" s="156"/>
      <c r="E25" s="156"/>
      <c r="F25" s="156"/>
      <c r="G25" s="156"/>
      <c r="H25" s="156"/>
      <c r="I25" s="156"/>
      <c r="J25" s="156"/>
      <c r="K25" s="156"/>
      <c r="L25" s="156"/>
    </row>
    <row r="26" spans="2:14">
      <c r="B26" t="s">
        <v>144</v>
      </c>
      <c r="C26">
        <v>2009</v>
      </c>
      <c r="D26">
        <f t="shared" ref="D26:L26" si="3">C26+1</f>
        <v>2010</v>
      </c>
      <c r="E26">
        <f t="shared" si="3"/>
        <v>2011</v>
      </c>
      <c r="F26">
        <f t="shared" si="3"/>
        <v>2012</v>
      </c>
      <c r="G26">
        <f t="shared" si="3"/>
        <v>2013</v>
      </c>
      <c r="H26">
        <f t="shared" si="3"/>
        <v>2014</v>
      </c>
      <c r="I26">
        <f t="shared" si="3"/>
        <v>2015</v>
      </c>
      <c r="J26">
        <f t="shared" si="3"/>
        <v>2016</v>
      </c>
      <c r="K26">
        <f t="shared" si="3"/>
        <v>2017</v>
      </c>
      <c r="L26">
        <f t="shared" si="3"/>
        <v>2018</v>
      </c>
    </row>
    <row r="27" spans="2:14">
      <c r="B27">
        <v>2011</v>
      </c>
      <c r="E27">
        <v>542276.46992908849</v>
      </c>
      <c r="F27">
        <v>534932.46292908851</v>
      </c>
      <c r="G27">
        <v>534932.46292908851</v>
      </c>
      <c r="H27">
        <v>482915.22418942675</v>
      </c>
      <c r="I27">
        <v>482915.22418942675</v>
      </c>
      <c r="J27">
        <v>479496.99548441294</v>
      </c>
      <c r="K27">
        <v>412963.37363857043</v>
      </c>
      <c r="L27">
        <v>412963.37363857043</v>
      </c>
      <c r="N27" t="s">
        <v>136</v>
      </c>
    </row>
    <row r="28" spans="2:14">
      <c r="B28">
        <f>B27+1</f>
        <v>2012</v>
      </c>
      <c r="F28">
        <v>1646693.2666431805</v>
      </c>
      <c r="G28">
        <v>1643951.1066431806</v>
      </c>
      <c r="H28">
        <v>1620957.2957183542</v>
      </c>
      <c r="I28">
        <v>1545434.0223995252</v>
      </c>
      <c r="J28">
        <v>1520257.7679369622</v>
      </c>
      <c r="K28">
        <v>1483251.0319144067</v>
      </c>
      <c r="L28">
        <v>1482036.8365838719</v>
      </c>
    </row>
    <row r="29" spans="2:14">
      <c r="B29">
        <f>B28+1</f>
        <v>2013</v>
      </c>
      <c r="F29">
        <v>105128.252835798</v>
      </c>
      <c r="G29">
        <v>1311254.5711398621</v>
      </c>
      <c r="H29">
        <v>1286295.4941970888</v>
      </c>
      <c r="I29">
        <v>1267836.2641257932</v>
      </c>
      <c r="J29">
        <v>1215741.0499531871</v>
      </c>
      <c r="K29">
        <v>939926.72621842113</v>
      </c>
      <c r="L29">
        <v>935609.85219658609</v>
      </c>
    </row>
    <row r="30" spans="2:14">
      <c r="B30">
        <f>B29+1</f>
        <v>2014</v>
      </c>
      <c r="G30">
        <v>137101.16564230001</v>
      </c>
      <c r="H30">
        <v>2281423.7953323</v>
      </c>
      <c r="I30">
        <v>2249999.5234323</v>
      </c>
      <c r="J30">
        <v>2239347.4841895998</v>
      </c>
      <c r="K30">
        <v>2209392.46906</v>
      </c>
      <c r="L30">
        <v>2208488.7876399998</v>
      </c>
    </row>
    <row r="31" spans="2:14">
      <c r="B31">
        <f>B30+1</f>
        <v>2015</v>
      </c>
      <c r="I31">
        <f>2678061+1255311</f>
        <v>3933372</v>
      </c>
      <c r="J31">
        <f>2674634+1255311</f>
        <v>3929945</v>
      </c>
      <c r="K31">
        <f>2670371+1255311</f>
        <v>3925682</v>
      </c>
      <c r="L31">
        <f>2670371+1255311</f>
        <v>3925682</v>
      </c>
    </row>
    <row r="32" spans="2:14">
      <c r="B32">
        <v>2016</v>
      </c>
      <c r="J32" s="131">
        <v>3708533</v>
      </c>
      <c r="K32">
        <v>3689529</v>
      </c>
      <c r="L32">
        <v>3689529</v>
      </c>
    </row>
    <row r="33" spans="2:12">
      <c r="B33" t="s">
        <v>115</v>
      </c>
      <c r="C33">
        <f t="shared" ref="C33:H33" si="4">SUM(C27:C31)</f>
        <v>0</v>
      </c>
      <c r="D33">
        <f t="shared" si="4"/>
        <v>0</v>
      </c>
      <c r="E33">
        <f t="shared" si="4"/>
        <v>542276.46992908849</v>
      </c>
      <c r="F33">
        <f t="shared" si="4"/>
        <v>2286753.9824080672</v>
      </c>
      <c r="G33">
        <f t="shared" si="4"/>
        <v>3627239.306354431</v>
      </c>
      <c r="H33">
        <f t="shared" si="4"/>
        <v>5671591.8094371697</v>
      </c>
      <c r="I33">
        <f>SUM(I27:I32)</f>
        <v>9479557.0341470446</v>
      </c>
      <c r="J33">
        <f>SUM(J27:J32)</f>
        <v>13093321.297564162</v>
      </c>
      <c r="K33">
        <f>SUM(K27:K32)</f>
        <v>12660744.600831399</v>
      </c>
      <c r="L33">
        <f>SUM(L27:L32)</f>
        <v>12654309.850059029</v>
      </c>
    </row>
    <row r="36" spans="2:12">
      <c r="B36" t="s">
        <v>138</v>
      </c>
    </row>
    <row r="37" spans="2:12">
      <c r="C37" s="156"/>
      <c r="D37" s="156"/>
      <c r="E37" s="156"/>
      <c r="F37" s="156"/>
      <c r="G37" s="156"/>
      <c r="H37" s="156"/>
      <c r="I37" s="156"/>
      <c r="J37" s="156"/>
      <c r="K37" s="156"/>
      <c r="L37" s="156"/>
    </row>
    <row r="38" spans="2:12">
      <c r="B38" t="s">
        <v>144</v>
      </c>
      <c r="C38">
        <v>2009</v>
      </c>
      <c r="D38">
        <f t="shared" ref="D38:L38" si="5">C38+1</f>
        <v>2010</v>
      </c>
      <c r="E38">
        <f t="shared" si="5"/>
        <v>2011</v>
      </c>
      <c r="F38">
        <f t="shared" si="5"/>
        <v>2012</v>
      </c>
      <c r="G38">
        <f t="shared" si="5"/>
        <v>2013</v>
      </c>
      <c r="H38">
        <f t="shared" si="5"/>
        <v>2014</v>
      </c>
      <c r="I38">
        <f t="shared" si="5"/>
        <v>2015</v>
      </c>
      <c r="J38">
        <f t="shared" si="5"/>
        <v>2016</v>
      </c>
      <c r="K38">
        <f t="shared" si="5"/>
        <v>2017</v>
      </c>
      <c r="L38">
        <f t="shared" si="5"/>
        <v>2018</v>
      </c>
    </row>
    <row r="39" spans="2:12">
      <c r="B39">
        <v>2011</v>
      </c>
      <c r="E39">
        <v>791508.53627856204</v>
      </c>
      <c r="F39">
        <v>688860.13627856201</v>
      </c>
      <c r="G39">
        <v>688860.13627856201</v>
      </c>
      <c r="H39">
        <v>688860.13627856201</v>
      </c>
      <c r="I39">
        <v>688860.13627856201</v>
      </c>
      <c r="J39">
        <v>688860.13627856201</v>
      </c>
      <c r="K39">
        <v>688860.13627856201</v>
      </c>
      <c r="L39">
        <v>688860.13627856201</v>
      </c>
    </row>
    <row r="40" spans="2:12">
      <c r="B40">
        <f>B39+1</f>
        <v>2012</v>
      </c>
      <c r="F40">
        <v>43656.3</v>
      </c>
      <c r="G40">
        <v>0</v>
      </c>
      <c r="H40">
        <v>0</v>
      </c>
      <c r="I40">
        <v>0</v>
      </c>
      <c r="J40">
        <v>0</v>
      </c>
      <c r="K40">
        <v>0</v>
      </c>
      <c r="L40">
        <v>0</v>
      </c>
    </row>
    <row r="41" spans="2:12">
      <c r="B41">
        <f>B40+1</f>
        <v>2013</v>
      </c>
      <c r="G41">
        <v>247799.44</v>
      </c>
      <c r="H41">
        <v>144990</v>
      </c>
      <c r="I41">
        <v>144990</v>
      </c>
      <c r="J41">
        <v>144990</v>
      </c>
      <c r="K41">
        <v>0</v>
      </c>
      <c r="L41">
        <v>0</v>
      </c>
    </row>
    <row r="42" spans="2:12">
      <c r="B42">
        <f>B41+1</f>
        <v>2014</v>
      </c>
      <c r="G42">
        <v>16481.7</v>
      </c>
      <c r="H42">
        <v>104027.796</v>
      </c>
      <c r="I42">
        <v>104027.796</v>
      </c>
      <c r="J42">
        <v>104027.796</v>
      </c>
      <c r="K42">
        <v>249017.796</v>
      </c>
      <c r="L42">
        <v>247834.29600000003</v>
      </c>
    </row>
    <row r="43" spans="2:12">
      <c r="B43">
        <f>B42+1</f>
        <v>2015</v>
      </c>
      <c r="I43">
        <f>8744929+201567</f>
        <v>8946496</v>
      </c>
      <c r="J43">
        <f>8774929+201567</f>
        <v>8976496</v>
      </c>
      <c r="K43">
        <f>8774929+160141</f>
        <v>8935070</v>
      </c>
      <c r="L43">
        <f>8774292+160141</f>
        <v>8934433</v>
      </c>
    </row>
    <row r="44" spans="2:12">
      <c r="B44">
        <v>2016</v>
      </c>
      <c r="J44">
        <v>0</v>
      </c>
      <c r="K44">
        <f>J44</f>
        <v>0</v>
      </c>
      <c r="L44">
        <f>K44</f>
        <v>0</v>
      </c>
    </row>
    <row r="45" spans="2:12">
      <c r="B45" t="s">
        <v>115</v>
      </c>
      <c r="C45">
        <f t="shared" ref="C45:H45" si="6">SUM(C39:C43)</f>
        <v>0</v>
      </c>
      <c r="D45">
        <f t="shared" si="6"/>
        <v>0</v>
      </c>
      <c r="E45">
        <f t="shared" si="6"/>
        <v>791508.53627856204</v>
      </c>
      <c r="F45">
        <f t="shared" si="6"/>
        <v>732516.43627856206</v>
      </c>
      <c r="G45">
        <f t="shared" si="6"/>
        <v>953141.27627856191</v>
      </c>
      <c r="H45">
        <f t="shared" si="6"/>
        <v>937877.93227856199</v>
      </c>
      <c r="I45">
        <f>SUM(I39:I44)</f>
        <v>9884373.9322785623</v>
      </c>
      <c r="J45">
        <f>SUM(J39:J44)</f>
        <v>9914373.9322785623</v>
      </c>
      <c r="K45">
        <f>SUM(K39:K44)</f>
        <v>9872947.9322785623</v>
      </c>
      <c r="L45">
        <f>SUM(L39:L44)</f>
        <v>9871127.4322785623</v>
      </c>
    </row>
    <row r="48" spans="2:12">
      <c r="B48" t="s">
        <v>139</v>
      </c>
      <c r="E48" t="s">
        <v>140</v>
      </c>
    </row>
    <row r="49" spans="2:12">
      <c r="B49" t="s">
        <v>1</v>
      </c>
      <c r="C49" s="47">
        <f>AVERAGE('Monthly Data'!E2:E97)</f>
        <v>21084748.737695526</v>
      </c>
      <c r="D49">
        <f>C49/C$52</f>
        <v>0.51635598092857249</v>
      </c>
    </row>
    <row r="50" spans="2:12">
      <c r="B50" t="s">
        <v>98</v>
      </c>
      <c r="C50" s="47">
        <f>AVERAGE('Monthly Data'!I2:I97)</f>
        <v>5560550.2565379255</v>
      </c>
      <c r="D50">
        <f>C50/C$52</f>
        <v>0.13617536627714533</v>
      </c>
      <c r="E50" s="62">
        <f>C50</f>
        <v>5560550.2565379255</v>
      </c>
      <c r="F50">
        <f>E50/E$52</f>
        <v>0.28156115015873723</v>
      </c>
    </row>
    <row r="51" spans="2:12">
      <c r="B51" t="s">
        <v>99</v>
      </c>
      <c r="C51" s="47">
        <f>AVERAGE('Monthly Data'!M2:M97)</f>
        <v>14188446.554289935</v>
      </c>
      <c r="D51">
        <f>C51/C$52</f>
        <v>0.34746865279428207</v>
      </c>
      <c r="E51" s="62">
        <f>C51</f>
        <v>14188446.554289935</v>
      </c>
      <c r="F51">
        <f>E51/E$52</f>
        <v>0.71843884984126283</v>
      </c>
    </row>
    <row r="52" spans="2:12">
      <c r="B52" t="s">
        <v>115</v>
      </c>
      <c r="C52" s="62">
        <f>SUM(C49:C51)</f>
        <v>40833745.548523389</v>
      </c>
      <c r="D52">
        <f>C52/C$52</f>
        <v>1</v>
      </c>
      <c r="E52" s="62">
        <f>SUM(E50:E51)</f>
        <v>19748996.810827859</v>
      </c>
      <c r="F52">
        <f>E52/E$52</f>
        <v>1</v>
      </c>
    </row>
    <row r="53" spans="2:12">
      <c r="C53" s="62"/>
    </row>
    <row r="54" spans="2:12">
      <c r="C54" s="156"/>
      <c r="D54" s="156"/>
      <c r="E54" s="156"/>
      <c r="F54" s="156"/>
      <c r="G54" s="156"/>
      <c r="H54" s="156"/>
      <c r="I54" s="156"/>
      <c r="J54" s="156"/>
      <c r="K54" s="156"/>
      <c r="L54" s="156"/>
    </row>
    <row r="55" spans="2:12">
      <c r="B55" t="s">
        <v>1</v>
      </c>
      <c r="C55">
        <v>2009</v>
      </c>
      <c r="D55">
        <f t="shared" ref="D55:L55" si="7">C55+1</f>
        <v>2010</v>
      </c>
      <c r="E55">
        <f t="shared" si="7"/>
        <v>2011</v>
      </c>
      <c r="F55">
        <f t="shared" si="7"/>
        <v>2012</v>
      </c>
      <c r="G55">
        <f t="shared" si="7"/>
        <v>2013</v>
      </c>
      <c r="H55">
        <f t="shared" si="7"/>
        <v>2014</v>
      </c>
      <c r="I55">
        <f t="shared" si="7"/>
        <v>2015</v>
      </c>
      <c r="J55">
        <f t="shared" si="7"/>
        <v>2016</v>
      </c>
      <c r="K55">
        <f t="shared" si="7"/>
        <v>2017</v>
      </c>
      <c r="L55">
        <f t="shared" si="7"/>
        <v>2018</v>
      </c>
    </row>
    <row r="56" spans="2:12">
      <c r="B56">
        <v>2009</v>
      </c>
      <c r="C56">
        <f>C$4*$D$49/2</f>
        <v>848858.03416797938</v>
      </c>
      <c r="D56">
        <f t="shared" ref="D56:L56" si="8">D$4*$D$49</f>
        <v>1528356.6003691263</v>
      </c>
      <c r="E56">
        <f t="shared" si="8"/>
        <v>1528356.6003691263</v>
      </c>
      <c r="F56">
        <f t="shared" si="8"/>
        <v>1527996.2200742213</v>
      </c>
      <c r="G56">
        <f t="shared" si="8"/>
        <v>1521952.9363613017</v>
      </c>
      <c r="H56">
        <f t="shared" si="8"/>
        <v>1497301.4190725731</v>
      </c>
      <c r="I56">
        <f t="shared" si="8"/>
        <v>1465368.4170917117</v>
      </c>
      <c r="J56">
        <f t="shared" si="8"/>
        <v>1464671.6619052982</v>
      </c>
      <c r="K56">
        <f t="shared" si="8"/>
        <v>1067942.3140662077</v>
      </c>
      <c r="L56">
        <f t="shared" si="8"/>
        <v>614010.82103345357</v>
      </c>
    </row>
    <row r="57" spans="2:12">
      <c r="B57">
        <f>B56+1</f>
        <v>2010</v>
      </c>
      <c r="C57">
        <f>C$5*$D$49/2</f>
        <v>0</v>
      </c>
      <c r="D57">
        <f>D$5*$D$49/2</f>
        <v>472671.54199063027</v>
      </c>
      <c r="E57">
        <f t="shared" ref="E57:L57" si="9">E$5*$D$49</f>
        <v>641095.03162560926</v>
      </c>
      <c r="F57">
        <f t="shared" si="9"/>
        <v>639194.63255753787</v>
      </c>
      <c r="G57">
        <f t="shared" si="9"/>
        <v>639051.66886614601</v>
      </c>
      <c r="H57">
        <f t="shared" si="9"/>
        <v>629678.46745180199</v>
      </c>
      <c r="I57">
        <f t="shared" si="9"/>
        <v>573350.17427287332</v>
      </c>
      <c r="J57">
        <f t="shared" si="9"/>
        <v>566313.68579453882</v>
      </c>
      <c r="K57">
        <f t="shared" si="9"/>
        <v>510658.73023642774</v>
      </c>
      <c r="L57">
        <f t="shared" si="9"/>
        <v>393114.25856442924</v>
      </c>
    </row>
    <row r="58" spans="2:12">
      <c r="B58">
        <f t="shared" ref="B58:B63" si="10">B57+1</f>
        <v>2011</v>
      </c>
      <c r="C58">
        <f t="shared" ref="C58:D63" si="11">C15</f>
        <v>0</v>
      </c>
      <c r="D58">
        <f t="shared" si="11"/>
        <v>0</v>
      </c>
      <c r="E58">
        <f>E15/2</f>
        <v>414657.27156204742</v>
      </c>
      <c r="F58">
        <f t="shared" ref="F58:L58" si="12">F15</f>
        <v>829314.54312409484</v>
      </c>
      <c r="G58">
        <f t="shared" si="12"/>
        <v>829314.54312409484</v>
      </c>
      <c r="H58">
        <f t="shared" si="12"/>
        <v>827312.5281787049</v>
      </c>
      <c r="I58">
        <f t="shared" si="12"/>
        <v>789121.71410089894</v>
      </c>
      <c r="J58">
        <f t="shared" si="12"/>
        <v>722650.49001296412</v>
      </c>
      <c r="K58">
        <f t="shared" si="12"/>
        <v>661767.06434641941</v>
      </c>
      <c r="L58">
        <f t="shared" si="12"/>
        <v>660820.63699511695</v>
      </c>
    </row>
    <row r="59" spans="2:12">
      <c r="B59">
        <f t="shared" si="10"/>
        <v>2012</v>
      </c>
      <c r="C59">
        <f t="shared" si="11"/>
        <v>0</v>
      </c>
      <c r="D59">
        <f t="shared" si="11"/>
        <v>0</v>
      </c>
      <c r="E59">
        <f>E16</f>
        <v>-54023.284301090185</v>
      </c>
      <c r="F59">
        <f>F16/2</f>
        <v>243897.44006260892</v>
      </c>
      <c r="G59">
        <f t="shared" ref="G59:L59" si="13">G16</f>
        <v>487794.88058298151</v>
      </c>
      <c r="H59">
        <f t="shared" si="13"/>
        <v>487794.88058298151</v>
      </c>
      <c r="I59">
        <f t="shared" si="13"/>
        <v>487603.92025510618</v>
      </c>
      <c r="J59">
        <f t="shared" si="13"/>
        <v>457695.66655077535</v>
      </c>
      <c r="K59">
        <f t="shared" si="13"/>
        <v>412053.04910819349</v>
      </c>
      <c r="L59">
        <f t="shared" si="13"/>
        <v>352049.33192057267</v>
      </c>
    </row>
    <row r="60" spans="2:12">
      <c r="B60">
        <f t="shared" si="10"/>
        <v>2013</v>
      </c>
      <c r="C60">
        <f t="shared" si="11"/>
        <v>0</v>
      </c>
      <c r="D60">
        <f t="shared" si="11"/>
        <v>0</v>
      </c>
      <c r="E60">
        <f>E17</f>
        <v>0</v>
      </c>
      <c r="F60">
        <f>F17</f>
        <v>5381.7411882030692</v>
      </c>
      <c r="G60">
        <f>G17/2</f>
        <v>399130.64629253914</v>
      </c>
      <c r="H60">
        <f>H17</f>
        <v>788886.06940453139</v>
      </c>
      <c r="I60">
        <f>I17</f>
        <v>770008.34556074138</v>
      </c>
      <c r="J60">
        <f>J17</f>
        <v>707457.94912564149</v>
      </c>
      <c r="K60">
        <f>K17</f>
        <v>677970.65311223618</v>
      </c>
      <c r="L60">
        <f>L17</f>
        <v>660157.67103651899</v>
      </c>
    </row>
    <row r="61" spans="2:12">
      <c r="B61">
        <f t="shared" si="10"/>
        <v>2014</v>
      </c>
      <c r="C61">
        <f t="shared" si="11"/>
        <v>0</v>
      </c>
      <c r="D61">
        <f t="shared" si="11"/>
        <v>0</v>
      </c>
      <c r="E61">
        <f>E18</f>
        <v>0</v>
      </c>
      <c r="F61">
        <f>F18</f>
        <v>0</v>
      </c>
      <c r="G61">
        <f>G18</f>
        <v>8848.6797703000011</v>
      </c>
      <c r="H61">
        <f>H18/2</f>
        <v>685321.82212717249</v>
      </c>
      <c r="I61">
        <f>I18</f>
        <v>1251265.600929345</v>
      </c>
      <c r="J61">
        <f>J18</f>
        <v>1189159.3556603447</v>
      </c>
      <c r="K61">
        <f>K18</f>
        <v>1188951.2674943449</v>
      </c>
      <c r="L61">
        <f>L18</f>
        <v>1171680.5665873368</v>
      </c>
    </row>
    <row r="62" spans="2:12">
      <c r="B62">
        <f t="shared" si="10"/>
        <v>2015</v>
      </c>
      <c r="C62">
        <f t="shared" si="11"/>
        <v>0</v>
      </c>
      <c r="D62">
        <f t="shared" si="11"/>
        <v>0</v>
      </c>
      <c r="E62">
        <f>E19</f>
        <v>0</v>
      </c>
      <c r="F62">
        <f>F19</f>
        <v>0</v>
      </c>
      <c r="G62">
        <f>G19</f>
        <v>0</v>
      </c>
      <c r="H62">
        <f>H19</f>
        <v>0</v>
      </c>
      <c r="I62">
        <f>I19/2</f>
        <v>724328.5</v>
      </c>
      <c r="J62">
        <f>J19</f>
        <v>1434097</v>
      </c>
      <c r="K62">
        <f>K19</f>
        <v>1434097</v>
      </c>
      <c r="L62">
        <f>L19</f>
        <v>1434097</v>
      </c>
    </row>
    <row r="63" spans="2:12">
      <c r="B63">
        <f t="shared" si="10"/>
        <v>2016</v>
      </c>
      <c r="C63">
        <f t="shared" si="11"/>
        <v>0</v>
      </c>
      <c r="D63">
        <f t="shared" si="11"/>
        <v>0</v>
      </c>
      <c r="E63">
        <f>E20</f>
        <v>0</v>
      </c>
      <c r="F63">
        <f>F20</f>
        <v>0</v>
      </c>
      <c r="G63">
        <f>G20</f>
        <v>0</v>
      </c>
      <c r="H63">
        <f>H20</f>
        <v>0</v>
      </c>
      <c r="I63">
        <f>I20</f>
        <v>0</v>
      </c>
      <c r="J63">
        <f>J20/2</f>
        <v>1684744.5</v>
      </c>
      <c r="K63">
        <f>K20</f>
        <v>3369489</v>
      </c>
      <c r="L63">
        <f>L20</f>
        <v>3369489</v>
      </c>
    </row>
    <row r="64" spans="2:12">
      <c r="B64" t="s">
        <v>115</v>
      </c>
      <c r="C64">
        <f t="shared" ref="C64:L64" si="14">SUM(C56:C63)</f>
        <v>848858.03416797938</v>
      </c>
      <c r="D64">
        <f t="shared" si="14"/>
        <v>2001028.1423597566</v>
      </c>
      <c r="E64">
        <f t="shared" si="14"/>
        <v>2530085.6192556927</v>
      </c>
      <c r="F64">
        <f t="shared" si="14"/>
        <v>3245784.5770066655</v>
      </c>
      <c r="G64">
        <f t="shared" si="14"/>
        <v>3886093.3549973639</v>
      </c>
      <c r="H64">
        <f t="shared" si="14"/>
        <v>4916295.1868177652</v>
      </c>
      <c r="I64">
        <f t="shared" si="14"/>
        <v>6061046.6722106766</v>
      </c>
      <c r="J64">
        <f t="shared" si="14"/>
        <v>8226790.3090495626</v>
      </c>
      <c r="K64">
        <f t="shared" si="14"/>
        <v>9322929.0783638284</v>
      </c>
      <c r="L64">
        <f t="shared" si="14"/>
        <v>8655419.2861374281</v>
      </c>
    </row>
    <row r="66" spans="2:12">
      <c r="C66" s="156"/>
      <c r="D66" s="156"/>
      <c r="E66" s="156"/>
      <c r="F66" s="156"/>
      <c r="G66" s="156"/>
      <c r="H66" s="156"/>
      <c r="I66" s="156"/>
      <c r="J66" s="156"/>
      <c r="K66" s="156"/>
      <c r="L66" s="156"/>
    </row>
    <row r="67" spans="2:12">
      <c r="B67" t="s">
        <v>98</v>
      </c>
      <c r="C67">
        <v>2009</v>
      </c>
      <c r="D67">
        <f t="shared" ref="D67:L67" si="15">C67+1</f>
        <v>2010</v>
      </c>
      <c r="E67">
        <f t="shared" si="15"/>
        <v>2011</v>
      </c>
      <c r="F67">
        <f t="shared" si="15"/>
        <v>2012</v>
      </c>
      <c r="G67">
        <f t="shared" si="15"/>
        <v>2013</v>
      </c>
      <c r="H67">
        <f t="shared" si="15"/>
        <v>2014</v>
      </c>
      <c r="I67">
        <f t="shared" si="15"/>
        <v>2015</v>
      </c>
      <c r="J67">
        <f t="shared" si="15"/>
        <v>2016</v>
      </c>
      <c r="K67">
        <f t="shared" si="15"/>
        <v>2017</v>
      </c>
      <c r="L67">
        <f t="shared" si="15"/>
        <v>2018</v>
      </c>
    </row>
    <row r="68" spans="2:12">
      <c r="B68">
        <v>2009</v>
      </c>
      <c r="C68">
        <f>C$4*$D$50/2</f>
        <v>223864.0743780059</v>
      </c>
      <c r="D68">
        <f t="shared" ref="D68:L68" si="16">D$4*$D$50</f>
        <v>403064.02471233939</v>
      </c>
      <c r="E68">
        <f t="shared" si="16"/>
        <v>403064.02471233939</v>
      </c>
      <c r="F68">
        <f t="shared" si="16"/>
        <v>402968.9838481482</v>
      </c>
      <c r="G68">
        <f t="shared" si="16"/>
        <v>401375.22604632389</v>
      </c>
      <c r="H68">
        <f t="shared" si="16"/>
        <v>394874.03400039626</v>
      </c>
      <c r="I68">
        <f t="shared" si="16"/>
        <v>386452.54107365099</v>
      </c>
      <c r="J68">
        <f t="shared" si="16"/>
        <v>386268.79014169757</v>
      </c>
      <c r="K68">
        <f t="shared" si="16"/>
        <v>281641.81524401665</v>
      </c>
      <c r="L68">
        <f t="shared" si="16"/>
        <v>161929.27271220565</v>
      </c>
    </row>
    <row r="69" spans="2:12">
      <c r="B69">
        <f>B68+1</f>
        <v>2010</v>
      </c>
      <c r="C69">
        <f>C$5*$D$51</f>
        <v>0</v>
      </c>
      <c r="D69">
        <f>D$5*$D$51/2</f>
        <v>318072.31827609905</v>
      </c>
      <c r="E69">
        <f t="shared" ref="E69:L69" si="17">E$5*$D$51</f>
        <v>431408.63121496898</v>
      </c>
      <c r="F69">
        <f t="shared" si="17"/>
        <v>430129.80589223956</v>
      </c>
      <c r="G69">
        <f t="shared" si="17"/>
        <v>430033.6021043855</v>
      </c>
      <c r="H69">
        <f t="shared" si="17"/>
        <v>423726.14409459423</v>
      </c>
      <c r="I69">
        <f t="shared" si="17"/>
        <v>385821.44875265885</v>
      </c>
      <c r="J69">
        <f t="shared" si="17"/>
        <v>381086.422409839</v>
      </c>
      <c r="K69">
        <f t="shared" si="17"/>
        <v>343634.83253123245</v>
      </c>
      <c r="L69">
        <f t="shared" si="17"/>
        <v>264536.26347459789</v>
      </c>
    </row>
    <row r="70" spans="2:12">
      <c r="B70">
        <f t="shared" ref="B70:B75" si="18">B69+1</f>
        <v>2011</v>
      </c>
      <c r="C70">
        <f t="shared" ref="C70:D75" si="19">(C27+C39)*$F$50</f>
        <v>0</v>
      </c>
      <c r="D70">
        <f t="shared" si="19"/>
        <v>0</v>
      </c>
      <c r="E70">
        <f>(E27+E39)*$F$50/2</f>
        <v>187771.02020615229</v>
      </c>
      <c r="F70">
        <f t="shared" ref="F70:L70" si="20">(F27+F39)*$F$50</f>
        <v>344572.45178865659</v>
      </c>
      <c r="G70">
        <f t="shared" si="20"/>
        <v>344572.45178865659</v>
      </c>
      <c r="H70">
        <f t="shared" si="20"/>
        <v>329926.41822103586</v>
      </c>
      <c r="I70">
        <f t="shared" si="20"/>
        <v>329926.41822103586</v>
      </c>
      <c r="J70">
        <f t="shared" si="20"/>
        <v>328963.9778153465</v>
      </c>
      <c r="K70">
        <f t="shared" si="20"/>
        <v>310230.69472420466</v>
      </c>
      <c r="L70">
        <f t="shared" si="20"/>
        <v>310230.69472420466</v>
      </c>
    </row>
    <row r="71" spans="2:12">
      <c r="B71">
        <f t="shared" si="18"/>
        <v>2012</v>
      </c>
      <c r="C71">
        <f t="shared" si="19"/>
        <v>0</v>
      </c>
      <c r="D71">
        <f t="shared" si="19"/>
        <v>0</v>
      </c>
      <c r="E71">
        <f>(E28+E40)*$F$50</f>
        <v>0</v>
      </c>
      <c r="F71">
        <f>(F28+F40)*$F$50/2</f>
        <v>237968.38407718847</v>
      </c>
      <c r="G71">
        <f t="shared" ref="G71:L71" si="21">(G28+G40)*$F$50</f>
        <v>462872.76439118281</v>
      </c>
      <c r="H71">
        <f t="shared" si="21"/>
        <v>456398.60054065613</v>
      </c>
      <c r="I71">
        <f t="shared" si="21"/>
        <v>435134.18084125395</v>
      </c>
      <c r="J71">
        <f t="shared" si="21"/>
        <v>428045.52567808569</v>
      </c>
      <c r="K71">
        <f t="shared" si="21"/>
        <v>417625.86651995423</v>
      </c>
      <c r="L71">
        <f t="shared" si="21"/>
        <v>417283.99628617143</v>
      </c>
    </row>
    <row r="72" spans="2:12">
      <c r="B72">
        <f t="shared" si="18"/>
        <v>2013</v>
      </c>
      <c r="C72">
        <f t="shared" si="19"/>
        <v>0</v>
      </c>
      <c r="D72">
        <f t="shared" si="19"/>
        <v>0</v>
      </c>
      <c r="E72">
        <f>(E29+E41)*$F$50</f>
        <v>0</v>
      </c>
      <c r="F72">
        <f>(F29+F41)*$F$50</f>
        <v>29600.031782625814</v>
      </c>
      <c r="G72">
        <f>(G29+G41)*$F$50/2</f>
        <v>219484.52026806615</v>
      </c>
      <c r="H72">
        <f>(H29+H41)*$F$50</f>
        <v>402994.38995164895</v>
      </c>
      <c r="I72">
        <f>(I29+I41)*$F$50</f>
        <v>397796.98790173023</v>
      </c>
      <c r="J72">
        <f>(J29+J41)*$F$50</f>
        <v>383128.9994815255</v>
      </c>
      <c r="K72">
        <f>(K29+K41)*$F$50</f>
        <v>264646.85009899514</v>
      </c>
      <c r="L72">
        <f>(L29+L41)*$F$50</f>
        <v>263431.38608431694</v>
      </c>
    </row>
    <row r="73" spans="2:12">
      <c r="B73">
        <f t="shared" si="18"/>
        <v>2014</v>
      </c>
      <c r="C73">
        <f t="shared" si="19"/>
        <v>0</v>
      </c>
      <c r="D73">
        <f t="shared" si="19"/>
        <v>0</v>
      </c>
      <c r="E73">
        <f>(E30+E42)*$F$50</f>
        <v>0</v>
      </c>
      <c r="F73">
        <f>(F30+F42)*$F$50</f>
        <v>0</v>
      </c>
      <c r="G73">
        <f>(G30+G42)*$F$50</f>
        <v>43242.9682949208</v>
      </c>
      <c r="H73">
        <f>(H30+H42)*$F$50/2</f>
        <v>335825.24685175624</v>
      </c>
      <c r="I73">
        <f>(I30+I42)*$F$50</f>
        <v>662802.63956444757</v>
      </c>
      <c r="J73">
        <f>(J30+J42)*$F$50</f>
        <v>659803.43914373685</v>
      </c>
      <c r="K73">
        <f>(K30+K42)*$F$50</f>
        <v>692192.82179233967</v>
      </c>
      <c r="L73">
        <f>(L30+L42)*$F$50</f>
        <v>691605.15259113442</v>
      </c>
    </row>
    <row r="74" spans="2:12">
      <c r="B74">
        <f t="shared" si="18"/>
        <v>2015</v>
      </c>
      <c r="C74">
        <f t="shared" si="19"/>
        <v>0</v>
      </c>
      <c r="D74">
        <f t="shared" si="19"/>
        <v>0</v>
      </c>
      <c r="E74">
        <f>(E31+E43)*$F$50</f>
        <v>0</v>
      </c>
      <c r="F74">
        <f>(F31+F43)*$F$50</f>
        <v>0</v>
      </c>
      <c r="G74">
        <f>(G31+G43)*$F$50</f>
        <v>0</v>
      </c>
      <c r="H74">
        <f>(H31+H43)*$F$50</f>
        <v>0</v>
      </c>
      <c r="I74">
        <f>(1292562+624054)/2</f>
        <v>958308</v>
      </c>
      <c r="J74">
        <f>1289135+624054</f>
        <v>1913189</v>
      </c>
      <c r="K74">
        <f>1286898+624054</f>
        <v>1910952</v>
      </c>
      <c r="L74">
        <f>1286898+624054</f>
        <v>1910952</v>
      </c>
    </row>
    <row r="75" spans="2:12">
      <c r="B75">
        <f t="shared" si="18"/>
        <v>2016</v>
      </c>
      <c r="C75">
        <f t="shared" si="19"/>
        <v>0</v>
      </c>
      <c r="D75">
        <f t="shared" si="19"/>
        <v>0</v>
      </c>
      <c r="E75">
        <f>(E32+E44)*$F$50</f>
        <v>0</v>
      </c>
      <c r="F75">
        <f>(F32+F44)*$F$50</f>
        <v>0</v>
      </c>
      <c r="G75">
        <f>(G32+G44)*$F$50</f>
        <v>0</v>
      </c>
      <c r="H75">
        <f>(H32+H44)*$F$50</f>
        <v>0</v>
      </c>
      <c r="I75">
        <f>(I32+I44)*$F$50</f>
        <v>0</v>
      </c>
      <c r="J75">
        <f>742364/2</f>
        <v>371182</v>
      </c>
      <c r="K75" s="132">
        <f>738563</f>
        <v>738563</v>
      </c>
      <c r="L75" s="132">
        <f>738563</f>
        <v>738563</v>
      </c>
    </row>
    <row r="76" spans="2:12">
      <c r="B76" t="s">
        <v>115</v>
      </c>
      <c r="C76">
        <f t="shared" ref="C76:L76" si="22">SUM(C68:C75)</f>
        <v>223864.0743780059</v>
      </c>
      <c r="D76">
        <f t="shared" si="22"/>
        <v>721136.34298843844</v>
      </c>
      <c r="E76">
        <f t="shared" si="22"/>
        <v>1022243.6761334606</v>
      </c>
      <c r="F76">
        <f t="shared" si="22"/>
        <v>1445239.6573888587</v>
      </c>
      <c r="G76">
        <f t="shared" si="22"/>
        <v>1901581.5328935359</v>
      </c>
      <c r="H76">
        <f t="shared" si="22"/>
        <v>2343744.8336600875</v>
      </c>
      <c r="I76">
        <f t="shared" si="22"/>
        <v>3556242.2163547771</v>
      </c>
      <c r="J76">
        <f t="shared" si="22"/>
        <v>4851668.154670231</v>
      </c>
      <c r="K76">
        <f t="shared" si="22"/>
        <v>4959487.880910743</v>
      </c>
      <c r="L76">
        <f t="shared" si="22"/>
        <v>4758531.7658726312</v>
      </c>
    </row>
    <row r="78" spans="2:12">
      <c r="C78" s="156"/>
      <c r="D78" s="156"/>
      <c r="E78" s="156"/>
      <c r="F78" s="156"/>
      <c r="G78" s="156"/>
      <c r="H78" s="156"/>
      <c r="I78" s="156"/>
      <c r="J78" s="156"/>
      <c r="K78" s="156"/>
      <c r="L78" s="156"/>
    </row>
    <row r="79" spans="2:12">
      <c r="B79" t="s">
        <v>99</v>
      </c>
      <c r="C79">
        <v>2009</v>
      </c>
      <c r="D79">
        <f t="shared" ref="D79:L79" si="23">C79+1</f>
        <v>2010</v>
      </c>
      <c r="E79">
        <f t="shared" si="23"/>
        <v>2011</v>
      </c>
      <c r="F79">
        <f t="shared" si="23"/>
        <v>2012</v>
      </c>
      <c r="G79">
        <f t="shared" si="23"/>
        <v>2013</v>
      </c>
      <c r="H79">
        <f t="shared" si="23"/>
        <v>2014</v>
      </c>
      <c r="I79">
        <f t="shared" si="23"/>
        <v>2015</v>
      </c>
      <c r="J79">
        <f t="shared" si="23"/>
        <v>2016</v>
      </c>
      <c r="K79">
        <f t="shared" si="23"/>
        <v>2017</v>
      </c>
      <c r="L79">
        <f t="shared" si="23"/>
        <v>2018</v>
      </c>
    </row>
    <row r="80" spans="2:12">
      <c r="B80">
        <v>2009</v>
      </c>
      <c r="C80">
        <f>C$4*$D$51/2</f>
        <v>571217.47096941457</v>
      </c>
      <c r="D80">
        <f t="shared" ref="D80:L80" si="24">D$4*$D$51</f>
        <v>1028468.7861356838</v>
      </c>
      <c r="E80">
        <f t="shared" si="24"/>
        <v>1028468.7861356838</v>
      </c>
      <c r="F80">
        <f t="shared" si="24"/>
        <v>1028226.2773623003</v>
      </c>
      <c r="G80">
        <f t="shared" si="24"/>
        <v>1024159.6029598742</v>
      </c>
      <c r="H80">
        <f t="shared" si="24"/>
        <v>1007570.9900300002</v>
      </c>
      <c r="I80">
        <f t="shared" si="24"/>
        <v>986082.48677297716</v>
      </c>
      <c r="J80">
        <f t="shared" si="24"/>
        <v>985613.62305319379</v>
      </c>
      <c r="K80">
        <f t="shared" si="24"/>
        <v>718644.67699837533</v>
      </c>
      <c r="L80">
        <f t="shared" si="24"/>
        <v>413182.99906575069</v>
      </c>
    </row>
    <row r="81" spans="2:12">
      <c r="B81">
        <f>B80+1</f>
        <v>2010</v>
      </c>
      <c r="C81">
        <f>C$5*$D$51</f>
        <v>0</v>
      </c>
      <c r="D81">
        <f>D$5*$D$51/2</f>
        <v>318072.31827609905</v>
      </c>
      <c r="E81">
        <f t="shared" ref="E81:L81" si="25">E$5*$D$51</f>
        <v>431408.63121496898</v>
      </c>
      <c r="F81">
        <f t="shared" si="25"/>
        <v>430129.80589223956</v>
      </c>
      <c r="G81">
        <f t="shared" si="25"/>
        <v>430033.6021043855</v>
      </c>
      <c r="H81">
        <f t="shared" si="25"/>
        <v>423726.14409459423</v>
      </c>
      <c r="I81">
        <f t="shared" si="25"/>
        <v>385821.44875265885</v>
      </c>
      <c r="J81">
        <f t="shared" si="25"/>
        <v>381086.422409839</v>
      </c>
      <c r="K81">
        <f t="shared" si="25"/>
        <v>343634.83253123245</v>
      </c>
      <c r="L81">
        <f t="shared" si="25"/>
        <v>264536.26347459789</v>
      </c>
    </row>
    <row r="82" spans="2:12">
      <c r="B82">
        <f t="shared" ref="B82:B87" si="26">B81+1</f>
        <v>2011</v>
      </c>
      <c r="C82">
        <f t="shared" ref="C82:D87" si="27">(C27+C39)*$F$51</f>
        <v>0</v>
      </c>
      <c r="D82">
        <f t="shared" si="27"/>
        <v>0</v>
      </c>
      <c r="E82">
        <f>(E27+E39)*$F$51/2</f>
        <v>479121.48289767304</v>
      </c>
      <c r="F82">
        <f t="shared" ref="F82:L82" si="28">(F27+F39)*$F$51</f>
        <v>879220.14741899387</v>
      </c>
      <c r="G82">
        <f t="shared" si="28"/>
        <v>879220.14741899387</v>
      </c>
      <c r="H82">
        <f t="shared" si="28"/>
        <v>841848.94224695303</v>
      </c>
      <c r="I82">
        <f t="shared" si="28"/>
        <v>841848.94224695303</v>
      </c>
      <c r="J82">
        <f t="shared" si="28"/>
        <v>839393.15394762845</v>
      </c>
      <c r="K82">
        <f t="shared" si="28"/>
        <v>791592.81519292796</v>
      </c>
      <c r="L82">
        <f t="shared" si="28"/>
        <v>791592.81519292796</v>
      </c>
    </row>
    <row r="83" spans="2:12">
      <c r="B83">
        <f t="shared" si="26"/>
        <v>2012</v>
      </c>
      <c r="C83">
        <f t="shared" si="27"/>
        <v>0</v>
      </c>
      <c r="D83">
        <f t="shared" si="27"/>
        <v>0</v>
      </c>
      <c r="E83">
        <f>(E28+E40)*$F$51</f>
        <v>0</v>
      </c>
      <c r="F83">
        <f>(F28+F40)*$F$51/2</f>
        <v>607206.39924440184</v>
      </c>
      <c r="G83">
        <f t="shared" ref="G83:L83" si="29">(G28+G40)*$F$51</f>
        <v>1181078.3422519979</v>
      </c>
      <c r="H83">
        <f t="shared" si="29"/>
        <v>1164558.695177698</v>
      </c>
      <c r="I83">
        <f t="shared" si="29"/>
        <v>1110299.8415582713</v>
      </c>
      <c r="J83">
        <f t="shared" si="29"/>
        <v>1092212.2422588766</v>
      </c>
      <c r="K83">
        <f t="shared" si="29"/>
        <v>1065625.1653944526</v>
      </c>
      <c r="L83">
        <f t="shared" si="29"/>
        <v>1064752.8402977006</v>
      </c>
    </row>
    <row r="84" spans="2:12">
      <c r="B84">
        <f t="shared" si="26"/>
        <v>2013</v>
      </c>
      <c r="C84">
        <f t="shared" si="27"/>
        <v>0</v>
      </c>
      <c r="D84">
        <f t="shared" si="27"/>
        <v>0</v>
      </c>
      <c r="E84">
        <f>(E29+E41)*$F$51</f>
        <v>0</v>
      </c>
      <c r="F84">
        <f>(F29+F41)*$F$51</f>
        <v>75528.221053172194</v>
      </c>
      <c r="G84">
        <f>(G29+G41)*$F$51/2</f>
        <v>560042.48530186492</v>
      </c>
      <c r="H84">
        <f>(H29+H41)*$F$51</f>
        <v>1028291.1042454399</v>
      </c>
      <c r="I84">
        <f>(I29+I41)*$F$51</f>
        <v>1015029.2762240631</v>
      </c>
      <c r="J84">
        <f>(J29+J41)*$F$51</f>
        <v>977602.05047166173</v>
      </c>
      <c r="K84">
        <f>(K29+K41)*$F$51</f>
        <v>675279.87611942599</v>
      </c>
      <c r="L84">
        <f>(L29+L41)*$F$51</f>
        <v>672178.46611226921</v>
      </c>
    </row>
    <row r="85" spans="2:12">
      <c r="B85">
        <f t="shared" si="26"/>
        <v>2014</v>
      </c>
      <c r="C85">
        <f t="shared" si="27"/>
        <v>0</v>
      </c>
      <c r="D85">
        <f t="shared" si="27"/>
        <v>0</v>
      </c>
      <c r="E85">
        <f>(E30+E42)*$F$51</f>
        <v>0</v>
      </c>
      <c r="F85">
        <f>(F30+F42)*$F$51</f>
        <v>0</v>
      </c>
      <c r="G85">
        <f>(G30+G42)*$F$51</f>
        <v>110339.89734737923</v>
      </c>
      <c r="H85">
        <f>(H30+H42)*$F$51/2</f>
        <v>856900.54881439393</v>
      </c>
      <c r="I85">
        <f>(I30+I42)*$F$51</f>
        <v>1691224.6798678527</v>
      </c>
      <c r="J85">
        <f>(J30+J42)*$F$51</f>
        <v>1683571.8410458632</v>
      </c>
      <c r="K85">
        <f>(K30+K42)*$F$51</f>
        <v>1766217.4432676607</v>
      </c>
      <c r="L85">
        <f>(L30+L42)*$F$51</f>
        <v>1764717.9310488654</v>
      </c>
    </row>
    <row r="86" spans="2:12">
      <c r="B86">
        <f t="shared" si="26"/>
        <v>2015</v>
      </c>
      <c r="C86">
        <f t="shared" si="27"/>
        <v>0</v>
      </c>
      <c r="D86">
        <f t="shared" si="27"/>
        <v>0</v>
      </c>
      <c r="E86">
        <f>(E31+E43)*$F$51</f>
        <v>0</v>
      </c>
      <c r="F86">
        <f>(F31+F43)*$F$51</f>
        <v>0</v>
      </c>
      <c r="G86">
        <f>(G31+G43)*$F$51</f>
        <v>0</v>
      </c>
      <c r="H86">
        <f>(H31+H43)*$F$51</f>
        <v>0</v>
      </c>
      <c r="I86">
        <f>(10160428+832824)/2</f>
        <v>5496626</v>
      </c>
      <c r="J86">
        <f>10160428+832824</f>
        <v>10993252</v>
      </c>
      <c r="K86">
        <f>10158402+791398</f>
        <v>10949800</v>
      </c>
      <c r="L86">
        <f>10158402+791398</f>
        <v>10949800</v>
      </c>
    </row>
    <row r="87" spans="2:12">
      <c r="B87">
        <f t="shared" si="26"/>
        <v>2016</v>
      </c>
      <c r="C87">
        <f t="shared" si="27"/>
        <v>0</v>
      </c>
      <c r="D87">
        <f t="shared" si="27"/>
        <v>0</v>
      </c>
      <c r="E87">
        <f>(E32+E44)*$F$51</f>
        <v>0</v>
      </c>
      <c r="F87">
        <f>(F32+F44)*$F$51</f>
        <v>0</v>
      </c>
      <c r="G87">
        <f>(G32+G44)*$F$51</f>
        <v>0</v>
      </c>
      <c r="H87">
        <f>(H32+H44)*$F$51</f>
        <v>0</v>
      </c>
      <c r="I87">
        <f>(I32+I44)*$F$51</f>
        <v>0</v>
      </c>
      <c r="J87">
        <f>748935/2</f>
        <v>374467.5</v>
      </c>
      <c r="K87" s="132">
        <f>748935</f>
        <v>748935</v>
      </c>
      <c r="L87" s="132">
        <f>748935</f>
        <v>748935</v>
      </c>
    </row>
    <row r="88" spans="2:12">
      <c r="B88" t="s">
        <v>115</v>
      </c>
      <c r="C88">
        <f t="shared" ref="C88:L88" si="30">SUM(C80:C87)</f>
        <v>571217.47096941457</v>
      </c>
      <c r="D88">
        <f t="shared" si="30"/>
        <v>1346541.1044117827</v>
      </c>
      <c r="E88">
        <f t="shared" si="30"/>
        <v>1938998.9002483257</v>
      </c>
      <c r="F88">
        <f t="shared" si="30"/>
        <v>3020310.8509711078</v>
      </c>
      <c r="G88">
        <f t="shared" si="30"/>
        <v>4184874.0773844952</v>
      </c>
      <c r="H88">
        <f t="shared" si="30"/>
        <v>5322896.424609079</v>
      </c>
      <c r="I88">
        <f t="shared" si="30"/>
        <v>11526932.675422776</v>
      </c>
      <c r="J88">
        <f t="shared" si="30"/>
        <v>17327198.833187062</v>
      </c>
      <c r="K88">
        <f t="shared" si="30"/>
        <v>17059729.809504077</v>
      </c>
      <c r="L88">
        <f t="shared" si="30"/>
        <v>16669696.315192111</v>
      </c>
    </row>
    <row r="90" spans="2:12">
      <c r="C90" s="156"/>
      <c r="D90" s="156"/>
      <c r="E90" s="156"/>
      <c r="F90" s="156"/>
      <c r="G90" s="156"/>
      <c r="H90" s="156"/>
      <c r="I90" s="156"/>
      <c r="J90" s="156"/>
      <c r="K90" s="156"/>
      <c r="L90" s="156"/>
    </row>
    <row r="91" spans="2:12">
      <c r="B91" t="s">
        <v>208</v>
      </c>
    </row>
    <row r="92" spans="2:12">
      <c r="B92">
        <v>2016</v>
      </c>
      <c r="J92">
        <f>2217234/2</f>
        <v>1108617</v>
      </c>
      <c r="K92" s="144">
        <f>2205832</f>
        <v>2205832</v>
      </c>
      <c r="L92" s="144">
        <f>2205832</f>
        <v>2205832</v>
      </c>
    </row>
  </sheetData>
  <mergeCells count="8">
    <mergeCell ref="C66:L66"/>
    <mergeCell ref="C78:L78"/>
    <mergeCell ref="C90:L90"/>
    <mergeCell ref="C2:L2"/>
    <mergeCell ref="C13:L13"/>
    <mergeCell ref="C25:L25"/>
    <mergeCell ref="C37:L37"/>
    <mergeCell ref="C54:L5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265"/>
  <sheetViews>
    <sheetView workbookViewId="0">
      <selection activeCell="F64" sqref="F64"/>
    </sheetView>
  </sheetViews>
  <sheetFormatPr defaultColWidth="8.85546875" defaultRowHeight="12.75"/>
  <cols>
    <col min="1" max="1" width="10.7109375" style="6" customWidth="1"/>
    <col min="2" max="2" width="9.7109375" style="6" customWidth="1"/>
    <col min="3" max="4" width="8.85546875" style="6"/>
    <col min="5" max="5" width="20.7109375" style="6" customWidth="1"/>
    <col min="6" max="6" width="8.85546875" style="6"/>
    <col min="7" max="7" width="9.7109375" style="6" customWidth="1"/>
    <col min="8" max="9" width="8.85546875" style="6"/>
    <col min="10" max="10" width="18.140625" style="6" customWidth="1"/>
    <col min="11" max="16384" width="8.85546875" style="6"/>
  </cols>
  <sheetData>
    <row r="1" spans="1:17">
      <c r="B1" s="6" t="s">
        <v>28</v>
      </c>
      <c r="C1" s="6" t="s">
        <v>29</v>
      </c>
      <c r="E1" s="7" t="s">
        <v>28</v>
      </c>
      <c r="F1" s="8" t="s">
        <v>30</v>
      </c>
      <c r="G1" s="8" t="s">
        <v>31</v>
      </c>
      <c r="H1" s="8" t="s">
        <v>32</v>
      </c>
      <c r="I1" s="8" t="s">
        <v>33</v>
      </c>
      <c r="J1" s="8" t="s">
        <v>34</v>
      </c>
      <c r="K1" s="8" t="s">
        <v>35</v>
      </c>
      <c r="L1" s="8" t="s">
        <v>36</v>
      </c>
      <c r="M1" s="9" t="s">
        <v>37</v>
      </c>
      <c r="N1" s="9" t="s">
        <v>38</v>
      </c>
      <c r="O1" s="9" t="s">
        <v>39</v>
      </c>
      <c r="P1" s="9" t="s">
        <v>40</v>
      </c>
      <c r="Q1" s="9" t="s">
        <v>41</v>
      </c>
    </row>
    <row r="2" spans="1:17">
      <c r="A2" s="10">
        <v>34700</v>
      </c>
      <c r="B2" s="6">
        <v>604.4</v>
      </c>
      <c r="C2" s="6">
        <v>0</v>
      </c>
      <c r="D2" s="6" t="s">
        <v>42</v>
      </c>
      <c r="E2" s="6">
        <v>1995</v>
      </c>
      <c r="F2" s="6">
        <f t="shared" ref="F2:Q18" ca="1" si="0">OFFSET($B$2,(ROW()-2)*12+COLUMN()-6,0)</f>
        <v>604.4</v>
      </c>
      <c r="G2" s="6">
        <f t="shared" ca="1" si="0"/>
        <v>608.5</v>
      </c>
      <c r="H2" s="6">
        <f t="shared" ca="1" si="0"/>
        <v>444.19999999999993</v>
      </c>
      <c r="I2" s="6">
        <f t="shared" ca="1" si="0"/>
        <v>329.49999999999983</v>
      </c>
      <c r="J2" s="6">
        <f t="shared" ca="1" si="0"/>
        <v>98.000000000000028</v>
      </c>
      <c r="K2" s="6">
        <f t="shared" ca="1" si="0"/>
        <v>10.799999999999999</v>
      </c>
      <c r="L2" s="6">
        <f t="shared" ca="1" si="0"/>
        <v>0.5</v>
      </c>
      <c r="M2" s="6">
        <f t="shared" ca="1" si="0"/>
        <v>0</v>
      </c>
      <c r="N2" s="6">
        <f t="shared" ca="1" si="0"/>
        <v>70.7</v>
      </c>
      <c r="O2" s="6">
        <f t="shared" ca="1" si="0"/>
        <v>155.6</v>
      </c>
      <c r="P2" s="6">
        <f t="shared" ca="1" si="0"/>
        <v>468.29999999999995</v>
      </c>
      <c r="Q2" s="6">
        <f t="shared" ca="1" si="0"/>
        <v>642.09999999999991</v>
      </c>
    </row>
    <row r="3" spans="1:17">
      <c r="A3" s="10">
        <v>34731</v>
      </c>
      <c r="B3" s="6">
        <v>608.5</v>
      </c>
      <c r="C3" s="6">
        <v>0</v>
      </c>
      <c r="E3" s="6">
        <f>E2+1</f>
        <v>1996</v>
      </c>
      <c r="F3" s="6">
        <f t="shared" ca="1" si="0"/>
        <v>684.89999999999986</v>
      </c>
      <c r="G3" s="6">
        <f t="shared" ca="1" si="0"/>
        <v>608.79999999999995</v>
      </c>
      <c r="H3" s="6">
        <f t="shared" ca="1" si="0"/>
        <v>563</v>
      </c>
      <c r="I3" s="6">
        <f t="shared" ca="1" si="0"/>
        <v>319.49999999999989</v>
      </c>
      <c r="J3" s="6">
        <f t="shared" ca="1" si="0"/>
        <v>150.89999999999998</v>
      </c>
      <c r="K3" s="6">
        <f t="shared" ca="1" si="0"/>
        <v>3.2</v>
      </c>
      <c r="L3" s="6">
        <f t="shared" ca="1" si="0"/>
        <v>0.89999999999999991</v>
      </c>
      <c r="M3" s="6">
        <f t="shared" ca="1" si="0"/>
        <v>0</v>
      </c>
      <c r="N3" s="6">
        <f t="shared" ca="1" si="0"/>
        <v>41.5</v>
      </c>
      <c r="O3" s="6">
        <f t="shared" ca="1" si="0"/>
        <v>197.29999999999998</v>
      </c>
      <c r="P3" s="6">
        <f t="shared" ca="1" si="0"/>
        <v>473.70000000000005</v>
      </c>
      <c r="Q3" s="6">
        <f t="shared" ca="1" si="0"/>
        <v>549.29999999999995</v>
      </c>
    </row>
    <row r="4" spans="1:17">
      <c r="A4" s="10">
        <v>34759</v>
      </c>
      <c r="B4" s="6">
        <v>444.19999999999993</v>
      </c>
      <c r="C4" s="6">
        <v>0</v>
      </c>
      <c r="E4" s="6">
        <f t="shared" ref="E4:E22" si="1">E3+1</f>
        <v>1997</v>
      </c>
      <c r="F4" s="6">
        <f t="shared" ca="1" si="0"/>
        <v>688.09999999999991</v>
      </c>
      <c r="G4" s="6">
        <f t="shared" ca="1" si="0"/>
        <v>500.50000000000006</v>
      </c>
      <c r="H4" s="6">
        <f t="shared" ca="1" si="0"/>
        <v>455.19999999999993</v>
      </c>
      <c r="I4" s="6">
        <f t="shared" ca="1" si="0"/>
        <v>305.19999999999987</v>
      </c>
      <c r="J4" s="6">
        <f t="shared" ca="1" si="0"/>
        <v>204.59999999999991</v>
      </c>
      <c r="K4" s="6">
        <f t="shared" ca="1" si="0"/>
        <v>15.199999999999996</v>
      </c>
      <c r="L4" s="6">
        <f t="shared" ca="1" si="0"/>
        <v>0</v>
      </c>
      <c r="M4" s="6">
        <f t="shared" ca="1" si="0"/>
        <v>2.9</v>
      </c>
      <c r="N4" s="6">
        <f t="shared" ca="1" si="0"/>
        <v>34.400000000000006</v>
      </c>
      <c r="O4" s="6">
        <f t="shared" ca="1" si="0"/>
        <v>210.70000000000002</v>
      </c>
      <c r="P4" s="6">
        <f t="shared" ca="1" si="0"/>
        <v>427.29999999999995</v>
      </c>
      <c r="Q4" s="6">
        <f t="shared" ca="1" si="0"/>
        <v>534.09999999999991</v>
      </c>
    </row>
    <row r="5" spans="1:17">
      <c r="A5" s="10">
        <v>34790</v>
      </c>
      <c r="B5" s="6">
        <v>329.49999999999983</v>
      </c>
      <c r="C5" s="6">
        <v>0</v>
      </c>
      <c r="E5" s="6">
        <f t="shared" si="1"/>
        <v>1998</v>
      </c>
      <c r="F5" s="6">
        <f t="shared" ca="1" si="0"/>
        <v>532.90000000000009</v>
      </c>
      <c r="G5" s="6">
        <f t="shared" ca="1" si="0"/>
        <v>429.89999999999992</v>
      </c>
      <c r="H5" s="6">
        <f t="shared" ca="1" si="0"/>
        <v>424.09999999999997</v>
      </c>
      <c r="I5" s="6">
        <f t="shared" ca="1" si="0"/>
        <v>232.7999999999999</v>
      </c>
      <c r="J5" s="6">
        <f t="shared" ca="1" si="0"/>
        <v>28.299999999999997</v>
      </c>
      <c r="K5" s="6">
        <f t="shared" ca="1" si="0"/>
        <v>42.100000000000009</v>
      </c>
      <c r="L5" s="6">
        <f t="shared" ca="1" si="0"/>
        <v>0</v>
      </c>
      <c r="M5" s="6">
        <f t="shared" ca="1" si="0"/>
        <v>0.5</v>
      </c>
      <c r="N5" s="6">
        <f t="shared" ca="1" si="0"/>
        <v>13.100000000000001</v>
      </c>
      <c r="O5" s="6">
        <f t="shared" ca="1" si="0"/>
        <v>158.89999999999998</v>
      </c>
      <c r="P5" s="6">
        <f t="shared" ca="1" si="0"/>
        <v>314.19999999999993</v>
      </c>
      <c r="Q5" s="6">
        <f t="shared" ca="1" si="0"/>
        <v>467.00000000000006</v>
      </c>
    </row>
    <row r="6" spans="1:17">
      <c r="A6" s="10">
        <v>34820</v>
      </c>
      <c r="B6" s="6">
        <v>98.000000000000028</v>
      </c>
      <c r="C6" s="6">
        <v>9.8999999999999986</v>
      </c>
      <c r="E6" s="6">
        <f t="shared" si="1"/>
        <v>1999</v>
      </c>
      <c r="F6" s="6">
        <f t="shared" ca="1" si="0"/>
        <v>689.20000000000027</v>
      </c>
      <c r="G6" s="6">
        <f t="shared" ca="1" si="0"/>
        <v>480.4</v>
      </c>
      <c r="H6" s="6">
        <f t="shared" ca="1" si="0"/>
        <v>492.49999999999994</v>
      </c>
      <c r="I6" s="6">
        <f t="shared" ca="1" si="0"/>
        <v>229.59999999999997</v>
      </c>
      <c r="J6" s="6">
        <f t="shared" ca="1" si="0"/>
        <v>58.300000000000011</v>
      </c>
      <c r="K6" s="6">
        <f t="shared" ca="1" si="0"/>
        <v>17.599999999999998</v>
      </c>
      <c r="L6" s="6">
        <f t="shared" ca="1" si="0"/>
        <v>0</v>
      </c>
      <c r="M6" s="6">
        <f t="shared" ca="1" si="0"/>
        <v>0.5</v>
      </c>
      <c r="N6" s="6">
        <f t="shared" ca="1" si="0"/>
        <v>30.799999999999997</v>
      </c>
      <c r="O6" s="6">
        <f t="shared" ca="1" si="0"/>
        <v>204.09999999999997</v>
      </c>
      <c r="P6" s="6">
        <f t="shared" ca="1" si="0"/>
        <v>312.19999999999993</v>
      </c>
      <c r="Q6" s="6">
        <f t="shared" ca="1" si="0"/>
        <v>533.10000000000014</v>
      </c>
    </row>
    <row r="7" spans="1:17">
      <c r="A7" s="10">
        <v>34851</v>
      </c>
      <c r="B7" s="6">
        <v>10.799999999999999</v>
      </c>
      <c r="C7" s="6">
        <v>122.6</v>
      </c>
      <c r="E7" s="6">
        <f t="shared" si="1"/>
        <v>2000</v>
      </c>
      <c r="F7" s="6">
        <f t="shared" ca="1" si="0"/>
        <v>652.79999999999995</v>
      </c>
      <c r="G7" s="6">
        <f t="shared" ca="1" si="0"/>
        <v>497.1</v>
      </c>
      <c r="H7" s="6">
        <f t="shared" ca="1" si="0"/>
        <v>348.29999999999995</v>
      </c>
      <c r="I7" s="6">
        <f t="shared" ca="1" si="0"/>
        <v>275.2999999999999</v>
      </c>
      <c r="J7" s="6">
        <f t="shared" ca="1" si="0"/>
        <v>74.000000000000014</v>
      </c>
      <c r="K7" s="6">
        <f t="shared" ca="1" si="0"/>
        <v>14.8</v>
      </c>
      <c r="L7" s="6">
        <f t="shared" ca="1" si="0"/>
        <v>0</v>
      </c>
      <c r="M7" s="6">
        <f t="shared" ca="1" si="0"/>
        <v>3.4000000000000004</v>
      </c>
      <c r="N7" s="6">
        <f t="shared" ca="1" si="0"/>
        <v>61.400000000000006</v>
      </c>
      <c r="O7" s="6">
        <f t="shared" ca="1" si="0"/>
        <v>148.4</v>
      </c>
      <c r="P7" s="6">
        <f t="shared" ca="1" si="0"/>
        <v>386.6</v>
      </c>
      <c r="Q7" s="6">
        <f t="shared" ca="1" si="0"/>
        <v>741.09999999999991</v>
      </c>
    </row>
    <row r="8" spans="1:17">
      <c r="A8" s="10">
        <v>34881</v>
      </c>
      <c r="B8" s="6">
        <v>0.5</v>
      </c>
      <c r="C8" s="6">
        <v>188.60000000000002</v>
      </c>
      <c r="E8" s="6">
        <f t="shared" si="1"/>
        <v>2001</v>
      </c>
      <c r="F8" s="6">
        <f t="shared" ca="1" si="0"/>
        <v>626.20000000000005</v>
      </c>
      <c r="G8" s="6">
        <f t="shared" ca="1" si="0"/>
        <v>516.69999999999993</v>
      </c>
      <c r="H8" s="6">
        <f t="shared" ca="1" si="0"/>
        <v>499.49999999999994</v>
      </c>
      <c r="I8" s="6">
        <f t="shared" ca="1" si="0"/>
        <v>231.59999999999997</v>
      </c>
      <c r="J8" s="6">
        <f t="shared" ca="1" si="0"/>
        <v>67.300000000000011</v>
      </c>
      <c r="K8" s="6">
        <f t="shared" ca="1" si="0"/>
        <v>22.5</v>
      </c>
      <c r="L8" s="6">
        <f t="shared" ca="1" si="0"/>
        <v>2.7</v>
      </c>
      <c r="M8" s="6">
        <f t="shared" ca="1" si="0"/>
        <v>0</v>
      </c>
      <c r="N8" s="6">
        <f t="shared" ca="1" si="0"/>
        <v>60.800000000000011</v>
      </c>
      <c r="O8" s="6">
        <f t="shared" ca="1" si="0"/>
        <v>191.79999999999998</v>
      </c>
      <c r="P8" s="6">
        <f t="shared" ca="1" si="0"/>
        <v>254.39999999999992</v>
      </c>
      <c r="Q8" s="6">
        <f t="shared" ca="1" si="0"/>
        <v>470</v>
      </c>
    </row>
    <row r="9" spans="1:17">
      <c r="A9" s="10">
        <v>34912</v>
      </c>
      <c r="B9" s="6">
        <v>0</v>
      </c>
      <c r="C9" s="6">
        <v>214.90000000000009</v>
      </c>
      <c r="E9" s="6">
        <f t="shared" si="1"/>
        <v>2002</v>
      </c>
      <c r="F9" s="6">
        <f t="shared" ca="1" si="0"/>
        <v>524.70000000000005</v>
      </c>
      <c r="G9" s="6">
        <f t="shared" ca="1" si="0"/>
        <v>476.09999999999997</v>
      </c>
      <c r="H9" s="6">
        <f t="shared" ca="1" si="0"/>
        <v>486.19999999999987</v>
      </c>
      <c r="I9" s="6">
        <f t="shared" ca="1" si="0"/>
        <v>259.7999999999999</v>
      </c>
      <c r="J9" s="6">
        <f t="shared" ca="1" si="0"/>
        <v>170.8</v>
      </c>
      <c r="K9" s="6">
        <f t="shared" ca="1" si="0"/>
        <v>12</v>
      </c>
      <c r="L9" s="6">
        <f t="shared" ca="1" si="0"/>
        <v>0</v>
      </c>
      <c r="M9" s="6">
        <f t="shared" ca="1" si="0"/>
        <v>0</v>
      </c>
      <c r="N9" s="6">
        <f t="shared" ca="1" si="0"/>
        <v>14.5</v>
      </c>
      <c r="O9" s="6">
        <f t="shared" ca="1" si="0"/>
        <v>240.79999999999993</v>
      </c>
      <c r="P9" s="6">
        <f t="shared" ca="1" si="0"/>
        <v>402.19999999999993</v>
      </c>
      <c r="Q9" s="6">
        <f t="shared" ca="1" si="0"/>
        <v>582.90000000000009</v>
      </c>
    </row>
    <row r="10" spans="1:17">
      <c r="A10" s="10">
        <v>34943</v>
      </c>
      <c r="B10" s="6">
        <v>70.7</v>
      </c>
      <c r="C10" s="6">
        <v>37</v>
      </c>
      <c r="E10" s="6">
        <f t="shared" si="1"/>
        <v>2003</v>
      </c>
      <c r="F10" s="6">
        <f t="shared" ca="1" si="0"/>
        <v>730.59999999999991</v>
      </c>
      <c r="G10" s="6">
        <f t="shared" ca="1" si="0"/>
        <v>621.69999999999993</v>
      </c>
      <c r="H10" s="6">
        <f t="shared" ca="1" si="0"/>
        <v>490.29999999999995</v>
      </c>
      <c r="I10" s="6">
        <f t="shared" ca="1" si="0"/>
        <v>289.79999999999984</v>
      </c>
      <c r="J10" s="6">
        <f t="shared" ca="1" si="0"/>
        <v>128.50000000000003</v>
      </c>
      <c r="K10" s="6">
        <f t="shared" ca="1" si="0"/>
        <v>27.6</v>
      </c>
      <c r="L10" s="6">
        <f t="shared" ca="1" si="0"/>
        <v>0</v>
      </c>
      <c r="M10" s="6">
        <f t="shared" ca="1" si="0"/>
        <v>0</v>
      </c>
      <c r="N10" s="6">
        <f t="shared" ca="1" si="0"/>
        <v>42.7</v>
      </c>
      <c r="O10" s="6">
        <f t="shared" ca="1" si="0"/>
        <v>218.59999999999997</v>
      </c>
      <c r="P10" s="6">
        <f t="shared" ca="1" si="0"/>
        <v>335.49999999999994</v>
      </c>
      <c r="Q10" s="6">
        <f t="shared" ca="1" si="0"/>
        <v>531.90000000000009</v>
      </c>
    </row>
    <row r="11" spans="1:17">
      <c r="A11" s="10">
        <v>34973</v>
      </c>
      <c r="B11" s="6">
        <v>155.6</v>
      </c>
      <c r="C11" s="6">
        <v>7.3</v>
      </c>
      <c r="E11" s="6">
        <f t="shared" si="1"/>
        <v>2004</v>
      </c>
      <c r="F11" s="6">
        <f t="shared" ca="1" si="0"/>
        <v>748.19999999999993</v>
      </c>
      <c r="G11" s="6">
        <f t="shared" ca="1" si="0"/>
        <v>557.70000000000005</v>
      </c>
      <c r="H11" s="6">
        <f t="shared" ca="1" si="0"/>
        <v>408.99999999999989</v>
      </c>
      <c r="I11" s="6">
        <f t="shared" ca="1" si="0"/>
        <v>239.89999999999992</v>
      </c>
      <c r="J11" s="6">
        <f t="shared" ca="1" si="0"/>
        <v>93.700000000000031</v>
      </c>
      <c r="K11" s="6">
        <f t="shared" ca="1" si="0"/>
        <v>16</v>
      </c>
      <c r="L11" s="6">
        <f t="shared" ca="1" si="0"/>
        <v>2.2000000000000002</v>
      </c>
      <c r="M11" s="6">
        <f t="shared" ca="1" si="0"/>
        <v>3.7</v>
      </c>
      <c r="N11" s="6">
        <f t="shared" ca="1" si="0"/>
        <v>18.7</v>
      </c>
      <c r="O11" s="6">
        <f t="shared" ca="1" si="0"/>
        <v>176.89999999999998</v>
      </c>
      <c r="P11" s="6">
        <f t="shared" ca="1" si="0"/>
        <v>343.49999999999989</v>
      </c>
      <c r="Q11" s="6">
        <f t="shared" ca="1" si="0"/>
        <v>589.10000000000014</v>
      </c>
    </row>
    <row r="12" spans="1:17">
      <c r="A12" s="10">
        <v>35004</v>
      </c>
      <c r="B12" s="6">
        <v>468.29999999999995</v>
      </c>
      <c r="C12" s="6">
        <v>0</v>
      </c>
      <c r="E12" s="6">
        <f t="shared" si="1"/>
        <v>2005</v>
      </c>
      <c r="F12" s="6">
        <f t="shared" ca="1" si="0"/>
        <v>688.99999999999989</v>
      </c>
      <c r="G12" s="6">
        <f t="shared" ca="1" si="0"/>
        <v>543.30000000000007</v>
      </c>
      <c r="H12" s="6">
        <f t="shared" ca="1" si="0"/>
        <v>523.4</v>
      </c>
      <c r="I12" s="6">
        <f t="shared" ca="1" si="0"/>
        <v>228.5</v>
      </c>
      <c r="J12" s="6">
        <f t="shared" ca="1" si="0"/>
        <v>134.4</v>
      </c>
      <c r="K12" s="6">
        <f t="shared" ca="1" si="0"/>
        <v>3.4000000000000004</v>
      </c>
      <c r="L12" s="6">
        <f t="shared" ca="1" si="0"/>
        <v>0</v>
      </c>
      <c r="M12" s="6">
        <f t="shared" ca="1" si="0"/>
        <v>0</v>
      </c>
      <c r="N12" s="6">
        <f t="shared" ca="1" si="0"/>
        <v>13.5</v>
      </c>
      <c r="O12" s="6">
        <f t="shared" ca="1" si="0"/>
        <v>175.69999999999996</v>
      </c>
      <c r="P12" s="6">
        <f t="shared" ca="1" si="0"/>
        <v>344.8</v>
      </c>
      <c r="Q12" s="6">
        <f t="shared" ca="1" si="0"/>
        <v>637.60000000000025</v>
      </c>
    </row>
    <row r="13" spans="1:17">
      <c r="A13" s="10">
        <v>35034</v>
      </c>
      <c r="B13" s="6">
        <v>642.09999999999991</v>
      </c>
      <c r="C13" s="6">
        <v>0</v>
      </c>
      <c r="E13" s="6">
        <f t="shared" si="1"/>
        <v>2006</v>
      </c>
      <c r="F13" s="6">
        <f t="shared" ca="1" si="0"/>
        <v>486.69999999999993</v>
      </c>
      <c r="G13" s="6">
        <f t="shared" ca="1" si="0"/>
        <v>530.70000000000005</v>
      </c>
      <c r="H13" s="6">
        <f t="shared" ca="1" si="0"/>
        <v>450.49999999999983</v>
      </c>
      <c r="I13" s="6">
        <f t="shared" ca="1" si="0"/>
        <v>211.6999999999999</v>
      </c>
      <c r="J13" s="6">
        <f t="shared" ca="1" si="0"/>
        <v>99.800000000000011</v>
      </c>
      <c r="K13" s="6">
        <f t="shared" ca="1" si="0"/>
        <v>10.3</v>
      </c>
      <c r="L13" s="6">
        <f t="shared" ca="1" si="0"/>
        <v>0</v>
      </c>
      <c r="M13" s="6">
        <f t="shared" ca="1" si="0"/>
        <v>0</v>
      </c>
      <c r="N13" s="6">
        <f t="shared" ca="1" si="0"/>
        <v>44.400000000000006</v>
      </c>
      <c r="O13" s="6">
        <f t="shared" ca="1" si="0"/>
        <v>243.09999999999991</v>
      </c>
      <c r="P13" s="6">
        <f t="shared" ca="1" si="0"/>
        <v>353.09999999999991</v>
      </c>
      <c r="Q13" s="6">
        <f t="shared" ca="1" si="0"/>
        <v>457.89999999999986</v>
      </c>
    </row>
    <row r="14" spans="1:17">
      <c r="A14" s="10">
        <v>35065</v>
      </c>
      <c r="B14" s="6">
        <v>684.89999999999986</v>
      </c>
      <c r="C14" s="6">
        <v>0</v>
      </c>
      <c r="E14" s="6">
        <f t="shared" si="1"/>
        <v>2007</v>
      </c>
      <c r="F14" s="6">
        <f t="shared" ca="1" si="0"/>
        <v>588</v>
      </c>
      <c r="G14" s="6">
        <f t="shared" ca="1" si="0"/>
        <v>675.8</v>
      </c>
      <c r="H14" s="6">
        <f t="shared" ca="1" si="0"/>
        <v>417.69999999999993</v>
      </c>
      <c r="I14" s="6">
        <f t="shared" ca="1" si="0"/>
        <v>287.09999999999991</v>
      </c>
      <c r="J14" s="6">
        <f t="shared" ca="1" si="0"/>
        <v>85.8</v>
      </c>
      <c r="K14" s="6">
        <f t="shared" ca="1" si="0"/>
        <v>9.7999999999999989</v>
      </c>
      <c r="L14" s="6">
        <f t="shared" ca="1" si="0"/>
        <v>0.7</v>
      </c>
      <c r="M14" s="6">
        <f t="shared" ca="1" si="0"/>
        <v>3.9000000000000004</v>
      </c>
      <c r="N14" s="6">
        <f t="shared" ca="1" si="0"/>
        <v>24.099999999999998</v>
      </c>
      <c r="O14" s="6">
        <f t="shared" ca="1" si="0"/>
        <v>110.4</v>
      </c>
      <c r="P14" s="6">
        <f t="shared" ca="1" si="0"/>
        <v>402.3</v>
      </c>
      <c r="Q14" s="6">
        <f t="shared" ca="1" si="0"/>
        <v>593.40000000000009</v>
      </c>
    </row>
    <row r="15" spans="1:17">
      <c r="A15" s="10">
        <v>35096</v>
      </c>
      <c r="B15" s="6">
        <v>608.79999999999995</v>
      </c>
      <c r="C15" s="6">
        <v>0</v>
      </c>
      <c r="E15" s="6">
        <f t="shared" si="1"/>
        <v>2008</v>
      </c>
      <c r="F15" s="6">
        <f t="shared" ca="1" si="0"/>
        <v>602.20000000000005</v>
      </c>
      <c r="G15" s="6">
        <f t="shared" ca="1" si="0"/>
        <v>616.1</v>
      </c>
      <c r="H15" s="6">
        <f t="shared" ca="1" si="0"/>
        <v>523.70000000000005</v>
      </c>
      <c r="I15" s="6">
        <f t="shared" ca="1" si="0"/>
        <v>212.59999999999991</v>
      </c>
      <c r="J15" s="6">
        <f t="shared" ca="1" si="0"/>
        <v>138.4</v>
      </c>
      <c r="K15" s="6">
        <f t="shared" ca="1" si="0"/>
        <v>5</v>
      </c>
      <c r="L15" s="6">
        <f t="shared" ca="1" si="0"/>
        <v>0.5</v>
      </c>
      <c r="M15" s="6">
        <f t="shared" ca="1" si="0"/>
        <v>1.5</v>
      </c>
      <c r="N15" s="6">
        <f t="shared" ca="1" si="0"/>
        <v>16.7</v>
      </c>
      <c r="O15" s="6">
        <f t="shared" ca="1" si="0"/>
        <v>218.89999999999998</v>
      </c>
      <c r="P15" s="6">
        <f t="shared" ca="1" si="0"/>
        <v>410.9</v>
      </c>
      <c r="Q15" s="6">
        <f t="shared" ca="1" si="0"/>
        <v>631.00000000000011</v>
      </c>
    </row>
    <row r="16" spans="1:17">
      <c r="A16" s="10">
        <v>35125</v>
      </c>
      <c r="B16" s="6">
        <v>563</v>
      </c>
      <c r="C16" s="6">
        <v>0</v>
      </c>
      <c r="E16" s="6">
        <f t="shared" si="1"/>
        <v>2009</v>
      </c>
      <c r="F16" s="6">
        <f t="shared" ca="1" si="0"/>
        <v>768.79999999999973</v>
      </c>
      <c r="G16" s="6">
        <f t="shared" ca="1" si="0"/>
        <v>540</v>
      </c>
      <c r="H16" s="6">
        <f t="shared" ca="1" si="0"/>
        <v>456.7999999999999</v>
      </c>
      <c r="I16" s="6">
        <f t="shared" ca="1" si="0"/>
        <v>263.29999999999995</v>
      </c>
      <c r="J16" s="6">
        <f t="shared" ca="1" si="0"/>
        <v>83.40000000000002</v>
      </c>
      <c r="K16" s="6">
        <f t="shared" ca="1" si="0"/>
        <v>25.299999999999997</v>
      </c>
      <c r="L16" s="6">
        <f t="shared" ca="1" si="0"/>
        <v>0.5</v>
      </c>
      <c r="M16" s="6">
        <f t="shared" ca="1" si="0"/>
        <v>5.9</v>
      </c>
      <c r="N16" s="6">
        <f t="shared" ca="1" si="0"/>
        <v>26.2</v>
      </c>
      <c r="O16" s="6">
        <f t="shared" ca="1" si="0"/>
        <v>230.79999999999995</v>
      </c>
      <c r="P16" s="6">
        <f t="shared" ca="1" si="0"/>
        <v>305.49999999999989</v>
      </c>
      <c r="Q16" s="6">
        <f t="shared" ca="1" si="0"/>
        <v>582</v>
      </c>
    </row>
    <row r="17" spans="1:17">
      <c r="A17" s="10">
        <v>35156</v>
      </c>
      <c r="B17" s="6">
        <v>319.49999999999989</v>
      </c>
      <c r="C17" s="6">
        <v>0.8</v>
      </c>
      <c r="E17" s="6">
        <f t="shared" si="1"/>
        <v>2010</v>
      </c>
      <c r="F17" s="6">
        <f t="shared" ca="1" si="0"/>
        <v>663.29999999999984</v>
      </c>
      <c r="G17" s="6">
        <f t="shared" ca="1" si="0"/>
        <v>557.29999999999995</v>
      </c>
      <c r="H17" s="6">
        <f t="shared" ca="1" si="0"/>
        <v>393.39999999999986</v>
      </c>
      <c r="I17" s="6">
        <f t="shared" ca="1" si="0"/>
        <v>174.9</v>
      </c>
      <c r="J17" s="6">
        <f t="shared" ca="1" si="0"/>
        <v>84.300000000000011</v>
      </c>
      <c r="K17" s="6">
        <f t="shared" ca="1" si="0"/>
        <v>3.9000000000000004</v>
      </c>
      <c r="L17" s="6">
        <f t="shared" ca="1" si="0"/>
        <v>0</v>
      </c>
      <c r="M17" s="6">
        <f t="shared" ca="1" si="0"/>
        <v>0</v>
      </c>
      <c r="N17" s="6">
        <f t="shared" ca="1" si="0"/>
        <v>38</v>
      </c>
      <c r="O17" s="6">
        <f t="shared" ca="1" si="0"/>
        <v>157.6</v>
      </c>
      <c r="P17" s="6">
        <f t="shared" ca="1" si="0"/>
        <v>376.59999999999991</v>
      </c>
      <c r="Q17" s="6">
        <f t="shared" ca="1" si="0"/>
        <v>645.59999999999991</v>
      </c>
    </row>
    <row r="18" spans="1:17">
      <c r="A18" s="10">
        <v>35186</v>
      </c>
      <c r="B18" s="6">
        <v>150.89999999999998</v>
      </c>
      <c r="C18" s="6">
        <v>27.500000000000004</v>
      </c>
      <c r="E18" s="6">
        <f t="shared" si="1"/>
        <v>2011</v>
      </c>
      <c r="F18" s="6">
        <f t="shared" ca="1" si="0"/>
        <v>703.59999999999991</v>
      </c>
      <c r="G18" s="6">
        <f t="shared" ca="1" si="0"/>
        <v>583.20000000000005</v>
      </c>
      <c r="H18" s="6">
        <f t="shared" ca="1" si="0"/>
        <v>514.30000000000007</v>
      </c>
      <c r="I18" s="6">
        <f t="shared" ca="1" si="0"/>
        <v>278.59999999999985</v>
      </c>
      <c r="J18" s="6">
        <f t="shared" ca="1" si="0"/>
        <v>105.20000000000003</v>
      </c>
      <c r="K18" s="6">
        <f t="shared" ca="1" si="0"/>
        <v>7.6000000000000005</v>
      </c>
      <c r="L18" s="6">
        <f t="shared" ca="1" si="0"/>
        <v>0</v>
      </c>
      <c r="M18" s="6">
        <f t="shared" ca="1" si="0"/>
        <v>0</v>
      </c>
      <c r="N18" s="6">
        <f t="shared" ca="1" si="0"/>
        <v>51.4</v>
      </c>
      <c r="O18" s="6">
        <f t="shared" ca="1" si="0"/>
        <v>185.29999999999998</v>
      </c>
      <c r="P18" s="6">
        <f t="shared" ca="1" si="0"/>
        <v>297.2999999999999</v>
      </c>
      <c r="Q18" s="6">
        <f t="shared" ca="1" si="0"/>
        <v>485.4</v>
      </c>
    </row>
    <row r="19" spans="1:17">
      <c r="A19" s="10">
        <v>35217</v>
      </c>
      <c r="B19" s="6">
        <v>3.2</v>
      </c>
      <c r="C19" s="6">
        <v>111.49999999999999</v>
      </c>
      <c r="E19" s="6">
        <f t="shared" si="1"/>
        <v>2012</v>
      </c>
      <c r="F19" s="6">
        <f t="shared" ref="F19:Q23" ca="1" si="2">OFFSET($B$2,(ROW()-2)*12+COLUMN()-6,0)</f>
        <v>559.59999999999991</v>
      </c>
      <c r="G19" s="6">
        <f t="shared" ca="1" si="2"/>
        <v>492.40000000000003</v>
      </c>
      <c r="H19" s="6">
        <f t="shared" ca="1" si="2"/>
        <v>250.79999999999995</v>
      </c>
      <c r="I19" s="6">
        <f t="shared" ca="1" si="2"/>
        <v>252.49999999999991</v>
      </c>
      <c r="J19" s="6">
        <f t="shared" ca="1" si="2"/>
        <v>48.2</v>
      </c>
      <c r="K19" s="6">
        <f t="shared" ca="1" si="2"/>
        <v>10.3</v>
      </c>
      <c r="L19" s="6">
        <f t="shared" ca="1" si="2"/>
        <v>0</v>
      </c>
      <c r="M19" s="6">
        <f t="shared" ca="1" si="2"/>
        <v>0.7</v>
      </c>
      <c r="N19" s="6">
        <f t="shared" ca="1" si="2"/>
        <v>53.2</v>
      </c>
      <c r="O19" s="6">
        <f t="shared" ca="1" si="2"/>
        <v>207.19999999999996</v>
      </c>
      <c r="P19" s="6">
        <f t="shared" ca="1" si="2"/>
        <v>405.49999999999994</v>
      </c>
      <c r="Q19" s="6">
        <f t="shared" ca="1" si="2"/>
        <v>484.20000000000005</v>
      </c>
    </row>
    <row r="20" spans="1:17">
      <c r="A20" s="10">
        <v>35247</v>
      </c>
      <c r="B20" s="6">
        <v>0.89999999999999991</v>
      </c>
      <c r="C20" s="6">
        <v>122.79999999999997</v>
      </c>
      <c r="E20" s="6">
        <f t="shared" si="1"/>
        <v>2013</v>
      </c>
      <c r="F20" s="6">
        <f t="shared" ca="1" si="2"/>
        <v>598.19999999999993</v>
      </c>
      <c r="G20" s="6">
        <f t="shared" ca="1" si="2"/>
        <v>574.80000000000007</v>
      </c>
      <c r="H20" s="6">
        <f t="shared" ca="1" si="2"/>
        <v>505.20000000000005</v>
      </c>
      <c r="I20" s="6">
        <f t="shared" ca="1" si="2"/>
        <v>300.19999999999993</v>
      </c>
      <c r="J20" s="6">
        <f t="shared" ca="1" si="2"/>
        <v>73.300000000000011</v>
      </c>
      <c r="K20" s="6">
        <f t="shared" ca="1" si="2"/>
        <v>14.700000000000001</v>
      </c>
      <c r="L20" s="6">
        <f t="shared" ca="1" si="2"/>
        <v>1.5</v>
      </c>
      <c r="M20" s="6">
        <f t="shared" ca="1" si="2"/>
        <v>1.2</v>
      </c>
      <c r="N20" s="6">
        <f t="shared" ca="1" si="2"/>
        <v>41.2</v>
      </c>
      <c r="O20" s="6">
        <f t="shared" ca="1" si="2"/>
        <v>170.49999999999997</v>
      </c>
      <c r="P20" s="6">
        <f t="shared" ca="1" si="2"/>
        <v>424.9</v>
      </c>
      <c r="Q20" s="6">
        <f t="shared" ca="1" si="2"/>
        <v>614.30000000000007</v>
      </c>
    </row>
    <row r="21" spans="1:17">
      <c r="A21" s="10">
        <v>35278</v>
      </c>
      <c r="B21" s="6">
        <v>0</v>
      </c>
      <c r="C21" s="6">
        <v>152.4</v>
      </c>
      <c r="E21" s="6">
        <f t="shared" si="1"/>
        <v>2014</v>
      </c>
      <c r="F21" s="6">
        <f t="shared" ca="1" si="2"/>
        <v>784.99999999999977</v>
      </c>
      <c r="G21" s="6">
        <f t="shared" ca="1" si="2"/>
        <v>674.19999999999982</v>
      </c>
      <c r="H21" s="6">
        <f t="shared" ca="1" si="2"/>
        <v>591.90000000000009</v>
      </c>
      <c r="I21" s="6">
        <f t="shared" ca="1" si="2"/>
        <v>253.7</v>
      </c>
      <c r="J21" s="6">
        <f t="shared" ca="1" si="2"/>
        <v>90.600000000000009</v>
      </c>
      <c r="K21" s="6">
        <f t="shared" ca="1" si="2"/>
        <v>2.4000000000000004</v>
      </c>
      <c r="L21" s="6">
        <f t="shared" ca="1" si="2"/>
        <v>0.7</v>
      </c>
      <c r="M21" s="6">
        <f t="shared" ca="1" si="2"/>
        <v>0.7</v>
      </c>
      <c r="N21" s="6">
        <f t="shared" ca="1" si="2"/>
        <v>57.20000000000001</v>
      </c>
      <c r="O21" s="6">
        <f t="shared" ca="1" si="2"/>
        <v>179.7</v>
      </c>
      <c r="P21" s="6">
        <f t="shared" ca="1" si="2"/>
        <v>442</v>
      </c>
      <c r="Q21" s="6">
        <f t="shared" ca="1" si="2"/>
        <v>513.9</v>
      </c>
    </row>
    <row r="22" spans="1:17">
      <c r="A22" s="10">
        <v>35309</v>
      </c>
      <c r="B22" s="6">
        <v>41.5</v>
      </c>
      <c r="C22" s="6">
        <v>48.79999999999999</v>
      </c>
      <c r="E22" s="6">
        <f t="shared" si="1"/>
        <v>2015</v>
      </c>
      <c r="F22" s="6">
        <f t="shared" ca="1" si="2"/>
        <v>724.69999999999982</v>
      </c>
      <c r="G22" s="6">
        <f t="shared" ca="1" si="2"/>
        <v>757.39999999999986</v>
      </c>
      <c r="H22" s="6">
        <f t="shared" ca="1" si="2"/>
        <v>508.7</v>
      </c>
      <c r="I22" s="6">
        <f t="shared" ca="1" si="2"/>
        <v>257.39999999999992</v>
      </c>
      <c r="J22" s="6">
        <f t="shared" ca="1" si="2"/>
        <v>68.7</v>
      </c>
      <c r="K22" s="6">
        <f t="shared" ca="1" si="2"/>
        <v>13.1</v>
      </c>
      <c r="L22" s="6">
        <f t="shared" ca="1" si="2"/>
        <v>1.9</v>
      </c>
      <c r="M22" s="6">
        <f t="shared" ca="1" si="2"/>
        <v>3.2</v>
      </c>
      <c r="N22" s="6">
        <f t="shared" ca="1" si="2"/>
        <v>10.8</v>
      </c>
      <c r="O22" s="6">
        <f t="shared" ca="1" si="2"/>
        <v>157.80000000000001</v>
      </c>
      <c r="P22" s="6">
        <f t="shared" ca="1" si="2"/>
        <v>286.60000000000002</v>
      </c>
      <c r="Q22" s="6">
        <f t="shared" ca="1" si="2"/>
        <v>392.2</v>
      </c>
    </row>
    <row r="23" spans="1:17">
      <c r="A23" s="10">
        <v>35339</v>
      </c>
      <c r="B23" s="6">
        <v>197.29999999999998</v>
      </c>
      <c r="C23" s="6">
        <v>4.3</v>
      </c>
      <c r="E23" s="6">
        <v>2016</v>
      </c>
      <c r="F23" s="6">
        <f t="shared" ca="1" si="2"/>
        <v>618.5</v>
      </c>
      <c r="G23" s="6">
        <f t="shared" ca="1" si="2"/>
        <v>510.5</v>
      </c>
      <c r="H23" s="6">
        <f t="shared" ca="1" si="2"/>
        <v>350.9</v>
      </c>
      <c r="I23" s="6">
        <f t="shared" ca="1" si="2"/>
        <v>315.20000000000005</v>
      </c>
      <c r="J23" s="6">
        <f t="shared" ca="1" si="2"/>
        <v>110.9</v>
      </c>
      <c r="K23" s="6">
        <f t="shared" ca="1" si="2"/>
        <v>5.6</v>
      </c>
      <c r="L23" s="6">
        <f t="shared" ca="1" si="2"/>
        <v>0</v>
      </c>
      <c r="M23" s="6">
        <f t="shared" ca="1" si="2"/>
        <v>0</v>
      </c>
      <c r="N23" s="6">
        <f t="shared" ca="1" si="2"/>
        <v>8</v>
      </c>
      <c r="O23" s="6">
        <f t="shared" ca="1" si="2"/>
        <v>146</v>
      </c>
      <c r="P23" s="6">
        <f t="shared" ca="1" si="2"/>
        <v>290.7</v>
      </c>
      <c r="Q23" s="6">
        <f t="shared" ca="1" si="2"/>
        <v>581.1</v>
      </c>
    </row>
    <row r="24" spans="1:17">
      <c r="A24" s="10">
        <v>35370</v>
      </c>
      <c r="B24" s="6">
        <v>473.70000000000005</v>
      </c>
      <c r="C24" s="6">
        <v>0</v>
      </c>
      <c r="E24" s="6">
        <v>2017</v>
      </c>
      <c r="F24" s="6">
        <f ca="1">TREND(F$4:F$23,$E$4:$E$23,$E24)</f>
        <v>672.8231578947366</v>
      </c>
      <c r="G24" s="6">
        <f t="shared" ref="G24:Q25" ca="1" si="3">TREND(G$4:G$23,$E$4:$E$23,$E24)</f>
        <v>637.28000000000065</v>
      </c>
      <c r="H24" s="6">
        <f t="shared" ca="1" si="3"/>
        <v>454.88210526315794</v>
      </c>
      <c r="I24" s="6">
        <f t="shared" ca="1" si="3"/>
        <v>263.13947368421032</v>
      </c>
      <c r="J24" s="6">
        <f t="shared" ca="1" si="3"/>
        <v>83.360526315789684</v>
      </c>
      <c r="K24" s="6">
        <f t="shared" ca="1" si="3"/>
        <v>4.5368421052630765</v>
      </c>
      <c r="L24" s="6">
        <f t="shared" ca="1" si="3"/>
        <v>0.74263157894736764</v>
      </c>
      <c r="M24" s="6">
        <f t="shared" ca="1" si="3"/>
        <v>1.3442105263157895</v>
      </c>
      <c r="N24" s="6">
        <f t="shared" ca="1" si="3"/>
        <v>31.753157894736859</v>
      </c>
      <c r="O24" s="6">
        <f t="shared" ca="1" si="3"/>
        <v>172.31210526315772</v>
      </c>
      <c r="P24" s="6">
        <f t="shared" ca="1" si="3"/>
        <v>359.30631578947367</v>
      </c>
      <c r="Q24" s="6">
        <f t="shared" ca="1" si="3"/>
        <v>536.3357894736846</v>
      </c>
    </row>
    <row r="25" spans="1:17">
      <c r="A25" s="10">
        <v>35400</v>
      </c>
      <c r="B25" s="6">
        <v>549.29999999999995</v>
      </c>
      <c r="C25" s="6">
        <v>0</v>
      </c>
      <c r="E25" s="6">
        <v>2018</v>
      </c>
      <c r="F25" s="6">
        <f ca="1">TREND(F$4:F$23,$E$4:$E$23,$E25)</f>
        <v>675.09060150375944</v>
      </c>
      <c r="G25" s="6">
        <f t="shared" ca="1" si="3"/>
        <v>644.94571428571362</v>
      </c>
      <c r="H25" s="6">
        <f t="shared" ca="1" si="3"/>
        <v>454.90706766917299</v>
      </c>
      <c r="I25" s="6">
        <f t="shared" ca="1" si="3"/>
        <v>263.91609022556372</v>
      </c>
      <c r="J25" s="6">
        <f t="shared" ca="1" si="3"/>
        <v>82.021052631579096</v>
      </c>
      <c r="K25" s="6">
        <f t="shared" ca="1" si="3"/>
        <v>3.6393984962405739</v>
      </c>
      <c r="L25" s="6">
        <f t="shared" ca="1" si="3"/>
        <v>0.76240601503759109</v>
      </c>
      <c r="M25" s="6">
        <f t="shared" ca="1" si="3"/>
        <v>1.3384210526315794</v>
      </c>
      <c r="N25" s="6">
        <f t="shared" ca="1" si="3"/>
        <v>31.629172932330818</v>
      </c>
      <c r="O25" s="6">
        <f t="shared" ca="1" si="3"/>
        <v>170.94563909774433</v>
      </c>
      <c r="P25" s="6">
        <f t="shared" ca="1" si="3"/>
        <v>359.63977443609014</v>
      </c>
      <c r="Q25" s="6">
        <f t="shared" ca="1" si="3"/>
        <v>534.71157894736871</v>
      </c>
    </row>
    <row r="26" spans="1:17">
      <c r="A26" s="10">
        <v>35431</v>
      </c>
      <c r="B26" s="6">
        <v>688.09999999999991</v>
      </c>
      <c r="C26" s="6">
        <v>0</v>
      </c>
      <c r="E26" s="11" t="s">
        <v>43</v>
      </c>
      <c r="F26" s="6">
        <f ca="1">AVERAGE(F14:F23)</f>
        <v>661.18999999999994</v>
      </c>
      <c r="G26" s="6">
        <f t="shared" ref="G26:Q26" ca="1" si="4">AVERAGE(G14:G23)</f>
        <v>598.16999999999985</v>
      </c>
      <c r="H26" s="6">
        <f t="shared" ca="1" si="4"/>
        <v>451.34</v>
      </c>
      <c r="I26" s="6">
        <f t="shared" ca="1" si="4"/>
        <v>259.5499999999999</v>
      </c>
      <c r="J26" s="6">
        <f t="shared" ca="1" si="4"/>
        <v>88.880000000000024</v>
      </c>
      <c r="K26" s="6">
        <f t="shared" ca="1" si="4"/>
        <v>9.77</v>
      </c>
      <c r="L26" s="6">
        <f t="shared" ca="1" si="4"/>
        <v>0.58000000000000007</v>
      </c>
      <c r="M26" s="6">
        <f t="shared" ca="1" si="4"/>
        <v>1.7099999999999997</v>
      </c>
      <c r="N26" s="6">
        <f t="shared" ca="1" si="4"/>
        <v>32.68</v>
      </c>
      <c r="O26" s="6">
        <f t="shared" ca="1" si="4"/>
        <v>176.42</v>
      </c>
      <c r="P26" s="6">
        <f t="shared" ca="1" si="4"/>
        <v>364.2299999999999</v>
      </c>
      <c r="Q26" s="6">
        <f t="shared" ca="1" si="4"/>
        <v>552.31000000000006</v>
      </c>
    </row>
    <row r="27" spans="1:17">
      <c r="A27" s="10">
        <v>35462</v>
      </c>
      <c r="B27" s="6">
        <v>500.50000000000006</v>
      </c>
      <c r="C27" s="6">
        <v>0</v>
      </c>
      <c r="E27" s="11" t="s">
        <v>44</v>
      </c>
      <c r="F27" s="6">
        <f ca="1">AVERAGE(F4:F23)</f>
        <v>649.01499999999999</v>
      </c>
      <c r="G27" s="6">
        <f t="shared" ref="G27:Q27" ca="1" si="5">AVERAGE(G4:G23)</f>
        <v>556.78999999999985</v>
      </c>
      <c r="H27" s="6">
        <f t="shared" ca="1" si="5"/>
        <v>454.62</v>
      </c>
      <c r="I27" s="6">
        <f t="shared" ca="1" si="5"/>
        <v>254.9849999999999</v>
      </c>
      <c r="J27" s="6">
        <f t="shared" ca="1" si="5"/>
        <v>97.425000000000011</v>
      </c>
      <c r="K27" s="6">
        <f t="shared" ca="1" si="5"/>
        <v>13.960000000000003</v>
      </c>
      <c r="L27" s="6">
        <f t="shared" ca="1" si="5"/>
        <v>0.53500000000000003</v>
      </c>
      <c r="M27" s="6">
        <f t="shared" ca="1" si="5"/>
        <v>1.4049999999999998</v>
      </c>
      <c r="N27" s="6">
        <f t="shared" ca="1" si="5"/>
        <v>33.055000000000007</v>
      </c>
      <c r="O27" s="6">
        <f t="shared" ca="1" si="5"/>
        <v>186.65999999999997</v>
      </c>
      <c r="P27" s="6">
        <f t="shared" ca="1" si="5"/>
        <v>355.80500000000001</v>
      </c>
      <c r="Q27" s="6">
        <f t="shared" ca="1" si="5"/>
        <v>553.3900000000001</v>
      </c>
    </row>
    <row r="28" spans="1:17">
      <c r="A28" s="10">
        <v>35490</v>
      </c>
      <c r="B28" s="6">
        <v>455.19999999999993</v>
      </c>
      <c r="C28" s="6">
        <v>0</v>
      </c>
    </row>
    <row r="29" spans="1:17">
      <c r="A29" s="10">
        <v>35521</v>
      </c>
      <c r="B29" s="6">
        <v>305.19999999999987</v>
      </c>
      <c r="C29" s="6">
        <v>0.3</v>
      </c>
    </row>
    <row r="30" spans="1:17">
      <c r="A30" s="10">
        <v>35551</v>
      </c>
      <c r="B30" s="6">
        <v>204.59999999999991</v>
      </c>
      <c r="C30" s="6">
        <v>0</v>
      </c>
    </row>
    <row r="31" spans="1:17">
      <c r="A31" s="10">
        <v>35582</v>
      </c>
      <c r="B31" s="6">
        <v>15.199999999999996</v>
      </c>
      <c r="C31" s="6">
        <v>106.5</v>
      </c>
    </row>
    <row r="32" spans="1:17">
      <c r="A32" s="10">
        <v>35612</v>
      </c>
      <c r="B32" s="6">
        <v>0</v>
      </c>
      <c r="C32" s="6">
        <v>145.5</v>
      </c>
    </row>
    <row r="33" spans="1:17">
      <c r="A33" s="10">
        <v>35643</v>
      </c>
      <c r="B33" s="6">
        <v>2.9</v>
      </c>
      <c r="C33" s="6">
        <v>85.799999999999969</v>
      </c>
      <c r="E33" s="7" t="s">
        <v>29</v>
      </c>
      <c r="F33" s="8" t="s">
        <v>30</v>
      </c>
      <c r="G33" s="8" t="s">
        <v>31</v>
      </c>
      <c r="H33" s="8" t="s">
        <v>32</v>
      </c>
      <c r="I33" s="8" t="s">
        <v>33</v>
      </c>
      <c r="J33" s="8" t="s">
        <v>34</v>
      </c>
      <c r="K33" s="8" t="s">
        <v>35</v>
      </c>
      <c r="L33" s="8" t="s">
        <v>36</v>
      </c>
      <c r="M33" s="9" t="s">
        <v>37</v>
      </c>
      <c r="N33" s="9" t="s">
        <v>38</v>
      </c>
      <c r="O33" s="9" t="s">
        <v>39</v>
      </c>
      <c r="P33" s="9" t="s">
        <v>40</v>
      </c>
      <c r="Q33" s="9" t="s">
        <v>41</v>
      </c>
    </row>
    <row r="34" spans="1:17">
      <c r="A34" s="10">
        <v>35674</v>
      </c>
      <c r="B34" s="6">
        <v>34.400000000000006</v>
      </c>
      <c r="C34" s="6">
        <v>41.3</v>
      </c>
      <c r="E34" s="6">
        <v>1995</v>
      </c>
      <c r="F34" s="6">
        <f t="shared" ref="F34:F50" ca="1" si="6">OFFSET($C$2,(ROW()-34)*12+COLUMN()-6,0)</f>
        <v>0</v>
      </c>
      <c r="G34" s="6">
        <f t="shared" ref="G34:Q49" ca="1" si="7">OFFSET($C$2,(ROW()-34)*12+COLUMN()-6,0)</f>
        <v>0</v>
      </c>
      <c r="H34" s="6">
        <f t="shared" ca="1" si="7"/>
        <v>0</v>
      </c>
      <c r="I34" s="6">
        <f t="shared" ca="1" si="7"/>
        <v>0</v>
      </c>
      <c r="J34" s="6">
        <f t="shared" ca="1" si="7"/>
        <v>9.8999999999999986</v>
      </c>
      <c r="K34" s="6">
        <f t="shared" ca="1" si="7"/>
        <v>122.6</v>
      </c>
      <c r="L34" s="6">
        <f t="shared" ca="1" si="7"/>
        <v>188.60000000000002</v>
      </c>
      <c r="M34" s="6">
        <f t="shared" ca="1" si="7"/>
        <v>214.90000000000009</v>
      </c>
      <c r="N34" s="6">
        <f t="shared" ca="1" si="7"/>
        <v>37</v>
      </c>
      <c r="O34" s="6">
        <f t="shared" ca="1" si="7"/>
        <v>7.3</v>
      </c>
      <c r="P34" s="6">
        <f t="shared" ca="1" si="7"/>
        <v>0</v>
      </c>
      <c r="Q34" s="6">
        <f t="shared" ca="1" si="7"/>
        <v>0</v>
      </c>
    </row>
    <row r="35" spans="1:17">
      <c r="A35" s="10">
        <v>35704</v>
      </c>
      <c r="B35" s="6">
        <v>210.70000000000002</v>
      </c>
      <c r="C35" s="6">
        <v>28.6</v>
      </c>
      <c r="E35" s="6">
        <v>1996</v>
      </c>
      <c r="F35" s="6">
        <f t="shared" ca="1" si="6"/>
        <v>0</v>
      </c>
      <c r="G35" s="6">
        <f t="shared" ca="1" si="7"/>
        <v>0</v>
      </c>
      <c r="H35" s="6">
        <f t="shared" ca="1" si="7"/>
        <v>0</v>
      </c>
      <c r="I35" s="6">
        <f t="shared" ca="1" si="7"/>
        <v>0.8</v>
      </c>
      <c r="J35" s="6">
        <f t="shared" ca="1" si="7"/>
        <v>27.500000000000004</v>
      </c>
      <c r="K35" s="6">
        <f t="shared" ca="1" si="7"/>
        <v>111.49999999999999</v>
      </c>
      <c r="L35" s="6">
        <f t="shared" ca="1" si="7"/>
        <v>122.79999999999997</v>
      </c>
      <c r="M35" s="6">
        <f t="shared" ca="1" si="7"/>
        <v>152.4</v>
      </c>
      <c r="N35" s="6">
        <f t="shared" ca="1" si="7"/>
        <v>48.79999999999999</v>
      </c>
      <c r="O35" s="6">
        <f t="shared" ca="1" si="7"/>
        <v>4.3</v>
      </c>
      <c r="P35" s="6">
        <f t="shared" ca="1" si="7"/>
        <v>0</v>
      </c>
      <c r="Q35" s="6">
        <f t="shared" ca="1" si="7"/>
        <v>0</v>
      </c>
    </row>
    <row r="36" spans="1:17">
      <c r="A36" s="10">
        <v>35735</v>
      </c>
      <c r="B36" s="6">
        <v>427.29999999999995</v>
      </c>
      <c r="C36" s="6">
        <v>0</v>
      </c>
      <c r="E36" s="6">
        <v>1997</v>
      </c>
      <c r="F36" s="6">
        <f t="shared" ca="1" si="6"/>
        <v>0</v>
      </c>
      <c r="G36" s="6">
        <f t="shared" ca="1" si="7"/>
        <v>0</v>
      </c>
      <c r="H36" s="6">
        <f t="shared" ca="1" si="7"/>
        <v>0</v>
      </c>
      <c r="I36" s="6">
        <f t="shared" ca="1" si="7"/>
        <v>0.3</v>
      </c>
      <c r="J36" s="6">
        <f t="shared" ca="1" si="7"/>
        <v>0</v>
      </c>
      <c r="K36" s="6">
        <f t="shared" ca="1" si="7"/>
        <v>106.5</v>
      </c>
      <c r="L36" s="6">
        <f t="shared" ca="1" si="7"/>
        <v>145.5</v>
      </c>
      <c r="M36" s="6">
        <f t="shared" ca="1" si="7"/>
        <v>85.799999999999969</v>
      </c>
      <c r="N36" s="6">
        <f t="shared" ca="1" si="7"/>
        <v>41.3</v>
      </c>
      <c r="O36" s="6">
        <f t="shared" ca="1" si="7"/>
        <v>28.6</v>
      </c>
      <c r="P36" s="6">
        <f t="shared" ca="1" si="7"/>
        <v>0</v>
      </c>
      <c r="Q36" s="6">
        <f t="shared" ca="1" si="7"/>
        <v>0</v>
      </c>
    </row>
    <row r="37" spans="1:17">
      <c r="A37" s="10">
        <v>35765</v>
      </c>
      <c r="B37" s="6">
        <v>534.09999999999991</v>
      </c>
      <c r="C37" s="6">
        <v>0</v>
      </c>
      <c r="E37" s="6">
        <v>1998</v>
      </c>
      <c r="F37" s="6">
        <f t="shared" ca="1" si="6"/>
        <v>0</v>
      </c>
      <c r="G37" s="6">
        <f t="shared" ca="1" si="7"/>
        <v>0</v>
      </c>
      <c r="H37" s="6">
        <f t="shared" ca="1" si="7"/>
        <v>7.1</v>
      </c>
      <c r="I37" s="6">
        <f t="shared" ca="1" si="7"/>
        <v>0</v>
      </c>
      <c r="J37" s="6">
        <f t="shared" ca="1" si="7"/>
        <v>66.399999999999991</v>
      </c>
      <c r="K37" s="6">
        <f t="shared" ca="1" si="7"/>
        <v>133.4</v>
      </c>
      <c r="L37" s="6">
        <f t="shared" ca="1" si="7"/>
        <v>177.89999999999998</v>
      </c>
      <c r="M37" s="6">
        <f t="shared" ca="1" si="7"/>
        <v>169.20000000000002</v>
      </c>
      <c r="N37" s="6">
        <f t="shared" ca="1" si="7"/>
        <v>100.8</v>
      </c>
      <c r="O37" s="6">
        <f t="shared" ca="1" si="7"/>
        <v>5.6</v>
      </c>
      <c r="P37" s="6">
        <f t="shared" ca="1" si="7"/>
        <v>0</v>
      </c>
      <c r="Q37" s="6">
        <f t="shared" ca="1" si="7"/>
        <v>0</v>
      </c>
    </row>
    <row r="38" spans="1:17">
      <c r="A38" s="10">
        <v>35796</v>
      </c>
      <c r="B38" s="6">
        <v>532.90000000000009</v>
      </c>
      <c r="C38" s="6">
        <v>0</v>
      </c>
      <c r="E38" s="6">
        <v>1999</v>
      </c>
      <c r="F38" s="6">
        <f t="shared" ca="1" si="6"/>
        <v>0</v>
      </c>
      <c r="G38" s="6">
        <f t="shared" ca="1" si="7"/>
        <v>0</v>
      </c>
      <c r="H38" s="6">
        <f t="shared" ca="1" si="7"/>
        <v>0</v>
      </c>
      <c r="I38" s="6">
        <f t="shared" ca="1" si="7"/>
        <v>0</v>
      </c>
      <c r="J38" s="6">
        <f t="shared" ca="1" si="7"/>
        <v>35.6</v>
      </c>
      <c r="K38" s="6">
        <f t="shared" ca="1" si="7"/>
        <v>147.69999999999999</v>
      </c>
      <c r="L38" s="6">
        <f t="shared" ca="1" si="7"/>
        <v>245.40000000000012</v>
      </c>
      <c r="M38" s="6">
        <f t="shared" ca="1" si="7"/>
        <v>120.69999999999997</v>
      </c>
      <c r="N38" s="6">
        <f t="shared" ca="1" si="7"/>
        <v>68.399999999999977</v>
      </c>
      <c r="O38" s="6">
        <f t="shared" ca="1" si="7"/>
        <v>3.5</v>
      </c>
      <c r="P38" s="6">
        <f t="shared" ca="1" si="7"/>
        <v>0</v>
      </c>
      <c r="Q38" s="6">
        <f t="shared" ca="1" si="7"/>
        <v>0</v>
      </c>
    </row>
    <row r="39" spans="1:17">
      <c r="A39" s="10">
        <v>35827</v>
      </c>
      <c r="B39" s="6">
        <v>429.89999999999992</v>
      </c>
      <c r="C39" s="6">
        <v>0</v>
      </c>
      <c r="E39" s="6">
        <v>2000</v>
      </c>
      <c r="F39" s="6">
        <f t="shared" ca="1" si="6"/>
        <v>0</v>
      </c>
      <c r="G39" s="6">
        <f t="shared" ca="1" si="7"/>
        <v>0</v>
      </c>
      <c r="H39" s="6">
        <f t="shared" ca="1" si="7"/>
        <v>1.8</v>
      </c>
      <c r="I39" s="6">
        <f t="shared" ca="1" si="7"/>
        <v>0.3</v>
      </c>
      <c r="J39" s="6">
        <f t="shared" ca="1" si="7"/>
        <v>47.099999999999987</v>
      </c>
      <c r="K39" s="6">
        <f t="shared" ca="1" si="7"/>
        <v>120.59999999999998</v>
      </c>
      <c r="L39" s="6">
        <f t="shared" ca="1" si="7"/>
        <v>113.69999999999997</v>
      </c>
      <c r="M39" s="6">
        <f t="shared" ca="1" si="7"/>
        <v>131.5</v>
      </c>
      <c r="N39" s="6">
        <f t="shared" ca="1" si="7"/>
        <v>62.499999999999993</v>
      </c>
      <c r="O39" s="6">
        <f t="shared" ca="1" si="7"/>
        <v>6.1</v>
      </c>
      <c r="P39" s="6">
        <f t="shared" ca="1" si="7"/>
        <v>0</v>
      </c>
      <c r="Q39" s="6">
        <f t="shared" ca="1" si="7"/>
        <v>0</v>
      </c>
    </row>
    <row r="40" spans="1:17">
      <c r="A40" s="10">
        <v>35855</v>
      </c>
      <c r="B40" s="6">
        <v>424.09999999999997</v>
      </c>
      <c r="C40" s="6">
        <v>7.1</v>
      </c>
      <c r="E40" s="6">
        <v>2001</v>
      </c>
      <c r="F40" s="6">
        <f t="shared" ca="1" si="6"/>
        <v>0</v>
      </c>
      <c r="G40" s="6">
        <f t="shared" ca="1" si="7"/>
        <v>0</v>
      </c>
      <c r="H40" s="6">
        <f t="shared" ca="1" si="7"/>
        <v>0</v>
      </c>
      <c r="I40" s="6">
        <f t="shared" ca="1" si="7"/>
        <v>3.8</v>
      </c>
      <c r="J40" s="6">
        <f t="shared" ca="1" si="7"/>
        <v>31.300000000000004</v>
      </c>
      <c r="K40" s="6">
        <f t="shared" ca="1" si="7"/>
        <v>123.29999999999998</v>
      </c>
      <c r="L40" s="6">
        <f t="shared" ca="1" si="7"/>
        <v>172.20000000000005</v>
      </c>
      <c r="M40" s="6">
        <f t="shared" ca="1" si="7"/>
        <v>185.70000000000007</v>
      </c>
      <c r="N40" s="6">
        <f t="shared" ca="1" si="7"/>
        <v>42.899999999999984</v>
      </c>
      <c r="O40" s="6">
        <f t="shared" ca="1" si="7"/>
        <v>4.5999999999999996</v>
      </c>
      <c r="P40" s="6">
        <f t="shared" ca="1" si="7"/>
        <v>0</v>
      </c>
      <c r="Q40" s="6">
        <f t="shared" ca="1" si="7"/>
        <v>0</v>
      </c>
    </row>
    <row r="41" spans="1:17">
      <c r="A41" s="10">
        <v>35886</v>
      </c>
      <c r="B41" s="6">
        <v>232.7999999999999</v>
      </c>
      <c r="C41" s="6">
        <v>0</v>
      </c>
      <c r="E41" s="6">
        <v>2002</v>
      </c>
      <c r="F41" s="6">
        <f t="shared" ca="1" si="6"/>
        <v>0</v>
      </c>
      <c r="G41" s="6">
        <f t="shared" ca="1" si="7"/>
        <v>0</v>
      </c>
      <c r="H41" s="6">
        <f t="shared" ca="1" si="7"/>
        <v>0</v>
      </c>
      <c r="I41" s="6">
        <f t="shared" ca="1" si="7"/>
        <v>22.6</v>
      </c>
      <c r="J41" s="6">
        <f t="shared" ca="1" si="7"/>
        <v>16.5</v>
      </c>
      <c r="K41" s="6">
        <f t="shared" ca="1" si="7"/>
        <v>132</v>
      </c>
      <c r="L41" s="6">
        <f t="shared" ca="1" si="7"/>
        <v>216.30000000000004</v>
      </c>
      <c r="M41" s="6">
        <f t="shared" ca="1" si="7"/>
        <v>168.30000000000004</v>
      </c>
      <c r="N41" s="6">
        <f t="shared" ca="1" si="7"/>
        <v>105.19999999999999</v>
      </c>
      <c r="O41" s="6">
        <f t="shared" ca="1" si="7"/>
        <v>16.100000000000001</v>
      </c>
      <c r="P41" s="6">
        <f t="shared" ca="1" si="7"/>
        <v>0</v>
      </c>
      <c r="Q41" s="6">
        <f t="shared" ca="1" si="7"/>
        <v>0</v>
      </c>
    </row>
    <row r="42" spans="1:17">
      <c r="A42" s="10">
        <v>35916</v>
      </c>
      <c r="B42" s="6">
        <v>28.299999999999997</v>
      </c>
      <c r="C42" s="6">
        <v>66.399999999999991</v>
      </c>
      <c r="E42" s="6">
        <v>2003</v>
      </c>
      <c r="F42" s="6">
        <f t="shared" ca="1" si="6"/>
        <v>0</v>
      </c>
      <c r="G42" s="6">
        <f t="shared" ca="1" si="7"/>
        <v>0</v>
      </c>
      <c r="H42" s="6">
        <f t="shared" ca="1" si="7"/>
        <v>0</v>
      </c>
      <c r="I42" s="6">
        <f t="shared" ca="1" si="7"/>
        <v>5.0999999999999996</v>
      </c>
      <c r="J42" s="6">
        <f t="shared" ca="1" si="7"/>
        <v>2.6</v>
      </c>
      <c r="K42" s="6">
        <f t="shared" ca="1" si="7"/>
        <v>72.8</v>
      </c>
      <c r="L42" s="6">
        <f t="shared" ca="1" si="7"/>
        <v>156.4</v>
      </c>
      <c r="M42" s="6">
        <f t="shared" ca="1" si="7"/>
        <v>163.80000000000001</v>
      </c>
      <c r="N42" s="6">
        <f t="shared" ca="1" si="7"/>
        <v>48.3</v>
      </c>
      <c r="O42" s="6">
        <f t="shared" ca="1" si="7"/>
        <v>3</v>
      </c>
      <c r="P42" s="6">
        <f t="shared" ca="1" si="7"/>
        <v>0</v>
      </c>
      <c r="Q42" s="6">
        <f t="shared" ca="1" si="7"/>
        <v>0</v>
      </c>
    </row>
    <row r="43" spans="1:17">
      <c r="A43" s="10">
        <v>35947</v>
      </c>
      <c r="B43" s="6">
        <v>42.100000000000009</v>
      </c>
      <c r="C43" s="6">
        <v>133.4</v>
      </c>
      <c r="E43" s="6">
        <v>2004</v>
      </c>
      <c r="F43" s="6">
        <f t="shared" ca="1" si="6"/>
        <v>0</v>
      </c>
      <c r="G43" s="6">
        <f t="shared" ca="1" si="7"/>
        <v>0</v>
      </c>
      <c r="H43" s="6">
        <f t="shared" ca="1" si="7"/>
        <v>0</v>
      </c>
      <c r="I43" s="6">
        <f t="shared" ca="1" si="7"/>
        <v>12.100000000000001</v>
      </c>
      <c r="J43" s="6">
        <f t="shared" ca="1" si="7"/>
        <v>37.4</v>
      </c>
      <c r="K43" s="6">
        <f t="shared" ca="1" si="7"/>
        <v>76.999999999999986</v>
      </c>
      <c r="L43" s="6">
        <f t="shared" ca="1" si="7"/>
        <v>138.5</v>
      </c>
      <c r="M43" s="6">
        <f t="shared" ca="1" si="7"/>
        <v>90.09999999999998</v>
      </c>
      <c r="N43" s="6">
        <f t="shared" ca="1" si="7"/>
        <v>77.999999999999986</v>
      </c>
      <c r="O43" s="6">
        <f t="shared" ca="1" si="7"/>
        <v>2.8</v>
      </c>
      <c r="P43" s="6">
        <f t="shared" ca="1" si="7"/>
        <v>0</v>
      </c>
      <c r="Q43" s="6">
        <f t="shared" ca="1" si="7"/>
        <v>0</v>
      </c>
    </row>
    <row r="44" spans="1:17">
      <c r="A44" s="10">
        <v>35977</v>
      </c>
      <c r="B44" s="6">
        <v>0</v>
      </c>
      <c r="C44" s="6">
        <v>177.89999999999998</v>
      </c>
      <c r="E44" s="6">
        <v>2005</v>
      </c>
      <c r="F44" s="6">
        <f t="shared" ca="1" si="6"/>
        <v>0</v>
      </c>
      <c r="G44" s="6">
        <f t="shared" ca="1" si="7"/>
        <v>0</v>
      </c>
      <c r="H44" s="6">
        <f t="shared" ca="1" si="7"/>
        <v>0</v>
      </c>
      <c r="I44" s="6">
        <f t="shared" ca="1" si="7"/>
        <v>2.8</v>
      </c>
      <c r="J44" s="6">
        <f t="shared" ca="1" si="7"/>
        <v>8.1</v>
      </c>
      <c r="K44" s="6">
        <f t="shared" ca="1" si="7"/>
        <v>174.20000000000002</v>
      </c>
      <c r="L44" s="6">
        <f t="shared" ca="1" si="7"/>
        <v>203.80000000000007</v>
      </c>
      <c r="M44" s="6">
        <f t="shared" ca="1" si="7"/>
        <v>192.20000000000007</v>
      </c>
      <c r="N44" s="6">
        <f t="shared" ca="1" si="7"/>
        <v>91.6</v>
      </c>
      <c r="O44" s="6">
        <f t="shared" ca="1" si="7"/>
        <v>23.9</v>
      </c>
      <c r="P44" s="6">
        <f t="shared" ca="1" si="7"/>
        <v>0</v>
      </c>
      <c r="Q44" s="6">
        <f t="shared" ca="1" si="7"/>
        <v>0</v>
      </c>
    </row>
    <row r="45" spans="1:17">
      <c r="A45" s="10">
        <v>36008</v>
      </c>
      <c r="B45" s="6">
        <v>0.5</v>
      </c>
      <c r="C45" s="6">
        <v>169.20000000000002</v>
      </c>
      <c r="E45" s="6">
        <v>2006</v>
      </c>
      <c r="F45" s="6">
        <f t="shared" ca="1" si="6"/>
        <v>0</v>
      </c>
      <c r="G45" s="6">
        <f t="shared" ca="1" si="7"/>
        <v>0</v>
      </c>
      <c r="H45" s="6">
        <f t="shared" ca="1" si="7"/>
        <v>0</v>
      </c>
      <c r="I45" s="6">
        <f t="shared" ca="1" si="7"/>
        <v>0.8</v>
      </c>
      <c r="J45" s="6">
        <f t="shared" ca="1" si="7"/>
        <v>46.2</v>
      </c>
      <c r="K45" s="6">
        <f t="shared" ca="1" si="7"/>
        <v>90.799999999999983</v>
      </c>
      <c r="L45" s="6">
        <f t="shared" ca="1" si="7"/>
        <v>206.00000000000006</v>
      </c>
      <c r="M45" s="6">
        <f t="shared" ca="1" si="7"/>
        <v>155.30000000000001</v>
      </c>
      <c r="N45" s="6">
        <f t="shared" ca="1" si="7"/>
        <v>27.900000000000002</v>
      </c>
      <c r="O45" s="6">
        <f t="shared" ca="1" si="7"/>
        <v>1.8</v>
      </c>
      <c r="P45" s="6">
        <f t="shared" ca="1" si="7"/>
        <v>0</v>
      </c>
      <c r="Q45" s="6">
        <f t="shared" ca="1" si="7"/>
        <v>0</v>
      </c>
    </row>
    <row r="46" spans="1:17">
      <c r="A46" s="10">
        <v>36039</v>
      </c>
      <c r="B46" s="6">
        <v>13.100000000000001</v>
      </c>
      <c r="C46" s="6">
        <v>100.8</v>
      </c>
      <c r="E46" s="6">
        <v>2007</v>
      </c>
      <c r="F46" s="6">
        <f t="shared" ca="1" si="6"/>
        <v>0</v>
      </c>
      <c r="G46" s="6">
        <f t="shared" ca="1" si="7"/>
        <v>0</v>
      </c>
      <c r="H46" s="6">
        <f t="shared" ca="1" si="7"/>
        <v>4</v>
      </c>
      <c r="I46" s="6">
        <f t="shared" ca="1" si="7"/>
        <v>2.8</v>
      </c>
      <c r="J46" s="6">
        <f t="shared" ca="1" si="7"/>
        <v>48.099999999999994</v>
      </c>
      <c r="K46" s="6">
        <f t="shared" ca="1" si="7"/>
        <v>131.6</v>
      </c>
      <c r="L46" s="6">
        <f t="shared" ca="1" si="7"/>
        <v>144</v>
      </c>
      <c r="M46" s="6">
        <f t="shared" ca="1" si="7"/>
        <v>173.3</v>
      </c>
      <c r="N46" s="6">
        <f t="shared" ca="1" si="7"/>
        <v>77.299999999999983</v>
      </c>
      <c r="O46" s="6">
        <f t="shared" ca="1" si="7"/>
        <v>40.699999999999996</v>
      </c>
      <c r="P46" s="6">
        <f t="shared" ca="1" si="7"/>
        <v>0</v>
      </c>
      <c r="Q46" s="6">
        <f t="shared" ca="1" si="7"/>
        <v>0</v>
      </c>
    </row>
    <row r="47" spans="1:17">
      <c r="A47" s="10">
        <v>36069</v>
      </c>
      <c r="B47" s="6">
        <v>158.89999999999998</v>
      </c>
      <c r="C47" s="6">
        <v>5.6</v>
      </c>
      <c r="E47" s="6">
        <v>2008</v>
      </c>
      <c r="F47" s="6">
        <f t="shared" ca="1" si="6"/>
        <v>0</v>
      </c>
      <c r="G47" s="6">
        <f t="shared" ca="1" si="7"/>
        <v>0</v>
      </c>
      <c r="H47" s="6">
        <f t="shared" ca="1" si="7"/>
        <v>0</v>
      </c>
      <c r="I47" s="6">
        <f t="shared" ca="1" si="7"/>
        <v>1.5</v>
      </c>
      <c r="J47" s="6">
        <f t="shared" ca="1" si="7"/>
        <v>13.399999999999999</v>
      </c>
      <c r="K47" s="6">
        <f t="shared" ca="1" si="7"/>
        <v>120.39999999999998</v>
      </c>
      <c r="L47" s="6">
        <f t="shared" ca="1" si="7"/>
        <v>180.50000000000006</v>
      </c>
      <c r="M47" s="6">
        <f t="shared" ca="1" si="7"/>
        <v>137.09999999999997</v>
      </c>
      <c r="N47" s="6">
        <f t="shared" ca="1" si="7"/>
        <v>56.099999999999994</v>
      </c>
      <c r="O47" s="6">
        <f t="shared" ca="1" si="7"/>
        <v>2.2999999999999998</v>
      </c>
      <c r="P47" s="6">
        <f t="shared" ca="1" si="7"/>
        <v>0</v>
      </c>
      <c r="Q47" s="6">
        <f t="shared" ca="1" si="7"/>
        <v>0</v>
      </c>
    </row>
    <row r="48" spans="1:17">
      <c r="A48" s="10">
        <v>36100</v>
      </c>
      <c r="B48" s="6">
        <v>314.19999999999993</v>
      </c>
      <c r="C48" s="6">
        <v>0</v>
      </c>
      <c r="E48" s="6">
        <v>2009</v>
      </c>
      <c r="F48" s="6">
        <f t="shared" ca="1" si="6"/>
        <v>0</v>
      </c>
      <c r="G48" s="6">
        <f t="shared" ca="1" si="7"/>
        <v>0</v>
      </c>
      <c r="H48" s="6">
        <f t="shared" ca="1" si="7"/>
        <v>0</v>
      </c>
      <c r="I48" s="6">
        <f t="shared" ca="1" si="7"/>
        <v>10.399999999999999</v>
      </c>
      <c r="J48" s="6">
        <f t="shared" ca="1" si="7"/>
        <v>12.899999999999999</v>
      </c>
      <c r="K48" s="6">
        <f t="shared" ca="1" si="7"/>
        <v>79.399999999999991</v>
      </c>
      <c r="L48" s="6">
        <f t="shared" ca="1" si="7"/>
        <v>100.19999999999999</v>
      </c>
      <c r="M48" s="6">
        <f t="shared" ca="1" si="7"/>
        <v>133.4</v>
      </c>
      <c r="N48" s="6">
        <f t="shared" ca="1" si="7"/>
        <v>54.699999999999989</v>
      </c>
      <c r="O48" s="6">
        <f t="shared" ca="1" si="7"/>
        <v>0</v>
      </c>
      <c r="P48" s="6">
        <f t="shared" ca="1" si="7"/>
        <v>0</v>
      </c>
      <c r="Q48" s="6">
        <f t="shared" ca="1" si="7"/>
        <v>0</v>
      </c>
    </row>
    <row r="49" spans="1:17">
      <c r="A49" s="10">
        <v>36130</v>
      </c>
      <c r="B49" s="6">
        <v>467.00000000000006</v>
      </c>
      <c r="C49" s="6">
        <v>0</v>
      </c>
      <c r="E49" s="6">
        <v>2010</v>
      </c>
      <c r="F49" s="6">
        <f t="shared" ca="1" si="6"/>
        <v>0</v>
      </c>
      <c r="G49" s="6">
        <f t="shared" ca="1" si="7"/>
        <v>0</v>
      </c>
      <c r="H49" s="6">
        <f t="shared" ca="1" si="7"/>
        <v>0</v>
      </c>
      <c r="I49" s="6">
        <f t="shared" ca="1" si="7"/>
        <v>5</v>
      </c>
      <c r="J49" s="6">
        <f t="shared" ca="1" si="7"/>
        <v>59.699999999999989</v>
      </c>
      <c r="K49" s="6">
        <f t="shared" ca="1" si="7"/>
        <v>135.89999999999998</v>
      </c>
      <c r="L49" s="6">
        <f t="shared" ca="1" si="7"/>
        <v>227.00000000000006</v>
      </c>
      <c r="M49" s="6">
        <f t="shared" ca="1" si="7"/>
        <v>211.80000000000004</v>
      </c>
      <c r="N49" s="6">
        <f t="shared" ca="1" si="7"/>
        <v>59.699999999999989</v>
      </c>
      <c r="O49" s="6">
        <f t="shared" ca="1" si="7"/>
        <v>1.4000000000000001</v>
      </c>
      <c r="P49" s="6">
        <f t="shared" ca="1" si="7"/>
        <v>0</v>
      </c>
      <c r="Q49" s="6">
        <f t="shared" ca="1" si="7"/>
        <v>0</v>
      </c>
    </row>
    <row r="50" spans="1:17">
      <c r="A50" s="10">
        <v>36161</v>
      </c>
      <c r="B50" s="6">
        <v>689.20000000000027</v>
      </c>
      <c r="C50" s="6">
        <v>0</v>
      </c>
      <c r="E50" s="6">
        <v>2011</v>
      </c>
      <c r="F50" s="6">
        <f t="shared" ca="1" si="6"/>
        <v>0</v>
      </c>
      <c r="G50" s="6">
        <f t="shared" ref="G50:Q50" ca="1" si="8">OFFSET($C$2,(ROW()-34)*12+COLUMN()-6,0)</f>
        <v>0</v>
      </c>
      <c r="H50" s="6">
        <f t="shared" ca="1" si="8"/>
        <v>0</v>
      </c>
      <c r="I50" s="6">
        <f t="shared" ca="1" si="8"/>
        <v>0.5</v>
      </c>
      <c r="J50" s="6">
        <f t="shared" ca="1" si="8"/>
        <v>37.200000000000003</v>
      </c>
      <c r="K50" s="6">
        <f t="shared" ca="1" si="8"/>
        <v>115.89999999999998</v>
      </c>
      <c r="L50" s="6">
        <f t="shared" ca="1" si="8"/>
        <v>255.50000000000006</v>
      </c>
      <c r="M50" s="6">
        <f t="shared" ca="1" si="8"/>
        <v>159.50000000000003</v>
      </c>
      <c r="N50" s="6">
        <f t="shared" ca="1" si="8"/>
        <v>60.199999999999989</v>
      </c>
      <c r="O50" s="6">
        <f t="shared" ca="1" si="8"/>
        <v>2.6999999999999997</v>
      </c>
      <c r="P50" s="6">
        <f t="shared" ca="1" si="8"/>
        <v>0</v>
      </c>
      <c r="Q50" s="6">
        <f t="shared" ca="1" si="8"/>
        <v>0</v>
      </c>
    </row>
    <row r="51" spans="1:17">
      <c r="A51" s="10">
        <v>36192</v>
      </c>
      <c r="B51" s="6">
        <v>480.4</v>
      </c>
      <c r="C51" s="6">
        <v>0</v>
      </c>
      <c r="E51" s="6">
        <v>2012</v>
      </c>
      <c r="F51" s="6">
        <f t="shared" ref="F51:Q55" ca="1" si="9">OFFSET($C$2,(ROW()-34)*12+COLUMN()-6,0)</f>
        <v>0</v>
      </c>
      <c r="G51" s="6">
        <f t="shared" ca="1" si="9"/>
        <v>0</v>
      </c>
      <c r="H51" s="6">
        <f t="shared" ca="1" si="9"/>
        <v>4.8</v>
      </c>
      <c r="I51" s="6">
        <f t="shared" ca="1" si="9"/>
        <v>4.3</v>
      </c>
      <c r="J51" s="6">
        <f t="shared" ca="1" si="9"/>
        <v>59.3</v>
      </c>
      <c r="K51" s="6">
        <f t="shared" ca="1" si="9"/>
        <v>147.09999999999997</v>
      </c>
      <c r="L51" s="6">
        <f t="shared" ca="1" si="9"/>
        <v>235.50000000000009</v>
      </c>
      <c r="M51" s="6">
        <f t="shared" ca="1" si="9"/>
        <v>143.69999999999999</v>
      </c>
      <c r="N51" s="6">
        <f t="shared" ca="1" si="9"/>
        <v>50.29999999999999</v>
      </c>
      <c r="O51" s="6">
        <f t="shared" ca="1" si="9"/>
        <v>5.6</v>
      </c>
      <c r="P51" s="6">
        <f t="shared" ca="1" si="9"/>
        <v>0</v>
      </c>
      <c r="Q51" s="6">
        <f t="shared" ca="1" si="9"/>
        <v>0</v>
      </c>
    </row>
    <row r="52" spans="1:17">
      <c r="A52" s="10">
        <v>36220</v>
      </c>
      <c r="B52" s="6">
        <v>492.49999999999994</v>
      </c>
      <c r="C52" s="6">
        <v>0</v>
      </c>
      <c r="E52" s="6">
        <v>2013</v>
      </c>
      <c r="F52" s="6">
        <f t="shared" ca="1" si="9"/>
        <v>0</v>
      </c>
      <c r="G52" s="6">
        <f t="shared" ca="1" si="9"/>
        <v>0</v>
      </c>
      <c r="H52" s="6">
        <f t="shared" ca="1" si="9"/>
        <v>0</v>
      </c>
      <c r="I52" s="6">
        <f t="shared" ca="1" si="9"/>
        <v>0</v>
      </c>
      <c r="J52" s="6">
        <f t="shared" ca="1" si="9"/>
        <v>59.899999999999991</v>
      </c>
      <c r="K52" s="6">
        <f t="shared" ca="1" si="9"/>
        <v>103.49999999999999</v>
      </c>
      <c r="L52" s="6">
        <f t="shared" ca="1" si="9"/>
        <v>174.80000000000004</v>
      </c>
      <c r="M52" s="6">
        <f t="shared" ca="1" si="9"/>
        <v>134.29999999999998</v>
      </c>
      <c r="N52" s="6">
        <f t="shared" ca="1" si="9"/>
        <v>65.3</v>
      </c>
      <c r="O52" s="6">
        <f t="shared" ca="1" si="9"/>
        <v>19.899999999999999</v>
      </c>
      <c r="P52" s="6">
        <f t="shared" ca="1" si="9"/>
        <v>0</v>
      </c>
      <c r="Q52" s="6">
        <f t="shared" ca="1" si="9"/>
        <v>0</v>
      </c>
    </row>
    <row r="53" spans="1:17">
      <c r="A53" s="10">
        <v>36251</v>
      </c>
      <c r="B53" s="6">
        <v>229.59999999999997</v>
      </c>
      <c r="C53" s="6">
        <v>0</v>
      </c>
      <c r="E53" s="6">
        <v>2014</v>
      </c>
      <c r="F53" s="6">
        <f t="shared" ca="1" si="9"/>
        <v>0</v>
      </c>
      <c r="G53" s="6">
        <f t="shared" ca="1" si="9"/>
        <v>0</v>
      </c>
      <c r="H53" s="6">
        <f t="shared" ca="1" si="9"/>
        <v>0</v>
      </c>
      <c r="I53" s="6">
        <f t="shared" ca="1" si="9"/>
        <v>0</v>
      </c>
      <c r="J53" s="6">
        <f t="shared" ca="1" si="9"/>
        <v>36.4</v>
      </c>
      <c r="K53" s="6">
        <f t="shared" ca="1" si="9"/>
        <v>123.29999999999997</v>
      </c>
      <c r="L53" s="6">
        <f t="shared" ca="1" si="9"/>
        <v>113.59999999999997</v>
      </c>
      <c r="M53" s="6">
        <f t="shared" ca="1" si="9"/>
        <v>130.19999999999996</v>
      </c>
      <c r="N53" s="6">
        <f t="shared" ca="1" si="9"/>
        <v>50.499999999999979</v>
      </c>
      <c r="O53" s="6">
        <f t="shared" ca="1" si="9"/>
        <v>3.9</v>
      </c>
      <c r="P53" s="6">
        <f t="shared" ca="1" si="9"/>
        <v>0</v>
      </c>
      <c r="Q53" s="6">
        <f t="shared" ca="1" si="9"/>
        <v>0</v>
      </c>
    </row>
    <row r="54" spans="1:17">
      <c r="A54" s="10">
        <v>36281</v>
      </c>
      <c r="B54" s="6">
        <v>58.300000000000011</v>
      </c>
      <c r="C54" s="6">
        <v>35.6</v>
      </c>
      <c r="E54" s="6">
        <v>2015</v>
      </c>
      <c r="F54" s="6">
        <f t="shared" ca="1" si="9"/>
        <v>0</v>
      </c>
      <c r="G54" s="6">
        <f t="shared" ca="1" si="9"/>
        <v>0</v>
      </c>
      <c r="H54" s="6">
        <f t="shared" ca="1" si="9"/>
        <v>0</v>
      </c>
      <c r="I54" s="6">
        <f t="shared" ca="1" si="9"/>
        <v>0</v>
      </c>
      <c r="J54" s="6">
        <f t="shared" ca="1" si="9"/>
        <v>64.099999999999994</v>
      </c>
      <c r="K54" s="6">
        <f t="shared" ca="1" si="9"/>
        <v>89.59999999999998</v>
      </c>
      <c r="L54" s="6">
        <f t="shared" ca="1" si="9"/>
        <v>152.89999999999998</v>
      </c>
      <c r="M54" s="6">
        <f t="shared" ca="1" si="9"/>
        <v>138.69999999999999</v>
      </c>
      <c r="N54" s="6">
        <f t="shared" ca="1" si="9"/>
        <v>109.19999999999997</v>
      </c>
      <c r="O54" s="6">
        <f t="shared" ca="1" si="9"/>
        <v>2.6</v>
      </c>
      <c r="P54" s="6">
        <f t="shared" ca="1" si="9"/>
        <v>0.5</v>
      </c>
      <c r="Q54" s="6">
        <f t="shared" ca="1" si="9"/>
        <v>0</v>
      </c>
    </row>
    <row r="55" spans="1:17">
      <c r="A55" s="10">
        <v>36312</v>
      </c>
      <c r="B55" s="6">
        <v>17.599999999999998</v>
      </c>
      <c r="C55" s="6">
        <v>147.69999999999999</v>
      </c>
      <c r="E55" s="6">
        <v>2016</v>
      </c>
      <c r="F55" s="6">
        <f t="shared" ca="1" si="9"/>
        <v>0</v>
      </c>
      <c r="G55" s="6">
        <f t="shared" ca="1" si="9"/>
        <v>0</v>
      </c>
      <c r="H55" s="6">
        <f t="shared" ca="1" si="9"/>
        <v>0</v>
      </c>
      <c r="I55" s="6">
        <f t="shared" ca="1" si="9"/>
        <v>0</v>
      </c>
      <c r="J55" s="6">
        <f t="shared" ca="1" si="9"/>
        <v>47</v>
      </c>
      <c r="K55" s="6">
        <f t="shared" ca="1" si="9"/>
        <v>127.2</v>
      </c>
      <c r="L55" s="6">
        <f t="shared" ca="1" si="9"/>
        <v>213.1</v>
      </c>
      <c r="M55" s="6">
        <f t="shared" ca="1" si="9"/>
        <v>219</v>
      </c>
      <c r="N55" s="6">
        <f t="shared" ca="1" si="9"/>
        <v>90.1</v>
      </c>
      <c r="O55" s="6">
        <f t="shared" ca="1" si="9"/>
        <v>22.7</v>
      </c>
      <c r="P55" s="6">
        <f t="shared" ca="1" si="9"/>
        <v>0</v>
      </c>
      <c r="Q55" s="6">
        <f t="shared" ca="1" si="9"/>
        <v>0</v>
      </c>
    </row>
    <row r="56" spans="1:17">
      <c r="A56" s="10">
        <v>36342</v>
      </c>
      <c r="B56" s="6">
        <v>0</v>
      </c>
      <c r="C56" s="6">
        <v>245.40000000000012</v>
      </c>
      <c r="E56" s="6">
        <v>2017</v>
      </c>
      <c r="F56" s="6">
        <f ca="1">MAX(TREND(F$36:F$55,$E$36:$E$55,$E56),0)</f>
        <v>0</v>
      </c>
      <c r="G56" s="6">
        <f t="shared" ref="G56:Q57" ca="1" si="10">MAX(TREND(G$36:G$55,$E$36:$E$55,$E56),0)</f>
        <v>0</v>
      </c>
      <c r="H56" s="6">
        <f t="shared" ca="1" si="10"/>
        <v>0.19578947368418653</v>
      </c>
      <c r="I56" s="6">
        <f t="shared" ca="1" si="10"/>
        <v>1.9247368421052897</v>
      </c>
      <c r="J56" s="6">
        <f t="shared" ca="1" si="10"/>
        <v>50.841052631578805</v>
      </c>
      <c r="K56" s="6">
        <f t="shared" ca="1" si="10"/>
        <v>113.74473684210534</v>
      </c>
      <c r="L56" s="6">
        <f t="shared" ca="1" si="10"/>
        <v>185.71842105263181</v>
      </c>
      <c r="M56" s="6">
        <f t="shared" ca="1" si="10"/>
        <v>168.4052631578943</v>
      </c>
      <c r="N56" s="6">
        <f t="shared" ca="1" si="10"/>
        <v>70.334736842105258</v>
      </c>
      <c r="O56" s="6">
        <f t="shared" ca="1" si="10"/>
        <v>8.7973684210526244</v>
      </c>
      <c r="P56" s="6">
        <f t="shared" ca="1" si="10"/>
        <v>9.2105263157895578E-2</v>
      </c>
      <c r="Q56" s="6">
        <f t="shared" ca="1" si="10"/>
        <v>0</v>
      </c>
    </row>
    <row r="57" spans="1:17">
      <c r="A57" s="10">
        <v>36373</v>
      </c>
      <c r="B57" s="6">
        <v>0.5</v>
      </c>
      <c r="C57" s="6">
        <v>120.69999999999997</v>
      </c>
      <c r="E57" s="6">
        <v>2018</v>
      </c>
      <c r="F57" s="6">
        <f ca="1">MAX(TREND(F$36:F$55,$E$36:$E$55,$E57),0)</f>
        <v>0</v>
      </c>
      <c r="G57" s="6">
        <f t="shared" ca="1" si="10"/>
        <v>0</v>
      </c>
      <c r="H57" s="6">
        <f t="shared" ca="1" si="10"/>
        <v>0.13015037593982015</v>
      </c>
      <c r="I57" s="6">
        <f t="shared" ca="1" si="10"/>
        <v>1.7637593984962336</v>
      </c>
      <c r="J57" s="6">
        <f t="shared" ca="1" si="10"/>
        <v>52.210676691729077</v>
      </c>
      <c r="K57" s="6">
        <f t="shared" ca="1" si="10"/>
        <v>113.37661654135343</v>
      </c>
      <c r="L57" s="6">
        <f t="shared" ca="1" si="10"/>
        <v>186.39255639097769</v>
      </c>
      <c r="M57" s="6">
        <f t="shared" ca="1" si="10"/>
        <v>169.95052631578938</v>
      </c>
      <c r="N57" s="6">
        <f t="shared" ca="1" si="10"/>
        <v>70.650902255639153</v>
      </c>
      <c r="O57" s="6">
        <f t="shared" ca="1" si="10"/>
        <v>8.6933082706766811</v>
      </c>
      <c r="P57" s="6">
        <f t="shared" ca="1" si="10"/>
        <v>9.849624060150397E-2</v>
      </c>
      <c r="Q57" s="6">
        <f t="shared" ca="1" si="10"/>
        <v>0</v>
      </c>
    </row>
    <row r="58" spans="1:17">
      <c r="A58" s="10">
        <v>36404</v>
      </c>
      <c r="B58" s="6">
        <v>30.799999999999997</v>
      </c>
      <c r="C58" s="6">
        <v>68.399999999999977</v>
      </c>
      <c r="E58" s="11" t="s">
        <v>43</v>
      </c>
      <c r="F58" s="6">
        <f ca="1">AVERAGE(F46:F55)</f>
        <v>0</v>
      </c>
      <c r="G58" s="6">
        <f t="shared" ref="G58:Q58" ca="1" si="11">AVERAGE(G46:G55)</f>
        <v>0</v>
      </c>
      <c r="H58" s="6">
        <f t="shared" ca="1" si="11"/>
        <v>0.88000000000000012</v>
      </c>
      <c r="I58" s="6">
        <f t="shared" ca="1" si="11"/>
        <v>2.4500000000000002</v>
      </c>
      <c r="J58" s="6">
        <f t="shared" ca="1" si="11"/>
        <v>43.79999999999999</v>
      </c>
      <c r="K58" s="6">
        <f t="shared" ca="1" si="11"/>
        <v>117.38999999999999</v>
      </c>
      <c r="L58" s="6">
        <f t="shared" ca="1" si="11"/>
        <v>179.70999999999998</v>
      </c>
      <c r="M58" s="6">
        <f t="shared" ca="1" si="11"/>
        <v>158.1</v>
      </c>
      <c r="N58" s="6">
        <f t="shared" ca="1" si="11"/>
        <v>67.34</v>
      </c>
      <c r="O58" s="6">
        <f t="shared" ca="1" si="11"/>
        <v>10.18</v>
      </c>
      <c r="P58" s="6">
        <f t="shared" ca="1" si="11"/>
        <v>0.05</v>
      </c>
      <c r="Q58" s="6">
        <f t="shared" ca="1" si="11"/>
        <v>0</v>
      </c>
    </row>
    <row r="59" spans="1:17">
      <c r="A59" s="10">
        <v>36434</v>
      </c>
      <c r="B59" s="6">
        <v>204.09999999999997</v>
      </c>
      <c r="C59" s="6">
        <v>3.5</v>
      </c>
      <c r="E59" s="11" t="s">
        <v>44</v>
      </c>
      <c r="F59" s="6">
        <f ca="1">AVERAGE(F36:F55)</f>
        <v>0</v>
      </c>
      <c r="G59" s="6">
        <f t="shared" ref="G59:Q59" ca="1" si="12">AVERAGE(G36:G55)</f>
        <v>0</v>
      </c>
      <c r="H59" s="6">
        <f t="shared" ca="1" si="12"/>
        <v>0.88500000000000001</v>
      </c>
      <c r="I59" s="6">
        <f t="shared" ca="1" si="12"/>
        <v>3.6149999999999998</v>
      </c>
      <c r="J59" s="6">
        <f t="shared" ca="1" si="12"/>
        <v>36.459999999999994</v>
      </c>
      <c r="K59" s="6">
        <f t="shared" ca="1" si="12"/>
        <v>117.60999999999999</v>
      </c>
      <c r="L59" s="6">
        <f t="shared" ca="1" si="12"/>
        <v>178.64000000000001</v>
      </c>
      <c r="M59" s="6">
        <f t="shared" ca="1" si="12"/>
        <v>152.18</v>
      </c>
      <c r="N59" s="6">
        <f t="shared" ca="1" si="12"/>
        <v>67.014999999999986</v>
      </c>
      <c r="O59" s="6">
        <f t="shared" ca="1" si="12"/>
        <v>9.8899999999999988</v>
      </c>
      <c r="P59" s="6">
        <f t="shared" ca="1" si="12"/>
        <v>2.5000000000000001E-2</v>
      </c>
      <c r="Q59" s="6">
        <f t="shared" ca="1" si="12"/>
        <v>0</v>
      </c>
    </row>
    <row r="60" spans="1:17">
      <c r="A60" s="10">
        <v>36465</v>
      </c>
      <c r="B60" s="6">
        <v>312.19999999999993</v>
      </c>
      <c r="C60" s="6">
        <v>0</v>
      </c>
    </row>
    <row r="61" spans="1:17">
      <c r="A61" s="10">
        <v>36495</v>
      </c>
      <c r="B61" s="6">
        <v>533.10000000000014</v>
      </c>
      <c r="C61" s="6">
        <v>0</v>
      </c>
    </row>
    <row r="62" spans="1:17">
      <c r="A62" s="10">
        <v>36526</v>
      </c>
      <c r="B62" s="6">
        <v>652.79999999999995</v>
      </c>
      <c r="C62" s="6">
        <v>0</v>
      </c>
    </row>
    <row r="63" spans="1:17">
      <c r="A63" s="10">
        <v>36557</v>
      </c>
      <c r="B63" s="6">
        <v>497.1</v>
      </c>
      <c r="C63" s="6">
        <v>0</v>
      </c>
    </row>
    <row r="64" spans="1:17">
      <c r="A64" s="10">
        <v>36586</v>
      </c>
      <c r="B64" s="6">
        <v>348.29999999999995</v>
      </c>
      <c r="C64" s="6">
        <v>1.8</v>
      </c>
    </row>
    <row r="65" spans="1:13">
      <c r="A65" s="10">
        <v>36617</v>
      </c>
      <c r="B65" s="6">
        <v>275.2999999999999</v>
      </c>
      <c r="C65" s="6">
        <v>0.3</v>
      </c>
    </row>
    <row r="66" spans="1:13">
      <c r="A66" s="10">
        <v>36647</v>
      </c>
      <c r="B66" s="6">
        <v>74.000000000000014</v>
      </c>
      <c r="C66" s="6">
        <v>47.099999999999987</v>
      </c>
    </row>
    <row r="67" spans="1:13" ht="15">
      <c r="A67" s="10">
        <v>36678</v>
      </c>
      <c r="B67" s="6">
        <v>14.8</v>
      </c>
      <c r="C67" s="6">
        <v>120.59999999999998</v>
      </c>
      <c r="E67" s="12" t="s">
        <v>45</v>
      </c>
      <c r="J67" s="12" t="s">
        <v>46</v>
      </c>
    </row>
    <row r="68" spans="1:13">
      <c r="A68" s="10">
        <v>36708</v>
      </c>
      <c r="B68" s="6">
        <v>0</v>
      </c>
      <c r="C68" s="6">
        <v>113.69999999999997</v>
      </c>
      <c r="G68" s="13" t="s">
        <v>28</v>
      </c>
      <c r="H68" s="13" t="s">
        <v>29</v>
      </c>
      <c r="L68" s="6" t="s">
        <v>28</v>
      </c>
      <c r="M68" s="6" t="s">
        <v>29</v>
      </c>
    </row>
    <row r="69" spans="1:13">
      <c r="A69" s="10">
        <v>36739</v>
      </c>
      <c r="B69" s="6">
        <v>3.4000000000000004</v>
      </c>
      <c r="C69" s="6">
        <v>131.5</v>
      </c>
      <c r="E69" s="6" t="s">
        <v>47</v>
      </c>
      <c r="F69" s="6" t="s">
        <v>48</v>
      </c>
      <c r="G69" s="6">
        <f t="shared" ref="G69:G80" ca="1" si="13">OFFSET($F$26,0,(ROW()-ROW(G$69)))</f>
        <v>661.18999999999994</v>
      </c>
      <c r="H69" s="6">
        <f t="shared" ref="H69:H80" ca="1" si="14">OFFSET($F$58,0,(ROW()-ROW(H$69)))</f>
        <v>0</v>
      </c>
      <c r="J69" s="6" t="s">
        <v>47</v>
      </c>
      <c r="K69" s="6" t="s">
        <v>48</v>
      </c>
      <c r="L69" s="14">
        <f t="shared" ref="L69:L80" ca="1" si="15">OFFSET($F$25,0,(ROW()-ROW(G$69)))</f>
        <v>675.09060150375944</v>
      </c>
      <c r="M69" s="14">
        <f ca="1">OFFSET($F$57,0,(ROW()-ROW(G$69)))</f>
        <v>0</v>
      </c>
    </row>
    <row r="70" spans="1:13">
      <c r="A70" s="10">
        <v>36770</v>
      </c>
      <c r="B70" s="6">
        <v>61.400000000000006</v>
      </c>
      <c r="C70" s="6">
        <v>62.499999999999993</v>
      </c>
      <c r="E70" s="6" t="s">
        <v>47</v>
      </c>
      <c r="F70" s="6" t="s">
        <v>49</v>
      </c>
      <c r="G70" s="6">
        <f t="shared" ca="1" si="13"/>
        <v>598.16999999999985</v>
      </c>
      <c r="H70" s="6">
        <f t="shared" ca="1" si="14"/>
        <v>0</v>
      </c>
      <c r="J70" s="6" t="s">
        <v>47</v>
      </c>
      <c r="K70" s="6" t="s">
        <v>49</v>
      </c>
      <c r="L70" s="14">
        <f t="shared" ca="1" si="15"/>
        <v>644.94571428571362</v>
      </c>
      <c r="M70" s="14">
        <f t="shared" ref="M70:M80" ca="1" si="16">OFFSET($F$57,0,(ROW()-ROW(G$69)))</f>
        <v>0</v>
      </c>
    </row>
    <row r="71" spans="1:13">
      <c r="A71" s="10">
        <v>36800</v>
      </c>
      <c r="B71" s="6">
        <v>148.4</v>
      </c>
      <c r="C71" s="6">
        <v>6.1</v>
      </c>
      <c r="E71" s="6" t="s">
        <v>47</v>
      </c>
      <c r="F71" s="6" t="s">
        <v>50</v>
      </c>
      <c r="G71" s="6">
        <f t="shared" ca="1" si="13"/>
        <v>451.34</v>
      </c>
      <c r="H71" s="6">
        <f t="shared" ca="1" si="14"/>
        <v>0.88000000000000012</v>
      </c>
      <c r="J71" s="6" t="s">
        <v>47</v>
      </c>
      <c r="K71" s="6" t="s">
        <v>50</v>
      </c>
      <c r="L71" s="14">
        <f t="shared" ca="1" si="15"/>
        <v>454.90706766917299</v>
      </c>
      <c r="M71" s="14">
        <f t="shared" ca="1" si="16"/>
        <v>0.13015037593982015</v>
      </c>
    </row>
    <row r="72" spans="1:13">
      <c r="A72" s="10">
        <v>36831</v>
      </c>
      <c r="B72" s="6">
        <v>386.6</v>
      </c>
      <c r="C72" s="6">
        <v>0</v>
      </c>
      <c r="E72" s="6" t="s">
        <v>47</v>
      </c>
      <c r="F72" s="6" t="s">
        <v>51</v>
      </c>
      <c r="G72" s="6">
        <f t="shared" ca="1" si="13"/>
        <v>259.5499999999999</v>
      </c>
      <c r="H72" s="6">
        <f t="shared" ca="1" si="14"/>
        <v>2.4500000000000002</v>
      </c>
      <c r="J72" s="6" t="s">
        <v>47</v>
      </c>
      <c r="K72" s="6" t="s">
        <v>51</v>
      </c>
      <c r="L72" s="14">
        <f t="shared" ca="1" si="15"/>
        <v>263.91609022556372</v>
      </c>
      <c r="M72" s="14">
        <f t="shared" ca="1" si="16"/>
        <v>1.7637593984962336</v>
      </c>
    </row>
    <row r="73" spans="1:13">
      <c r="A73" s="10">
        <v>36861</v>
      </c>
      <c r="B73" s="6">
        <v>741.09999999999991</v>
      </c>
      <c r="C73" s="6">
        <v>0</v>
      </c>
      <c r="E73" s="6" t="s">
        <v>47</v>
      </c>
      <c r="F73" s="6" t="s">
        <v>34</v>
      </c>
      <c r="G73" s="6">
        <f t="shared" ca="1" si="13"/>
        <v>88.880000000000024</v>
      </c>
      <c r="H73" s="6">
        <f t="shared" ca="1" si="14"/>
        <v>43.79999999999999</v>
      </c>
      <c r="J73" s="6" t="s">
        <v>47</v>
      </c>
      <c r="K73" s="6" t="s">
        <v>34</v>
      </c>
      <c r="L73" s="14">
        <f t="shared" ca="1" si="15"/>
        <v>82.021052631579096</v>
      </c>
      <c r="M73" s="14">
        <f t="shared" ca="1" si="16"/>
        <v>52.210676691729077</v>
      </c>
    </row>
    <row r="74" spans="1:13">
      <c r="A74" s="10">
        <v>36892</v>
      </c>
      <c r="B74" s="6">
        <v>626.20000000000005</v>
      </c>
      <c r="C74" s="6">
        <v>0</v>
      </c>
      <c r="E74" s="6" t="s">
        <v>47</v>
      </c>
      <c r="F74" s="6" t="s">
        <v>35</v>
      </c>
      <c r="G74" s="6">
        <f t="shared" ca="1" si="13"/>
        <v>9.77</v>
      </c>
      <c r="H74" s="6">
        <f t="shared" ca="1" si="14"/>
        <v>117.38999999999999</v>
      </c>
      <c r="J74" s="6" t="s">
        <v>47</v>
      </c>
      <c r="K74" s="6" t="s">
        <v>35</v>
      </c>
      <c r="L74" s="14">
        <f t="shared" ca="1" si="15"/>
        <v>3.6393984962405739</v>
      </c>
      <c r="M74" s="14">
        <f t="shared" ca="1" si="16"/>
        <v>113.37661654135343</v>
      </c>
    </row>
    <row r="75" spans="1:13">
      <c r="A75" s="10">
        <v>36923</v>
      </c>
      <c r="B75" s="6">
        <v>516.69999999999993</v>
      </c>
      <c r="C75" s="6">
        <v>0</v>
      </c>
      <c r="E75" s="6" t="s">
        <v>47</v>
      </c>
      <c r="F75" s="6" t="s">
        <v>36</v>
      </c>
      <c r="G75" s="6">
        <f t="shared" ca="1" si="13"/>
        <v>0.58000000000000007</v>
      </c>
      <c r="H75" s="6">
        <f t="shared" ca="1" si="14"/>
        <v>179.70999999999998</v>
      </c>
      <c r="J75" s="6" t="s">
        <v>47</v>
      </c>
      <c r="K75" s="6" t="s">
        <v>36</v>
      </c>
      <c r="L75" s="14">
        <f t="shared" ca="1" si="15"/>
        <v>0.76240601503759109</v>
      </c>
      <c r="M75" s="14">
        <f t="shared" ca="1" si="16"/>
        <v>186.39255639097769</v>
      </c>
    </row>
    <row r="76" spans="1:13">
      <c r="A76" s="10">
        <v>36951</v>
      </c>
      <c r="B76" s="6">
        <v>499.49999999999994</v>
      </c>
      <c r="C76" s="6">
        <v>0</v>
      </c>
      <c r="E76" s="6" t="s">
        <v>47</v>
      </c>
      <c r="F76" s="6" t="s">
        <v>37</v>
      </c>
      <c r="G76" s="6">
        <f t="shared" ca="1" si="13"/>
        <v>1.7099999999999997</v>
      </c>
      <c r="H76" s="6">
        <f t="shared" ca="1" si="14"/>
        <v>158.1</v>
      </c>
      <c r="J76" s="6" t="s">
        <v>47</v>
      </c>
      <c r="K76" s="6" t="s">
        <v>37</v>
      </c>
      <c r="L76" s="14">
        <f t="shared" ca="1" si="15"/>
        <v>1.3384210526315794</v>
      </c>
      <c r="M76" s="14">
        <f t="shared" ca="1" si="16"/>
        <v>169.95052631578938</v>
      </c>
    </row>
    <row r="77" spans="1:13">
      <c r="A77" s="10">
        <v>36982</v>
      </c>
      <c r="B77" s="6">
        <v>231.59999999999997</v>
      </c>
      <c r="C77" s="6">
        <v>3.8</v>
      </c>
      <c r="E77" s="6" t="s">
        <v>47</v>
      </c>
      <c r="F77" s="6" t="s">
        <v>52</v>
      </c>
      <c r="G77" s="6">
        <f t="shared" ca="1" si="13"/>
        <v>32.68</v>
      </c>
      <c r="H77" s="6">
        <f t="shared" ca="1" si="14"/>
        <v>67.34</v>
      </c>
      <c r="J77" s="6" t="s">
        <v>47</v>
      </c>
      <c r="K77" s="6" t="s">
        <v>52</v>
      </c>
      <c r="L77" s="14">
        <f t="shared" ca="1" si="15"/>
        <v>31.629172932330818</v>
      </c>
      <c r="M77" s="14">
        <f t="shared" ca="1" si="16"/>
        <v>70.650902255639153</v>
      </c>
    </row>
    <row r="78" spans="1:13">
      <c r="A78" s="10">
        <v>37012</v>
      </c>
      <c r="B78" s="6">
        <v>67.300000000000011</v>
      </c>
      <c r="C78" s="6">
        <v>31.300000000000004</v>
      </c>
      <c r="E78" s="6" t="s">
        <v>47</v>
      </c>
      <c r="F78" s="6" t="s">
        <v>53</v>
      </c>
      <c r="G78" s="6">
        <f t="shared" ca="1" si="13"/>
        <v>176.42</v>
      </c>
      <c r="H78" s="6">
        <f t="shared" ca="1" si="14"/>
        <v>10.18</v>
      </c>
      <c r="J78" s="6" t="s">
        <v>47</v>
      </c>
      <c r="K78" s="6" t="s">
        <v>53</v>
      </c>
      <c r="L78" s="14">
        <f t="shared" ca="1" si="15"/>
        <v>170.94563909774433</v>
      </c>
      <c r="M78" s="14">
        <f t="shared" ca="1" si="16"/>
        <v>8.6933082706766811</v>
      </c>
    </row>
    <row r="79" spans="1:13">
      <c r="A79" s="10">
        <v>37043</v>
      </c>
      <c r="B79" s="6">
        <v>22.5</v>
      </c>
      <c r="C79" s="6">
        <v>123.29999999999998</v>
      </c>
      <c r="E79" s="6" t="s">
        <v>47</v>
      </c>
      <c r="F79" s="6" t="s">
        <v>54</v>
      </c>
      <c r="G79" s="6">
        <f t="shared" ca="1" si="13"/>
        <v>364.2299999999999</v>
      </c>
      <c r="H79" s="6">
        <f t="shared" ca="1" si="14"/>
        <v>0.05</v>
      </c>
      <c r="J79" s="6" t="s">
        <v>47</v>
      </c>
      <c r="K79" s="6" t="s">
        <v>54</v>
      </c>
      <c r="L79" s="14">
        <f t="shared" ca="1" si="15"/>
        <v>359.63977443609014</v>
      </c>
      <c r="M79" s="14">
        <f t="shared" ca="1" si="16"/>
        <v>9.849624060150397E-2</v>
      </c>
    </row>
    <row r="80" spans="1:13">
      <c r="A80" s="10">
        <v>37073</v>
      </c>
      <c r="B80" s="6">
        <v>2.7</v>
      </c>
      <c r="C80" s="6">
        <v>172.20000000000005</v>
      </c>
      <c r="E80" s="6" t="s">
        <v>47</v>
      </c>
      <c r="F80" s="6" t="s">
        <v>55</v>
      </c>
      <c r="G80" s="6">
        <f t="shared" ca="1" si="13"/>
        <v>552.31000000000006</v>
      </c>
      <c r="H80" s="6">
        <f t="shared" ca="1" si="14"/>
        <v>0</v>
      </c>
      <c r="J80" s="6" t="s">
        <v>47</v>
      </c>
      <c r="K80" s="6" t="s">
        <v>55</v>
      </c>
      <c r="L80" s="14">
        <f t="shared" ca="1" si="15"/>
        <v>534.71157894736871</v>
      </c>
      <c r="M80" s="14">
        <f t="shared" ca="1" si="16"/>
        <v>0</v>
      </c>
    </row>
    <row r="81" spans="1:13">
      <c r="A81" s="10">
        <v>37104</v>
      </c>
      <c r="B81" s="6">
        <v>0</v>
      </c>
      <c r="C81" s="6">
        <v>185.70000000000007</v>
      </c>
      <c r="G81" s="14"/>
      <c r="H81" s="14"/>
      <c r="L81" s="14"/>
      <c r="M81" s="14"/>
    </row>
    <row r="82" spans="1:13">
      <c r="A82" s="10">
        <v>37135</v>
      </c>
      <c r="B82" s="6">
        <v>60.800000000000011</v>
      </c>
      <c r="C82" s="6">
        <v>42.899999999999984</v>
      </c>
    </row>
    <row r="83" spans="1:13">
      <c r="A83" s="10">
        <v>37165</v>
      </c>
      <c r="B83" s="6">
        <v>191.79999999999998</v>
      </c>
      <c r="C83" s="6">
        <v>4.5999999999999996</v>
      </c>
    </row>
    <row r="84" spans="1:13">
      <c r="A84" s="10">
        <v>37196</v>
      </c>
      <c r="B84" s="6">
        <v>254.39999999999992</v>
      </c>
      <c r="C84" s="6">
        <v>0</v>
      </c>
    </row>
    <row r="85" spans="1:13">
      <c r="A85" s="10">
        <v>37226</v>
      </c>
      <c r="B85" s="6">
        <v>470</v>
      </c>
      <c r="C85" s="6">
        <v>0</v>
      </c>
    </row>
    <row r="86" spans="1:13">
      <c r="A86" s="10">
        <v>37257</v>
      </c>
      <c r="B86" s="6">
        <v>524.70000000000005</v>
      </c>
      <c r="C86" s="6">
        <v>0</v>
      </c>
    </row>
    <row r="87" spans="1:13">
      <c r="A87" s="10">
        <v>37288</v>
      </c>
      <c r="B87" s="6">
        <v>476.09999999999997</v>
      </c>
      <c r="C87" s="6">
        <v>0</v>
      </c>
    </row>
    <row r="88" spans="1:13">
      <c r="A88" s="10">
        <v>37316</v>
      </c>
      <c r="B88" s="6">
        <v>486.19999999999987</v>
      </c>
      <c r="C88" s="6">
        <v>0</v>
      </c>
    </row>
    <row r="89" spans="1:13">
      <c r="A89" s="10">
        <v>37347</v>
      </c>
      <c r="B89" s="6">
        <v>259.7999999999999</v>
      </c>
      <c r="C89" s="6">
        <v>22.6</v>
      </c>
    </row>
    <row r="90" spans="1:13">
      <c r="A90" s="10">
        <v>37377</v>
      </c>
      <c r="B90" s="6">
        <v>170.8</v>
      </c>
      <c r="C90" s="6">
        <v>16.5</v>
      </c>
    </row>
    <row r="91" spans="1:13">
      <c r="A91" s="10">
        <v>37408</v>
      </c>
      <c r="B91" s="6">
        <v>12</v>
      </c>
      <c r="C91" s="6">
        <v>132</v>
      </c>
    </row>
    <row r="92" spans="1:13">
      <c r="A92" s="10">
        <v>37438</v>
      </c>
      <c r="B92" s="6">
        <v>0</v>
      </c>
      <c r="C92" s="6">
        <v>216.30000000000004</v>
      </c>
    </row>
    <row r="93" spans="1:13">
      <c r="A93" s="10">
        <v>37469</v>
      </c>
      <c r="B93" s="6">
        <v>0</v>
      </c>
      <c r="C93" s="6">
        <v>168.30000000000004</v>
      </c>
    </row>
    <row r="94" spans="1:13">
      <c r="A94" s="10">
        <v>37500</v>
      </c>
      <c r="B94" s="6">
        <v>14.5</v>
      </c>
      <c r="C94" s="6">
        <v>105.19999999999999</v>
      </c>
    </row>
    <row r="95" spans="1:13">
      <c r="A95" s="10">
        <v>37530</v>
      </c>
      <c r="B95" s="6">
        <v>240.79999999999993</v>
      </c>
      <c r="C95" s="6">
        <v>16.100000000000001</v>
      </c>
    </row>
    <row r="96" spans="1:13">
      <c r="A96" s="10">
        <v>37561</v>
      </c>
      <c r="B96" s="6">
        <v>402.19999999999993</v>
      </c>
      <c r="C96" s="6">
        <v>0</v>
      </c>
    </row>
    <row r="97" spans="1:3">
      <c r="A97" s="10">
        <v>37591</v>
      </c>
      <c r="B97" s="6">
        <v>582.90000000000009</v>
      </c>
      <c r="C97" s="6">
        <v>0</v>
      </c>
    </row>
    <row r="98" spans="1:3">
      <c r="A98" s="10">
        <v>37622</v>
      </c>
      <c r="B98" s="6">
        <v>730.59999999999991</v>
      </c>
      <c r="C98" s="6">
        <v>0</v>
      </c>
    </row>
    <row r="99" spans="1:3">
      <c r="A99" s="10">
        <v>37653</v>
      </c>
      <c r="B99" s="6">
        <v>621.69999999999993</v>
      </c>
      <c r="C99" s="6">
        <v>0</v>
      </c>
    </row>
    <row r="100" spans="1:3">
      <c r="A100" s="10">
        <v>37681</v>
      </c>
      <c r="B100" s="6">
        <v>490.29999999999995</v>
      </c>
      <c r="C100" s="6">
        <v>0</v>
      </c>
    </row>
    <row r="101" spans="1:3">
      <c r="A101" s="10">
        <v>37712</v>
      </c>
      <c r="B101" s="6">
        <v>289.79999999999984</v>
      </c>
      <c r="C101" s="6">
        <v>5.0999999999999996</v>
      </c>
    </row>
    <row r="102" spans="1:3">
      <c r="A102" s="10">
        <v>37742</v>
      </c>
      <c r="B102" s="6">
        <v>128.50000000000003</v>
      </c>
      <c r="C102" s="6">
        <v>2.6</v>
      </c>
    </row>
    <row r="103" spans="1:3">
      <c r="A103" s="10">
        <v>37773</v>
      </c>
      <c r="B103" s="6">
        <v>27.6</v>
      </c>
      <c r="C103" s="6">
        <v>72.8</v>
      </c>
    </row>
    <row r="104" spans="1:3">
      <c r="A104" s="10">
        <v>37803</v>
      </c>
      <c r="B104" s="6">
        <v>0</v>
      </c>
      <c r="C104" s="6">
        <v>156.4</v>
      </c>
    </row>
    <row r="105" spans="1:3">
      <c r="A105" s="10">
        <v>37834</v>
      </c>
      <c r="B105" s="6">
        <v>0</v>
      </c>
      <c r="C105" s="6">
        <v>163.80000000000001</v>
      </c>
    </row>
    <row r="106" spans="1:3">
      <c r="A106" s="10">
        <v>37865</v>
      </c>
      <c r="B106" s="6">
        <v>42.7</v>
      </c>
      <c r="C106" s="6">
        <v>48.3</v>
      </c>
    </row>
    <row r="107" spans="1:3">
      <c r="A107" s="10">
        <v>37895</v>
      </c>
      <c r="B107" s="6">
        <v>218.59999999999997</v>
      </c>
      <c r="C107" s="6">
        <v>3</v>
      </c>
    </row>
    <row r="108" spans="1:3">
      <c r="A108" s="10">
        <v>37926</v>
      </c>
      <c r="B108" s="6">
        <v>335.49999999999994</v>
      </c>
      <c r="C108" s="6">
        <v>0</v>
      </c>
    </row>
    <row r="109" spans="1:3">
      <c r="A109" s="10">
        <v>37956</v>
      </c>
      <c r="B109" s="6">
        <v>531.90000000000009</v>
      </c>
      <c r="C109" s="6">
        <v>0</v>
      </c>
    </row>
    <row r="110" spans="1:3">
      <c r="A110" s="10">
        <v>37987</v>
      </c>
      <c r="B110" s="6">
        <v>748.19999999999993</v>
      </c>
      <c r="C110" s="6">
        <v>0</v>
      </c>
    </row>
    <row r="111" spans="1:3">
      <c r="A111" s="10">
        <v>38018</v>
      </c>
      <c r="B111" s="6">
        <v>557.70000000000005</v>
      </c>
      <c r="C111" s="6">
        <v>0</v>
      </c>
    </row>
    <row r="112" spans="1:3">
      <c r="A112" s="10">
        <v>38047</v>
      </c>
      <c r="B112" s="6">
        <v>408.99999999999989</v>
      </c>
      <c r="C112" s="6">
        <v>0</v>
      </c>
    </row>
    <row r="113" spans="1:3">
      <c r="A113" s="10">
        <v>38078</v>
      </c>
      <c r="B113" s="6">
        <v>239.89999999999992</v>
      </c>
      <c r="C113" s="6">
        <v>12.100000000000001</v>
      </c>
    </row>
    <row r="114" spans="1:3">
      <c r="A114" s="10">
        <v>38108</v>
      </c>
      <c r="B114" s="6">
        <v>93.700000000000031</v>
      </c>
      <c r="C114" s="6">
        <v>37.4</v>
      </c>
    </row>
    <row r="115" spans="1:3">
      <c r="A115" s="10">
        <v>38139</v>
      </c>
      <c r="B115" s="6">
        <v>16</v>
      </c>
      <c r="C115" s="6">
        <v>76.999999999999986</v>
      </c>
    </row>
    <row r="116" spans="1:3">
      <c r="A116" s="10">
        <v>38169</v>
      </c>
      <c r="B116" s="6">
        <v>2.2000000000000002</v>
      </c>
      <c r="C116" s="6">
        <v>138.5</v>
      </c>
    </row>
    <row r="117" spans="1:3">
      <c r="A117" s="10">
        <v>38200</v>
      </c>
      <c r="B117" s="6">
        <v>3.7</v>
      </c>
      <c r="C117" s="6">
        <v>90.09999999999998</v>
      </c>
    </row>
    <row r="118" spans="1:3">
      <c r="A118" s="10">
        <v>38231</v>
      </c>
      <c r="B118" s="6">
        <v>18.7</v>
      </c>
      <c r="C118" s="6">
        <v>77.999999999999986</v>
      </c>
    </row>
    <row r="119" spans="1:3">
      <c r="A119" s="10">
        <v>38261</v>
      </c>
      <c r="B119" s="6">
        <v>176.89999999999998</v>
      </c>
      <c r="C119" s="6">
        <v>2.8</v>
      </c>
    </row>
    <row r="120" spans="1:3">
      <c r="A120" s="10">
        <v>38292</v>
      </c>
      <c r="B120" s="6">
        <v>343.49999999999989</v>
      </c>
      <c r="C120" s="6">
        <v>0</v>
      </c>
    </row>
    <row r="121" spans="1:3">
      <c r="A121" s="10">
        <v>38322</v>
      </c>
      <c r="B121" s="6">
        <v>589.10000000000014</v>
      </c>
      <c r="C121" s="6">
        <v>0</v>
      </c>
    </row>
    <row r="122" spans="1:3">
      <c r="A122" s="10">
        <v>38353</v>
      </c>
      <c r="B122" s="6">
        <v>688.99999999999989</v>
      </c>
      <c r="C122" s="6">
        <v>0</v>
      </c>
    </row>
    <row r="123" spans="1:3">
      <c r="A123" s="10">
        <v>38384</v>
      </c>
      <c r="B123" s="6">
        <v>543.30000000000007</v>
      </c>
      <c r="C123" s="6">
        <v>0</v>
      </c>
    </row>
    <row r="124" spans="1:3">
      <c r="A124" s="10">
        <v>38412</v>
      </c>
      <c r="B124" s="6">
        <v>523.4</v>
      </c>
      <c r="C124" s="6">
        <v>0</v>
      </c>
    </row>
    <row r="125" spans="1:3">
      <c r="A125" s="10">
        <v>38443</v>
      </c>
      <c r="B125" s="6">
        <v>228.5</v>
      </c>
      <c r="C125" s="6">
        <v>2.8</v>
      </c>
    </row>
    <row r="126" spans="1:3">
      <c r="A126" s="10">
        <v>38473</v>
      </c>
      <c r="B126" s="6">
        <v>134.4</v>
      </c>
      <c r="C126" s="6">
        <v>8.1</v>
      </c>
    </row>
    <row r="127" spans="1:3">
      <c r="A127" s="10">
        <v>38504</v>
      </c>
      <c r="B127" s="6">
        <v>3.4000000000000004</v>
      </c>
      <c r="C127" s="6">
        <v>174.20000000000002</v>
      </c>
    </row>
    <row r="128" spans="1:3">
      <c r="A128" s="10">
        <v>38534</v>
      </c>
      <c r="B128" s="6">
        <v>0</v>
      </c>
      <c r="C128" s="6">
        <v>203.80000000000007</v>
      </c>
    </row>
    <row r="129" spans="1:3">
      <c r="A129" s="10">
        <v>38565</v>
      </c>
      <c r="B129" s="6">
        <v>0</v>
      </c>
      <c r="C129" s="6">
        <v>192.20000000000007</v>
      </c>
    </row>
    <row r="130" spans="1:3">
      <c r="A130" s="10">
        <v>38596</v>
      </c>
      <c r="B130" s="6">
        <v>13.5</v>
      </c>
      <c r="C130" s="6">
        <v>91.6</v>
      </c>
    </row>
    <row r="131" spans="1:3">
      <c r="A131" s="10">
        <v>38626</v>
      </c>
      <c r="B131" s="6">
        <v>175.69999999999996</v>
      </c>
      <c r="C131" s="6">
        <v>23.9</v>
      </c>
    </row>
    <row r="132" spans="1:3">
      <c r="A132" s="10">
        <v>38657</v>
      </c>
      <c r="B132" s="6">
        <v>344.8</v>
      </c>
      <c r="C132" s="6">
        <v>0</v>
      </c>
    </row>
    <row r="133" spans="1:3">
      <c r="A133" s="10">
        <v>38687</v>
      </c>
      <c r="B133" s="6">
        <v>637.60000000000025</v>
      </c>
      <c r="C133" s="6">
        <v>0</v>
      </c>
    </row>
    <row r="134" spans="1:3">
      <c r="A134" s="10">
        <v>38718</v>
      </c>
      <c r="B134" s="6">
        <v>486.69999999999993</v>
      </c>
      <c r="C134" s="6">
        <v>0</v>
      </c>
    </row>
    <row r="135" spans="1:3">
      <c r="A135" s="10">
        <v>38749</v>
      </c>
      <c r="B135" s="6">
        <v>530.70000000000005</v>
      </c>
      <c r="C135" s="6">
        <v>0</v>
      </c>
    </row>
    <row r="136" spans="1:3">
      <c r="A136" s="10">
        <v>38777</v>
      </c>
      <c r="B136" s="6">
        <v>450.49999999999983</v>
      </c>
      <c r="C136" s="6">
        <v>0</v>
      </c>
    </row>
    <row r="137" spans="1:3">
      <c r="A137" s="10">
        <v>38808</v>
      </c>
      <c r="B137" s="6">
        <v>211.6999999999999</v>
      </c>
      <c r="C137" s="6">
        <v>0.8</v>
      </c>
    </row>
    <row r="138" spans="1:3">
      <c r="A138" s="10">
        <v>38838</v>
      </c>
      <c r="B138" s="6">
        <v>99.800000000000011</v>
      </c>
      <c r="C138" s="6">
        <v>46.2</v>
      </c>
    </row>
    <row r="139" spans="1:3">
      <c r="A139" s="10">
        <v>38869</v>
      </c>
      <c r="B139" s="6">
        <v>10.3</v>
      </c>
      <c r="C139" s="6">
        <v>90.799999999999983</v>
      </c>
    </row>
    <row r="140" spans="1:3">
      <c r="A140" s="10">
        <v>38899</v>
      </c>
      <c r="B140" s="6">
        <v>0</v>
      </c>
      <c r="C140" s="6">
        <v>206.00000000000006</v>
      </c>
    </row>
    <row r="141" spans="1:3">
      <c r="A141" s="10">
        <v>38930</v>
      </c>
      <c r="B141" s="6">
        <v>0</v>
      </c>
      <c r="C141" s="6">
        <v>155.30000000000001</v>
      </c>
    </row>
    <row r="142" spans="1:3">
      <c r="A142" s="10">
        <v>38961</v>
      </c>
      <c r="B142" s="6">
        <v>44.400000000000006</v>
      </c>
      <c r="C142" s="6">
        <v>27.900000000000002</v>
      </c>
    </row>
    <row r="143" spans="1:3">
      <c r="A143" s="10">
        <v>38991</v>
      </c>
      <c r="B143" s="6">
        <v>243.09999999999991</v>
      </c>
      <c r="C143" s="6">
        <v>1.8</v>
      </c>
    </row>
    <row r="144" spans="1:3">
      <c r="A144" s="10">
        <v>39022</v>
      </c>
      <c r="B144" s="6">
        <v>353.09999999999991</v>
      </c>
      <c r="C144" s="6">
        <v>0</v>
      </c>
    </row>
    <row r="145" spans="1:3">
      <c r="A145" s="10">
        <v>39052</v>
      </c>
      <c r="B145" s="6">
        <v>457.89999999999986</v>
      </c>
      <c r="C145" s="6">
        <v>0</v>
      </c>
    </row>
    <row r="146" spans="1:3">
      <c r="A146" s="10">
        <v>39083</v>
      </c>
      <c r="B146" s="6">
        <v>588</v>
      </c>
      <c r="C146" s="6">
        <v>0</v>
      </c>
    </row>
    <row r="147" spans="1:3">
      <c r="A147" s="10">
        <v>39114</v>
      </c>
      <c r="B147" s="6">
        <v>675.8</v>
      </c>
      <c r="C147" s="6">
        <v>0</v>
      </c>
    </row>
    <row r="148" spans="1:3">
      <c r="A148" s="10">
        <v>39142</v>
      </c>
      <c r="B148" s="6">
        <v>417.69999999999993</v>
      </c>
      <c r="C148" s="6">
        <v>4</v>
      </c>
    </row>
    <row r="149" spans="1:3">
      <c r="A149" s="10">
        <v>39173</v>
      </c>
      <c r="B149" s="6">
        <v>287.09999999999991</v>
      </c>
      <c r="C149" s="6">
        <v>2.8</v>
      </c>
    </row>
    <row r="150" spans="1:3">
      <c r="A150" s="10">
        <v>39203</v>
      </c>
      <c r="B150" s="6">
        <v>85.8</v>
      </c>
      <c r="C150" s="6">
        <v>48.099999999999994</v>
      </c>
    </row>
    <row r="151" spans="1:3">
      <c r="A151" s="10">
        <v>39234</v>
      </c>
      <c r="B151" s="6">
        <v>9.7999999999999989</v>
      </c>
      <c r="C151" s="6">
        <v>131.6</v>
      </c>
    </row>
    <row r="152" spans="1:3">
      <c r="A152" s="10">
        <v>39264</v>
      </c>
      <c r="B152" s="6">
        <v>0.7</v>
      </c>
      <c r="C152" s="6">
        <v>144</v>
      </c>
    </row>
    <row r="153" spans="1:3">
      <c r="A153" s="10">
        <v>39295</v>
      </c>
      <c r="B153" s="6">
        <v>3.9000000000000004</v>
      </c>
      <c r="C153" s="6">
        <v>173.3</v>
      </c>
    </row>
    <row r="154" spans="1:3">
      <c r="A154" s="10">
        <v>39326</v>
      </c>
      <c r="B154" s="6">
        <v>24.099999999999998</v>
      </c>
      <c r="C154" s="6">
        <v>77.299999999999983</v>
      </c>
    </row>
    <row r="155" spans="1:3">
      <c r="A155" s="10">
        <v>39356</v>
      </c>
      <c r="B155" s="6">
        <v>110.4</v>
      </c>
      <c r="C155" s="6">
        <v>40.699999999999996</v>
      </c>
    </row>
    <row r="156" spans="1:3">
      <c r="A156" s="10">
        <v>39387</v>
      </c>
      <c r="B156" s="6">
        <v>402.3</v>
      </c>
      <c r="C156" s="6">
        <v>0</v>
      </c>
    </row>
    <row r="157" spans="1:3">
      <c r="A157" s="10">
        <v>39417</v>
      </c>
      <c r="B157" s="6">
        <v>593.40000000000009</v>
      </c>
      <c r="C157" s="6">
        <v>0</v>
      </c>
    </row>
    <row r="158" spans="1:3">
      <c r="A158" s="10">
        <v>39448</v>
      </c>
      <c r="B158" s="6">
        <v>602.20000000000005</v>
      </c>
      <c r="C158" s="6">
        <v>0</v>
      </c>
    </row>
    <row r="159" spans="1:3">
      <c r="A159" s="10">
        <v>39479</v>
      </c>
      <c r="B159" s="6">
        <v>616.1</v>
      </c>
      <c r="C159" s="6">
        <v>0</v>
      </c>
    </row>
    <row r="160" spans="1:3">
      <c r="A160" s="10">
        <v>39508</v>
      </c>
      <c r="B160" s="6">
        <v>523.70000000000005</v>
      </c>
      <c r="C160" s="6">
        <v>0</v>
      </c>
    </row>
    <row r="161" spans="1:3">
      <c r="A161" s="10">
        <v>39539</v>
      </c>
      <c r="B161" s="6">
        <v>212.59999999999991</v>
      </c>
      <c r="C161" s="6">
        <v>1.5</v>
      </c>
    </row>
    <row r="162" spans="1:3">
      <c r="A162" s="10">
        <v>39569</v>
      </c>
      <c r="B162" s="6">
        <v>138.4</v>
      </c>
      <c r="C162" s="6">
        <v>13.399999999999999</v>
      </c>
    </row>
    <row r="163" spans="1:3">
      <c r="A163" s="10">
        <v>39600</v>
      </c>
      <c r="B163" s="6">
        <v>5</v>
      </c>
      <c r="C163" s="6">
        <v>120.39999999999998</v>
      </c>
    </row>
    <row r="164" spans="1:3">
      <c r="A164" s="10">
        <v>39630</v>
      </c>
      <c r="B164" s="6">
        <v>0.5</v>
      </c>
      <c r="C164" s="6">
        <v>180.50000000000006</v>
      </c>
    </row>
    <row r="165" spans="1:3">
      <c r="A165" s="10">
        <v>39661</v>
      </c>
      <c r="B165" s="6">
        <v>1.5</v>
      </c>
      <c r="C165" s="6">
        <v>137.09999999999997</v>
      </c>
    </row>
    <row r="166" spans="1:3">
      <c r="A166" s="10">
        <v>39692</v>
      </c>
      <c r="B166" s="6">
        <v>16.7</v>
      </c>
      <c r="C166" s="6">
        <v>56.099999999999994</v>
      </c>
    </row>
    <row r="167" spans="1:3">
      <c r="A167" s="10">
        <v>39722</v>
      </c>
      <c r="B167" s="6">
        <v>218.89999999999998</v>
      </c>
      <c r="C167" s="6">
        <v>2.2999999999999998</v>
      </c>
    </row>
    <row r="168" spans="1:3">
      <c r="A168" s="10">
        <v>39753</v>
      </c>
      <c r="B168" s="6">
        <v>410.9</v>
      </c>
      <c r="C168" s="6">
        <v>0</v>
      </c>
    </row>
    <row r="169" spans="1:3">
      <c r="A169" s="10">
        <v>39783</v>
      </c>
      <c r="B169" s="6">
        <v>631.00000000000011</v>
      </c>
      <c r="C169" s="6">
        <v>0</v>
      </c>
    </row>
    <row r="170" spans="1:3">
      <c r="A170" s="10">
        <v>39814</v>
      </c>
      <c r="B170" s="6">
        <v>768.79999999999973</v>
      </c>
      <c r="C170" s="6">
        <v>0</v>
      </c>
    </row>
    <row r="171" spans="1:3">
      <c r="A171" s="10">
        <v>39845</v>
      </c>
      <c r="B171" s="6">
        <v>540</v>
      </c>
      <c r="C171" s="6">
        <v>0</v>
      </c>
    </row>
    <row r="172" spans="1:3">
      <c r="A172" s="10">
        <v>39873</v>
      </c>
      <c r="B172" s="6">
        <v>456.7999999999999</v>
      </c>
      <c r="C172" s="6">
        <v>0</v>
      </c>
    </row>
    <row r="173" spans="1:3">
      <c r="A173" s="10">
        <v>39904</v>
      </c>
      <c r="B173" s="6">
        <v>263.29999999999995</v>
      </c>
      <c r="C173" s="6">
        <v>10.399999999999999</v>
      </c>
    </row>
    <row r="174" spans="1:3">
      <c r="A174" s="10">
        <v>39934</v>
      </c>
      <c r="B174" s="6">
        <v>83.40000000000002</v>
      </c>
      <c r="C174" s="6">
        <v>12.899999999999999</v>
      </c>
    </row>
    <row r="175" spans="1:3">
      <c r="A175" s="10">
        <v>39965</v>
      </c>
      <c r="B175" s="6">
        <v>25.299999999999997</v>
      </c>
      <c r="C175" s="6">
        <v>79.399999999999991</v>
      </c>
    </row>
    <row r="176" spans="1:3">
      <c r="A176" s="10">
        <v>39995</v>
      </c>
      <c r="B176" s="6">
        <v>0.5</v>
      </c>
      <c r="C176" s="6">
        <v>100.19999999999999</v>
      </c>
    </row>
    <row r="177" spans="1:3">
      <c r="A177" s="10">
        <v>40026</v>
      </c>
      <c r="B177" s="6">
        <v>5.9</v>
      </c>
      <c r="C177" s="6">
        <v>133.4</v>
      </c>
    </row>
    <row r="178" spans="1:3">
      <c r="A178" s="10">
        <v>40057</v>
      </c>
      <c r="B178" s="6">
        <v>26.2</v>
      </c>
      <c r="C178" s="6">
        <v>54.699999999999989</v>
      </c>
    </row>
    <row r="179" spans="1:3">
      <c r="A179" s="10">
        <v>40087</v>
      </c>
      <c r="B179" s="6">
        <v>230.79999999999995</v>
      </c>
      <c r="C179" s="6">
        <v>0</v>
      </c>
    </row>
    <row r="180" spans="1:3">
      <c r="A180" s="10">
        <v>40118</v>
      </c>
      <c r="B180" s="6">
        <v>305.49999999999989</v>
      </c>
      <c r="C180" s="6">
        <v>0</v>
      </c>
    </row>
    <row r="181" spans="1:3">
      <c r="A181" s="10">
        <v>40148</v>
      </c>
      <c r="B181" s="6">
        <v>582</v>
      </c>
      <c r="C181" s="6">
        <v>0</v>
      </c>
    </row>
    <row r="182" spans="1:3">
      <c r="A182" s="10">
        <v>40179</v>
      </c>
      <c r="B182" s="6">
        <v>663.29999999999984</v>
      </c>
      <c r="C182" s="6">
        <v>0</v>
      </c>
    </row>
    <row r="183" spans="1:3">
      <c r="A183" s="10">
        <v>40210</v>
      </c>
      <c r="B183" s="6">
        <v>557.29999999999995</v>
      </c>
      <c r="C183" s="6">
        <v>0</v>
      </c>
    </row>
    <row r="184" spans="1:3">
      <c r="A184" s="10">
        <v>40238</v>
      </c>
      <c r="B184" s="6">
        <v>393.39999999999986</v>
      </c>
      <c r="C184" s="6">
        <v>0</v>
      </c>
    </row>
    <row r="185" spans="1:3">
      <c r="A185" s="10">
        <v>40269</v>
      </c>
      <c r="B185" s="6">
        <v>174.9</v>
      </c>
      <c r="C185" s="6">
        <v>5</v>
      </c>
    </row>
    <row r="186" spans="1:3">
      <c r="A186" s="10">
        <v>40299</v>
      </c>
      <c r="B186" s="6">
        <v>84.300000000000011</v>
      </c>
      <c r="C186" s="6">
        <v>59.699999999999989</v>
      </c>
    </row>
    <row r="187" spans="1:3">
      <c r="A187" s="10">
        <v>40330</v>
      </c>
      <c r="B187" s="6">
        <v>3.9000000000000004</v>
      </c>
      <c r="C187" s="6">
        <v>135.89999999999998</v>
      </c>
    </row>
    <row r="188" spans="1:3">
      <c r="A188" s="10">
        <v>40360</v>
      </c>
      <c r="B188" s="6">
        <v>0</v>
      </c>
      <c r="C188" s="6">
        <v>227.00000000000006</v>
      </c>
    </row>
    <row r="189" spans="1:3">
      <c r="A189" s="10">
        <v>40391</v>
      </c>
      <c r="B189" s="6">
        <v>0</v>
      </c>
      <c r="C189" s="6">
        <v>211.80000000000004</v>
      </c>
    </row>
    <row r="190" spans="1:3">
      <c r="A190" s="10">
        <v>40422</v>
      </c>
      <c r="B190" s="6">
        <v>38</v>
      </c>
      <c r="C190" s="6">
        <v>59.699999999999989</v>
      </c>
    </row>
    <row r="191" spans="1:3">
      <c r="A191" s="10">
        <v>40452</v>
      </c>
      <c r="B191" s="6">
        <v>157.6</v>
      </c>
      <c r="C191" s="6">
        <v>1.4000000000000001</v>
      </c>
    </row>
    <row r="192" spans="1:3">
      <c r="A192" s="10">
        <v>40483</v>
      </c>
      <c r="B192" s="6">
        <v>376.59999999999991</v>
      </c>
      <c r="C192" s="6">
        <v>0</v>
      </c>
    </row>
    <row r="193" spans="1:3">
      <c r="A193" s="10">
        <v>40513</v>
      </c>
      <c r="B193" s="6">
        <v>645.59999999999991</v>
      </c>
      <c r="C193" s="6">
        <v>0</v>
      </c>
    </row>
    <row r="194" spans="1:3">
      <c r="A194" s="10">
        <v>40544</v>
      </c>
      <c r="B194" s="6">
        <v>703.59999999999991</v>
      </c>
      <c r="C194" s="6">
        <v>0</v>
      </c>
    </row>
    <row r="195" spans="1:3">
      <c r="A195" s="10">
        <v>40575</v>
      </c>
      <c r="B195" s="6">
        <v>583.20000000000005</v>
      </c>
      <c r="C195" s="6">
        <v>0</v>
      </c>
    </row>
    <row r="196" spans="1:3">
      <c r="A196" s="10">
        <v>40603</v>
      </c>
      <c r="B196" s="6">
        <v>514.30000000000007</v>
      </c>
      <c r="C196" s="6">
        <v>0</v>
      </c>
    </row>
    <row r="197" spans="1:3">
      <c r="A197" s="10">
        <v>40634</v>
      </c>
      <c r="B197" s="6">
        <v>278.59999999999985</v>
      </c>
      <c r="C197" s="6">
        <v>0.5</v>
      </c>
    </row>
    <row r="198" spans="1:3">
      <c r="A198" s="10">
        <v>40664</v>
      </c>
      <c r="B198" s="6">
        <v>105.20000000000003</v>
      </c>
      <c r="C198" s="6">
        <v>37.200000000000003</v>
      </c>
    </row>
    <row r="199" spans="1:3">
      <c r="A199" s="10">
        <v>40695</v>
      </c>
      <c r="B199" s="6">
        <v>7.6000000000000005</v>
      </c>
      <c r="C199" s="6">
        <v>115.89999999999998</v>
      </c>
    </row>
    <row r="200" spans="1:3">
      <c r="A200" s="10">
        <v>40725</v>
      </c>
      <c r="B200" s="6">
        <v>0</v>
      </c>
      <c r="C200" s="6">
        <v>255.50000000000006</v>
      </c>
    </row>
    <row r="201" spans="1:3">
      <c r="A201" s="10">
        <v>40756</v>
      </c>
      <c r="B201" s="6">
        <v>0</v>
      </c>
      <c r="C201" s="6">
        <v>159.50000000000003</v>
      </c>
    </row>
    <row r="202" spans="1:3">
      <c r="A202" s="10">
        <v>40787</v>
      </c>
      <c r="B202" s="6">
        <v>51.4</v>
      </c>
      <c r="C202" s="6">
        <v>60.199999999999989</v>
      </c>
    </row>
    <row r="203" spans="1:3">
      <c r="A203" s="10">
        <v>40817</v>
      </c>
      <c r="B203" s="6">
        <v>185.29999999999998</v>
      </c>
      <c r="C203" s="6">
        <v>2.6999999999999997</v>
      </c>
    </row>
    <row r="204" spans="1:3">
      <c r="A204" s="10">
        <v>40848</v>
      </c>
      <c r="B204" s="6">
        <v>297.2999999999999</v>
      </c>
      <c r="C204" s="6">
        <v>0</v>
      </c>
    </row>
    <row r="205" spans="1:3">
      <c r="A205" s="10">
        <v>40878</v>
      </c>
      <c r="B205" s="6">
        <v>485.4</v>
      </c>
      <c r="C205" s="6">
        <v>0</v>
      </c>
    </row>
    <row r="206" spans="1:3">
      <c r="A206" s="10">
        <v>40909</v>
      </c>
      <c r="B206" s="6">
        <v>559.59999999999991</v>
      </c>
      <c r="C206" s="6">
        <v>0</v>
      </c>
    </row>
    <row r="207" spans="1:3">
      <c r="A207" s="10">
        <v>40940</v>
      </c>
      <c r="B207" s="6">
        <v>492.40000000000003</v>
      </c>
      <c r="C207" s="6">
        <v>0</v>
      </c>
    </row>
    <row r="208" spans="1:3">
      <c r="A208" s="10">
        <v>40969</v>
      </c>
      <c r="B208" s="6">
        <v>250.79999999999995</v>
      </c>
      <c r="C208" s="6">
        <v>4.8</v>
      </c>
    </row>
    <row r="209" spans="1:3">
      <c r="A209" s="10">
        <v>41000</v>
      </c>
      <c r="B209" s="6">
        <v>252.49999999999991</v>
      </c>
      <c r="C209" s="6">
        <v>4.3</v>
      </c>
    </row>
    <row r="210" spans="1:3">
      <c r="A210" s="10">
        <v>41030</v>
      </c>
      <c r="B210" s="6">
        <v>48.2</v>
      </c>
      <c r="C210" s="6">
        <v>59.3</v>
      </c>
    </row>
    <row r="211" spans="1:3">
      <c r="A211" s="10">
        <v>41061</v>
      </c>
      <c r="B211" s="6">
        <v>10.3</v>
      </c>
      <c r="C211" s="6">
        <v>147.09999999999997</v>
      </c>
    </row>
    <row r="212" spans="1:3">
      <c r="A212" s="10">
        <v>41091</v>
      </c>
      <c r="B212" s="6">
        <v>0</v>
      </c>
      <c r="C212" s="6">
        <v>235.50000000000009</v>
      </c>
    </row>
    <row r="213" spans="1:3">
      <c r="A213" s="10">
        <v>41122</v>
      </c>
      <c r="B213" s="6">
        <v>0.7</v>
      </c>
      <c r="C213" s="6">
        <v>143.69999999999999</v>
      </c>
    </row>
    <row r="214" spans="1:3">
      <c r="A214" s="10">
        <v>41153</v>
      </c>
      <c r="B214" s="6">
        <v>53.2</v>
      </c>
      <c r="C214" s="6">
        <v>50.29999999999999</v>
      </c>
    </row>
    <row r="215" spans="1:3">
      <c r="A215" s="10">
        <v>41183</v>
      </c>
      <c r="B215" s="6">
        <v>207.19999999999996</v>
      </c>
      <c r="C215" s="6">
        <v>5.6</v>
      </c>
    </row>
    <row r="216" spans="1:3">
      <c r="A216" s="10">
        <v>41214</v>
      </c>
      <c r="B216" s="6">
        <v>405.49999999999994</v>
      </c>
      <c r="C216" s="6">
        <v>0</v>
      </c>
    </row>
    <row r="217" spans="1:3">
      <c r="A217" s="10">
        <v>41244</v>
      </c>
      <c r="B217" s="6">
        <v>484.20000000000005</v>
      </c>
      <c r="C217" s="6">
        <v>0</v>
      </c>
    </row>
    <row r="218" spans="1:3">
      <c r="A218" s="10">
        <v>41275</v>
      </c>
      <c r="B218" s="6">
        <v>598.19999999999993</v>
      </c>
      <c r="C218" s="6">
        <v>0</v>
      </c>
    </row>
    <row r="219" spans="1:3">
      <c r="A219" s="10">
        <v>41306</v>
      </c>
      <c r="B219" s="6">
        <v>574.80000000000007</v>
      </c>
      <c r="C219" s="6">
        <v>0</v>
      </c>
    </row>
    <row r="220" spans="1:3">
      <c r="A220" s="10">
        <v>41334</v>
      </c>
      <c r="B220" s="6">
        <v>505.20000000000005</v>
      </c>
      <c r="C220" s="6">
        <v>0</v>
      </c>
    </row>
    <row r="221" spans="1:3">
      <c r="A221" s="10">
        <v>41365</v>
      </c>
      <c r="B221" s="6">
        <v>300.19999999999993</v>
      </c>
      <c r="C221" s="6">
        <v>0</v>
      </c>
    </row>
    <row r="222" spans="1:3">
      <c r="A222" s="10">
        <v>41395</v>
      </c>
      <c r="B222" s="6">
        <v>73.300000000000011</v>
      </c>
      <c r="C222" s="6">
        <v>59.899999999999991</v>
      </c>
    </row>
    <row r="223" spans="1:3">
      <c r="A223" s="10">
        <v>41426</v>
      </c>
      <c r="B223" s="6">
        <v>14.700000000000001</v>
      </c>
      <c r="C223" s="6">
        <v>103.49999999999999</v>
      </c>
    </row>
    <row r="224" spans="1:3">
      <c r="A224" s="10">
        <v>41456</v>
      </c>
      <c r="B224" s="6">
        <v>1.5</v>
      </c>
      <c r="C224" s="6">
        <v>174.80000000000004</v>
      </c>
    </row>
    <row r="225" spans="1:3">
      <c r="A225" s="10">
        <v>41487</v>
      </c>
      <c r="B225" s="6">
        <v>1.2</v>
      </c>
      <c r="C225" s="6">
        <v>134.29999999999998</v>
      </c>
    </row>
    <row r="226" spans="1:3">
      <c r="A226" s="10">
        <v>41518</v>
      </c>
      <c r="B226" s="6">
        <v>41.2</v>
      </c>
      <c r="C226" s="6">
        <v>65.3</v>
      </c>
    </row>
    <row r="227" spans="1:3">
      <c r="A227" s="10">
        <v>41548</v>
      </c>
      <c r="B227" s="6">
        <v>170.49999999999997</v>
      </c>
      <c r="C227" s="6">
        <v>19.899999999999999</v>
      </c>
    </row>
    <row r="228" spans="1:3">
      <c r="A228" s="10">
        <v>41579</v>
      </c>
      <c r="B228" s="6">
        <v>424.9</v>
      </c>
      <c r="C228" s="6">
        <v>0</v>
      </c>
    </row>
    <row r="229" spans="1:3">
      <c r="A229" s="10">
        <v>41609</v>
      </c>
      <c r="B229" s="6">
        <v>614.30000000000007</v>
      </c>
      <c r="C229" s="6">
        <v>0</v>
      </c>
    </row>
    <row r="230" spans="1:3">
      <c r="A230" s="10">
        <v>41640</v>
      </c>
      <c r="B230" s="6">
        <v>784.99999999999977</v>
      </c>
      <c r="C230" s="6">
        <v>0</v>
      </c>
    </row>
    <row r="231" spans="1:3">
      <c r="A231" s="10">
        <v>41671</v>
      </c>
      <c r="B231" s="6">
        <v>674.19999999999982</v>
      </c>
      <c r="C231" s="6">
        <v>0</v>
      </c>
    </row>
    <row r="232" spans="1:3">
      <c r="A232" s="10">
        <v>41699</v>
      </c>
      <c r="B232" s="6">
        <v>591.90000000000009</v>
      </c>
      <c r="C232" s="6">
        <v>0</v>
      </c>
    </row>
    <row r="233" spans="1:3">
      <c r="A233" s="10">
        <v>41730</v>
      </c>
      <c r="B233" s="6">
        <v>253.7</v>
      </c>
      <c r="C233" s="6">
        <v>0</v>
      </c>
    </row>
    <row r="234" spans="1:3">
      <c r="A234" s="10">
        <v>41760</v>
      </c>
      <c r="B234" s="6">
        <v>90.600000000000009</v>
      </c>
      <c r="C234" s="6">
        <v>36.4</v>
      </c>
    </row>
    <row r="235" spans="1:3">
      <c r="A235" s="10">
        <v>41791</v>
      </c>
      <c r="B235" s="6">
        <v>2.4000000000000004</v>
      </c>
      <c r="C235" s="6">
        <v>123.29999999999997</v>
      </c>
    </row>
    <row r="236" spans="1:3">
      <c r="A236" s="10">
        <v>41821</v>
      </c>
      <c r="B236" s="6">
        <v>0.7</v>
      </c>
      <c r="C236" s="6">
        <v>113.59999999999997</v>
      </c>
    </row>
    <row r="237" spans="1:3">
      <c r="A237" s="10">
        <v>41852</v>
      </c>
      <c r="B237" s="6">
        <v>0.7</v>
      </c>
      <c r="C237" s="6">
        <v>130.19999999999996</v>
      </c>
    </row>
    <row r="238" spans="1:3">
      <c r="A238" s="10">
        <v>41883</v>
      </c>
      <c r="B238" s="6">
        <v>57.20000000000001</v>
      </c>
      <c r="C238" s="6">
        <v>50.499999999999979</v>
      </c>
    </row>
    <row r="239" spans="1:3">
      <c r="A239" s="10">
        <v>41913</v>
      </c>
      <c r="B239" s="6">
        <v>179.7</v>
      </c>
      <c r="C239" s="6">
        <v>3.9</v>
      </c>
    </row>
    <row r="240" spans="1:3">
      <c r="A240" s="10">
        <v>41944</v>
      </c>
      <c r="B240" s="6">
        <v>442</v>
      </c>
      <c r="C240" s="6">
        <v>0</v>
      </c>
    </row>
    <row r="241" spans="1:3">
      <c r="A241" s="10">
        <v>41974</v>
      </c>
      <c r="B241" s="6">
        <v>513.9</v>
      </c>
      <c r="C241" s="6">
        <v>0</v>
      </c>
    </row>
    <row r="242" spans="1:3">
      <c r="A242" s="10">
        <v>42005</v>
      </c>
      <c r="B242" s="6">
        <v>724.69999999999982</v>
      </c>
      <c r="C242" s="6">
        <v>0</v>
      </c>
    </row>
    <row r="243" spans="1:3">
      <c r="A243" s="10">
        <v>42036</v>
      </c>
      <c r="B243" s="6">
        <v>757.39999999999986</v>
      </c>
      <c r="C243" s="6">
        <v>0</v>
      </c>
    </row>
    <row r="244" spans="1:3">
      <c r="A244" s="10">
        <v>42064</v>
      </c>
      <c r="B244" s="6">
        <v>508.7</v>
      </c>
      <c r="C244" s="6">
        <v>0</v>
      </c>
    </row>
    <row r="245" spans="1:3">
      <c r="A245" s="10">
        <v>42095</v>
      </c>
      <c r="B245" s="6">
        <v>257.39999999999992</v>
      </c>
      <c r="C245" s="6">
        <v>0</v>
      </c>
    </row>
    <row r="246" spans="1:3">
      <c r="A246" s="10">
        <v>42125</v>
      </c>
      <c r="B246" s="6">
        <v>68.7</v>
      </c>
      <c r="C246" s="6">
        <v>64.099999999999994</v>
      </c>
    </row>
    <row r="247" spans="1:3">
      <c r="A247" s="10">
        <v>42156</v>
      </c>
      <c r="B247" s="6">
        <v>13.1</v>
      </c>
      <c r="C247" s="6">
        <v>89.59999999999998</v>
      </c>
    </row>
    <row r="248" spans="1:3">
      <c r="A248" s="10">
        <v>42186</v>
      </c>
      <c r="B248" s="6">
        <v>1.9</v>
      </c>
      <c r="C248" s="6">
        <v>152.89999999999998</v>
      </c>
    </row>
    <row r="249" spans="1:3">
      <c r="A249" s="10">
        <v>42217</v>
      </c>
      <c r="B249" s="6">
        <v>3.2</v>
      </c>
      <c r="C249" s="6">
        <v>138.69999999999999</v>
      </c>
    </row>
    <row r="250" spans="1:3">
      <c r="A250" s="10">
        <v>42248</v>
      </c>
      <c r="B250" s="6">
        <v>10.8</v>
      </c>
      <c r="C250" s="6">
        <v>109.19999999999997</v>
      </c>
    </row>
    <row r="251" spans="1:3">
      <c r="A251" s="10">
        <v>42278</v>
      </c>
      <c r="B251" s="6">
        <v>157.80000000000001</v>
      </c>
      <c r="C251" s="6">
        <v>2.6</v>
      </c>
    </row>
    <row r="252" spans="1:3">
      <c r="A252" s="10">
        <v>42309</v>
      </c>
      <c r="B252" s="6">
        <v>286.60000000000002</v>
      </c>
      <c r="C252" s="6">
        <v>0.5</v>
      </c>
    </row>
    <row r="253" spans="1:3">
      <c r="A253" s="10">
        <v>42339</v>
      </c>
      <c r="B253" s="6">
        <v>392.2</v>
      </c>
      <c r="C253" s="6">
        <f>C133</f>
        <v>0</v>
      </c>
    </row>
    <row r="254" spans="1:3">
      <c r="A254" s="10">
        <v>42370</v>
      </c>
      <c r="B254" s="6">
        <v>618.5</v>
      </c>
      <c r="C254" s="6">
        <v>0</v>
      </c>
    </row>
    <row r="255" spans="1:3">
      <c r="A255" s="10">
        <v>42401</v>
      </c>
      <c r="B255" s="6">
        <v>510.5</v>
      </c>
      <c r="C255" s="6">
        <v>0</v>
      </c>
    </row>
    <row r="256" spans="1:3">
      <c r="A256" s="10">
        <v>42430</v>
      </c>
      <c r="B256" s="6">
        <v>350.9</v>
      </c>
      <c r="C256" s="6">
        <v>0</v>
      </c>
    </row>
    <row r="257" spans="1:5">
      <c r="A257" s="10">
        <v>42461</v>
      </c>
      <c r="B257" s="6">
        <f>221.9+17.3+17.5+19.5+16+9.5+13.5</f>
        <v>315.20000000000005</v>
      </c>
      <c r="C257" s="6">
        <v>0</v>
      </c>
    </row>
    <row r="258" spans="1:5">
      <c r="A258" s="10">
        <v>42491</v>
      </c>
      <c r="B258" s="6">
        <v>110.9</v>
      </c>
      <c r="C258" s="6">
        <v>47</v>
      </c>
    </row>
    <row r="259" spans="1:5">
      <c r="A259" s="10">
        <v>42522</v>
      </c>
      <c r="B259" s="6">
        <v>5.6</v>
      </c>
      <c r="C259" s="6">
        <v>127.2</v>
      </c>
    </row>
    <row r="260" spans="1:5">
      <c r="A260" s="10">
        <v>42552</v>
      </c>
      <c r="B260" s="6">
        <v>0</v>
      </c>
      <c r="C260" s="6">
        <v>213.1</v>
      </c>
      <c r="E260" s="6" t="s">
        <v>125</v>
      </c>
    </row>
    <row r="261" spans="1:5">
      <c r="A261" s="10">
        <v>42583</v>
      </c>
      <c r="B261" s="6">
        <v>0</v>
      </c>
      <c r="C261" s="6">
        <f>205.4+8+5.6</f>
        <v>219</v>
      </c>
    </row>
    <row r="262" spans="1:5">
      <c r="A262" s="10">
        <v>42614</v>
      </c>
      <c r="B262" s="6">
        <v>8</v>
      </c>
      <c r="C262" s="6">
        <v>90.1</v>
      </c>
    </row>
    <row r="263" spans="1:5">
      <c r="A263" s="10">
        <v>42644</v>
      </c>
      <c r="B263" s="6">
        <v>146</v>
      </c>
      <c r="C263" s="6">
        <v>22.7</v>
      </c>
    </row>
    <row r="264" spans="1:5">
      <c r="A264" s="10">
        <v>42675</v>
      </c>
      <c r="B264" s="6">
        <v>290.7</v>
      </c>
      <c r="C264" s="6">
        <v>0</v>
      </c>
      <c r="E264" s="6" t="s">
        <v>126</v>
      </c>
    </row>
    <row r="265" spans="1:5">
      <c r="A265" s="10">
        <v>42705</v>
      </c>
      <c r="B265" s="6">
        <v>581.1</v>
      </c>
      <c r="C265" s="6"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09"/>
  <sheetViews>
    <sheetView topLeftCell="A85" workbookViewId="0">
      <selection activeCell="C98" sqref="C98"/>
    </sheetView>
  </sheetViews>
  <sheetFormatPr defaultColWidth="8.85546875" defaultRowHeight="12.75"/>
  <cols>
    <col min="1" max="1" width="8.85546875" style="6"/>
    <col min="2" max="2" width="12.140625" style="6" customWidth="1"/>
    <col min="3" max="3" width="14" style="6" customWidth="1"/>
    <col min="4" max="16384" width="8.85546875" style="6"/>
  </cols>
  <sheetData>
    <row r="1" spans="1:10">
      <c r="B1" s="15" t="s">
        <v>56</v>
      </c>
      <c r="C1" s="15" t="s">
        <v>57</v>
      </c>
      <c r="D1" s="16"/>
      <c r="E1" s="17"/>
      <c r="F1" s="17" t="s">
        <v>58</v>
      </c>
      <c r="G1" s="17" t="s">
        <v>59</v>
      </c>
      <c r="H1" s="17" t="s">
        <v>60</v>
      </c>
      <c r="I1" s="17" t="s">
        <v>61</v>
      </c>
      <c r="J1" s="17" t="s">
        <v>62</v>
      </c>
    </row>
    <row r="2" spans="1:10" ht="15">
      <c r="A2" s="61">
        <v>39814</v>
      </c>
      <c r="B2">
        <v>6506.5</v>
      </c>
      <c r="C2" s="6">
        <v>151.5</v>
      </c>
      <c r="F2" s="18">
        <v>42795</v>
      </c>
      <c r="G2" s="18">
        <v>42795</v>
      </c>
      <c r="H2" s="18">
        <v>42795</v>
      </c>
      <c r="I2" s="18">
        <v>42795</v>
      </c>
      <c r="J2" s="18"/>
    </row>
    <row r="3" spans="1:10" ht="15">
      <c r="A3" s="61">
        <v>39845</v>
      </c>
      <c r="B3">
        <v>6436.2</v>
      </c>
      <c r="C3" s="6">
        <v>147.5</v>
      </c>
      <c r="E3" s="17">
        <v>2017</v>
      </c>
      <c r="F3" s="19">
        <v>1.4E-2</v>
      </c>
      <c r="G3" s="19">
        <v>1.2999999999999999E-2</v>
      </c>
      <c r="H3" s="19">
        <v>1.4E-2</v>
      </c>
      <c r="I3" s="19">
        <v>1.2999999999999999E-2</v>
      </c>
      <c r="J3" s="19">
        <f>AVERAGE(F3:I3)</f>
        <v>1.35E-2</v>
      </c>
    </row>
    <row r="4" spans="1:10" ht="15">
      <c r="A4" s="61">
        <v>39873</v>
      </c>
      <c r="B4">
        <v>6363.8</v>
      </c>
      <c r="C4" s="6">
        <v>142.9</v>
      </c>
      <c r="E4" s="17">
        <v>2018</v>
      </c>
      <c r="F4" s="19">
        <v>1.2E-2</v>
      </c>
      <c r="G4" s="19">
        <v>7.0000000000000001E-3</v>
      </c>
      <c r="H4" s="19">
        <v>7.0000000000000001E-3</v>
      </c>
      <c r="I4" s="19">
        <v>8.9999999999999993E-3</v>
      </c>
      <c r="J4" s="19">
        <f>AVERAGE(F4:I4)</f>
        <v>8.7499999999999991E-3</v>
      </c>
    </row>
    <row r="5" spans="1:10" ht="15">
      <c r="A5" s="61">
        <v>39904</v>
      </c>
      <c r="B5">
        <v>6359.6</v>
      </c>
      <c r="C5" s="6">
        <v>144.80000000000001</v>
      </c>
      <c r="E5" s="17"/>
      <c r="F5" s="19"/>
      <c r="G5" s="19"/>
      <c r="H5" s="19"/>
      <c r="I5" s="19"/>
      <c r="J5" s="19"/>
    </row>
    <row r="6" spans="1:10" ht="15">
      <c r="A6" s="61">
        <v>39934</v>
      </c>
      <c r="B6">
        <v>6382.1</v>
      </c>
      <c r="C6" s="6">
        <v>145</v>
      </c>
      <c r="E6" s="6" t="s">
        <v>189</v>
      </c>
    </row>
    <row r="7" spans="1:10" ht="15">
      <c r="A7" s="61">
        <v>39965</v>
      </c>
      <c r="B7">
        <v>6429.4</v>
      </c>
      <c r="C7" s="6">
        <v>145.69999999999999</v>
      </c>
      <c r="E7" s="6">
        <v>2017</v>
      </c>
      <c r="F7" s="105">
        <v>2.5999999999999999E-2</v>
      </c>
      <c r="G7" s="105">
        <v>2.5999999999999999E-2</v>
      </c>
      <c r="H7" s="105">
        <v>0.02</v>
      </c>
      <c r="I7" s="105">
        <v>2.5000000000000001E-2</v>
      </c>
      <c r="J7" s="19">
        <f>AVERAGE(F7:I7)</f>
        <v>2.4250000000000001E-2</v>
      </c>
    </row>
    <row r="8" spans="1:10" ht="15">
      <c r="A8" s="61">
        <v>39995</v>
      </c>
      <c r="B8">
        <v>6467</v>
      </c>
      <c r="C8" s="6">
        <v>144.30000000000001</v>
      </c>
      <c r="E8" s="6">
        <v>2018</v>
      </c>
      <c r="F8" s="105">
        <v>0.02</v>
      </c>
      <c r="G8" s="105">
        <v>1.9E-2</v>
      </c>
      <c r="H8" s="105">
        <v>1.7000000000000001E-2</v>
      </c>
      <c r="I8" s="105">
        <v>0.02</v>
      </c>
      <c r="J8" s="19">
        <f>AVERAGE(F8:I8)</f>
        <v>1.9E-2</v>
      </c>
    </row>
    <row r="9" spans="1:10" ht="15">
      <c r="A9" s="61">
        <v>40026</v>
      </c>
      <c r="B9">
        <v>6487.6</v>
      </c>
      <c r="C9" s="6">
        <v>145.1</v>
      </c>
    </row>
    <row r="10" spans="1:10" ht="15">
      <c r="A10" s="61">
        <v>40057</v>
      </c>
      <c r="B10">
        <v>6470.2</v>
      </c>
      <c r="C10" s="6">
        <v>146.80000000000001</v>
      </c>
    </row>
    <row r="11" spans="1:10" ht="15">
      <c r="A11" s="61">
        <v>40087</v>
      </c>
      <c r="B11">
        <v>6472.1</v>
      </c>
      <c r="C11" s="6">
        <v>149.19999999999999</v>
      </c>
      <c r="E11" s="141"/>
      <c r="F11" s="141" t="s">
        <v>58</v>
      </c>
      <c r="G11" s="141" t="s">
        <v>59</v>
      </c>
      <c r="H11" s="141" t="s">
        <v>60</v>
      </c>
      <c r="I11" s="141" t="s">
        <v>61</v>
      </c>
      <c r="J11" s="141" t="s">
        <v>62</v>
      </c>
    </row>
    <row r="12" spans="1:10" ht="15">
      <c r="A12" s="61">
        <v>40118</v>
      </c>
      <c r="B12">
        <v>6465.6</v>
      </c>
      <c r="C12" s="6">
        <v>150.1</v>
      </c>
      <c r="E12" s="142" t="s">
        <v>209</v>
      </c>
      <c r="F12" s="140">
        <v>43177</v>
      </c>
      <c r="G12" s="140">
        <v>43177</v>
      </c>
      <c r="H12" s="140">
        <v>43177</v>
      </c>
      <c r="I12" s="140">
        <v>43177</v>
      </c>
      <c r="J12" s="140"/>
    </row>
    <row r="13" spans="1:10" ht="15">
      <c r="A13" s="61">
        <v>40148</v>
      </c>
      <c r="B13">
        <v>6467.5</v>
      </c>
      <c r="C13" s="6">
        <v>150.19999999999999</v>
      </c>
      <c r="E13" s="141">
        <v>2017</v>
      </c>
      <c r="F13" s="139">
        <v>1.7999999999999999E-2</v>
      </c>
      <c r="G13" s="139">
        <v>1.7000000000000001E-2</v>
      </c>
      <c r="H13" s="139">
        <v>1.7999999999999999E-2</v>
      </c>
      <c r="I13" s="139">
        <v>1.7999999999999999E-2</v>
      </c>
      <c r="J13" s="139">
        <v>1.7750000000000002E-2</v>
      </c>
    </row>
    <row r="14" spans="1:10" ht="15">
      <c r="A14" s="61">
        <v>40179</v>
      </c>
      <c r="B14">
        <v>6434.5</v>
      </c>
      <c r="C14" s="6">
        <v>146.80000000000001</v>
      </c>
      <c r="E14" s="141">
        <v>2018</v>
      </c>
      <c r="F14" s="139">
        <v>1.9E-2</v>
      </c>
      <c r="G14" s="139">
        <v>1.2E-2</v>
      </c>
      <c r="H14" s="139">
        <v>1.4999999999999999E-2</v>
      </c>
      <c r="I14" s="139">
        <v>1.4E-2</v>
      </c>
      <c r="J14" s="139">
        <v>1.4999999999999999E-2</v>
      </c>
    </row>
    <row r="15" spans="1:10" ht="15">
      <c r="A15" s="61">
        <v>40210</v>
      </c>
      <c r="B15">
        <v>6404.1</v>
      </c>
      <c r="C15" s="6">
        <v>145.5</v>
      </c>
    </row>
    <row r="16" spans="1:10" ht="15">
      <c r="A16" s="61">
        <v>40238</v>
      </c>
      <c r="B16">
        <v>6377.2</v>
      </c>
      <c r="C16" s="6">
        <v>143.30000000000001</v>
      </c>
    </row>
    <row r="17" spans="1:3" ht="15">
      <c r="A17" s="61">
        <v>40269</v>
      </c>
      <c r="B17">
        <v>6401.7</v>
      </c>
      <c r="C17" s="6">
        <v>146.6</v>
      </c>
    </row>
    <row r="18" spans="1:3" ht="15">
      <c r="A18" s="61">
        <v>40299</v>
      </c>
      <c r="B18">
        <v>6468.9</v>
      </c>
      <c r="C18" s="6">
        <v>147.80000000000001</v>
      </c>
    </row>
    <row r="19" spans="1:3" ht="15">
      <c r="A19" s="61">
        <v>40330</v>
      </c>
      <c r="B19">
        <v>6578.9</v>
      </c>
      <c r="C19" s="6">
        <v>149.9</v>
      </c>
    </row>
    <row r="20" spans="1:3" ht="15">
      <c r="A20" s="61">
        <v>40360</v>
      </c>
      <c r="B20">
        <v>6640.9</v>
      </c>
      <c r="C20" s="6">
        <v>148.30000000000001</v>
      </c>
    </row>
    <row r="21" spans="1:3" ht="15">
      <c r="A21" s="61">
        <v>40391</v>
      </c>
      <c r="B21">
        <v>6662.6</v>
      </c>
      <c r="C21" s="6">
        <v>148.4</v>
      </c>
    </row>
    <row r="22" spans="1:3" ht="15">
      <c r="A22" s="61">
        <v>40422</v>
      </c>
      <c r="B22">
        <v>6611.2</v>
      </c>
      <c r="C22" s="6">
        <v>148.69999999999999</v>
      </c>
    </row>
    <row r="23" spans="1:3" ht="15">
      <c r="A23" s="61">
        <v>40452</v>
      </c>
      <c r="B23">
        <v>6587.1</v>
      </c>
      <c r="C23" s="6">
        <v>149.6</v>
      </c>
    </row>
    <row r="24" spans="1:3" ht="15">
      <c r="A24" s="61">
        <v>40483</v>
      </c>
      <c r="B24">
        <v>6566.6</v>
      </c>
      <c r="C24" s="6">
        <v>148.9</v>
      </c>
    </row>
    <row r="25" spans="1:3" ht="15">
      <c r="A25" s="61">
        <v>40513</v>
      </c>
      <c r="B25">
        <v>6584.1</v>
      </c>
      <c r="C25" s="6">
        <v>148.1</v>
      </c>
    </row>
    <row r="26" spans="1:3" ht="15">
      <c r="A26" s="61">
        <v>40544</v>
      </c>
      <c r="B26">
        <v>6571.2</v>
      </c>
      <c r="C26" s="6">
        <v>148.69999999999999</v>
      </c>
    </row>
    <row r="27" spans="1:3" ht="15">
      <c r="A27" s="61">
        <v>40575</v>
      </c>
      <c r="B27">
        <v>6548.1</v>
      </c>
      <c r="C27" s="6">
        <v>146.69999999999999</v>
      </c>
    </row>
    <row r="28" spans="1:3" ht="15">
      <c r="A28" s="61">
        <v>40603</v>
      </c>
      <c r="B28">
        <v>6523.7</v>
      </c>
      <c r="C28" s="6">
        <v>145.4</v>
      </c>
    </row>
    <row r="29" spans="1:3" ht="15">
      <c r="A29" s="61">
        <v>40634</v>
      </c>
      <c r="B29">
        <v>6550</v>
      </c>
      <c r="C29" s="6">
        <v>144</v>
      </c>
    </row>
    <row r="30" spans="1:3" ht="15">
      <c r="A30" s="61">
        <v>40664</v>
      </c>
      <c r="B30">
        <v>6612</v>
      </c>
      <c r="C30" s="6">
        <v>144.6</v>
      </c>
    </row>
    <row r="31" spans="1:3" ht="15">
      <c r="A31" s="61">
        <v>40695</v>
      </c>
      <c r="B31">
        <v>6706.8</v>
      </c>
      <c r="C31" s="6">
        <v>146</v>
      </c>
    </row>
    <row r="32" spans="1:3" ht="15">
      <c r="A32" s="61">
        <v>40725</v>
      </c>
      <c r="B32">
        <v>6755.3</v>
      </c>
      <c r="C32" s="6">
        <v>147.6</v>
      </c>
    </row>
    <row r="33" spans="1:3" ht="15">
      <c r="A33" s="61">
        <v>40756</v>
      </c>
      <c r="B33">
        <v>6778</v>
      </c>
      <c r="C33" s="6">
        <v>148.69999999999999</v>
      </c>
    </row>
    <row r="34" spans="1:3" ht="15">
      <c r="A34" s="61">
        <v>40787</v>
      </c>
      <c r="B34">
        <v>6734.6</v>
      </c>
      <c r="C34" s="6">
        <v>148.1</v>
      </c>
    </row>
    <row r="35" spans="1:3" ht="15">
      <c r="A35" s="61">
        <v>40817</v>
      </c>
      <c r="B35">
        <v>6702.2</v>
      </c>
      <c r="C35" s="6">
        <v>149.1</v>
      </c>
    </row>
    <row r="36" spans="1:3" ht="15">
      <c r="A36" s="61">
        <v>40848</v>
      </c>
      <c r="B36">
        <v>6669.4</v>
      </c>
      <c r="C36" s="6">
        <v>150.80000000000001</v>
      </c>
    </row>
    <row r="37" spans="1:3" ht="15">
      <c r="A37" s="61">
        <v>40878</v>
      </c>
      <c r="B37">
        <v>6668.3</v>
      </c>
      <c r="C37" s="6">
        <v>152.1</v>
      </c>
    </row>
    <row r="38" spans="1:3" ht="15">
      <c r="A38" s="61">
        <v>40909</v>
      </c>
      <c r="B38">
        <v>6635.9</v>
      </c>
      <c r="C38" s="6">
        <v>149.5</v>
      </c>
    </row>
    <row r="39" spans="1:3" ht="15">
      <c r="A39" s="61">
        <v>40940</v>
      </c>
      <c r="B39">
        <v>6598</v>
      </c>
      <c r="C39" s="6">
        <v>148.4</v>
      </c>
    </row>
    <row r="40" spans="1:3" ht="15">
      <c r="A40" s="61">
        <v>40969</v>
      </c>
      <c r="B40">
        <v>6569.8</v>
      </c>
      <c r="C40" s="6">
        <v>148.5</v>
      </c>
    </row>
    <row r="41" spans="1:3" ht="15">
      <c r="A41" s="61">
        <v>41000</v>
      </c>
      <c r="B41">
        <v>6603.3</v>
      </c>
      <c r="C41" s="6">
        <v>150.6</v>
      </c>
    </row>
    <row r="42" spans="1:3" ht="15">
      <c r="A42" s="61">
        <v>41030</v>
      </c>
      <c r="B42">
        <v>6658.1</v>
      </c>
      <c r="C42" s="6">
        <v>151.1</v>
      </c>
    </row>
    <row r="43" spans="1:3" ht="15">
      <c r="A43" s="61">
        <v>41061</v>
      </c>
      <c r="B43">
        <v>6737.2</v>
      </c>
      <c r="C43" s="6">
        <v>152.19999999999999</v>
      </c>
    </row>
    <row r="44" spans="1:3" ht="15">
      <c r="A44" s="61">
        <v>41091</v>
      </c>
      <c r="B44">
        <v>6778.6</v>
      </c>
      <c r="C44" s="6">
        <v>153.4</v>
      </c>
    </row>
    <row r="45" spans="1:3" ht="15">
      <c r="A45" s="61">
        <v>41122</v>
      </c>
      <c r="B45">
        <v>6797.9</v>
      </c>
      <c r="C45" s="6">
        <v>155</v>
      </c>
    </row>
    <row r="46" spans="1:3" ht="15">
      <c r="A46" s="61">
        <v>41153</v>
      </c>
      <c r="B46">
        <v>6763.1</v>
      </c>
      <c r="C46" s="6">
        <v>156.9</v>
      </c>
    </row>
    <row r="47" spans="1:3" ht="15">
      <c r="A47" s="61">
        <v>41183</v>
      </c>
      <c r="B47">
        <v>6740.9</v>
      </c>
      <c r="C47" s="6">
        <v>157.5</v>
      </c>
    </row>
    <row r="48" spans="1:3" ht="15">
      <c r="A48" s="61">
        <v>41214</v>
      </c>
      <c r="B48">
        <v>6727.4</v>
      </c>
      <c r="C48" s="6">
        <v>157.6</v>
      </c>
    </row>
    <row r="49" spans="1:3" ht="15">
      <c r="A49" s="61">
        <v>41244</v>
      </c>
      <c r="B49">
        <v>6740.2</v>
      </c>
      <c r="C49" s="6">
        <v>155.5</v>
      </c>
    </row>
    <row r="50" spans="1:3" ht="15">
      <c r="A50" s="61">
        <v>41275</v>
      </c>
      <c r="B50">
        <v>6721.7</v>
      </c>
      <c r="C50" s="6">
        <v>151.1</v>
      </c>
    </row>
    <row r="51" spans="1:3" ht="15">
      <c r="A51" s="61">
        <v>41306</v>
      </c>
      <c r="B51">
        <v>6702</v>
      </c>
      <c r="C51" s="6">
        <v>150.19999999999999</v>
      </c>
    </row>
    <row r="52" spans="1:3" ht="15">
      <c r="A52" s="61">
        <v>41334</v>
      </c>
      <c r="B52">
        <v>6675.8</v>
      </c>
      <c r="C52" s="6">
        <v>149.4</v>
      </c>
    </row>
    <row r="53" spans="1:3" ht="15">
      <c r="A53" s="61">
        <v>41365</v>
      </c>
      <c r="B53">
        <v>6703.7</v>
      </c>
      <c r="C53" s="6">
        <v>152.6</v>
      </c>
    </row>
    <row r="54" spans="1:3" ht="15">
      <c r="A54" s="61">
        <v>41395</v>
      </c>
      <c r="B54">
        <v>6770.3</v>
      </c>
      <c r="C54" s="6">
        <v>154</v>
      </c>
    </row>
    <row r="55" spans="1:3" ht="15">
      <c r="A55" s="61">
        <v>41426</v>
      </c>
      <c r="B55">
        <v>6861.8</v>
      </c>
      <c r="C55" s="6">
        <v>155.9</v>
      </c>
    </row>
    <row r="56" spans="1:3" ht="15">
      <c r="A56" s="61">
        <v>41456</v>
      </c>
      <c r="B56">
        <v>6917.1</v>
      </c>
      <c r="C56" s="6">
        <v>156.6</v>
      </c>
    </row>
    <row r="57" spans="1:3" ht="15">
      <c r="A57" s="61">
        <v>41487</v>
      </c>
      <c r="B57">
        <v>6934.7</v>
      </c>
      <c r="C57" s="6">
        <v>156.5</v>
      </c>
    </row>
    <row r="58" spans="1:3" ht="15">
      <c r="A58" s="61">
        <v>41518</v>
      </c>
      <c r="B58">
        <v>6906.9</v>
      </c>
      <c r="C58" s="6">
        <v>154.6</v>
      </c>
    </row>
    <row r="59" spans="1:3" ht="15">
      <c r="A59" s="61">
        <v>41548</v>
      </c>
      <c r="B59">
        <v>6889</v>
      </c>
      <c r="C59" s="6">
        <v>155.80000000000001</v>
      </c>
    </row>
    <row r="60" spans="1:3" ht="15">
      <c r="A60" s="61">
        <v>41579</v>
      </c>
      <c r="B60">
        <v>6863.8</v>
      </c>
      <c r="C60" s="6">
        <v>156.69999999999999</v>
      </c>
    </row>
    <row r="61" spans="1:3" ht="15">
      <c r="A61" s="61">
        <v>41609</v>
      </c>
      <c r="B61">
        <v>6849.3</v>
      </c>
      <c r="C61" s="6">
        <v>159.19999999999999</v>
      </c>
    </row>
    <row r="62" spans="1:3" ht="15">
      <c r="A62" s="61">
        <v>41640</v>
      </c>
      <c r="B62">
        <v>6806.1</v>
      </c>
      <c r="C62" s="6">
        <v>157.1</v>
      </c>
    </row>
    <row r="63" spans="1:3" ht="15">
      <c r="A63" s="61">
        <v>41671</v>
      </c>
      <c r="B63">
        <v>6772.3</v>
      </c>
      <c r="C63" s="6">
        <v>154.69999999999999</v>
      </c>
    </row>
    <row r="64" spans="1:3" ht="15">
      <c r="A64" s="61">
        <v>41699</v>
      </c>
      <c r="B64">
        <v>6751.3</v>
      </c>
      <c r="C64" s="6">
        <v>152.4</v>
      </c>
    </row>
    <row r="65" spans="1:3" ht="15">
      <c r="A65" s="61">
        <v>41730</v>
      </c>
      <c r="B65">
        <v>6785</v>
      </c>
      <c r="C65" s="6">
        <v>151.1</v>
      </c>
    </row>
    <row r="66" spans="1:3" ht="15">
      <c r="A66" s="61">
        <v>41760</v>
      </c>
      <c r="B66">
        <v>6842.6</v>
      </c>
      <c r="C66" s="6">
        <v>151.19999999999999</v>
      </c>
    </row>
    <row r="67" spans="1:3" ht="15">
      <c r="A67" s="61">
        <v>41791</v>
      </c>
      <c r="B67">
        <v>6912.9</v>
      </c>
      <c r="C67" s="6">
        <v>150.9</v>
      </c>
    </row>
    <row r="68" spans="1:3" ht="15">
      <c r="A68" s="61">
        <v>41821</v>
      </c>
      <c r="B68">
        <v>6957.8</v>
      </c>
      <c r="C68" s="6">
        <v>153.6</v>
      </c>
    </row>
    <row r="69" spans="1:3" ht="15">
      <c r="A69" s="61">
        <v>41852</v>
      </c>
      <c r="B69">
        <v>6969.7</v>
      </c>
      <c r="C69" s="6">
        <v>154.5</v>
      </c>
    </row>
    <row r="70" spans="1:3" ht="15">
      <c r="A70" s="61">
        <v>41883</v>
      </c>
      <c r="B70">
        <v>6944.1</v>
      </c>
      <c r="C70" s="6">
        <v>156.6</v>
      </c>
    </row>
    <row r="71" spans="1:3" ht="15">
      <c r="A71" s="61">
        <v>41913</v>
      </c>
      <c r="B71">
        <v>6936.6</v>
      </c>
      <c r="C71" s="6">
        <v>158.30000000000001</v>
      </c>
    </row>
    <row r="72" spans="1:3" ht="15">
      <c r="A72" s="61">
        <v>41944</v>
      </c>
      <c r="B72">
        <v>6914.3</v>
      </c>
      <c r="C72" s="6">
        <v>159.30000000000001</v>
      </c>
    </row>
    <row r="73" spans="1:3" ht="15">
      <c r="A73" s="61">
        <v>41974</v>
      </c>
      <c r="B73">
        <v>6903.2</v>
      </c>
      <c r="C73" s="6">
        <v>161.1</v>
      </c>
    </row>
    <row r="74" spans="1:3" ht="15">
      <c r="A74" s="61">
        <v>42005</v>
      </c>
      <c r="B74">
        <v>6845.1</v>
      </c>
      <c r="C74" s="6">
        <v>159.30000000000001</v>
      </c>
    </row>
    <row r="75" spans="1:3" ht="15">
      <c r="A75" s="61">
        <v>42036</v>
      </c>
      <c r="B75">
        <v>6810.3</v>
      </c>
      <c r="C75" s="6">
        <v>159.1</v>
      </c>
    </row>
    <row r="76" spans="1:3" ht="15">
      <c r="A76" s="61">
        <v>42064</v>
      </c>
      <c r="B76">
        <v>6783.7</v>
      </c>
      <c r="C76" s="6">
        <v>156.1</v>
      </c>
    </row>
    <row r="77" spans="1:3" ht="15">
      <c r="A77" s="61">
        <v>42095</v>
      </c>
      <c r="B77">
        <v>6805.6</v>
      </c>
      <c r="C77" s="6">
        <v>156.4</v>
      </c>
    </row>
    <row r="78" spans="1:3" ht="15">
      <c r="A78" s="61">
        <v>42125</v>
      </c>
      <c r="B78">
        <v>6870.9</v>
      </c>
      <c r="C78" s="6">
        <v>159.1</v>
      </c>
    </row>
    <row r="79" spans="1:3" ht="15">
      <c r="A79" s="61">
        <v>42156</v>
      </c>
      <c r="B79">
        <v>6965.8</v>
      </c>
      <c r="C79" s="6">
        <v>163.9</v>
      </c>
    </row>
    <row r="80" spans="1:3" ht="15">
      <c r="A80" s="61">
        <v>42186</v>
      </c>
      <c r="B80">
        <v>7032.3</v>
      </c>
      <c r="C80" s="6">
        <v>164.8</v>
      </c>
    </row>
    <row r="81" spans="1:3" ht="15">
      <c r="A81" s="61">
        <v>42217</v>
      </c>
      <c r="B81">
        <v>7045.7</v>
      </c>
      <c r="C81" s="6">
        <v>160.80000000000001</v>
      </c>
    </row>
    <row r="82" spans="1:3" ht="15">
      <c r="A82" s="61">
        <v>42248</v>
      </c>
      <c r="B82">
        <v>6994.9</v>
      </c>
      <c r="C82" s="6">
        <v>156.69999999999999</v>
      </c>
    </row>
    <row r="83" spans="1:3" ht="15">
      <c r="A83" s="61">
        <v>42278</v>
      </c>
      <c r="B83">
        <v>6969</v>
      </c>
      <c r="C83" s="6">
        <v>155.1</v>
      </c>
    </row>
    <row r="84" spans="1:3" ht="15">
      <c r="A84" s="61">
        <v>42309</v>
      </c>
      <c r="B84">
        <v>6936.9</v>
      </c>
      <c r="C84" s="6">
        <v>155.19999999999999</v>
      </c>
    </row>
    <row r="85" spans="1:3" ht="15">
      <c r="A85" s="61">
        <v>42339</v>
      </c>
      <c r="B85">
        <v>6948.2</v>
      </c>
      <c r="C85" s="6">
        <v>155.19999999999999</v>
      </c>
    </row>
    <row r="86" spans="1:3" ht="15">
      <c r="A86" s="61">
        <v>42370</v>
      </c>
      <c r="B86">
        <v>6919.2</v>
      </c>
      <c r="C86" s="6">
        <v>155</v>
      </c>
    </row>
    <row r="87" spans="1:3" ht="15">
      <c r="A87" s="61">
        <v>42401</v>
      </c>
      <c r="B87">
        <v>6896.8</v>
      </c>
      <c r="C87" s="6">
        <v>156</v>
      </c>
    </row>
    <row r="88" spans="1:3" ht="15">
      <c r="A88" s="61">
        <v>42430</v>
      </c>
      <c r="B88">
        <v>6872.4</v>
      </c>
      <c r="C88" s="6">
        <v>156.80000000000001</v>
      </c>
    </row>
    <row r="89" spans="1:3" ht="15">
      <c r="A89" s="61">
        <v>42461</v>
      </c>
      <c r="B89">
        <v>6890.3</v>
      </c>
      <c r="C89" s="6">
        <v>159.30000000000001</v>
      </c>
    </row>
    <row r="90" spans="1:3" ht="15">
      <c r="A90" s="61">
        <v>42491</v>
      </c>
      <c r="B90">
        <v>6962.5</v>
      </c>
      <c r="C90" s="6">
        <v>162.1</v>
      </c>
    </row>
    <row r="91" spans="1:3" ht="15">
      <c r="A91" s="61">
        <v>42522</v>
      </c>
      <c r="B91">
        <v>7047.3</v>
      </c>
      <c r="C91" s="6">
        <v>166.7</v>
      </c>
    </row>
    <row r="92" spans="1:3" ht="15">
      <c r="A92" s="61">
        <v>42552</v>
      </c>
      <c r="B92">
        <v>7090.8</v>
      </c>
      <c r="C92" s="6">
        <v>169.9</v>
      </c>
    </row>
    <row r="93" spans="1:3" ht="15">
      <c r="A93" s="61">
        <v>42583</v>
      </c>
      <c r="B93">
        <v>7083.3</v>
      </c>
      <c r="C93" s="6">
        <v>171.7</v>
      </c>
    </row>
    <row r="94" spans="1:3" ht="15">
      <c r="A94" s="61">
        <v>42614</v>
      </c>
      <c r="B94">
        <v>7037</v>
      </c>
      <c r="C94" s="6">
        <v>170.5</v>
      </c>
    </row>
    <row r="95" spans="1:3" ht="15">
      <c r="A95" s="61">
        <v>42644</v>
      </c>
      <c r="B95">
        <v>7033.4</v>
      </c>
      <c r="C95" s="6">
        <v>169.2</v>
      </c>
    </row>
    <row r="96" spans="1:3" ht="15">
      <c r="A96" s="61">
        <v>42675</v>
      </c>
      <c r="B96">
        <v>7026.9</v>
      </c>
      <c r="C96" s="6">
        <v>165.5</v>
      </c>
    </row>
    <row r="97" spans="1:5" ht="15">
      <c r="A97" s="61">
        <v>42705</v>
      </c>
      <c r="B97">
        <v>7041.6</v>
      </c>
      <c r="C97" s="6">
        <v>162.5</v>
      </c>
    </row>
    <row r="98" spans="1:5" ht="15">
      <c r="A98" s="135">
        <v>42736</v>
      </c>
      <c r="B98" s="138"/>
      <c r="C98" s="133">
        <v>160.69999999999999</v>
      </c>
      <c r="D98" s="138"/>
      <c r="E98" s="138"/>
    </row>
    <row r="99" spans="1:5" ht="15">
      <c r="A99" s="135">
        <v>42767</v>
      </c>
      <c r="B99" s="138"/>
      <c r="C99" s="133">
        <v>158.80000000000001</v>
      </c>
      <c r="D99" s="138"/>
      <c r="E99" s="138"/>
    </row>
    <row r="100" spans="1:5" ht="15">
      <c r="A100" s="135">
        <v>42795</v>
      </c>
      <c r="B100" s="138"/>
      <c r="C100" s="133">
        <v>157.6</v>
      </c>
      <c r="D100" s="138"/>
      <c r="E100" s="138"/>
    </row>
    <row r="101" spans="1:5" ht="15">
      <c r="A101" s="135">
        <v>42826</v>
      </c>
      <c r="B101" s="138"/>
      <c r="C101" s="133">
        <v>156.80000000000001</v>
      </c>
      <c r="D101" s="138"/>
      <c r="E101" s="138"/>
    </row>
    <row r="102" spans="1:5" ht="15">
      <c r="A102" s="135">
        <v>42856</v>
      </c>
      <c r="B102" s="138"/>
      <c r="C102" s="133">
        <v>157.69999999999999</v>
      </c>
      <c r="D102" s="138"/>
      <c r="E102" s="137" t="s">
        <v>210</v>
      </c>
    </row>
    <row r="103" spans="1:5" ht="15">
      <c r="A103" s="135">
        <v>42887</v>
      </c>
      <c r="B103" s="138"/>
      <c r="C103" s="133">
        <v>161.19999999999999</v>
      </c>
      <c r="D103" s="138"/>
      <c r="E103" s="137" t="s">
        <v>211</v>
      </c>
    </row>
    <row r="104" spans="1:5" ht="15">
      <c r="A104" s="135">
        <v>42917</v>
      </c>
      <c r="B104" s="138"/>
      <c r="C104" s="133">
        <v>163.19999999999999</v>
      </c>
      <c r="D104" s="138"/>
      <c r="E104" s="138"/>
    </row>
    <row r="105" spans="1:5" ht="15">
      <c r="A105" s="135">
        <v>42948</v>
      </c>
      <c r="B105" s="138"/>
      <c r="C105" s="133">
        <v>167.5</v>
      </c>
      <c r="D105" s="138"/>
      <c r="E105" s="138"/>
    </row>
    <row r="106" spans="1:5" ht="15">
      <c r="A106" s="135">
        <v>42979</v>
      </c>
      <c r="B106" s="138"/>
      <c r="C106" s="133">
        <v>168.1</v>
      </c>
      <c r="D106" s="138"/>
      <c r="E106" s="138"/>
    </row>
    <row r="107" spans="1:5" ht="15">
      <c r="A107" s="135">
        <v>43009</v>
      </c>
      <c r="B107" s="138"/>
      <c r="C107" s="133">
        <v>165.1</v>
      </c>
      <c r="D107" s="138"/>
      <c r="E107" s="138"/>
    </row>
    <row r="108" spans="1:5" ht="15">
      <c r="A108" s="135">
        <v>43040</v>
      </c>
      <c r="B108" s="138"/>
      <c r="C108" s="133">
        <v>164.7</v>
      </c>
      <c r="D108" s="138"/>
      <c r="E108" s="138"/>
    </row>
    <row r="109" spans="1:5" ht="15">
      <c r="A109" s="135">
        <v>43070</v>
      </c>
      <c r="B109" s="138"/>
      <c r="C109" s="133">
        <v>164.3</v>
      </c>
      <c r="D109" s="138"/>
      <c r="E109" s="138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S23"/>
  <sheetViews>
    <sheetView workbookViewId="0">
      <selection activeCell="O22" sqref="O22"/>
    </sheetView>
  </sheetViews>
  <sheetFormatPr defaultColWidth="8.85546875" defaultRowHeight="12.75"/>
  <cols>
    <col min="1" max="1" width="23.42578125" style="6" customWidth="1"/>
    <col min="2" max="2" width="17.5703125" style="6" customWidth="1"/>
    <col min="3" max="3" width="19.5703125" style="6" customWidth="1"/>
    <col min="4" max="4" width="12.7109375" style="6" customWidth="1"/>
    <col min="5" max="5" width="12.140625" style="6" customWidth="1"/>
    <col min="6" max="8" width="8.85546875" style="6"/>
    <col min="9" max="9" width="14.85546875" style="6" customWidth="1"/>
    <col min="10" max="10" width="11.7109375" style="6" customWidth="1"/>
    <col min="11" max="16384" width="8.85546875" style="6"/>
  </cols>
  <sheetData>
    <row r="1" spans="1:19">
      <c r="A1" s="6" t="s">
        <v>162</v>
      </c>
      <c r="H1" s="6" t="s">
        <v>197</v>
      </c>
      <c r="O1" s="6" t="s">
        <v>198</v>
      </c>
    </row>
    <row r="2" spans="1:19">
      <c r="A2" s="6" t="s">
        <v>155</v>
      </c>
      <c r="H2" s="6" t="s">
        <v>155</v>
      </c>
      <c r="O2" s="6" t="s">
        <v>155</v>
      </c>
    </row>
    <row r="4" spans="1:19">
      <c r="B4" s="6" t="s">
        <v>63</v>
      </c>
      <c r="C4" s="6" t="s">
        <v>64</v>
      </c>
      <c r="D4" s="6" t="s">
        <v>65</v>
      </c>
      <c r="E4" s="6" t="s">
        <v>66</v>
      </c>
      <c r="I4" s="6" t="s">
        <v>63</v>
      </c>
      <c r="J4" s="6" t="s">
        <v>64</v>
      </c>
      <c r="K4" s="6" t="s">
        <v>65</v>
      </c>
      <c r="L4" s="6" t="s">
        <v>66</v>
      </c>
      <c r="P4" s="6" t="s">
        <v>63</v>
      </c>
      <c r="Q4" s="6" t="s">
        <v>64</v>
      </c>
      <c r="R4" s="6" t="s">
        <v>65</v>
      </c>
      <c r="S4" s="6" t="s">
        <v>66</v>
      </c>
    </row>
    <row r="5" spans="1:19" ht="15">
      <c r="A5" s="6" t="s">
        <v>67</v>
      </c>
      <c r="B5" s="20">
        <v>-17086566.711675301</v>
      </c>
      <c r="C5" s="20">
        <v>4123062.1143682902</v>
      </c>
      <c r="D5" s="6">
        <v>-4.1441448704182697</v>
      </c>
      <c r="E5" s="21">
        <v>7.7566974597979504E-5</v>
      </c>
      <c r="H5" s="6" t="s">
        <v>67</v>
      </c>
      <c r="I5" s="20">
        <v>-17166149.3850234</v>
      </c>
      <c r="J5" s="20">
        <v>4119600.9130721702</v>
      </c>
      <c r="K5" s="6">
        <v>-4.1669447471361698</v>
      </c>
      <c r="L5" s="21">
        <v>7.13568598073258E-5</v>
      </c>
      <c r="O5" s="6" t="s">
        <v>67</v>
      </c>
      <c r="P5" s="6">
        <v>-17553361.595151801</v>
      </c>
      <c r="Q5" s="6">
        <v>4107378.95582138</v>
      </c>
      <c r="R5" s="6">
        <v>-4.2736162852160202</v>
      </c>
      <c r="S5" s="21">
        <v>4.8122707856029201E-5</v>
      </c>
    </row>
    <row r="6" spans="1:19" ht="15">
      <c r="A6" s="6" t="s">
        <v>28</v>
      </c>
      <c r="B6" s="20">
        <v>6467.3513130787096</v>
      </c>
      <c r="C6" s="20">
        <v>499.50501839833402</v>
      </c>
      <c r="D6" s="6">
        <v>12.9475201947246</v>
      </c>
      <c r="E6" s="21">
        <v>3.5403977485763602E-22</v>
      </c>
      <c r="H6" s="6" t="s">
        <v>28</v>
      </c>
      <c r="I6" s="20">
        <v>6469.6930175832804</v>
      </c>
      <c r="J6" s="20">
        <v>499.08569718289499</v>
      </c>
      <c r="K6" s="6">
        <v>12.963090415336801</v>
      </c>
      <c r="L6" s="21">
        <v>3.3000493400824901E-22</v>
      </c>
      <c r="O6" s="6" t="s">
        <v>28</v>
      </c>
      <c r="P6" s="6">
        <v>6481.1288538662302</v>
      </c>
      <c r="Q6" s="6">
        <v>497.60501879094301</v>
      </c>
      <c r="R6" s="6">
        <v>13.024645269080599</v>
      </c>
      <c r="S6" s="21">
        <v>2.4999554214351398E-22</v>
      </c>
    </row>
    <row r="7" spans="1:19" ht="15">
      <c r="A7" s="6" t="s">
        <v>29</v>
      </c>
      <c r="B7" s="20">
        <v>68141.614849584003</v>
      </c>
      <c r="C7" s="20">
        <v>2096.5937102697198</v>
      </c>
      <c r="D7" s="6">
        <v>32.501106206608803</v>
      </c>
      <c r="E7" s="21">
        <v>3.7048290096801302E-51</v>
      </c>
      <c r="H7" s="6" t="s">
        <v>29</v>
      </c>
      <c r="I7" s="20">
        <v>68150.149001954298</v>
      </c>
      <c r="J7" s="20">
        <v>2094.8336754542702</v>
      </c>
      <c r="K7" s="6">
        <v>32.532486851098398</v>
      </c>
      <c r="L7" s="21">
        <v>3.4223998959606299E-51</v>
      </c>
      <c r="O7" s="6" t="s">
        <v>29</v>
      </c>
      <c r="P7" s="6">
        <v>68191.542420312704</v>
      </c>
      <c r="Q7" s="6">
        <v>2088.61876091056</v>
      </c>
      <c r="R7" s="6">
        <v>32.649109400216098</v>
      </c>
      <c r="S7" s="21">
        <v>2.55031684129591E-51</v>
      </c>
    </row>
    <row r="8" spans="1:19" ht="15">
      <c r="A8" s="6" t="s">
        <v>152</v>
      </c>
      <c r="B8" s="20">
        <v>828170.98805412103</v>
      </c>
      <c r="C8" s="20">
        <v>95188.193244312395</v>
      </c>
      <c r="D8" s="6">
        <v>8.7003541072422301</v>
      </c>
      <c r="E8" s="21">
        <v>1.5661232620695499E-13</v>
      </c>
      <c r="H8" s="6" t="s">
        <v>152</v>
      </c>
      <c r="I8" s="20">
        <v>827843.12345709302</v>
      </c>
      <c r="J8" s="20">
        <v>95108.285280595403</v>
      </c>
      <c r="K8" s="6">
        <v>8.7042166832756003</v>
      </c>
      <c r="L8" s="21">
        <v>1.53758619623354E-13</v>
      </c>
      <c r="O8" s="6" t="s">
        <v>152</v>
      </c>
      <c r="P8" s="6">
        <v>826207.475608757</v>
      </c>
      <c r="Q8" s="6">
        <v>94826.119745286604</v>
      </c>
      <c r="R8" s="6">
        <v>8.7128681193329598</v>
      </c>
      <c r="S8" s="21">
        <v>1.475538621694E-13</v>
      </c>
    </row>
    <row r="9" spans="1:19" ht="15">
      <c r="A9" s="6" t="s">
        <v>129</v>
      </c>
      <c r="B9" s="20">
        <v>-1891036.2259753</v>
      </c>
      <c r="C9" s="20">
        <v>203768.13147677801</v>
      </c>
      <c r="D9" s="6">
        <v>-9.2803335451442592</v>
      </c>
      <c r="E9" s="21">
        <v>9.8682652867842399E-15</v>
      </c>
      <c r="H9" s="6" t="s">
        <v>129</v>
      </c>
      <c r="I9" s="20">
        <v>-1889629.0328907201</v>
      </c>
      <c r="J9" s="20">
        <v>203597.073534592</v>
      </c>
      <c r="K9" s="6">
        <v>-9.2812190277856192</v>
      </c>
      <c r="L9" s="21">
        <v>9.8266825773658799E-15</v>
      </c>
      <c r="O9" s="6" t="s">
        <v>129</v>
      </c>
      <c r="P9" s="6">
        <v>-1882780.1693229801</v>
      </c>
      <c r="Q9" s="6">
        <v>202993.045430503</v>
      </c>
      <c r="R9" s="6">
        <v>-9.2750969144288806</v>
      </c>
      <c r="S9" s="21">
        <v>1.01178028897451E-14</v>
      </c>
    </row>
    <row r="10" spans="1:19" ht="15">
      <c r="A10" s="6" t="s">
        <v>68</v>
      </c>
      <c r="B10" s="20">
        <v>-20582.508758755499</v>
      </c>
      <c r="C10" s="20">
        <v>5090.5008942325303</v>
      </c>
      <c r="D10" s="6">
        <v>-4.0433169910794504</v>
      </c>
      <c r="E10" s="21">
        <v>1.11824957314302E-4</v>
      </c>
      <c r="H10" s="6" t="s">
        <v>68</v>
      </c>
      <c r="I10" s="20">
        <v>-20530.6208195949</v>
      </c>
      <c r="J10" s="20">
        <v>5086.2275537384303</v>
      </c>
      <c r="K10" s="6">
        <v>-4.0365124451627601</v>
      </c>
      <c r="L10" s="21">
        <v>1.14597778073068E-4</v>
      </c>
      <c r="O10" s="6" t="s">
        <v>68</v>
      </c>
      <c r="P10" s="6">
        <v>-20248.551825283699</v>
      </c>
      <c r="Q10" s="6">
        <v>5071.1378261067302</v>
      </c>
      <c r="R10" s="6">
        <v>-3.9929011041746998</v>
      </c>
      <c r="S10" s="6">
        <v>1.33998195597452E-4</v>
      </c>
    </row>
    <row r="11" spans="1:19" ht="15">
      <c r="A11" s="6" t="s">
        <v>57</v>
      </c>
      <c r="B11" s="20">
        <v>65415.235948121903</v>
      </c>
      <c r="C11" s="20">
        <v>22170.653726013199</v>
      </c>
      <c r="D11" s="6">
        <v>2.9505325714130399</v>
      </c>
      <c r="E11" s="6">
        <v>4.0537620365809404E-3</v>
      </c>
      <c r="H11" s="6" t="s">
        <v>57</v>
      </c>
      <c r="I11" s="20">
        <v>65992.075308360698</v>
      </c>
      <c r="J11" s="20">
        <v>22152.0420502044</v>
      </c>
      <c r="K11" s="6">
        <v>2.9790515546512299</v>
      </c>
      <c r="L11" s="6">
        <v>3.7262294734041702E-3</v>
      </c>
      <c r="O11" s="6" t="s">
        <v>57</v>
      </c>
      <c r="P11" s="6">
        <v>68801.809551469298</v>
      </c>
      <c r="Q11" s="6">
        <v>22086.3217737339</v>
      </c>
      <c r="R11" s="6">
        <v>3.11513208293885</v>
      </c>
      <c r="S11" s="6">
        <v>2.4744086759612102E-3</v>
      </c>
    </row>
    <row r="12" spans="1:19" ht="15">
      <c r="B12" s="21"/>
      <c r="C12" s="20"/>
      <c r="E12" s="21"/>
      <c r="I12" s="21"/>
      <c r="J12" s="20"/>
      <c r="L12" s="21"/>
    </row>
    <row r="13" spans="1:19" ht="15">
      <c r="A13" s="6" t="s">
        <v>70</v>
      </c>
      <c r="B13" s="20">
        <v>21389785.501944002</v>
      </c>
      <c r="C13" s="20" t="s">
        <v>71</v>
      </c>
      <c r="D13" s="6">
        <v>4559082.4714722401</v>
      </c>
      <c r="E13" s="21"/>
      <c r="H13" s="6" t="s">
        <v>70</v>
      </c>
      <c r="I13" s="20">
        <v>21392829.038618699</v>
      </c>
      <c r="J13" s="20" t="s">
        <v>71</v>
      </c>
      <c r="K13" s="6">
        <v>4559345.6167396596</v>
      </c>
      <c r="L13" s="21"/>
      <c r="O13" s="6" t="s">
        <v>70</v>
      </c>
      <c r="P13" s="6">
        <v>21408324.942733899</v>
      </c>
      <c r="Q13" s="6" t="s">
        <v>71</v>
      </c>
      <c r="R13" s="6">
        <v>4560800.4121294301</v>
      </c>
    </row>
    <row r="14" spans="1:19">
      <c r="A14" s="6" t="s">
        <v>72</v>
      </c>
      <c r="B14" s="6">
        <v>43717577457898</v>
      </c>
      <c r="C14" s="6" t="s">
        <v>73</v>
      </c>
      <c r="D14" s="21">
        <v>700862.85069334297</v>
      </c>
      <c r="H14" s="6" t="s">
        <v>72</v>
      </c>
      <c r="I14" s="6">
        <v>43644208772701.398</v>
      </c>
      <c r="J14" s="6" t="s">
        <v>73</v>
      </c>
      <c r="K14" s="21">
        <v>700274.494917957</v>
      </c>
      <c r="O14" s="6" t="s">
        <v>72</v>
      </c>
      <c r="P14" s="6">
        <v>43385627226481.602</v>
      </c>
      <c r="Q14" s="6" t="s">
        <v>73</v>
      </c>
      <c r="R14" s="6">
        <v>698196.93325086799</v>
      </c>
    </row>
    <row r="15" spans="1:19">
      <c r="A15" s="6" t="s">
        <v>74</v>
      </c>
      <c r="B15" s="6">
        <v>0.97786000155600405</v>
      </c>
      <c r="C15" s="6" t="s">
        <v>75</v>
      </c>
      <c r="D15" s="21">
        <v>0.97636741739124</v>
      </c>
      <c r="H15" s="6" t="s">
        <v>74</v>
      </c>
      <c r="I15" s="6">
        <v>0.97789970911961799</v>
      </c>
      <c r="J15" s="6" t="s">
        <v>75</v>
      </c>
      <c r="K15" s="21">
        <v>0.97640980186925497</v>
      </c>
      <c r="O15" s="6" t="s">
        <v>74</v>
      </c>
      <c r="P15" s="6">
        <v>0.97804466132984602</v>
      </c>
      <c r="Q15" s="6" t="s">
        <v>75</v>
      </c>
      <c r="R15" s="6">
        <v>0.97656452613859901</v>
      </c>
    </row>
    <row r="16" spans="1:19">
      <c r="A16" s="6" t="s">
        <v>163</v>
      </c>
      <c r="B16" s="6">
        <v>655.14563576438297</v>
      </c>
      <c r="C16" s="6" t="s">
        <v>76</v>
      </c>
      <c r="D16" s="21">
        <v>2.3217877219103899E-71</v>
      </c>
      <c r="H16" s="6" t="s">
        <v>163</v>
      </c>
      <c r="I16" s="6">
        <v>656.34938609868504</v>
      </c>
      <c r="J16" s="6" t="s">
        <v>76</v>
      </c>
      <c r="K16" s="21">
        <v>2.1437046846868001E-71</v>
      </c>
      <c r="O16" s="6" t="s">
        <v>163</v>
      </c>
      <c r="P16" s="6">
        <v>660.78062808998004</v>
      </c>
      <c r="Q16" s="6" t="s">
        <v>76</v>
      </c>
      <c r="R16" s="21">
        <v>1.5999872266846E-71</v>
      </c>
    </row>
    <row r="17" spans="1:18">
      <c r="A17" s="6" t="s">
        <v>77</v>
      </c>
      <c r="B17" s="6">
        <v>-1424.7504116283201</v>
      </c>
      <c r="C17" s="6" t="s">
        <v>78</v>
      </c>
      <c r="D17" s="6">
        <v>2863.5008232566302</v>
      </c>
      <c r="H17" s="6" t="s">
        <v>77</v>
      </c>
      <c r="I17" s="6">
        <v>-1424.6697883290601</v>
      </c>
      <c r="J17" s="6" t="s">
        <v>78</v>
      </c>
      <c r="K17" s="6">
        <v>2863.3395766581202</v>
      </c>
      <c r="O17" s="6" t="s">
        <v>77</v>
      </c>
      <c r="P17" s="6">
        <v>-1424.3845539470799</v>
      </c>
      <c r="Q17" s="6" t="s">
        <v>78</v>
      </c>
      <c r="R17" s="6">
        <v>2862.7691078941598</v>
      </c>
    </row>
    <row r="18" spans="1:18">
      <c r="A18" s="6" t="s">
        <v>79</v>
      </c>
      <c r="B18" s="6">
        <v>2881.4512605969098</v>
      </c>
      <c r="C18" s="6" t="s">
        <v>80</v>
      </c>
      <c r="D18" s="21">
        <v>2870.7566833358801</v>
      </c>
      <c r="H18" s="6" t="s">
        <v>79</v>
      </c>
      <c r="I18" s="6">
        <v>2881.2900139983999</v>
      </c>
      <c r="J18" s="6" t="s">
        <v>80</v>
      </c>
      <c r="K18" s="21">
        <v>2870.5954367373702</v>
      </c>
      <c r="O18" s="6" t="s">
        <v>79</v>
      </c>
      <c r="P18" s="6">
        <v>2880.7195452344299</v>
      </c>
      <c r="Q18" s="6" t="s">
        <v>80</v>
      </c>
      <c r="R18" s="6">
        <v>2870.0249679734002</v>
      </c>
    </row>
    <row r="19" spans="1:18">
      <c r="A19" s="6" t="s">
        <v>81</v>
      </c>
      <c r="B19" s="6">
        <v>-0.14901130035201399</v>
      </c>
      <c r="C19" s="6" t="s">
        <v>82</v>
      </c>
      <c r="D19" s="6">
        <v>2.28429398884448</v>
      </c>
      <c r="H19" s="6" t="s">
        <v>81</v>
      </c>
      <c r="I19" s="6">
        <v>-0.15036903751991501</v>
      </c>
      <c r="J19" s="6" t="s">
        <v>82</v>
      </c>
      <c r="K19" s="6">
        <v>2.28741185786886</v>
      </c>
      <c r="O19" s="6" t="s">
        <v>81</v>
      </c>
      <c r="P19" s="6">
        <v>-0.15468230186877999</v>
      </c>
      <c r="Q19" s="6" t="s">
        <v>82</v>
      </c>
      <c r="R19" s="6">
        <v>2.2979224842255399</v>
      </c>
    </row>
    <row r="20" spans="1:18">
      <c r="A20" s="6" t="s">
        <v>156</v>
      </c>
      <c r="B20" s="6">
        <v>0.18604000000000001</v>
      </c>
    </row>
    <row r="22" spans="1:18">
      <c r="I22" s="124" t="s">
        <v>199</v>
      </c>
      <c r="O22" s="6" t="s">
        <v>212</v>
      </c>
    </row>
    <row r="23" spans="1:18">
      <c r="O23" s="10">
        <v>43200</v>
      </c>
    </row>
  </sheetData>
  <pageMargins left="0.7" right="0.7" top="0.75" bottom="0.75" header="0.3" footer="0.3"/>
  <pageSetup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S98"/>
  <sheetViews>
    <sheetView topLeftCell="H1" workbookViewId="0">
      <selection activeCell="H1" sqref="A1:XFD1048576"/>
    </sheetView>
  </sheetViews>
  <sheetFormatPr defaultColWidth="8.85546875" defaultRowHeight="15"/>
  <cols>
    <col min="1" max="1" width="10.28515625" style="6" bestFit="1" customWidth="1"/>
    <col min="2" max="2" width="5" style="6" bestFit="1" customWidth="1"/>
    <col min="3" max="3" width="11" style="20" bestFit="1" customWidth="1"/>
    <col min="4" max="5" width="6" style="6" bestFit="1" customWidth="1"/>
    <col min="6" max="6" width="10.7109375" style="6" bestFit="1" customWidth="1"/>
    <col min="7" max="7" width="9.42578125" style="6" bestFit="1" customWidth="1"/>
    <col min="8" max="9" width="9.42578125" style="6" customWidth="1"/>
    <col min="10" max="10" width="8.85546875" style="6"/>
    <col min="11" max="17" width="13.28515625" style="20" customWidth="1"/>
    <col min="18" max="18" width="18.140625" style="20" bestFit="1" customWidth="1"/>
    <col min="19" max="19" width="14.140625" style="6" bestFit="1" customWidth="1"/>
    <col min="20" max="16384" width="8.85546875" style="6"/>
  </cols>
  <sheetData>
    <row r="1" spans="1:19">
      <c r="A1" s="6" t="str">
        <f>'Monthly Data'!A1</f>
        <v>Date</v>
      </c>
      <c r="B1" s="6" t="s">
        <v>83</v>
      </c>
      <c r="C1" s="20" t="str">
        <f>'Monthly Data'!G1</f>
        <v>Gross_Res</v>
      </c>
      <c r="D1" s="6" t="str">
        <f>'Monthly Data'!AH1</f>
        <v>HDD</v>
      </c>
      <c r="E1" s="6" t="str">
        <f>'Monthly Data'!AI1</f>
        <v>CDD</v>
      </c>
      <c r="F1" s="6" t="str">
        <f>'Monthly Data'!AM1</f>
        <v>Month_Days</v>
      </c>
      <c r="G1" s="6" t="str">
        <f>'Monthly Data'!BD1</f>
        <v>Shoulder</v>
      </c>
      <c r="H1" s="6" t="str">
        <f>'Monthly Data'!AO1</f>
        <v>Trend</v>
      </c>
      <c r="I1" s="6" t="str">
        <f>'Monthly Data'!AK1</f>
        <v>Windsor_FTE</v>
      </c>
      <c r="K1" s="20" t="s">
        <v>67</v>
      </c>
      <c r="L1" s="20" t="str">
        <f t="shared" ref="L1:Q1" si="0">D1</f>
        <v>HDD</v>
      </c>
      <c r="M1" s="20" t="str">
        <f t="shared" si="0"/>
        <v>CDD</v>
      </c>
      <c r="N1" s="20" t="str">
        <f t="shared" si="0"/>
        <v>Month_Days</v>
      </c>
      <c r="O1" s="20" t="str">
        <f t="shared" si="0"/>
        <v>Shoulder</v>
      </c>
      <c r="P1" s="20" t="str">
        <f t="shared" si="0"/>
        <v>Trend</v>
      </c>
      <c r="Q1" s="20" t="str">
        <f t="shared" si="0"/>
        <v>Windsor_FTE</v>
      </c>
      <c r="R1" s="20" t="s">
        <v>84</v>
      </c>
      <c r="S1" s="16" t="s">
        <v>85</v>
      </c>
    </row>
    <row r="2" spans="1:19">
      <c r="A2" s="22">
        <f>'Monthly Data'!A2</f>
        <v>39814</v>
      </c>
      <c r="B2" s="6">
        <f>YEAR(A2)</f>
        <v>2009</v>
      </c>
      <c r="C2" s="20">
        <f ca="1">'Monthly Data'!G2</f>
        <v>22953528.183818262</v>
      </c>
      <c r="D2" s="6">
        <f>'Monthly Data'!AH2</f>
        <v>768.79999999999973</v>
      </c>
      <c r="E2" s="6">
        <f>'Monthly Data'!AI2</f>
        <v>0</v>
      </c>
      <c r="F2" s="6">
        <f>'Monthly Data'!AM2</f>
        <v>31</v>
      </c>
      <c r="G2" s="6">
        <f>'Monthly Data'!BD2</f>
        <v>0</v>
      </c>
      <c r="H2" s="6">
        <f>'Monthly Data'!AO2</f>
        <v>1</v>
      </c>
      <c r="I2" s="6">
        <f>'Monthly Data'!AK2</f>
        <v>151.5</v>
      </c>
      <c r="K2" s="20">
        <f>'Res OLS model'!$P$5</f>
        <v>-17553361.595151801</v>
      </c>
      <c r="L2" s="20">
        <f>'Res OLS model'!$P$6*D2</f>
        <v>4982691.8628523564</v>
      </c>
      <c r="M2" s="20">
        <f>'Res OLS model'!$P$7*E2</f>
        <v>0</v>
      </c>
      <c r="N2" s="20">
        <f>'Res OLS model'!$P$8*F2</f>
        <v>25612431.743871465</v>
      </c>
      <c r="O2" s="20">
        <f>'Res OLS model'!$P$9*G2</f>
        <v>0</v>
      </c>
      <c r="P2" s="20">
        <f>'Res OLS model'!$P$10*H2</f>
        <v>-20248.551825283699</v>
      </c>
      <c r="Q2" s="20">
        <f>'Res OLS model'!$P$11*I2</f>
        <v>10423474.147047598</v>
      </c>
      <c r="R2" s="20">
        <f>SUM(K2:Q2)</f>
        <v>23444987.606794335</v>
      </c>
      <c r="S2" s="23">
        <f t="shared" ref="S2:S33" ca="1" si="1">ABS(R2-C2)/C2</f>
        <v>2.1411062344765849E-2</v>
      </c>
    </row>
    <row r="3" spans="1:19">
      <c r="A3" s="22">
        <f>'Monthly Data'!A3</f>
        <v>39845</v>
      </c>
      <c r="B3" s="6">
        <f t="shared" ref="B3:B66" si="2">YEAR(A3)</f>
        <v>2009</v>
      </c>
      <c r="C3" s="20">
        <f ca="1">'Monthly Data'!G3</f>
        <v>19172932.773045871</v>
      </c>
      <c r="D3" s="6">
        <f>'Monthly Data'!AH3</f>
        <v>540</v>
      </c>
      <c r="E3" s="6">
        <f>'Monthly Data'!AI3</f>
        <v>0</v>
      </c>
      <c r="F3" s="6">
        <f>'Monthly Data'!AM3</f>
        <v>28</v>
      </c>
      <c r="G3" s="6">
        <f>'Monthly Data'!BD3</f>
        <v>0</v>
      </c>
      <c r="H3" s="6">
        <f>'Monthly Data'!AO3</f>
        <v>2</v>
      </c>
      <c r="I3" s="6">
        <f>'Monthly Data'!AK3</f>
        <v>147.5</v>
      </c>
      <c r="K3" s="20">
        <f>'Res OLS model'!$P$5</f>
        <v>-17553361.595151801</v>
      </c>
      <c r="L3" s="20">
        <f>'Res OLS model'!$P$6*D3</f>
        <v>3499809.5810877644</v>
      </c>
      <c r="M3" s="20">
        <f>'Res OLS model'!$P$7*E3</f>
        <v>0</v>
      </c>
      <c r="N3" s="20">
        <f>'Res OLS model'!$P$8*F3</f>
        <v>23133809.317045197</v>
      </c>
      <c r="O3" s="20">
        <f>'Res OLS model'!$P$9*G3</f>
        <v>0</v>
      </c>
      <c r="P3" s="20">
        <f>'Res OLS model'!$P$10*H3</f>
        <v>-40497.103650567398</v>
      </c>
      <c r="Q3" s="20">
        <f>'Res OLS model'!$P$11*I3</f>
        <v>10148266.908841722</v>
      </c>
      <c r="R3" s="20">
        <f t="shared" ref="R3:R66" si="3">SUM(K3:Q3)</f>
        <v>19188027.108172312</v>
      </c>
      <c r="S3" s="23">
        <f t="shared" ca="1" si="1"/>
        <v>7.8727314726003913E-4</v>
      </c>
    </row>
    <row r="4" spans="1:19">
      <c r="A4" s="22">
        <f>'Monthly Data'!A4</f>
        <v>39873</v>
      </c>
      <c r="B4" s="6">
        <f t="shared" si="2"/>
        <v>2009</v>
      </c>
      <c r="C4" s="20">
        <f ca="1">'Monthly Data'!G4</f>
        <v>19039064.366005011</v>
      </c>
      <c r="D4" s="6">
        <f>'Monthly Data'!AH4</f>
        <v>456.7999999999999</v>
      </c>
      <c r="E4" s="6">
        <f>'Monthly Data'!AI4</f>
        <v>0</v>
      </c>
      <c r="F4" s="6">
        <f>'Monthly Data'!AM4</f>
        <v>31</v>
      </c>
      <c r="G4" s="6">
        <f>'Monthly Data'!BD4</f>
        <v>1</v>
      </c>
      <c r="H4" s="6">
        <f>'Monthly Data'!AO4</f>
        <v>3</v>
      </c>
      <c r="I4" s="6">
        <f>'Monthly Data'!AK4</f>
        <v>142.9</v>
      </c>
      <c r="K4" s="20">
        <f>'Res OLS model'!$P$5</f>
        <v>-17553361.595151801</v>
      </c>
      <c r="L4" s="20">
        <f>'Res OLS model'!$P$6*D4</f>
        <v>2960579.6604460934</v>
      </c>
      <c r="M4" s="20">
        <f>'Res OLS model'!$P$7*E4</f>
        <v>0</v>
      </c>
      <c r="N4" s="20">
        <f>'Res OLS model'!$P$8*F4</f>
        <v>25612431.743871465</v>
      </c>
      <c r="O4" s="20">
        <f>'Res OLS model'!$P$9*G4</f>
        <v>-1882780.1693229801</v>
      </c>
      <c r="P4" s="20">
        <f>'Res OLS model'!$P$10*H4</f>
        <v>-60745.655475851097</v>
      </c>
      <c r="Q4" s="20">
        <f>'Res OLS model'!$P$11*I4</f>
        <v>9831778.5849049632</v>
      </c>
      <c r="R4" s="20">
        <f t="shared" si="3"/>
        <v>18907902.569271889</v>
      </c>
      <c r="S4" s="23">
        <f t="shared" ca="1" si="1"/>
        <v>6.8890883612598526E-3</v>
      </c>
    </row>
    <row r="5" spans="1:19">
      <c r="A5" s="22">
        <f>'Monthly Data'!A5</f>
        <v>39904</v>
      </c>
      <c r="B5" s="6">
        <f t="shared" si="2"/>
        <v>2009</v>
      </c>
      <c r="C5" s="20">
        <f ca="1">'Monthly Data'!G5</f>
        <v>17003193.089812111</v>
      </c>
      <c r="D5" s="6">
        <f>'Monthly Data'!AH5</f>
        <v>263.29999999999995</v>
      </c>
      <c r="E5" s="6">
        <f>'Monthly Data'!AI5</f>
        <v>10.399999999999999</v>
      </c>
      <c r="F5" s="6">
        <f>'Monthly Data'!AM5</f>
        <v>30</v>
      </c>
      <c r="G5" s="6">
        <f>'Monthly Data'!BD5</f>
        <v>1</v>
      </c>
      <c r="H5" s="6">
        <f>'Monthly Data'!AO5</f>
        <v>4</v>
      </c>
      <c r="I5" s="6">
        <f>'Monthly Data'!AK5</f>
        <v>144.80000000000001</v>
      </c>
      <c r="K5" s="20">
        <f>'Res OLS model'!$P$5</f>
        <v>-17553361.595151801</v>
      </c>
      <c r="L5" s="20">
        <f>'Res OLS model'!$P$6*D5</f>
        <v>1706481.2272229781</v>
      </c>
      <c r="M5" s="20">
        <f>'Res OLS model'!$P$7*E5</f>
        <v>709192.04117125203</v>
      </c>
      <c r="N5" s="20">
        <f>'Res OLS model'!$P$8*F5</f>
        <v>24786224.26826271</v>
      </c>
      <c r="O5" s="20">
        <f>'Res OLS model'!$P$9*G5</f>
        <v>-1882780.1693229801</v>
      </c>
      <c r="P5" s="20">
        <f>'Res OLS model'!$P$10*H5</f>
        <v>-80994.207301134797</v>
      </c>
      <c r="Q5" s="20">
        <f>'Res OLS model'!$P$11*I5</f>
        <v>9962502.0230527557</v>
      </c>
      <c r="R5" s="20">
        <f t="shared" si="3"/>
        <v>17647263.587933782</v>
      </c>
      <c r="S5" s="23">
        <f t="shared" ca="1" si="1"/>
        <v>3.7879385049598854E-2</v>
      </c>
    </row>
    <row r="6" spans="1:19">
      <c r="A6" s="22">
        <f>'Monthly Data'!A6</f>
        <v>39934</v>
      </c>
      <c r="B6" s="6">
        <f t="shared" si="2"/>
        <v>2009</v>
      </c>
      <c r="C6" s="20">
        <f ca="1">'Monthly Data'!G6</f>
        <v>17391297.954777639</v>
      </c>
      <c r="D6" s="6">
        <f>'Monthly Data'!AH6</f>
        <v>83.40000000000002</v>
      </c>
      <c r="E6" s="6">
        <f>'Monthly Data'!AI6</f>
        <v>12.899999999999999</v>
      </c>
      <c r="F6" s="6">
        <f>'Monthly Data'!AM6</f>
        <v>31</v>
      </c>
      <c r="G6" s="6">
        <f>'Monthly Data'!BD6</f>
        <v>1</v>
      </c>
      <c r="H6" s="6">
        <f>'Monthly Data'!AO6</f>
        <v>5</v>
      </c>
      <c r="I6" s="6">
        <f>'Monthly Data'!AK6</f>
        <v>145</v>
      </c>
      <c r="K6" s="20">
        <f>'Res OLS model'!$P$5</f>
        <v>-17553361.595151801</v>
      </c>
      <c r="L6" s="20">
        <f>'Res OLS model'!$P$6*D6</f>
        <v>540526.14641244372</v>
      </c>
      <c r="M6" s="20">
        <f>'Res OLS model'!$P$7*E6</f>
        <v>879670.89722203382</v>
      </c>
      <c r="N6" s="20">
        <f>'Res OLS model'!$P$8*F6</f>
        <v>25612431.743871465</v>
      </c>
      <c r="O6" s="20">
        <f>'Res OLS model'!$P$9*G6</f>
        <v>-1882780.1693229801</v>
      </c>
      <c r="P6" s="20">
        <f>'Res OLS model'!$P$10*H6</f>
        <v>-101242.7591264185</v>
      </c>
      <c r="Q6" s="20">
        <f>'Res OLS model'!$P$11*I6</f>
        <v>9976262.3849630486</v>
      </c>
      <c r="R6" s="20">
        <f t="shared" si="3"/>
        <v>17471506.648867793</v>
      </c>
      <c r="S6" s="23">
        <f t="shared" ca="1" si="1"/>
        <v>4.6120016055569641E-3</v>
      </c>
    </row>
    <row r="7" spans="1:19">
      <c r="A7" s="22">
        <f>'Monthly Data'!A7</f>
        <v>39965</v>
      </c>
      <c r="B7" s="6">
        <f t="shared" si="2"/>
        <v>2009</v>
      </c>
      <c r="C7" s="20">
        <f ca="1">'Monthly Data'!G7</f>
        <v>21273593.977212608</v>
      </c>
      <c r="D7" s="6">
        <f>'Monthly Data'!AH7</f>
        <v>25.299999999999997</v>
      </c>
      <c r="E7" s="6">
        <f>'Monthly Data'!AI7</f>
        <v>79.399999999999991</v>
      </c>
      <c r="F7" s="6">
        <f>'Monthly Data'!AM7</f>
        <v>30</v>
      </c>
      <c r="G7" s="6">
        <f>'Monthly Data'!BD7</f>
        <v>0</v>
      </c>
      <c r="H7" s="6">
        <f>'Monthly Data'!AO7</f>
        <v>6</v>
      </c>
      <c r="I7" s="6">
        <f>'Monthly Data'!AK7</f>
        <v>145.69999999999999</v>
      </c>
      <c r="K7" s="20">
        <f>'Res OLS model'!$P$5</f>
        <v>-17553361.595151801</v>
      </c>
      <c r="L7" s="20">
        <f>'Res OLS model'!$P$6*D7</f>
        <v>163972.56000281562</v>
      </c>
      <c r="M7" s="20">
        <f>'Res OLS model'!$P$7*E7</f>
        <v>5414408.4681728277</v>
      </c>
      <c r="N7" s="20">
        <f>'Res OLS model'!$P$8*F7</f>
        <v>24786224.26826271</v>
      </c>
      <c r="O7" s="20">
        <f>'Res OLS model'!$P$9*G7</f>
        <v>0</v>
      </c>
      <c r="P7" s="20">
        <f>'Res OLS model'!$P$10*H7</f>
        <v>-121491.31095170219</v>
      </c>
      <c r="Q7" s="20">
        <f>'Res OLS model'!$P$11*I7</f>
        <v>10024423.651649076</v>
      </c>
      <c r="R7" s="20">
        <f t="shared" si="3"/>
        <v>22714176.041983925</v>
      </c>
      <c r="S7" s="23">
        <f t="shared" ca="1" si="1"/>
        <v>6.7716910753980203E-2</v>
      </c>
    </row>
    <row r="8" spans="1:19">
      <c r="A8" s="22">
        <f>'Monthly Data'!A8</f>
        <v>39995</v>
      </c>
      <c r="B8" s="6">
        <f t="shared" si="2"/>
        <v>2009</v>
      </c>
      <c r="C8" s="20">
        <f ca="1">'Monthly Data'!G8</f>
        <v>25787416.81760994</v>
      </c>
      <c r="D8" s="6">
        <f>'Monthly Data'!AH8</f>
        <v>0.5</v>
      </c>
      <c r="E8" s="6">
        <f>'Monthly Data'!AI8</f>
        <v>100.19999999999999</v>
      </c>
      <c r="F8" s="6">
        <f>'Monthly Data'!AM8</f>
        <v>31</v>
      </c>
      <c r="G8" s="6">
        <f>'Monthly Data'!BD8</f>
        <v>0</v>
      </c>
      <c r="H8" s="6">
        <f>'Monthly Data'!AO8</f>
        <v>7</v>
      </c>
      <c r="I8" s="6">
        <f>'Monthly Data'!AK8</f>
        <v>144.30000000000001</v>
      </c>
      <c r="K8" s="20">
        <f>'Res OLS model'!$P$5</f>
        <v>-17553361.595151801</v>
      </c>
      <c r="L8" s="20">
        <f>'Res OLS model'!$P$6*D8</f>
        <v>3240.5644269331151</v>
      </c>
      <c r="M8" s="20">
        <f>'Res OLS model'!$P$7*E8</f>
        <v>6832792.5505153323</v>
      </c>
      <c r="N8" s="20">
        <f>'Res OLS model'!$P$8*F8</f>
        <v>25612431.743871465</v>
      </c>
      <c r="O8" s="20">
        <f>'Res OLS model'!$P$9*G8</f>
        <v>0</v>
      </c>
      <c r="P8" s="20">
        <f>'Res OLS model'!$P$10*H8</f>
        <v>-141739.86277698589</v>
      </c>
      <c r="Q8" s="20">
        <f>'Res OLS model'!$P$11*I8</f>
        <v>9928101.1182770208</v>
      </c>
      <c r="R8" s="20">
        <f t="shared" si="3"/>
        <v>24681464.519161962</v>
      </c>
      <c r="S8" s="23">
        <f t="shared" ca="1" si="1"/>
        <v>4.2887285154235968E-2</v>
      </c>
    </row>
    <row r="9" spans="1:19">
      <c r="A9" s="22">
        <f>'Monthly Data'!A9</f>
        <v>40026</v>
      </c>
      <c r="B9" s="6">
        <f t="shared" si="2"/>
        <v>2009</v>
      </c>
      <c r="C9" s="20">
        <f ca="1">'Monthly Data'!G9</f>
        <v>27496374.034570016</v>
      </c>
      <c r="D9" s="6">
        <f>'Monthly Data'!AH9</f>
        <v>5.9</v>
      </c>
      <c r="E9" s="6">
        <f>'Monthly Data'!AI9</f>
        <v>133.4</v>
      </c>
      <c r="F9" s="6">
        <f>'Monthly Data'!AM9</f>
        <v>31</v>
      </c>
      <c r="G9" s="6">
        <f>'Monthly Data'!BD9</f>
        <v>0</v>
      </c>
      <c r="H9" s="6">
        <f>'Monthly Data'!AO9</f>
        <v>8</v>
      </c>
      <c r="I9" s="6">
        <f>'Monthly Data'!AK9</f>
        <v>145.1</v>
      </c>
      <c r="K9" s="20">
        <f>'Res OLS model'!$P$5</f>
        <v>-17553361.595151801</v>
      </c>
      <c r="L9" s="20">
        <f>'Res OLS model'!$P$6*D9</f>
        <v>38238.660237810764</v>
      </c>
      <c r="M9" s="20">
        <f>'Res OLS model'!$P$7*E9</f>
        <v>9096751.758869715</v>
      </c>
      <c r="N9" s="20">
        <f>'Res OLS model'!$P$8*F9</f>
        <v>25612431.743871465</v>
      </c>
      <c r="O9" s="20">
        <f>'Res OLS model'!$P$9*G9</f>
        <v>0</v>
      </c>
      <c r="P9" s="20">
        <f>'Res OLS model'!$P$10*H9</f>
        <v>-161988.41460226959</v>
      </c>
      <c r="Q9" s="20">
        <f>'Res OLS model'!$P$11*I9</f>
        <v>9983142.5659181941</v>
      </c>
      <c r="R9" s="20">
        <f t="shared" si="3"/>
        <v>27015214.719143115</v>
      </c>
      <c r="S9" s="23">
        <f t="shared" ca="1" si="1"/>
        <v>1.749900968112959E-2</v>
      </c>
    </row>
    <row r="10" spans="1:19">
      <c r="A10" s="22">
        <f>'Monthly Data'!A10</f>
        <v>40057</v>
      </c>
      <c r="B10" s="6">
        <f t="shared" si="2"/>
        <v>2009</v>
      </c>
      <c r="C10" s="20">
        <f ca="1">'Monthly Data'!G10</f>
        <v>20755352.022298176</v>
      </c>
      <c r="D10" s="6">
        <f>'Monthly Data'!AH10</f>
        <v>26.2</v>
      </c>
      <c r="E10" s="6">
        <f>'Monthly Data'!AI10</f>
        <v>54.699999999999989</v>
      </c>
      <c r="F10" s="6">
        <f>'Monthly Data'!AM10</f>
        <v>30</v>
      </c>
      <c r="G10" s="6">
        <f>'Monthly Data'!BD10</f>
        <v>0</v>
      </c>
      <c r="H10" s="6">
        <f>'Monthly Data'!AO10</f>
        <v>9</v>
      </c>
      <c r="I10" s="6">
        <f>'Monthly Data'!AK10</f>
        <v>146.80000000000001</v>
      </c>
      <c r="K10" s="20">
        <f>'Res OLS model'!$P$5</f>
        <v>-17553361.595151801</v>
      </c>
      <c r="L10" s="20">
        <f>'Res OLS model'!$P$6*D10</f>
        <v>169805.57597129521</v>
      </c>
      <c r="M10" s="20">
        <f>'Res OLS model'!$P$7*E10</f>
        <v>3730077.3703911039</v>
      </c>
      <c r="N10" s="20">
        <f>'Res OLS model'!$P$8*F10</f>
        <v>24786224.26826271</v>
      </c>
      <c r="O10" s="20">
        <f>'Res OLS model'!$P$9*G10</f>
        <v>0</v>
      </c>
      <c r="P10" s="20">
        <f>'Res OLS model'!$P$10*H10</f>
        <v>-182236.9664275533</v>
      </c>
      <c r="Q10" s="20">
        <f>'Res OLS model'!$P$11*I10</f>
        <v>10100105.642155694</v>
      </c>
      <c r="R10" s="20">
        <f t="shared" si="3"/>
        <v>21050614.295201451</v>
      </c>
      <c r="S10" s="23">
        <f t="shared" ca="1" si="1"/>
        <v>1.4225837874783551E-2</v>
      </c>
    </row>
    <row r="11" spans="1:19">
      <c r="A11" s="22">
        <f>'Monthly Data'!A11</f>
        <v>40087</v>
      </c>
      <c r="B11" s="6">
        <f t="shared" si="2"/>
        <v>2009</v>
      </c>
      <c r="C11" s="20">
        <f ca="1">'Monthly Data'!G11</f>
        <v>18082092.987588529</v>
      </c>
      <c r="D11" s="6">
        <f>'Monthly Data'!AH11</f>
        <v>230.79999999999995</v>
      </c>
      <c r="E11" s="6">
        <f>'Monthly Data'!AI11</f>
        <v>0</v>
      </c>
      <c r="F11" s="6">
        <f>'Monthly Data'!AM11</f>
        <v>31</v>
      </c>
      <c r="G11" s="6">
        <f>'Monthly Data'!BD11</f>
        <v>1</v>
      </c>
      <c r="H11" s="6">
        <f>'Monthly Data'!AO11</f>
        <v>10</v>
      </c>
      <c r="I11" s="6">
        <f>'Monthly Data'!AK11</f>
        <v>149.19999999999999</v>
      </c>
      <c r="K11" s="20">
        <f>'Res OLS model'!$P$5</f>
        <v>-17553361.595151801</v>
      </c>
      <c r="L11" s="20">
        <f>'Res OLS model'!$P$6*D11</f>
        <v>1495844.5394723257</v>
      </c>
      <c r="M11" s="20">
        <f>'Res OLS model'!$P$7*E11</f>
        <v>0</v>
      </c>
      <c r="N11" s="20">
        <f>'Res OLS model'!$P$8*F11</f>
        <v>25612431.743871465</v>
      </c>
      <c r="O11" s="20">
        <f>'Res OLS model'!$P$9*G11</f>
        <v>-1882780.1693229801</v>
      </c>
      <c r="P11" s="20">
        <f>'Res OLS model'!$P$10*H11</f>
        <v>-202485.51825283701</v>
      </c>
      <c r="Q11" s="20">
        <f>'Res OLS model'!$P$11*I11</f>
        <v>10265229.985079218</v>
      </c>
      <c r="R11" s="20">
        <f t="shared" si="3"/>
        <v>17734878.985695392</v>
      </c>
      <c r="S11" s="23">
        <f t="shared" ca="1" si="1"/>
        <v>1.9202091380210402E-2</v>
      </c>
    </row>
    <row r="12" spans="1:19">
      <c r="A12" s="22">
        <f>'Monthly Data'!A12</f>
        <v>40118</v>
      </c>
      <c r="B12" s="6">
        <f t="shared" si="2"/>
        <v>2009</v>
      </c>
      <c r="C12" s="20">
        <f ca="1">'Monthly Data'!G12</f>
        <v>18074593.893965401</v>
      </c>
      <c r="D12" s="6">
        <f>'Monthly Data'!AH12</f>
        <v>305.49999999999989</v>
      </c>
      <c r="E12" s="6">
        <f>'Monthly Data'!AI12</f>
        <v>0</v>
      </c>
      <c r="F12" s="6">
        <f>'Monthly Data'!AM12</f>
        <v>30</v>
      </c>
      <c r="G12" s="6">
        <f>'Monthly Data'!BD12</f>
        <v>1</v>
      </c>
      <c r="H12" s="6">
        <f>'Monthly Data'!AO12</f>
        <v>11</v>
      </c>
      <c r="I12" s="6">
        <f>'Monthly Data'!AK12</f>
        <v>150.1</v>
      </c>
      <c r="K12" s="20">
        <f>'Res OLS model'!$P$5</f>
        <v>-17553361.595151801</v>
      </c>
      <c r="L12" s="20">
        <f>'Res OLS model'!$P$6*D12</f>
        <v>1979984.8648561325</v>
      </c>
      <c r="M12" s="20">
        <f>'Res OLS model'!$P$7*E12</f>
        <v>0</v>
      </c>
      <c r="N12" s="20">
        <f>'Res OLS model'!$P$8*F12</f>
        <v>24786224.26826271</v>
      </c>
      <c r="O12" s="20">
        <f>'Res OLS model'!$P$9*G12</f>
        <v>-1882780.1693229801</v>
      </c>
      <c r="P12" s="20">
        <f>'Res OLS model'!$P$10*H12</f>
        <v>-222734.07007812068</v>
      </c>
      <c r="Q12" s="20">
        <f>'Res OLS model'!$P$11*I12</f>
        <v>10327151.61367554</v>
      </c>
      <c r="R12" s="20">
        <f t="shared" si="3"/>
        <v>17434484.912241481</v>
      </c>
      <c r="S12" s="23">
        <f t="shared" ca="1" si="1"/>
        <v>3.5414847242439783E-2</v>
      </c>
    </row>
    <row r="13" spans="1:19">
      <c r="A13" s="22">
        <f>'Monthly Data'!A13</f>
        <v>40148</v>
      </c>
      <c r="B13" s="6">
        <f t="shared" si="2"/>
        <v>2009</v>
      </c>
      <c r="C13" s="20">
        <f ca="1">'Monthly Data'!G13</f>
        <v>22219304.425605915</v>
      </c>
      <c r="D13" s="6">
        <f>'Monthly Data'!AH13</f>
        <v>582</v>
      </c>
      <c r="E13" s="6">
        <f>'Monthly Data'!AI13</f>
        <v>0</v>
      </c>
      <c r="F13" s="6">
        <f>'Monthly Data'!AM13</f>
        <v>31</v>
      </c>
      <c r="G13" s="6">
        <f>'Monthly Data'!BD13</f>
        <v>0</v>
      </c>
      <c r="H13" s="6">
        <f>'Monthly Data'!AO13</f>
        <v>12</v>
      </c>
      <c r="I13" s="6">
        <f>'Monthly Data'!AK13</f>
        <v>150.19999999999999</v>
      </c>
      <c r="K13" s="20">
        <f>'Res OLS model'!$P$5</f>
        <v>-17553361.595151801</v>
      </c>
      <c r="L13" s="20">
        <f>'Res OLS model'!$P$6*D13</f>
        <v>3772016.9929501461</v>
      </c>
      <c r="M13" s="20">
        <f>'Res OLS model'!$P$7*E13</f>
        <v>0</v>
      </c>
      <c r="N13" s="20">
        <f>'Res OLS model'!$P$8*F13</f>
        <v>25612431.743871465</v>
      </c>
      <c r="O13" s="20">
        <f>'Res OLS model'!$P$9*G13</f>
        <v>0</v>
      </c>
      <c r="P13" s="20">
        <f>'Res OLS model'!$P$10*H13</f>
        <v>-242982.62190340439</v>
      </c>
      <c r="Q13" s="20">
        <f>'Res OLS model'!$P$11*I13</f>
        <v>10334031.794630688</v>
      </c>
      <c r="R13" s="20">
        <f t="shared" si="3"/>
        <v>21922136.314397093</v>
      </c>
      <c r="S13" s="23">
        <f t="shared" ca="1" si="1"/>
        <v>1.3374321064090595E-2</v>
      </c>
    </row>
    <row r="14" spans="1:19">
      <c r="A14" s="22">
        <f>'Monthly Data'!A14</f>
        <v>40179</v>
      </c>
      <c r="B14" s="6">
        <f t="shared" si="2"/>
        <v>2010</v>
      </c>
      <c r="C14" s="20">
        <f ca="1">'Monthly Data'!G14</f>
        <v>22358460.250977054</v>
      </c>
      <c r="D14" s="6">
        <f>'Monthly Data'!AH14</f>
        <v>663.29999999999984</v>
      </c>
      <c r="E14" s="6">
        <f>'Monthly Data'!AI14</f>
        <v>0</v>
      </c>
      <c r="F14" s="6">
        <f>'Monthly Data'!AM14</f>
        <v>31</v>
      </c>
      <c r="G14" s="6">
        <f>'Monthly Data'!BD14</f>
        <v>0</v>
      </c>
      <c r="H14" s="6">
        <f>'Monthly Data'!AO14</f>
        <v>13</v>
      </c>
      <c r="I14" s="6">
        <f>'Monthly Data'!AK14</f>
        <v>146.80000000000001</v>
      </c>
      <c r="K14" s="20">
        <f>'Res OLS model'!$P$5</f>
        <v>-17553361.595151801</v>
      </c>
      <c r="L14" s="20">
        <f>'Res OLS model'!$P$6*D14</f>
        <v>4298932.7687694691</v>
      </c>
      <c r="M14" s="20">
        <f>'Res OLS model'!$P$7*E14</f>
        <v>0</v>
      </c>
      <c r="N14" s="20">
        <f>'Res OLS model'!$P$8*F14</f>
        <v>25612431.743871465</v>
      </c>
      <c r="O14" s="20">
        <f>'Res OLS model'!$P$9*G14</f>
        <v>0</v>
      </c>
      <c r="P14" s="20">
        <f>'Res OLS model'!$P$10*H14</f>
        <v>-263231.1737286881</v>
      </c>
      <c r="Q14" s="20">
        <f>'Res OLS model'!$P$11*I14</f>
        <v>10100105.642155694</v>
      </c>
      <c r="R14" s="20">
        <f t="shared" si="3"/>
        <v>22194877.38591614</v>
      </c>
      <c r="S14" s="23">
        <f t="shared" ca="1" si="1"/>
        <v>7.3163743488895133E-3</v>
      </c>
    </row>
    <row r="15" spans="1:19">
      <c r="A15" s="22">
        <f>'Monthly Data'!A15</f>
        <v>40210</v>
      </c>
      <c r="B15" s="6">
        <f t="shared" si="2"/>
        <v>2010</v>
      </c>
      <c r="C15" s="20">
        <f ca="1">'Monthly Data'!G15</f>
        <v>18735998.915144272</v>
      </c>
      <c r="D15" s="6">
        <f>'Monthly Data'!AH15</f>
        <v>557.29999999999995</v>
      </c>
      <c r="E15" s="6">
        <f>'Monthly Data'!AI15</f>
        <v>0</v>
      </c>
      <c r="F15" s="6">
        <f>'Monthly Data'!AM15</f>
        <v>28</v>
      </c>
      <c r="G15" s="6">
        <f>'Monthly Data'!BD15</f>
        <v>0</v>
      </c>
      <c r="H15" s="6">
        <f>'Monthly Data'!AO15</f>
        <v>14</v>
      </c>
      <c r="I15" s="6">
        <f>'Monthly Data'!AK15</f>
        <v>145.5</v>
      </c>
      <c r="K15" s="20">
        <f>'Res OLS model'!$P$5</f>
        <v>-17553361.595151801</v>
      </c>
      <c r="L15" s="20">
        <f>'Res OLS model'!$P$6*D15</f>
        <v>3611933.1102596498</v>
      </c>
      <c r="M15" s="20">
        <f>'Res OLS model'!$P$7*E15</f>
        <v>0</v>
      </c>
      <c r="N15" s="20">
        <f>'Res OLS model'!$P$8*F15</f>
        <v>23133809.317045197</v>
      </c>
      <c r="O15" s="20">
        <f>'Res OLS model'!$P$9*G15</f>
        <v>0</v>
      </c>
      <c r="P15" s="20">
        <f>'Res OLS model'!$P$10*H15</f>
        <v>-283479.72555397177</v>
      </c>
      <c r="Q15" s="20">
        <f>'Res OLS model'!$P$11*I15</f>
        <v>10010663.289738784</v>
      </c>
      <c r="R15" s="20">
        <f t="shared" si="3"/>
        <v>18919564.396337859</v>
      </c>
      <c r="S15" s="23">
        <f t="shared" ca="1" si="1"/>
        <v>9.7974750118720155E-3</v>
      </c>
    </row>
    <row r="16" spans="1:19">
      <c r="A16" s="22">
        <f>'Monthly Data'!A16</f>
        <v>40238</v>
      </c>
      <c r="B16" s="6">
        <f t="shared" si="2"/>
        <v>2010</v>
      </c>
      <c r="C16" s="20">
        <f ca="1">'Monthly Data'!G16</f>
        <v>18338914.486644384</v>
      </c>
      <c r="D16" s="6">
        <f>'Monthly Data'!AH16</f>
        <v>393.39999999999986</v>
      </c>
      <c r="E16" s="6">
        <f>'Monthly Data'!AI16</f>
        <v>0</v>
      </c>
      <c r="F16" s="6">
        <f>'Monthly Data'!AM16</f>
        <v>31</v>
      </c>
      <c r="G16" s="6">
        <f>'Monthly Data'!BD16</f>
        <v>1</v>
      </c>
      <c r="H16" s="6">
        <f>'Monthly Data'!AO16</f>
        <v>15</v>
      </c>
      <c r="I16" s="6">
        <f>'Monthly Data'!AK16</f>
        <v>143.30000000000001</v>
      </c>
      <c r="K16" s="20">
        <f>'Res OLS model'!$P$5</f>
        <v>-17553361.595151801</v>
      </c>
      <c r="L16" s="20">
        <f>'Res OLS model'!$P$6*D16</f>
        <v>2549676.0911109741</v>
      </c>
      <c r="M16" s="20">
        <f>'Res OLS model'!$P$7*E16</f>
        <v>0</v>
      </c>
      <c r="N16" s="20">
        <f>'Res OLS model'!$P$8*F16</f>
        <v>25612431.743871465</v>
      </c>
      <c r="O16" s="20">
        <f>'Res OLS model'!$P$9*G16</f>
        <v>-1882780.1693229801</v>
      </c>
      <c r="P16" s="20">
        <f>'Res OLS model'!$P$10*H16</f>
        <v>-303728.27737925551</v>
      </c>
      <c r="Q16" s="20">
        <f>'Res OLS model'!$P$11*I16</f>
        <v>9859299.3087255508</v>
      </c>
      <c r="R16" s="20">
        <f t="shared" si="3"/>
        <v>18281537.101853952</v>
      </c>
      <c r="S16" s="23">
        <f t="shared" ca="1" si="1"/>
        <v>3.1287230676721751E-3</v>
      </c>
    </row>
    <row r="17" spans="1:19">
      <c r="A17" s="22">
        <f>'Monthly Data'!A17</f>
        <v>40269</v>
      </c>
      <c r="B17" s="6">
        <f t="shared" si="2"/>
        <v>2010</v>
      </c>
      <c r="C17" s="20">
        <f ca="1">'Monthly Data'!G17</f>
        <v>16457791.552007467</v>
      </c>
      <c r="D17" s="6">
        <f>'Monthly Data'!AH17</f>
        <v>174.9</v>
      </c>
      <c r="E17" s="6">
        <f>'Monthly Data'!AI17</f>
        <v>5</v>
      </c>
      <c r="F17" s="6">
        <f>'Monthly Data'!AM17</f>
        <v>30</v>
      </c>
      <c r="G17" s="6">
        <f>'Monthly Data'!BD17</f>
        <v>1</v>
      </c>
      <c r="H17" s="6">
        <f>'Monthly Data'!AO17</f>
        <v>16</v>
      </c>
      <c r="I17" s="6">
        <f>'Monthly Data'!AK17</f>
        <v>146.6</v>
      </c>
      <c r="K17" s="20">
        <f>'Res OLS model'!$P$5</f>
        <v>-17553361.595151801</v>
      </c>
      <c r="L17" s="20">
        <f>'Res OLS model'!$P$6*D17</f>
        <v>1133549.4365412036</v>
      </c>
      <c r="M17" s="20">
        <f>'Res OLS model'!$P$7*E17</f>
        <v>340957.71210156352</v>
      </c>
      <c r="N17" s="20">
        <f>'Res OLS model'!$P$8*F17</f>
        <v>24786224.26826271</v>
      </c>
      <c r="O17" s="20">
        <f>'Res OLS model'!$P$9*G17</f>
        <v>-1882780.1693229801</v>
      </c>
      <c r="P17" s="20">
        <f>'Res OLS model'!$P$10*H17</f>
        <v>-323976.82920453919</v>
      </c>
      <c r="Q17" s="20">
        <f>'Res OLS model'!$P$11*I17</f>
        <v>10086345.280245399</v>
      </c>
      <c r="R17" s="20">
        <f t="shared" si="3"/>
        <v>16586958.103471557</v>
      </c>
      <c r="S17" s="23">
        <f t="shared" ca="1" si="1"/>
        <v>7.8483526210620172E-3</v>
      </c>
    </row>
    <row r="18" spans="1:19">
      <c r="A18" s="22">
        <f>'Monthly Data'!A18</f>
        <v>40299</v>
      </c>
      <c r="B18" s="6">
        <f t="shared" si="2"/>
        <v>2010</v>
      </c>
      <c r="C18" s="20">
        <f ca="1">'Monthly Data'!G18</f>
        <v>19877888.578557905</v>
      </c>
      <c r="D18" s="6">
        <f>'Monthly Data'!AH18</f>
        <v>84.300000000000011</v>
      </c>
      <c r="E18" s="6">
        <f>'Monthly Data'!AI18</f>
        <v>59.699999999999989</v>
      </c>
      <c r="F18" s="6">
        <f>'Monthly Data'!AM18</f>
        <v>31</v>
      </c>
      <c r="G18" s="6">
        <f>'Monthly Data'!BD18</f>
        <v>1</v>
      </c>
      <c r="H18" s="6">
        <f>'Monthly Data'!AO18</f>
        <v>17</v>
      </c>
      <c r="I18" s="6">
        <f>'Monthly Data'!AK18</f>
        <v>147.80000000000001</v>
      </c>
      <c r="K18" s="20">
        <f>'Res OLS model'!$P$5</f>
        <v>-17553361.595151801</v>
      </c>
      <c r="L18" s="20">
        <f>'Res OLS model'!$P$6*D18</f>
        <v>546359.16238092328</v>
      </c>
      <c r="M18" s="20">
        <f>'Res OLS model'!$P$7*E18</f>
        <v>4071035.0824926677</v>
      </c>
      <c r="N18" s="20">
        <f>'Res OLS model'!$P$8*F18</f>
        <v>25612431.743871465</v>
      </c>
      <c r="O18" s="20">
        <f>'Res OLS model'!$P$9*G18</f>
        <v>-1882780.1693229801</v>
      </c>
      <c r="P18" s="20">
        <f>'Res OLS model'!$P$10*H18</f>
        <v>-344225.38102982286</v>
      </c>
      <c r="Q18" s="20">
        <f>'Res OLS model'!$P$11*I18</f>
        <v>10168907.451707164</v>
      </c>
      <c r="R18" s="20">
        <f t="shared" si="3"/>
        <v>20618366.294947617</v>
      </c>
      <c r="S18" s="23">
        <f t="shared" ca="1" si="1"/>
        <v>3.725132644059885E-2</v>
      </c>
    </row>
    <row r="19" spans="1:19">
      <c r="A19" s="22">
        <f>'Monthly Data'!A19</f>
        <v>40330</v>
      </c>
      <c r="B19" s="6">
        <f t="shared" si="2"/>
        <v>2010</v>
      </c>
      <c r="C19" s="20">
        <f ca="1">'Monthly Data'!G19</f>
        <v>27745184.765543249</v>
      </c>
      <c r="D19" s="6">
        <f>'Monthly Data'!AH19</f>
        <v>3.9000000000000004</v>
      </c>
      <c r="E19" s="6">
        <f>'Monthly Data'!AI19</f>
        <v>135.89999999999998</v>
      </c>
      <c r="F19" s="6">
        <f>'Monthly Data'!AM19</f>
        <v>30</v>
      </c>
      <c r="G19" s="6">
        <f>'Monthly Data'!BD19</f>
        <v>0</v>
      </c>
      <c r="H19" s="6">
        <f>'Monthly Data'!AO19</f>
        <v>18</v>
      </c>
      <c r="I19" s="6">
        <f>'Monthly Data'!AK19</f>
        <v>149.9</v>
      </c>
      <c r="K19" s="20">
        <f>'Res OLS model'!$P$5</f>
        <v>-17553361.595151801</v>
      </c>
      <c r="L19" s="20">
        <f>'Res OLS model'!$P$6*D19</f>
        <v>25276.4025300783</v>
      </c>
      <c r="M19" s="20">
        <f>'Res OLS model'!$P$7*E19</f>
        <v>9267230.6149204951</v>
      </c>
      <c r="N19" s="20">
        <f>'Res OLS model'!$P$8*F19</f>
        <v>24786224.26826271</v>
      </c>
      <c r="O19" s="20">
        <f>'Res OLS model'!$P$9*G19</f>
        <v>0</v>
      </c>
      <c r="P19" s="20">
        <f>'Res OLS model'!$P$10*H19</f>
        <v>-364473.9328551066</v>
      </c>
      <c r="Q19" s="20">
        <f>'Res OLS model'!$P$11*I19</f>
        <v>10313391.251765247</v>
      </c>
      <c r="R19" s="20">
        <f t="shared" si="3"/>
        <v>26474287.009471625</v>
      </c>
      <c r="S19" s="23">
        <f t="shared" ca="1" si="1"/>
        <v>4.580606569432371E-2</v>
      </c>
    </row>
    <row r="20" spans="1:19">
      <c r="A20" s="22">
        <f>'Monthly Data'!A20</f>
        <v>40360</v>
      </c>
      <c r="B20" s="6">
        <f t="shared" si="2"/>
        <v>2010</v>
      </c>
      <c r="C20" s="20">
        <f ca="1">'Monthly Data'!G20</f>
        <v>34151513.368632481</v>
      </c>
      <c r="D20" s="6">
        <f>'Monthly Data'!AH20</f>
        <v>0</v>
      </c>
      <c r="E20" s="6">
        <f>'Monthly Data'!AI20</f>
        <v>227.00000000000006</v>
      </c>
      <c r="F20" s="6">
        <f>'Monthly Data'!AM20</f>
        <v>31</v>
      </c>
      <c r="G20" s="6">
        <f>'Monthly Data'!BD20</f>
        <v>0</v>
      </c>
      <c r="H20" s="6">
        <f>'Monthly Data'!AO20</f>
        <v>19</v>
      </c>
      <c r="I20" s="6">
        <f>'Monthly Data'!AK20</f>
        <v>148.30000000000001</v>
      </c>
      <c r="K20" s="20">
        <f>'Res OLS model'!$P$5</f>
        <v>-17553361.595151801</v>
      </c>
      <c r="L20" s="20">
        <f>'Res OLS model'!$P$6*D20</f>
        <v>0</v>
      </c>
      <c r="M20" s="20">
        <f>'Res OLS model'!$P$7*E20</f>
        <v>15479480.129410988</v>
      </c>
      <c r="N20" s="20">
        <f>'Res OLS model'!$P$8*F20</f>
        <v>25612431.743871465</v>
      </c>
      <c r="O20" s="20">
        <f>'Res OLS model'!$P$9*G20</f>
        <v>0</v>
      </c>
      <c r="P20" s="20">
        <f>'Res OLS model'!$P$10*H20</f>
        <v>-384722.48468039028</v>
      </c>
      <c r="Q20" s="20">
        <f>'Res OLS model'!$P$11*I20</f>
        <v>10203308.356482897</v>
      </c>
      <c r="R20" s="20">
        <f t="shared" si="3"/>
        <v>33357136.149933156</v>
      </c>
      <c r="S20" s="23">
        <f t="shared" ca="1" si="1"/>
        <v>2.3260381176224691E-2</v>
      </c>
    </row>
    <row r="21" spans="1:19">
      <c r="A21" s="22">
        <f>'Monthly Data'!A21</f>
        <v>40391</v>
      </c>
      <c r="B21" s="6">
        <f t="shared" si="2"/>
        <v>2010</v>
      </c>
      <c r="C21" s="20">
        <f ca="1">'Monthly Data'!G21</f>
        <v>31520743.190588608</v>
      </c>
      <c r="D21" s="6">
        <f>'Monthly Data'!AH21</f>
        <v>0</v>
      </c>
      <c r="E21" s="6">
        <f>'Monthly Data'!AI21</f>
        <v>211.80000000000004</v>
      </c>
      <c r="F21" s="6">
        <f>'Monthly Data'!AM21</f>
        <v>31</v>
      </c>
      <c r="G21" s="6">
        <f>'Monthly Data'!BD21</f>
        <v>0</v>
      </c>
      <c r="H21" s="6">
        <f>'Monthly Data'!AO21</f>
        <v>20</v>
      </c>
      <c r="I21" s="6">
        <f>'Monthly Data'!AK21</f>
        <v>148.4</v>
      </c>
      <c r="K21" s="20">
        <f>'Res OLS model'!$P$5</f>
        <v>-17553361.595151801</v>
      </c>
      <c r="L21" s="20">
        <f>'Res OLS model'!$P$6*D21</f>
        <v>0</v>
      </c>
      <c r="M21" s="20">
        <f>'Res OLS model'!$P$7*E21</f>
        <v>14442968.684622234</v>
      </c>
      <c r="N21" s="20">
        <f>'Res OLS model'!$P$8*F21</f>
        <v>25612431.743871465</v>
      </c>
      <c r="O21" s="20">
        <f>'Res OLS model'!$P$9*G21</f>
        <v>0</v>
      </c>
      <c r="P21" s="20">
        <f>'Res OLS model'!$P$10*H21</f>
        <v>-404971.03650567401</v>
      </c>
      <c r="Q21" s="20">
        <f>'Res OLS model'!$P$11*I21</f>
        <v>10210188.537438044</v>
      </c>
      <c r="R21" s="20">
        <f t="shared" si="3"/>
        <v>32307256.33427427</v>
      </c>
      <c r="S21" s="23">
        <f t="shared" ca="1" si="1"/>
        <v>2.4952239829183234E-2</v>
      </c>
    </row>
    <row r="22" spans="1:19">
      <c r="A22" s="22">
        <f>'Monthly Data'!A22</f>
        <v>40422</v>
      </c>
      <c r="B22" s="6">
        <f t="shared" si="2"/>
        <v>2010</v>
      </c>
      <c r="C22" s="20">
        <f ca="1">'Monthly Data'!G22</f>
        <v>21071409.668348346</v>
      </c>
      <c r="D22" s="6">
        <f>'Monthly Data'!AH22</f>
        <v>38</v>
      </c>
      <c r="E22" s="6">
        <f>'Monthly Data'!AI22</f>
        <v>59.699999999999989</v>
      </c>
      <c r="F22" s="6">
        <f>'Monthly Data'!AM22</f>
        <v>30</v>
      </c>
      <c r="G22" s="6">
        <f>'Monthly Data'!BD22</f>
        <v>0</v>
      </c>
      <c r="H22" s="6">
        <f>'Monthly Data'!AO22</f>
        <v>21</v>
      </c>
      <c r="I22" s="6">
        <f>'Monthly Data'!AK22</f>
        <v>148.69999999999999</v>
      </c>
      <c r="K22" s="20">
        <f>'Res OLS model'!$P$5</f>
        <v>-17553361.595151801</v>
      </c>
      <c r="L22" s="20">
        <f>'Res OLS model'!$P$6*D22</f>
        <v>246282.89644691674</v>
      </c>
      <c r="M22" s="20">
        <f>'Res OLS model'!$P$7*E22</f>
        <v>4071035.0824926677</v>
      </c>
      <c r="N22" s="20">
        <f>'Res OLS model'!$P$8*F22</f>
        <v>24786224.26826271</v>
      </c>
      <c r="O22" s="20">
        <f>'Res OLS model'!$P$9*G22</f>
        <v>0</v>
      </c>
      <c r="P22" s="20">
        <f>'Res OLS model'!$P$10*H22</f>
        <v>-425219.58833095769</v>
      </c>
      <c r="Q22" s="20">
        <f>'Res OLS model'!$P$11*I22</f>
        <v>10230829.080303485</v>
      </c>
      <c r="R22" s="20">
        <f t="shared" si="3"/>
        <v>21355790.144023024</v>
      </c>
      <c r="S22" s="23">
        <f t="shared" ca="1" si="1"/>
        <v>1.3496034681621204E-2</v>
      </c>
    </row>
    <row r="23" spans="1:19">
      <c r="A23" s="22">
        <f>'Monthly Data'!A23</f>
        <v>40452</v>
      </c>
      <c r="B23" s="6">
        <f t="shared" si="2"/>
        <v>2010</v>
      </c>
      <c r="C23" s="20">
        <f ca="1">'Monthly Data'!G23</f>
        <v>17208459.015448716</v>
      </c>
      <c r="D23" s="6">
        <f>'Monthly Data'!AH23</f>
        <v>157.6</v>
      </c>
      <c r="E23" s="6">
        <f>'Monthly Data'!AI23</f>
        <v>1.4000000000000001</v>
      </c>
      <c r="F23" s="6">
        <f>'Monthly Data'!AM23</f>
        <v>31</v>
      </c>
      <c r="G23" s="6">
        <f>'Monthly Data'!BD23</f>
        <v>1</v>
      </c>
      <c r="H23" s="6">
        <f>'Monthly Data'!AO23</f>
        <v>22</v>
      </c>
      <c r="I23" s="6">
        <f>'Monthly Data'!AK23</f>
        <v>149.6</v>
      </c>
      <c r="K23" s="20">
        <f>'Res OLS model'!$P$5</f>
        <v>-17553361.595151801</v>
      </c>
      <c r="L23" s="20">
        <f>'Res OLS model'!$P$6*D23</f>
        <v>1021425.9073693178</v>
      </c>
      <c r="M23" s="20">
        <f>'Res OLS model'!$P$7*E23</f>
        <v>95468.159388437794</v>
      </c>
      <c r="N23" s="20">
        <f>'Res OLS model'!$P$8*F23</f>
        <v>25612431.743871465</v>
      </c>
      <c r="O23" s="20">
        <f>'Res OLS model'!$P$9*G23</f>
        <v>-1882780.1693229801</v>
      </c>
      <c r="P23" s="20">
        <f>'Res OLS model'!$P$10*H23</f>
        <v>-445468.14015624137</v>
      </c>
      <c r="Q23" s="20">
        <f>'Res OLS model'!$P$11*I23</f>
        <v>10292750.708899807</v>
      </c>
      <c r="R23" s="20">
        <f t="shared" si="3"/>
        <v>17140466.614898004</v>
      </c>
      <c r="S23" s="23">
        <f t="shared" ca="1" si="1"/>
        <v>3.9511033782671902E-3</v>
      </c>
    </row>
    <row r="24" spans="1:19">
      <c r="A24" s="22">
        <f>'Monthly Data'!A24</f>
        <v>40483</v>
      </c>
      <c r="B24" s="6">
        <f t="shared" si="2"/>
        <v>2010</v>
      </c>
      <c r="C24" s="20">
        <f ca="1">'Monthly Data'!G24</f>
        <v>17984730.026108824</v>
      </c>
      <c r="D24" s="6">
        <f>'Monthly Data'!AH24</f>
        <v>376.59999999999991</v>
      </c>
      <c r="E24" s="6">
        <f>'Monthly Data'!AI24</f>
        <v>0</v>
      </c>
      <c r="F24" s="6">
        <f>'Monthly Data'!AM24</f>
        <v>30</v>
      </c>
      <c r="G24" s="6">
        <f>'Monthly Data'!BD24</f>
        <v>1</v>
      </c>
      <c r="H24" s="6">
        <f>'Monthly Data'!AO24</f>
        <v>23</v>
      </c>
      <c r="I24" s="6">
        <f>'Monthly Data'!AK24</f>
        <v>148.9</v>
      </c>
      <c r="K24" s="20">
        <f>'Res OLS model'!$P$5</f>
        <v>-17553361.595151801</v>
      </c>
      <c r="L24" s="20">
        <f>'Res OLS model'!$P$6*D24</f>
        <v>2440793.1263660216</v>
      </c>
      <c r="M24" s="20">
        <f>'Res OLS model'!$P$7*E24</f>
        <v>0</v>
      </c>
      <c r="N24" s="20">
        <f>'Res OLS model'!$P$8*F24</f>
        <v>24786224.26826271</v>
      </c>
      <c r="O24" s="20">
        <f>'Res OLS model'!$P$9*G24</f>
        <v>-1882780.1693229801</v>
      </c>
      <c r="P24" s="20">
        <f>'Res OLS model'!$P$10*H24</f>
        <v>-465716.6919815251</v>
      </c>
      <c r="Q24" s="20">
        <f>'Res OLS model'!$P$11*I24</f>
        <v>10244589.442213779</v>
      </c>
      <c r="R24" s="20">
        <f t="shared" si="3"/>
        <v>17569748.380386204</v>
      </c>
      <c r="S24" s="23">
        <f t="shared" ca="1" si="1"/>
        <v>2.3074110376979932E-2</v>
      </c>
    </row>
    <row r="25" spans="1:19">
      <c r="A25" s="22">
        <f>'Monthly Data'!A25</f>
        <v>40513</v>
      </c>
      <c r="B25" s="6">
        <f t="shared" si="2"/>
        <v>2010</v>
      </c>
      <c r="C25" s="20">
        <f ca="1">'Monthly Data'!G25</f>
        <v>21766502.464284435</v>
      </c>
      <c r="D25" s="6">
        <f>'Monthly Data'!AH25</f>
        <v>645.59999999999991</v>
      </c>
      <c r="E25" s="6">
        <f>'Monthly Data'!AI25</f>
        <v>0</v>
      </c>
      <c r="F25" s="6">
        <f>'Monthly Data'!AM25</f>
        <v>31</v>
      </c>
      <c r="G25" s="6">
        <f>'Monthly Data'!BD25</f>
        <v>0</v>
      </c>
      <c r="H25" s="6">
        <f>'Monthly Data'!AO25</f>
        <v>24</v>
      </c>
      <c r="I25" s="6">
        <f>'Monthly Data'!AK25</f>
        <v>148.1</v>
      </c>
      <c r="K25" s="20">
        <f>'Res OLS model'!$P$5</f>
        <v>-17553361.595151801</v>
      </c>
      <c r="L25" s="20">
        <f>'Res OLS model'!$P$6*D25</f>
        <v>4184216.7880560379</v>
      </c>
      <c r="M25" s="20">
        <f>'Res OLS model'!$P$7*E25</f>
        <v>0</v>
      </c>
      <c r="N25" s="20">
        <f>'Res OLS model'!$P$8*F25</f>
        <v>25612431.743871465</v>
      </c>
      <c r="O25" s="20">
        <f>'Res OLS model'!$P$9*G25</f>
        <v>0</v>
      </c>
      <c r="P25" s="20">
        <f>'Res OLS model'!$P$10*H25</f>
        <v>-485965.24380680878</v>
      </c>
      <c r="Q25" s="20">
        <f>'Res OLS model'!$P$11*I25</f>
        <v>10189547.994572602</v>
      </c>
      <c r="R25" s="20">
        <f t="shared" si="3"/>
        <v>21946869.687541496</v>
      </c>
      <c r="S25" s="23">
        <f t="shared" ca="1" si="1"/>
        <v>8.2864586790191326E-3</v>
      </c>
    </row>
    <row r="26" spans="1:19">
      <c r="A26" s="22">
        <f>'Monthly Data'!A26</f>
        <v>40544</v>
      </c>
      <c r="B26" s="6">
        <f t="shared" si="2"/>
        <v>2011</v>
      </c>
      <c r="C26" s="20">
        <f ca="1">'Monthly Data'!G26</f>
        <v>22178314.15854536</v>
      </c>
      <c r="D26" s="6">
        <f>'Monthly Data'!AH26</f>
        <v>703.59999999999991</v>
      </c>
      <c r="E26" s="6">
        <f>'Monthly Data'!AI26</f>
        <v>0</v>
      </c>
      <c r="F26" s="6">
        <f>'Monthly Data'!AM26</f>
        <v>31</v>
      </c>
      <c r="G26" s="6">
        <f>'Monthly Data'!BD26</f>
        <v>0</v>
      </c>
      <c r="H26" s="6">
        <f>'Monthly Data'!AO26</f>
        <v>25</v>
      </c>
      <c r="I26" s="6">
        <f>'Monthly Data'!AK26</f>
        <v>148.69999999999999</v>
      </c>
      <c r="K26" s="20">
        <f>'Res OLS model'!$P$5</f>
        <v>-17553361.595151801</v>
      </c>
      <c r="L26" s="20">
        <f>'Res OLS model'!$P$6*D26</f>
        <v>4560122.2615802791</v>
      </c>
      <c r="M26" s="20">
        <f>'Res OLS model'!$P$7*E26</f>
        <v>0</v>
      </c>
      <c r="N26" s="20">
        <f>'Res OLS model'!$P$8*F26</f>
        <v>25612431.743871465</v>
      </c>
      <c r="O26" s="20">
        <f>'Res OLS model'!$P$9*G26</f>
        <v>0</v>
      </c>
      <c r="P26" s="20">
        <f>'Res OLS model'!$P$10*H26</f>
        <v>-506213.79563209246</v>
      </c>
      <c r="Q26" s="20">
        <f>'Res OLS model'!$P$11*I26</f>
        <v>10230829.080303485</v>
      </c>
      <c r="R26" s="20">
        <f t="shared" si="3"/>
        <v>22343807.694971338</v>
      </c>
      <c r="S26" s="23">
        <f t="shared" ca="1" si="1"/>
        <v>7.4619529348768322E-3</v>
      </c>
    </row>
    <row r="27" spans="1:19">
      <c r="A27" s="22">
        <f>'Monthly Data'!A27</f>
        <v>40575</v>
      </c>
      <c r="B27" s="6">
        <f t="shared" si="2"/>
        <v>2011</v>
      </c>
      <c r="C27" s="20">
        <f ca="1">'Monthly Data'!G27</f>
        <v>18955531.053135466</v>
      </c>
      <c r="D27" s="6">
        <f>'Monthly Data'!AH27</f>
        <v>583.20000000000005</v>
      </c>
      <c r="E27" s="6">
        <f>'Monthly Data'!AI27</f>
        <v>0</v>
      </c>
      <c r="F27" s="6">
        <f>'Monthly Data'!AM27</f>
        <v>28</v>
      </c>
      <c r="G27" s="6">
        <f>'Monthly Data'!BD27</f>
        <v>0</v>
      </c>
      <c r="H27" s="6">
        <f>'Monthly Data'!AO27</f>
        <v>26</v>
      </c>
      <c r="I27" s="6">
        <f>'Monthly Data'!AK27</f>
        <v>146.69999999999999</v>
      </c>
      <c r="K27" s="20">
        <f>'Res OLS model'!$P$5</f>
        <v>-17553361.595151801</v>
      </c>
      <c r="L27" s="20">
        <f>'Res OLS model'!$P$6*D27</f>
        <v>3779794.3475747858</v>
      </c>
      <c r="M27" s="20">
        <f>'Res OLS model'!$P$7*E27</f>
        <v>0</v>
      </c>
      <c r="N27" s="20">
        <f>'Res OLS model'!$P$8*F27</f>
        <v>23133809.317045197</v>
      </c>
      <c r="O27" s="20">
        <f>'Res OLS model'!$P$9*G27</f>
        <v>0</v>
      </c>
      <c r="P27" s="20">
        <f>'Res OLS model'!$P$10*H27</f>
        <v>-526462.34745737619</v>
      </c>
      <c r="Q27" s="20">
        <f>'Res OLS model'!$P$11*I27</f>
        <v>10093225.461200545</v>
      </c>
      <c r="R27" s="20">
        <f t="shared" si="3"/>
        <v>18927005.183211349</v>
      </c>
      <c r="S27" s="23">
        <f t="shared" ca="1" si="1"/>
        <v>1.5048837114694483E-3</v>
      </c>
    </row>
    <row r="28" spans="1:19">
      <c r="A28" s="22">
        <f>'Monthly Data'!A28</f>
        <v>40603</v>
      </c>
      <c r="B28" s="6">
        <f t="shared" si="2"/>
        <v>2011</v>
      </c>
      <c r="C28" s="20">
        <f ca="1">'Monthly Data'!G28</f>
        <v>19020096.60404275</v>
      </c>
      <c r="D28" s="6">
        <f>'Monthly Data'!AH28</f>
        <v>514.30000000000007</v>
      </c>
      <c r="E28" s="6">
        <f>'Monthly Data'!AI28</f>
        <v>0</v>
      </c>
      <c r="F28" s="6">
        <f>'Monthly Data'!AM28</f>
        <v>31</v>
      </c>
      <c r="G28" s="6">
        <f>'Monthly Data'!BD28</f>
        <v>1</v>
      </c>
      <c r="H28" s="6">
        <f>'Monthly Data'!AO28</f>
        <v>27</v>
      </c>
      <c r="I28" s="6">
        <f>'Monthly Data'!AK28</f>
        <v>145.4</v>
      </c>
      <c r="K28" s="20">
        <f>'Res OLS model'!$P$5</f>
        <v>-17553361.595151801</v>
      </c>
      <c r="L28" s="20">
        <f>'Res OLS model'!$P$6*D28</f>
        <v>3333244.5695434026</v>
      </c>
      <c r="M28" s="20">
        <f>'Res OLS model'!$P$7*E28</f>
        <v>0</v>
      </c>
      <c r="N28" s="20">
        <f>'Res OLS model'!$P$8*F28</f>
        <v>25612431.743871465</v>
      </c>
      <c r="O28" s="20">
        <f>'Res OLS model'!$P$9*G28</f>
        <v>-1882780.1693229801</v>
      </c>
      <c r="P28" s="20">
        <f>'Res OLS model'!$P$10*H28</f>
        <v>-546710.89928265987</v>
      </c>
      <c r="Q28" s="20">
        <f>'Res OLS model'!$P$11*I28</f>
        <v>10003783.108783636</v>
      </c>
      <c r="R28" s="20">
        <f t="shared" si="3"/>
        <v>18966606.758441061</v>
      </c>
      <c r="S28" s="23">
        <f t="shared" ca="1" si="1"/>
        <v>2.8122804376461328E-3</v>
      </c>
    </row>
    <row r="29" spans="1:19">
      <c r="A29" s="22">
        <f>'Monthly Data'!A29</f>
        <v>40634</v>
      </c>
      <c r="B29" s="6">
        <f t="shared" si="2"/>
        <v>2011</v>
      </c>
      <c r="C29" s="20">
        <f ca="1">'Monthly Data'!G29</f>
        <v>17125422.053072423</v>
      </c>
      <c r="D29" s="6">
        <f>'Monthly Data'!AH29</f>
        <v>278.59999999999985</v>
      </c>
      <c r="E29" s="6">
        <f>'Monthly Data'!AI29</f>
        <v>0.5</v>
      </c>
      <c r="F29" s="6">
        <f>'Monthly Data'!AM29</f>
        <v>30</v>
      </c>
      <c r="G29" s="6">
        <f>'Monthly Data'!BD29</f>
        <v>1</v>
      </c>
      <c r="H29" s="6">
        <f>'Monthly Data'!AO29</f>
        <v>28</v>
      </c>
      <c r="I29" s="6">
        <f>'Monthly Data'!AK29</f>
        <v>144</v>
      </c>
      <c r="K29" s="20">
        <f>'Res OLS model'!$P$5</f>
        <v>-17553361.595151801</v>
      </c>
      <c r="L29" s="20">
        <f>'Res OLS model'!$P$6*D29</f>
        <v>1805642.4986871309</v>
      </c>
      <c r="M29" s="20">
        <f>'Res OLS model'!$P$7*E29</f>
        <v>34095.771210156352</v>
      </c>
      <c r="N29" s="20">
        <f>'Res OLS model'!$P$8*F29</f>
        <v>24786224.26826271</v>
      </c>
      <c r="O29" s="20">
        <f>'Res OLS model'!$P$9*G29</f>
        <v>-1882780.1693229801</v>
      </c>
      <c r="P29" s="20">
        <f>'Res OLS model'!$P$10*H29</f>
        <v>-566959.45110794355</v>
      </c>
      <c r="Q29" s="20">
        <f>'Res OLS model'!$P$11*I29</f>
        <v>9907460.5754115786</v>
      </c>
      <c r="R29" s="20">
        <f t="shared" si="3"/>
        <v>16530321.897988852</v>
      </c>
      <c r="S29" s="23">
        <f t="shared" ca="1" si="1"/>
        <v>3.4749517602505185E-2</v>
      </c>
    </row>
    <row r="30" spans="1:19">
      <c r="A30" s="22">
        <f>'Monthly Data'!A30</f>
        <v>40664</v>
      </c>
      <c r="B30" s="6">
        <f t="shared" si="2"/>
        <v>2011</v>
      </c>
      <c r="C30" s="20">
        <f ca="1">'Monthly Data'!G30</f>
        <v>18591300.513173018</v>
      </c>
      <c r="D30" s="6">
        <f>'Monthly Data'!AH30</f>
        <v>105.20000000000003</v>
      </c>
      <c r="E30" s="6">
        <f>'Monthly Data'!AI30</f>
        <v>37.200000000000003</v>
      </c>
      <c r="F30" s="6">
        <f>'Monthly Data'!AM30</f>
        <v>31</v>
      </c>
      <c r="G30" s="6">
        <f>'Monthly Data'!BD30</f>
        <v>1</v>
      </c>
      <c r="H30" s="6">
        <f>'Monthly Data'!AO30</f>
        <v>29</v>
      </c>
      <c r="I30" s="6">
        <f>'Monthly Data'!AK30</f>
        <v>144.6</v>
      </c>
      <c r="K30" s="20">
        <f>'Res OLS model'!$P$5</f>
        <v>-17553361.595151801</v>
      </c>
      <c r="L30" s="20">
        <f>'Res OLS model'!$P$6*D30</f>
        <v>681814.75542672758</v>
      </c>
      <c r="M30" s="20">
        <f>'Res OLS model'!$P$7*E30</f>
        <v>2536725.3780356329</v>
      </c>
      <c r="N30" s="20">
        <f>'Res OLS model'!$P$8*F30</f>
        <v>25612431.743871465</v>
      </c>
      <c r="O30" s="20">
        <f>'Res OLS model'!$P$9*G30</f>
        <v>-1882780.1693229801</v>
      </c>
      <c r="P30" s="20">
        <f>'Res OLS model'!$P$10*H30</f>
        <v>-587208.00293322722</v>
      </c>
      <c r="Q30" s="20">
        <f>'Res OLS model'!$P$11*I30</f>
        <v>9948741.6611424591</v>
      </c>
      <c r="R30" s="20">
        <f t="shared" si="3"/>
        <v>18756363.771068275</v>
      </c>
      <c r="S30" s="23">
        <f t="shared" ca="1" si="1"/>
        <v>8.8785213158326607E-3</v>
      </c>
    </row>
    <row r="31" spans="1:19">
      <c r="A31" s="22">
        <f>'Monthly Data'!A31</f>
        <v>40695</v>
      </c>
      <c r="B31" s="6">
        <f t="shared" si="2"/>
        <v>2011</v>
      </c>
      <c r="C31" s="20">
        <f ca="1">'Monthly Data'!G31</f>
        <v>24888672.212482154</v>
      </c>
      <c r="D31" s="6">
        <f>'Monthly Data'!AH31</f>
        <v>7.6000000000000005</v>
      </c>
      <c r="E31" s="6">
        <f>'Monthly Data'!AI31</f>
        <v>115.89999999999998</v>
      </c>
      <c r="F31" s="6">
        <f>'Monthly Data'!AM31</f>
        <v>30</v>
      </c>
      <c r="G31" s="6">
        <f>'Monthly Data'!BD31</f>
        <v>0</v>
      </c>
      <c r="H31" s="6">
        <f>'Monthly Data'!AO31</f>
        <v>30</v>
      </c>
      <c r="I31" s="6">
        <f>'Monthly Data'!AK31</f>
        <v>146</v>
      </c>
      <c r="K31" s="20">
        <f>'Res OLS model'!$P$5</f>
        <v>-17553361.595151801</v>
      </c>
      <c r="L31" s="20">
        <f>'Res OLS model'!$P$6*D31</f>
        <v>49256.57928938335</v>
      </c>
      <c r="M31" s="20">
        <f>'Res OLS model'!$P$7*E31</f>
        <v>7903399.7665142408</v>
      </c>
      <c r="N31" s="20">
        <f>'Res OLS model'!$P$8*F31</f>
        <v>24786224.26826271</v>
      </c>
      <c r="O31" s="20">
        <f>'Res OLS model'!$P$9*G31</f>
        <v>0</v>
      </c>
      <c r="P31" s="20">
        <f>'Res OLS model'!$P$10*H31</f>
        <v>-607456.55475851102</v>
      </c>
      <c r="Q31" s="20">
        <f>'Res OLS model'!$P$11*I31</f>
        <v>10045064.194514517</v>
      </c>
      <c r="R31" s="20">
        <f t="shared" si="3"/>
        <v>24623126.658670541</v>
      </c>
      <c r="S31" s="23">
        <f t="shared" ca="1" si="1"/>
        <v>1.0669333885896781E-2</v>
      </c>
    </row>
    <row r="32" spans="1:19">
      <c r="A32" s="22">
        <f>'Monthly Data'!A32</f>
        <v>40725</v>
      </c>
      <c r="B32" s="6">
        <f t="shared" si="2"/>
        <v>2011</v>
      </c>
      <c r="C32" s="20">
        <f ca="1">'Monthly Data'!G32</f>
        <v>33358689.098552275</v>
      </c>
      <c r="D32" s="6">
        <f>'Monthly Data'!AH32</f>
        <v>0</v>
      </c>
      <c r="E32" s="6">
        <f>'Monthly Data'!AI32</f>
        <v>255.50000000000006</v>
      </c>
      <c r="F32" s="6">
        <f>'Monthly Data'!AM32</f>
        <v>31</v>
      </c>
      <c r="G32" s="6">
        <f>'Monthly Data'!BD32</f>
        <v>0</v>
      </c>
      <c r="H32" s="6">
        <f>'Monthly Data'!AO32</f>
        <v>31</v>
      </c>
      <c r="I32" s="6">
        <f>'Monthly Data'!AK32</f>
        <v>147.6</v>
      </c>
      <c r="K32" s="20">
        <f>'Res OLS model'!$P$5</f>
        <v>-17553361.595151801</v>
      </c>
      <c r="L32" s="20">
        <f>'Res OLS model'!$P$6*D32</f>
        <v>0</v>
      </c>
      <c r="M32" s="20">
        <f>'Res OLS model'!$P$7*E32</f>
        <v>17422939.0883899</v>
      </c>
      <c r="N32" s="20">
        <f>'Res OLS model'!$P$8*F32</f>
        <v>25612431.743871465</v>
      </c>
      <c r="O32" s="20">
        <f>'Res OLS model'!$P$9*G32</f>
        <v>0</v>
      </c>
      <c r="P32" s="20">
        <f>'Res OLS model'!$P$10*H32</f>
        <v>-627705.1065837947</v>
      </c>
      <c r="Q32" s="20">
        <f>'Res OLS model'!$P$11*I32</f>
        <v>10155147.089796867</v>
      </c>
      <c r="R32" s="20">
        <f t="shared" si="3"/>
        <v>35009451.220322639</v>
      </c>
      <c r="S32" s="23">
        <f t="shared" ca="1" si="1"/>
        <v>4.9485221583302694E-2</v>
      </c>
    </row>
    <row r="33" spans="1:19">
      <c r="A33" s="22">
        <f>'Monthly Data'!A33</f>
        <v>40756</v>
      </c>
      <c r="B33" s="6">
        <f t="shared" si="2"/>
        <v>2011</v>
      </c>
      <c r="C33" s="20">
        <f ca="1">'Monthly Data'!G33</f>
        <v>30414812.49304403</v>
      </c>
      <c r="D33" s="6">
        <f>'Monthly Data'!AH33</f>
        <v>0</v>
      </c>
      <c r="E33" s="6">
        <f>'Monthly Data'!AI33</f>
        <v>159.50000000000003</v>
      </c>
      <c r="F33" s="6">
        <f>'Monthly Data'!AM33</f>
        <v>31</v>
      </c>
      <c r="G33" s="6">
        <f>'Monthly Data'!BD33</f>
        <v>0</v>
      </c>
      <c r="H33" s="6">
        <f>'Monthly Data'!AO33</f>
        <v>32</v>
      </c>
      <c r="I33" s="6">
        <f>'Monthly Data'!AK33</f>
        <v>148.69999999999999</v>
      </c>
      <c r="K33" s="20">
        <f>'Res OLS model'!$P$5</f>
        <v>-17553361.595151801</v>
      </c>
      <c r="L33" s="20">
        <f>'Res OLS model'!$P$6*D33</f>
        <v>0</v>
      </c>
      <c r="M33" s="20">
        <f>'Res OLS model'!$P$7*E33</f>
        <v>10876551.016039878</v>
      </c>
      <c r="N33" s="20">
        <f>'Res OLS model'!$P$8*F33</f>
        <v>25612431.743871465</v>
      </c>
      <c r="O33" s="20">
        <f>'Res OLS model'!$P$9*G33</f>
        <v>0</v>
      </c>
      <c r="P33" s="20">
        <f>'Res OLS model'!$P$10*H33</f>
        <v>-647953.65840907837</v>
      </c>
      <c r="Q33" s="20">
        <f>'Res OLS model'!$P$11*I33</f>
        <v>10230829.080303485</v>
      </c>
      <c r="R33" s="20">
        <f t="shared" si="3"/>
        <v>28518496.586653948</v>
      </c>
      <c r="S33" s="23">
        <f t="shared" ca="1" si="1"/>
        <v>6.2348433245274025E-2</v>
      </c>
    </row>
    <row r="34" spans="1:19">
      <c r="A34" s="22">
        <f>'Monthly Data'!A34</f>
        <v>40787</v>
      </c>
      <c r="B34" s="6">
        <f t="shared" si="2"/>
        <v>2011</v>
      </c>
      <c r="C34" s="20">
        <f ca="1">'Monthly Data'!G34</f>
        <v>20929875.731459919</v>
      </c>
      <c r="D34" s="6">
        <f>'Monthly Data'!AH34</f>
        <v>51.4</v>
      </c>
      <c r="E34" s="6">
        <f>'Monthly Data'!AI34</f>
        <v>60.199999999999989</v>
      </c>
      <c r="F34" s="6">
        <f>'Monthly Data'!AM34</f>
        <v>30</v>
      </c>
      <c r="G34" s="6">
        <f>'Monthly Data'!BD34</f>
        <v>0</v>
      </c>
      <c r="H34" s="6">
        <f>'Monthly Data'!AO34</f>
        <v>33</v>
      </c>
      <c r="I34" s="6">
        <f>'Monthly Data'!AK34</f>
        <v>148.1</v>
      </c>
      <c r="K34" s="20">
        <f>'Res OLS model'!$P$5</f>
        <v>-17553361.595151801</v>
      </c>
      <c r="L34" s="20">
        <f>'Res OLS model'!$P$6*D34</f>
        <v>333130.02308872424</v>
      </c>
      <c r="M34" s="20">
        <f>'Res OLS model'!$P$7*E34</f>
        <v>4105130.8537028241</v>
      </c>
      <c r="N34" s="20">
        <f>'Res OLS model'!$P$8*F34</f>
        <v>24786224.26826271</v>
      </c>
      <c r="O34" s="20">
        <f>'Res OLS model'!$P$9*G34</f>
        <v>0</v>
      </c>
      <c r="P34" s="20">
        <f>'Res OLS model'!$P$10*H34</f>
        <v>-668202.21023436205</v>
      </c>
      <c r="Q34" s="20">
        <f>'Res OLS model'!$P$11*I34</f>
        <v>10189547.994572602</v>
      </c>
      <c r="R34" s="20">
        <f t="shared" si="3"/>
        <v>21192469.334240697</v>
      </c>
      <c r="S34" s="23">
        <f t="shared" ref="S34:S65" ca="1" si="4">ABS(R34-C34)/C34</f>
        <v>1.2546352694587226E-2</v>
      </c>
    </row>
    <row r="35" spans="1:19">
      <c r="A35" s="22">
        <f>'Monthly Data'!A35</f>
        <v>40817</v>
      </c>
      <c r="B35" s="6">
        <f t="shared" si="2"/>
        <v>2011</v>
      </c>
      <c r="C35" s="20">
        <f ca="1">'Monthly Data'!G35</f>
        <v>17117587.736433852</v>
      </c>
      <c r="D35" s="6">
        <f>'Monthly Data'!AH35</f>
        <v>185.29999999999998</v>
      </c>
      <c r="E35" s="6">
        <f>'Monthly Data'!AI35</f>
        <v>2.6999999999999997</v>
      </c>
      <c r="F35" s="6">
        <f>'Monthly Data'!AM35</f>
        <v>31</v>
      </c>
      <c r="G35" s="6">
        <f>'Monthly Data'!BD35</f>
        <v>1</v>
      </c>
      <c r="H35" s="6">
        <f>'Monthly Data'!AO35</f>
        <v>34</v>
      </c>
      <c r="I35" s="6">
        <f>'Monthly Data'!AK35</f>
        <v>149.1</v>
      </c>
      <c r="K35" s="20">
        <f>'Res OLS model'!$P$5</f>
        <v>-17553361.595151801</v>
      </c>
      <c r="L35" s="20">
        <f>'Res OLS model'!$P$6*D35</f>
        <v>1200953.1766214124</v>
      </c>
      <c r="M35" s="20">
        <f>'Res OLS model'!$P$7*E35</f>
        <v>184117.16453484428</v>
      </c>
      <c r="N35" s="20">
        <f>'Res OLS model'!$P$8*F35</f>
        <v>25612431.743871465</v>
      </c>
      <c r="O35" s="20">
        <f>'Res OLS model'!$P$9*G35</f>
        <v>-1882780.1693229801</v>
      </c>
      <c r="P35" s="20">
        <f>'Res OLS model'!$P$10*H35</f>
        <v>-688450.76205964573</v>
      </c>
      <c r="Q35" s="20">
        <f>'Res OLS model'!$P$11*I35</f>
        <v>10258349.804124072</v>
      </c>
      <c r="R35" s="20">
        <f t="shared" si="3"/>
        <v>17131259.362617366</v>
      </c>
      <c r="S35" s="23">
        <f t="shared" ca="1" si="4"/>
        <v>7.9868883361492815E-4</v>
      </c>
    </row>
    <row r="36" spans="1:19">
      <c r="A36" s="22">
        <f>'Monthly Data'!A36</f>
        <v>40848</v>
      </c>
      <c r="B36" s="6">
        <f t="shared" si="2"/>
        <v>2011</v>
      </c>
      <c r="C36" s="20">
        <f ca="1">'Monthly Data'!G36</f>
        <v>17522596.420983914</v>
      </c>
      <c r="D36" s="6">
        <f>'Monthly Data'!AH36</f>
        <v>297.2999999999999</v>
      </c>
      <c r="E36" s="6">
        <f>'Monthly Data'!AI36</f>
        <v>0</v>
      </c>
      <c r="F36" s="6">
        <f>'Monthly Data'!AM36</f>
        <v>30</v>
      </c>
      <c r="G36" s="6">
        <f>'Monthly Data'!BD36</f>
        <v>1</v>
      </c>
      <c r="H36" s="6">
        <f>'Monthly Data'!AO36</f>
        <v>35</v>
      </c>
      <c r="I36" s="6">
        <f>'Monthly Data'!AK36</f>
        <v>150.80000000000001</v>
      </c>
      <c r="K36" s="20">
        <f>'Res OLS model'!$P$5</f>
        <v>-17553361.595151801</v>
      </c>
      <c r="L36" s="20">
        <f>'Res OLS model'!$P$6*D36</f>
        <v>1926839.6082544297</v>
      </c>
      <c r="M36" s="20">
        <f>'Res OLS model'!$P$7*E36</f>
        <v>0</v>
      </c>
      <c r="N36" s="20">
        <f>'Res OLS model'!$P$8*F36</f>
        <v>24786224.26826271</v>
      </c>
      <c r="O36" s="20">
        <f>'Res OLS model'!$P$9*G36</f>
        <v>-1882780.1693229801</v>
      </c>
      <c r="P36" s="20">
        <f>'Res OLS model'!$P$10*H36</f>
        <v>-708699.31388492952</v>
      </c>
      <c r="Q36" s="20">
        <f>'Res OLS model'!$P$11*I36</f>
        <v>10375312.88036157</v>
      </c>
      <c r="R36" s="20">
        <f t="shared" si="3"/>
        <v>16943535.678518999</v>
      </c>
      <c r="S36" s="23">
        <f t="shared" ca="1" si="4"/>
        <v>3.3046514828788141E-2</v>
      </c>
    </row>
    <row r="37" spans="1:19">
      <c r="A37" s="22">
        <f>'Monthly Data'!A37</f>
        <v>40878</v>
      </c>
      <c r="B37" s="6">
        <f t="shared" si="2"/>
        <v>2011</v>
      </c>
      <c r="C37" s="20">
        <f ca="1">'Monthly Data'!G37</f>
        <v>20836913.507082358</v>
      </c>
      <c r="D37" s="6">
        <f>'Monthly Data'!AH37</f>
        <v>485.4</v>
      </c>
      <c r="E37" s="6">
        <f>'Monthly Data'!AI37</f>
        <v>0</v>
      </c>
      <c r="F37" s="6">
        <f>'Monthly Data'!AM37</f>
        <v>31</v>
      </c>
      <c r="G37" s="6">
        <f>'Monthly Data'!BD37</f>
        <v>0</v>
      </c>
      <c r="H37" s="6">
        <f>'Monthly Data'!AO37</f>
        <v>36</v>
      </c>
      <c r="I37" s="6">
        <f>'Monthly Data'!AK37</f>
        <v>152.1</v>
      </c>
      <c r="K37" s="20">
        <f>'Res OLS model'!$P$5</f>
        <v>-17553361.595151801</v>
      </c>
      <c r="L37" s="20">
        <f>'Res OLS model'!$P$6*D37</f>
        <v>3145939.945666668</v>
      </c>
      <c r="M37" s="20">
        <f>'Res OLS model'!$P$7*E37</f>
        <v>0</v>
      </c>
      <c r="N37" s="20">
        <f>'Res OLS model'!$P$8*F37</f>
        <v>25612431.743871465</v>
      </c>
      <c r="O37" s="20">
        <f>'Res OLS model'!$P$9*G37</f>
        <v>0</v>
      </c>
      <c r="P37" s="20">
        <f>'Res OLS model'!$P$10*H37</f>
        <v>-728947.8657102132</v>
      </c>
      <c r="Q37" s="20">
        <f>'Res OLS model'!$P$11*I37</f>
        <v>10464755.23277848</v>
      </c>
      <c r="R37" s="20">
        <f t="shared" si="3"/>
        <v>20940817.4614546</v>
      </c>
      <c r="S37" s="23">
        <f t="shared" ca="1" si="4"/>
        <v>4.9865328824696461E-3</v>
      </c>
    </row>
    <row r="38" spans="1:19">
      <c r="A38" s="22">
        <f>'Monthly Data'!A38</f>
        <v>40909</v>
      </c>
      <c r="B38" s="6">
        <f t="shared" si="2"/>
        <v>2012</v>
      </c>
      <c r="C38" s="20">
        <f ca="1">'Monthly Data'!G38</f>
        <v>20826549.184631586</v>
      </c>
      <c r="D38" s="6">
        <f>'Monthly Data'!AH38</f>
        <v>559.59999999999991</v>
      </c>
      <c r="E38" s="6">
        <f>'Monthly Data'!AI38</f>
        <v>0</v>
      </c>
      <c r="F38" s="6">
        <f>'Monthly Data'!AM38</f>
        <v>31</v>
      </c>
      <c r="G38" s="6">
        <f>'Monthly Data'!BD38</f>
        <v>0</v>
      </c>
      <c r="H38" s="6">
        <f>'Monthly Data'!AO38</f>
        <v>37</v>
      </c>
      <c r="I38" s="6">
        <f>'Monthly Data'!AK38</f>
        <v>149.5</v>
      </c>
      <c r="K38" s="20">
        <f>'Res OLS model'!$P$5</f>
        <v>-17553361.595151801</v>
      </c>
      <c r="L38" s="20">
        <f>'Res OLS model'!$P$6*D38</f>
        <v>3626839.7066235417</v>
      </c>
      <c r="M38" s="20">
        <f>'Res OLS model'!$P$7*E38</f>
        <v>0</v>
      </c>
      <c r="N38" s="20">
        <f>'Res OLS model'!$P$8*F38</f>
        <v>25612431.743871465</v>
      </c>
      <c r="O38" s="20">
        <f>'Res OLS model'!$P$9*G38</f>
        <v>0</v>
      </c>
      <c r="P38" s="20">
        <f>'Res OLS model'!$P$10*H38</f>
        <v>-749196.41753549688</v>
      </c>
      <c r="Q38" s="20">
        <f>'Res OLS model'!$P$11*I38</f>
        <v>10285870.52794466</v>
      </c>
      <c r="R38" s="20">
        <f t="shared" si="3"/>
        <v>21222583.965752371</v>
      </c>
      <c r="S38" s="23">
        <f t="shared" ca="1" si="4"/>
        <v>1.9015861802637386E-2</v>
      </c>
    </row>
    <row r="39" spans="1:19">
      <c r="A39" s="22">
        <f>'Monthly Data'!A39</f>
        <v>40940</v>
      </c>
      <c r="B39" s="6">
        <f t="shared" si="2"/>
        <v>2012</v>
      </c>
      <c r="C39" s="20">
        <f ca="1">'Monthly Data'!G39</f>
        <v>18396143.263278905</v>
      </c>
      <c r="D39" s="6">
        <f>'Monthly Data'!AH39</f>
        <v>492.40000000000003</v>
      </c>
      <c r="E39" s="6">
        <f>'Monthly Data'!AI39</f>
        <v>0</v>
      </c>
      <c r="F39" s="6">
        <f>'Monthly Data'!AM39</f>
        <v>29</v>
      </c>
      <c r="G39" s="6">
        <f>'Monthly Data'!BD39</f>
        <v>0</v>
      </c>
      <c r="H39" s="6">
        <f>'Monthly Data'!AO39</f>
        <v>38</v>
      </c>
      <c r="I39" s="6">
        <f>'Monthly Data'!AK39</f>
        <v>148.4</v>
      </c>
      <c r="K39" s="20">
        <f>'Res OLS model'!$P$5</f>
        <v>-17553361.595151801</v>
      </c>
      <c r="L39" s="20">
        <f>'Res OLS model'!$P$6*D39</f>
        <v>3191307.8476437321</v>
      </c>
      <c r="M39" s="20">
        <f>'Res OLS model'!$P$7*E39</f>
        <v>0</v>
      </c>
      <c r="N39" s="20">
        <f>'Res OLS model'!$P$8*F39</f>
        <v>23960016.792653952</v>
      </c>
      <c r="O39" s="20">
        <f>'Res OLS model'!$P$9*G39</f>
        <v>0</v>
      </c>
      <c r="P39" s="20">
        <f>'Res OLS model'!$P$10*H39</f>
        <v>-769444.96936078055</v>
      </c>
      <c r="Q39" s="20">
        <f>'Res OLS model'!$P$11*I39</f>
        <v>10210188.537438044</v>
      </c>
      <c r="R39" s="20">
        <f t="shared" si="3"/>
        <v>19038706.61322315</v>
      </c>
      <c r="S39" s="23">
        <f t="shared" ca="1" si="4"/>
        <v>3.4929242545467948E-2</v>
      </c>
    </row>
    <row r="40" spans="1:19">
      <c r="A40" s="22">
        <f>'Monthly Data'!A40</f>
        <v>40969</v>
      </c>
      <c r="B40" s="6">
        <f t="shared" si="2"/>
        <v>2012</v>
      </c>
      <c r="C40" s="20">
        <f ca="1">'Monthly Data'!G40</f>
        <v>17464653.067603219</v>
      </c>
      <c r="D40" s="6">
        <f>'Monthly Data'!AH40</f>
        <v>250.79999999999995</v>
      </c>
      <c r="E40" s="6">
        <f>'Monthly Data'!AI40</f>
        <v>4.8</v>
      </c>
      <c r="F40" s="6">
        <f>'Monthly Data'!AM40</f>
        <v>31</v>
      </c>
      <c r="G40" s="6">
        <f>'Monthly Data'!BD40</f>
        <v>1</v>
      </c>
      <c r="H40" s="6">
        <f>'Monthly Data'!AO40</f>
        <v>39</v>
      </c>
      <c r="I40" s="6">
        <f>'Monthly Data'!AK40</f>
        <v>148.5</v>
      </c>
      <c r="K40" s="20">
        <f>'Res OLS model'!$P$5</f>
        <v>-17553361.595151801</v>
      </c>
      <c r="L40" s="20">
        <f>'Res OLS model'!$P$6*D40</f>
        <v>1625467.1165496502</v>
      </c>
      <c r="M40" s="20">
        <f>'Res OLS model'!$P$7*E40</f>
        <v>327319.40361750097</v>
      </c>
      <c r="N40" s="20">
        <f>'Res OLS model'!$P$8*F40</f>
        <v>25612431.743871465</v>
      </c>
      <c r="O40" s="20">
        <f>'Res OLS model'!$P$9*G40</f>
        <v>-1882780.1693229801</v>
      </c>
      <c r="P40" s="20">
        <f>'Res OLS model'!$P$10*H40</f>
        <v>-789693.52118606423</v>
      </c>
      <c r="Q40" s="20">
        <f>'Res OLS model'!$P$11*I40</f>
        <v>10217068.71839319</v>
      </c>
      <c r="R40" s="20">
        <f t="shared" si="3"/>
        <v>17556451.696770962</v>
      </c>
      <c r="S40" s="23">
        <f t="shared" ca="1" si="4"/>
        <v>5.2562526614415659E-3</v>
      </c>
    </row>
    <row r="41" spans="1:19">
      <c r="A41" s="22">
        <f>'Monthly Data'!A41</f>
        <v>41000</v>
      </c>
      <c r="B41" s="6">
        <f t="shared" si="2"/>
        <v>2012</v>
      </c>
      <c r="C41" s="20">
        <f ca="1">'Monthly Data'!G41</f>
        <v>16103149.412524818</v>
      </c>
      <c r="D41" s="6">
        <f>'Monthly Data'!AH41</f>
        <v>252.49999999999991</v>
      </c>
      <c r="E41" s="6">
        <f>'Monthly Data'!AI41</f>
        <v>4.3</v>
      </c>
      <c r="F41" s="6">
        <f>'Monthly Data'!AM41</f>
        <v>30</v>
      </c>
      <c r="G41" s="6">
        <f>'Monthly Data'!BD41</f>
        <v>1</v>
      </c>
      <c r="H41" s="6">
        <f>'Monthly Data'!AO41</f>
        <v>40</v>
      </c>
      <c r="I41" s="6">
        <f>'Monthly Data'!AK41</f>
        <v>150.6</v>
      </c>
      <c r="K41" s="20">
        <f>'Res OLS model'!$P$5</f>
        <v>-17553361.595151801</v>
      </c>
      <c r="L41" s="20">
        <f>'Res OLS model'!$P$6*D41</f>
        <v>1636485.0356012227</v>
      </c>
      <c r="M41" s="20">
        <f>'Res OLS model'!$P$7*E41</f>
        <v>293223.63240734459</v>
      </c>
      <c r="N41" s="20">
        <f>'Res OLS model'!$P$8*F41</f>
        <v>24786224.26826271</v>
      </c>
      <c r="O41" s="20">
        <f>'Res OLS model'!$P$9*G41</f>
        <v>-1882780.1693229801</v>
      </c>
      <c r="P41" s="20">
        <f>'Res OLS model'!$P$10*H41</f>
        <v>-809942.07301134802</v>
      </c>
      <c r="Q41" s="20">
        <f>'Res OLS model'!$P$11*I41</f>
        <v>10361552.518451275</v>
      </c>
      <c r="R41" s="20">
        <f t="shared" si="3"/>
        <v>16831401.617236424</v>
      </c>
      <c r="S41" s="23">
        <f t="shared" ca="1" si="4"/>
        <v>4.5224209628532776E-2</v>
      </c>
    </row>
    <row r="42" spans="1:19">
      <c r="A42" s="22">
        <f>'Monthly Data'!A42</f>
        <v>41030</v>
      </c>
      <c r="B42" s="6">
        <f t="shared" si="2"/>
        <v>2012</v>
      </c>
      <c r="C42" s="20">
        <f ca="1">'Monthly Data'!G42</f>
        <v>19432613.145942483</v>
      </c>
      <c r="D42" s="6">
        <f>'Monthly Data'!AH42</f>
        <v>48.2</v>
      </c>
      <c r="E42" s="6">
        <f>'Monthly Data'!AI42</f>
        <v>59.3</v>
      </c>
      <c r="F42" s="6">
        <f>'Monthly Data'!AM42</f>
        <v>31</v>
      </c>
      <c r="G42" s="6">
        <f>'Monthly Data'!BD42</f>
        <v>1</v>
      </c>
      <c r="H42" s="6">
        <f>'Monthly Data'!AO42</f>
        <v>41</v>
      </c>
      <c r="I42" s="6">
        <f>'Monthly Data'!AK42</f>
        <v>151.1</v>
      </c>
      <c r="K42" s="20">
        <f>'Res OLS model'!$P$5</f>
        <v>-17553361.595151801</v>
      </c>
      <c r="L42" s="20">
        <f>'Res OLS model'!$P$6*D42</f>
        <v>312390.4107563523</v>
      </c>
      <c r="M42" s="20">
        <f>'Res OLS model'!$P$7*E42</f>
        <v>4043758.4655245431</v>
      </c>
      <c r="N42" s="20">
        <f>'Res OLS model'!$P$8*F42</f>
        <v>25612431.743871465</v>
      </c>
      <c r="O42" s="20">
        <f>'Res OLS model'!$P$9*G42</f>
        <v>-1882780.1693229801</v>
      </c>
      <c r="P42" s="20">
        <f>'Res OLS model'!$P$10*H42</f>
        <v>-830190.6248366317</v>
      </c>
      <c r="Q42" s="20">
        <f>'Res OLS model'!$P$11*I42</f>
        <v>10395953.42322701</v>
      </c>
      <c r="R42" s="20">
        <f t="shared" si="3"/>
        <v>20098201.65406796</v>
      </c>
      <c r="S42" s="23">
        <f t="shared" ca="1" si="4"/>
        <v>3.4251106792832491E-2</v>
      </c>
    </row>
    <row r="43" spans="1:19">
      <c r="A43" s="22">
        <f>'Monthly Data'!A43</f>
        <v>41061</v>
      </c>
      <c r="B43" s="6">
        <f t="shared" si="2"/>
        <v>2012</v>
      </c>
      <c r="C43" s="20">
        <f ca="1">'Monthly Data'!G43</f>
        <v>27178390.62937149</v>
      </c>
      <c r="D43" s="6">
        <f>'Monthly Data'!AH43</f>
        <v>10.3</v>
      </c>
      <c r="E43" s="6">
        <f>'Monthly Data'!AI43</f>
        <v>147.09999999999997</v>
      </c>
      <c r="F43" s="6">
        <f>'Monthly Data'!AM43</f>
        <v>30</v>
      </c>
      <c r="G43" s="6">
        <f>'Monthly Data'!BD43</f>
        <v>0</v>
      </c>
      <c r="H43" s="6">
        <f>'Monthly Data'!AO43</f>
        <v>42</v>
      </c>
      <c r="I43" s="6">
        <f>'Monthly Data'!AK43</f>
        <v>152.19999999999999</v>
      </c>
      <c r="K43" s="20">
        <f>'Res OLS model'!$P$5</f>
        <v>-17553361.595151801</v>
      </c>
      <c r="L43" s="20">
        <f>'Res OLS model'!$P$6*D43</f>
        <v>66755.627194822169</v>
      </c>
      <c r="M43" s="20">
        <f>'Res OLS model'!$P$7*E43</f>
        <v>10030975.890027996</v>
      </c>
      <c r="N43" s="20">
        <f>'Res OLS model'!$P$8*F43</f>
        <v>24786224.26826271</v>
      </c>
      <c r="O43" s="20">
        <f>'Res OLS model'!$P$9*G43</f>
        <v>0</v>
      </c>
      <c r="P43" s="20">
        <f>'Res OLS model'!$P$10*H43</f>
        <v>-850439.17666191538</v>
      </c>
      <c r="Q43" s="20">
        <f>'Res OLS model'!$P$11*I43</f>
        <v>10471635.413733626</v>
      </c>
      <c r="R43" s="20">
        <f t="shared" si="3"/>
        <v>26951790.427405439</v>
      </c>
      <c r="S43" s="23">
        <f t="shared" ca="1" si="4"/>
        <v>8.3375136172031405E-3</v>
      </c>
    </row>
    <row r="44" spans="1:19">
      <c r="A44" s="22">
        <f>'Monthly Data'!A44</f>
        <v>41091</v>
      </c>
      <c r="B44" s="6">
        <f t="shared" si="2"/>
        <v>2012</v>
      </c>
      <c r="C44" s="20">
        <f ca="1">'Monthly Data'!G44</f>
        <v>34122931.733509071</v>
      </c>
      <c r="D44" s="6">
        <f>'Monthly Data'!AH44</f>
        <v>0</v>
      </c>
      <c r="E44" s="6">
        <f>'Monthly Data'!AI44</f>
        <v>235.50000000000009</v>
      </c>
      <c r="F44" s="6">
        <f>'Monthly Data'!AM44</f>
        <v>31</v>
      </c>
      <c r="G44" s="6">
        <f>'Monthly Data'!BD44</f>
        <v>0</v>
      </c>
      <c r="H44" s="6">
        <f>'Monthly Data'!AO44</f>
        <v>43</v>
      </c>
      <c r="I44" s="6">
        <f>'Monthly Data'!AK44</f>
        <v>153.4</v>
      </c>
      <c r="K44" s="20">
        <f>'Res OLS model'!$P$5</f>
        <v>-17553361.595151801</v>
      </c>
      <c r="L44" s="20">
        <f>'Res OLS model'!$P$6*D44</f>
        <v>0</v>
      </c>
      <c r="M44" s="20">
        <f>'Res OLS model'!$P$7*E44</f>
        <v>16059108.239983648</v>
      </c>
      <c r="N44" s="20">
        <f>'Res OLS model'!$P$8*F44</f>
        <v>25612431.743871465</v>
      </c>
      <c r="O44" s="20">
        <f>'Res OLS model'!$P$9*G44</f>
        <v>0</v>
      </c>
      <c r="P44" s="20">
        <f>'Res OLS model'!$P$10*H44</f>
        <v>-870687.72848719906</v>
      </c>
      <c r="Q44" s="20">
        <f>'Res OLS model'!$P$11*I44</f>
        <v>10554197.585195391</v>
      </c>
      <c r="R44" s="20">
        <f t="shared" si="3"/>
        <v>33801688.245411508</v>
      </c>
      <c r="S44" s="23">
        <f t="shared" ca="1" si="4"/>
        <v>9.4142991758852587E-3</v>
      </c>
    </row>
    <row r="45" spans="1:19">
      <c r="A45" s="22">
        <f>'Monthly Data'!A45</f>
        <v>41122</v>
      </c>
      <c r="B45" s="6">
        <f t="shared" si="2"/>
        <v>2012</v>
      </c>
      <c r="C45" s="20">
        <f ca="1">'Monthly Data'!G45</f>
        <v>28774043.990622215</v>
      </c>
      <c r="D45" s="6">
        <f>'Monthly Data'!AH45</f>
        <v>0.7</v>
      </c>
      <c r="E45" s="6">
        <f>'Monthly Data'!AI45</f>
        <v>143.69999999999999</v>
      </c>
      <c r="F45" s="6">
        <f>'Monthly Data'!AM45</f>
        <v>31</v>
      </c>
      <c r="G45" s="6">
        <f>'Monthly Data'!BD45</f>
        <v>0</v>
      </c>
      <c r="H45" s="6">
        <f>'Monthly Data'!AO45</f>
        <v>44</v>
      </c>
      <c r="I45" s="6">
        <f>'Monthly Data'!AK45</f>
        <v>155</v>
      </c>
      <c r="K45" s="20">
        <f>'Res OLS model'!$P$5</f>
        <v>-17553361.595151801</v>
      </c>
      <c r="L45" s="20">
        <f>'Res OLS model'!$P$6*D45</f>
        <v>4536.7901977063611</v>
      </c>
      <c r="M45" s="20">
        <f>'Res OLS model'!$P$7*E45</f>
        <v>9799124.6457989346</v>
      </c>
      <c r="N45" s="20">
        <f>'Res OLS model'!$P$8*F45</f>
        <v>25612431.743871465</v>
      </c>
      <c r="O45" s="20">
        <f>'Res OLS model'!$P$9*G45</f>
        <v>0</v>
      </c>
      <c r="P45" s="20">
        <f>'Res OLS model'!$P$10*H45</f>
        <v>-890936.28031248273</v>
      </c>
      <c r="Q45" s="20">
        <f>'Res OLS model'!$P$11*I45</f>
        <v>10664280.480477741</v>
      </c>
      <c r="R45" s="20">
        <f t="shared" si="3"/>
        <v>27636075.784881562</v>
      </c>
      <c r="S45" s="23">
        <f t="shared" ca="1" si="4"/>
        <v>3.9548427955122666E-2</v>
      </c>
    </row>
    <row r="46" spans="1:19">
      <c r="A46" s="22">
        <f>'Monthly Data'!A46</f>
        <v>41153</v>
      </c>
      <c r="B46" s="6">
        <f t="shared" si="2"/>
        <v>2012</v>
      </c>
      <c r="C46" s="20">
        <f ca="1">'Monthly Data'!G46</f>
        <v>21128025.774475966</v>
      </c>
      <c r="D46" s="6">
        <f>'Monthly Data'!AH46</f>
        <v>53.2</v>
      </c>
      <c r="E46" s="6">
        <f>'Monthly Data'!AI46</f>
        <v>50.29999999999999</v>
      </c>
      <c r="F46" s="6">
        <f>'Monthly Data'!AM46</f>
        <v>30</v>
      </c>
      <c r="G46" s="6">
        <f>'Monthly Data'!BD46</f>
        <v>0</v>
      </c>
      <c r="H46" s="6">
        <f>'Monthly Data'!AO46</f>
        <v>45</v>
      </c>
      <c r="I46" s="6">
        <f>'Monthly Data'!AK46</f>
        <v>156.9</v>
      </c>
      <c r="K46" s="20">
        <f>'Res OLS model'!$P$5</f>
        <v>-17553361.595151801</v>
      </c>
      <c r="L46" s="20">
        <f>'Res OLS model'!$P$6*D46</f>
        <v>344796.05502568348</v>
      </c>
      <c r="M46" s="20">
        <f>'Res OLS model'!$P$7*E46</f>
        <v>3430034.5837417282</v>
      </c>
      <c r="N46" s="20">
        <f>'Res OLS model'!$P$8*F46</f>
        <v>24786224.26826271</v>
      </c>
      <c r="O46" s="20">
        <f>'Res OLS model'!$P$9*G46</f>
        <v>0</v>
      </c>
      <c r="P46" s="20">
        <f>'Res OLS model'!$P$10*H46</f>
        <v>-911184.83213776641</v>
      </c>
      <c r="Q46" s="20">
        <f>'Res OLS model'!$P$11*I46</f>
        <v>10795003.918625534</v>
      </c>
      <c r="R46" s="20">
        <f t="shared" si="3"/>
        <v>20891512.398366086</v>
      </c>
      <c r="S46" s="23">
        <f t="shared" ca="1" si="4"/>
        <v>1.1194296080214133E-2</v>
      </c>
    </row>
    <row r="47" spans="1:19">
      <c r="A47" s="22">
        <f>'Monthly Data'!A47</f>
        <v>41183</v>
      </c>
      <c r="B47" s="6">
        <f t="shared" si="2"/>
        <v>2012</v>
      </c>
      <c r="C47" s="20">
        <f ca="1">'Monthly Data'!G47</f>
        <v>17095388.657426659</v>
      </c>
      <c r="D47" s="6">
        <f>'Monthly Data'!AH47</f>
        <v>207.19999999999996</v>
      </c>
      <c r="E47" s="6">
        <f>'Monthly Data'!AI47</f>
        <v>5.6</v>
      </c>
      <c r="F47" s="6">
        <f>'Monthly Data'!AM47</f>
        <v>31</v>
      </c>
      <c r="G47" s="6">
        <f>'Monthly Data'!BD47</f>
        <v>1</v>
      </c>
      <c r="H47" s="6">
        <f>'Monthly Data'!AO47</f>
        <v>46</v>
      </c>
      <c r="I47" s="6">
        <f>'Monthly Data'!AK47</f>
        <v>157.5</v>
      </c>
      <c r="K47" s="20">
        <f>'Res OLS model'!$P$5</f>
        <v>-17553361.595151801</v>
      </c>
      <c r="L47" s="20">
        <f>'Res OLS model'!$P$6*D47</f>
        <v>1342889.8985210827</v>
      </c>
      <c r="M47" s="20">
        <f>'Res OLS model'!$P$7*E47</f>
        <v>381872.63755375112</v>
      </c>
      <c r="N47" s="20">
        <f>'Res OLS model'!$P$8*F47</f>
        <v>25612431.743871465</v>
      </c>
      <c r="O47" s="20">
        <f>'Res OLS model'!$P$9*G47</f>
        <v>-1882780.1693229801</v>
      </c>
      <c r="P47" s="20">
        <f>'Res OLS model'!$P$10*H47</f>
        <v>-931433.3839630502</v>
      </c>
      <c r="Q47" s="20">
        <f>'Res OLS model'!$P$11*I47</f>
        <v>10836285.004356414</v>
      </c>
      <c r="R47" s="20">
        <f t="shared" si="3"/>
        <v>17805904.135864884</v>
      </c>
      <c r="S47" s="23">
        <f t="shared" ca="1" si="4"/>
        <v>4.1561820715293255E-2</v>
      </c>
    </row>
    <row r="48" spans="1:19">
      <c r="A48" s="22">
        <f>'Monthly Data'!A48</f>
        <v>41214</v>
      </c>
      <c r="B48" s="6">
        <f t="shared" si="2"/>
        <v>2012</v>
      </c>
      <c r="C48" s="20">
        <f ca="1">'Monthly Data'!G48</f>
        <v>18002983.69606806</v>
      </c>
      <c r="D48" s="6">
        <f>'Monthly Data'!AH48</f>
        <v>405.49999999999994</v>
      </c>
      <c r="E48" s="6">
        <f>'Monthly Data'!AI48</f>
        <v>0</v>
      </c>
      <c r="F48" s="6">
        <f>'Monthly Data'!AM48</f>
        <v>30</v>
      </c>
      <c r="G48" s="6">
        <f>'Monthly Data'!BD48</f>
        <v>1</v>
      </c>
      <c r="H48" s="6">
        <f>'Monthly Data'!AO48</f>
        <v>47</v>
      </c>
      <c r="I48" s="6">
        <f>'Monthly Data'!AK48</f>
        <v>157.6</v>
      </c>
      <c r="K48" s="20">
        <f>'Res OLS model'!$P$5</f>
        <v>-17553361.595151801</v>
      </c>
      <c r="L48" s="20">
        <f>'Res OLS model'!$P$6*D48</f>
        <v>2628097.7502427557</v>
      </c>
      <c r="M48" s="20">
        <f>'Res OLS model'!$P$7*E48</f>
        <v>0</v>
      </c>
      <c r="N48" s="20">
        <f>'Res OLS model'!$P$8*F48</f>
        <v>24786224.26826271</v>
      </c>
      <c r="O48" s="20">
        <f>'Res OLS model'!$P$9*G48</f>
        <v>-1882780.1693229801</v>
      </c>
      <c r="P48" s="20">
        <f>'Res OLS model'!$P$10*H48</f>
        <v>-951681.93578833388</v>
      </c>
      <c r="Q48" s="20">
        <f>'Res OLS model'!$P$11*I48</f>
        <v>10843165.185311561</v>
      </c>
      <c r="R48" s="20">
        <f t="shared" si="3"/>
        <v>17869663.503553912</v>
      </c>
      <c r="S48" s="23">
        <f t="shared" ca="1" si="4"/>
        <v>7.4054498279229903E-3</v>
      </c>
    </row>
    <row r="49" spans="1:19">
      <c r="A49" s="22">
        <f>'Monthly Data'!A49</f>
        <v>41244</v>
      </c>
      <c r="B49" s="6">
        <f t="shared" si="2"/>
        <v>2012</v>
      </c>
      <c r="C49" s="20">
        <f ca="1">'Monthly Data'!G49</f>
        <v>20724891.456826214</v>
      </c>
      <c r="D49" s="6">
        <f>'Monthly Data'!AH49</f>
        <v>484.20000000000005</v>
      </c>
      <c r="E49" s="6">
        <f>'Monthly Data'!AI49</f>
        <v>0</v>
      </c>
      <c r="F49" s="6">
        <f>'Monthly Data'!AM49</f>
        <v>31</v>
      </c>
      <c r="G49" s="6">
        <f>'Monthly Data'!BD49</f>
        <v>0</v>
      </c>
      <c r="H49" s="6">
        <f>'Monthly Data'!AO49</f>
        <v>48</v>
      </c>
      <c r="I49" s="6">
        <f>'Monthly Data'!AK49</f>
        <v>155.5</v>
      </c>
      <c r="K49" s="20">
        <f>'Res OLS model'!$P$5</f>
        <v>-17553361.595151801</v>
      </c>
      <c r="L49" s="20">
        <f>'Res OLS model'!$P$6*D49</f>
        <v>3138162.5910420287</v>
      </c>
      <c r="M49" s="20">
        <f>'Res OLS model'!$P$7*E49</f>
        <v>0</v>
      </c>
      <c r="N49" s="20">
        <f>'Res OLS model'!$P$8*F49</f>
        <v>25612431.743871465</v>
      </c>
      <c r="O49" s="20">
        <f>'Res OLS model'!$P$9*G49</f>
        <v>0</v>
      </c>
      <c r="P49" s="20">
        <f>'Res OLS model'!$P$10*H49</f>
        <v>-971930.48761361756</v>
      </c>
      <c r="Q49" s="20">
        <f>'Res OLS model'!$P$11*I49</f>
        <v>10698681.385253476</v>
      </c>
      <c r="R49" s="20">
        <f t="shared" si="3"/>
        <v>20923983.637401551</v>
      </c>
      <c r="S49" s="23">
        <f t="shared" ca="1" si="4"/>
        <v>9.6064281441513525E-3</v>
      </c>
    </row>
    <row r="50" spans="1:19">
      <c r="A50" s="22">
        <f>'Monthly Data'!A50</f>
        <v>41275</v>
      </c>
      <c r="B50" s="6">
        <f t="shared" si="2"/>
        <v>2013</v>
      </c>
      <c r="C50" s="20">
        <f ca="1">'Monthly Data'!G50</f>
        <v>21175039.85558828</v>
      </c>
      <c r="D50" s="6">
        <f>'Monthly Data'!AH50</f>
        <v>598.19999999999993</v>
      </c>
      <c r="E50" s="6">
        <f>'Monthly Data'!AI50</f>
        <v>0</v>
      </c>
      <c r="F50" s="6">
        <f>'Monthly Data'!AM50</f>
        <v>31</v>
      </c>
      <c r="G50" s="6">
        <f>'Monthly Data'!BD50</f>
        <v>0</v>
      </c>
      <c r="H50" s="6">
        <f>'Monthly Data'!AO50</f>
        <v>49</v>
      </c>
      <c r="I50" s="6">
        <f>'Monthly Data'!AK50</f>
        <v>151.1</v>
      </c>
      <c r="K50" s="20">
        <f>'Res OLS model'!$P$5</f>
        <v>-17553361.595151801</v>
      </c>
      <c r="L50" s="20">
        <f>'Res OLS model'!$P$6*D50</f>
        <v>3877011.2803827785</v>
      </c>
      <c r="M50" s="20">
        <f>'Res OLS model'!$P$7*E50</f>
        <v>0</v>
      </c>
      <c r="N50" s="20">
        <f>'Res OLS model'!$P$8*F50</f>
        <v>25612431.743871465</v>
      </c>
      <c r="O50" s="20">
        <f>'Res OLS model'!$P$9*G50</f>
        <v>0</v>
      </c>
      <c r="P50" s="20">
        <f>'Res OLS model'!$P$10*H50</f>
        <v>-992179.03943890124</v>
      </c>
      <c r="Q50" s="20">
        <f>'Res OLS model'!$P$11*I50</f>
        <v>10395953.42322701</v>
      </c>
      <c r="R50" s="20">
        <f t="shared" si="3"/>
        <v>21339855.812890552</v>
      </c>
      <c r="S50" s="23">
        <f t="shared" ca="1" si="4"/>
        <v>7.7835016333523419E-3</v>
      </c>
    </row>
    <row r="51" spans="1:19">
      <c r="A51" s="22">
        <f>'Monthly Data'!A51</f>
        <v>41306</v>
      </c>
      <c r="B51" s="6">
        <f t="shared" si="2"/>
        <v>2013</v>
      </c>
      <c r="C51" s="20">
        <f ca="1">'Monthly Data'!G51</f>
        <v>18639689.622604229</v>
      </c>
      <c r="D51" s="6">
        <f>'Monthly Data'!AH51</f>
        <v>574.80000000000007</v>
      </c>
      <c r="E51" s="6">
        <f>'Monthly Data'!AI51</f>
        <v>0</v>
      </c>
      <c r="F51" s="6">
        <f>'Monthly Data'!AM51</f>
        <v>28</v>
      </c>
      <c r="G51" s="6">
        <f>'Monthly Data'!BD51</f>
        <v>0</v>
      </c>
      <c r="H51" s="6">
        <f>'Monthly Data'!AO51</f>
        <v>50</v>
      </c>
      <c r="I51" s="6">
        <f>'Monthly Data'!AK51</f>
        <v>150.19999999999999</v>
      </c>
      <c r="K51" s="20">
        <f>'Res OLS model'!$P$5</f>
        <v>-17553361.595151801</v>
      </c>
      <c r="L51" s="20">
        <f>'Res OLS model'!$P$6*D51</f>
        <v>3725352.8652023096</v>
      </c>
      <c r="M51" s="20">
        <f>'Res OLS model'!$P$7*E51</f>
        <v>0</v>
      </c>
      <c r="N51" s="20">
        <f>'Res OLS model'!$P$8*F51</f>
        <v>23133809.317045197</v>
      </c>
      <c r="O51" s="20">
        <f>'Res OLS model'!$P$9*G51</f>
        <v>0</v>
      </c>
      <c r="P51" s="20">
        <f>'Res OLS model'!$P$10*H51</f>
        <v>-1012427.5912641849</v>
      </c>
      <c r="Q51" s="20">
        <f>'Res OLS model'!$P$11*I51</f>
        <v>10334031.794630688</v>
      </c>
      <c r="R51" s="20">
        <f t="shared" si="3"/>
        <v>18627404.790462211</v>
      </c>
      <c r="S51" s="23">
        <f t="shared" ca="1" si="4"/>
        <v>6.5906849259550157E-4</v>
      </c>
    </row>
    <row r="52" spans="1:19">
      <c r="A52" s="22">
        <f>'Monthly Data'!A52</f>
        <v>41334</v>
      </c>
      <c r="B52" s="6">
        <f t="shared" si="2"/>
        <v>2013</v>
      </c>
      <c r="C52" s="20">
        <f ca="1">'Monthly Data'!G52</f>
        <v>19203289.13178562</v>
      </c>
      <c r="D52" s="6">
        <f>'Monthly Data'!AH52</f>
        <v>505.20000000000005</v>
      </c>
      <c r="E52" s="6">
        <f>'Monthly Data'!AI52</f>
        <v>0</v>
      </c>
      <c r="F52" s="6">
        <f>'Monthly Data'!AM52</f>
        <v>31</v>
      </c>
      <c r="G52" s="6">
        <f>'Monthly Data'!BD52</f>
        <v>1</v>
      </c>
      <c r="H52" s="6">
        <f>'Monthly Data'!AO52</f>
        <v>51</v>
      </c>
      <c r="I52" s="6">
        <f>'Monthly Data'!AK52</f>
        <v>149.4</v>
      </c>
      <c r="K52" s="20">
        <f>'Res OLS model'!$P$5</f>
        <v>-17553361.595151801</v>
      </c>
      <c r="L52" s="20">
        <f>'Res OLS model'!$P$6*D52</f>
        <v>3274266.2969732196</v>
      </c>
      <c r="M52" s="20">
        <f>'Res OLS model'!$P$7*E52</f>
        <v>0</v>
      </c>
      <c r="N52" s="20">
        <f>'Res OLS model'!$P$8*F52</f>
        <v>25612431.743871465</v>
      </c>
      <c r="O52" s="20">
        <f>'Res OLS model'!$P$9*G52</f>
        <v>-1882780.1693229801</v>
      </c>
      <c r="P52" s="20">
        <f>'Res OLS model'!$P$10*H52</f>
        <v>-1032676.1430894687</v>
      </c>
      <c r="Q52" s="20">
        <f>'Res OLS model'!$P$11*I52</f>
        <v>10278990.346989514</v>
      </c>
      <c r="R52" s="20">
        <f t="shared" si="3"/>
        <v>18696870.480269946</v>
      </c>
      <c r="S52" s="23">
        <f t="shared" ca="1" si="4"/>
        <v>2.6371453767127885E-2</v>
      </c>
    </row>
    <row r="53" spans="1:19">
      <c r="A53" s="22">
        <f>'Monthly Data'!A53</f>
        <v>41365</v>
      </c>
      <c r="B53" s="6">
        <f t="shared" si="2"/>
        <v>2013</v>
      </c>
      <c r="C53" s="20">
        <f ca="1">'Monthly Data'!G53</f>
        <v>17076984.319236379</v>
      </c>
      <c r="D53" s="6">
        <f>'Monthly Data'!AH53</f>
        <v>300.19999999999993</v>
      </c>
      <c r="E53" s="6">
        <f>'Monthly Data'!AI53</f>
        <v>0</v>
      </c>
      <c r="F53" s="6">
        <f>'Monthly Data'!AM53</f>
        <v>30</v>
      </c>
      <c r="G53" s="6">
        <f>'Monthly Data'!BD53</f>
        <v>1</v>
      </c>
      <c r="H53" s="6">
        <f>'Monthly Data'!AO53</f>
        <v>52</v>
      </c>
      <c r="I53" s="6">
        <f>'Monthly Data'!AK53</f>
        <v>152.6</v>
      </c>
      <c r="K53" s="20">
        <f>'Res OLS model'!$P$5</f>
        <v>-17553361.595151801</v>
      </c>
      <c r="L53" s="20">
        <f>'Res OLS model'!$P$6*D53</f>
        <v>1945634.8819306418</v>
      </c>
      <c r="M53" s="20">
        <f>'Res OLS model'!$P$7*E53</f>
        <v>0</v>
      </c>
      <c r="N53" s="20">
        <f>'Res OLS model'!$P$8*F53</f>
        <v>24786224.26826271</v>
      </c>
      <c r="O53" s="20">
        <f>'Res OLS model'!$P$9*G53</f>
        <v>-1882780.1693229801</v>
      </c>
      <c r="P53" s="20">
        <f>'Res OLS model'!$P$10*H53</f>
        <v>-1052924.6949147524</v>
      </c>
      <c r="Q53" s="20">
        <f>'Res OLS model'!$P$11*I53</f>
        <v>10499156.137554215</v>
      </c>
      <c r="R53" s="20">
        <f t="shared" si="3"/>
        <v>16741948.828358034</v>
      </c>
      <c r="S53" s="23">
        <f t="shared" ca="1" si="4"/>
        <v>1.9619125052480403E-2</v>
      </c>
    </row>
    <row r="54" spans="1:19">
      <c r="A54" s="22">
        <f>'Monthly Data'!A54</f>
        <v>41395</v>
      </c>
      <c r="B54" s="6">
        <f t="shared" si="2"/>
        <v>2013</v>
      </c>
      <c r="C54" s="20">
        <f ca="1">'Monthly Data'!G54</f>
        <v>18457139.291948661</v>
      </c>
      <c r="D54" s="6">
        <f>'Monthly Data'!AH54</f>
        <v>73.300000000000011</v>
      </c>
      <c r="E54" s="6">
        <f>'Monthly Data'!AI54</f>
        <v>59.899999999999991</v>
      </c>
      <c r="F54" s="6">
        <f>'Monthly Data'!AM54</f>
        <v>31</v>
      </c>
      <c r="G54" s="6">
        <f>'Monthly Data'!BD54</f>
        <v>1</v>
      </c>
      <c r="H54" s="6">
        <f>'Monthly Data'!AO54</f>
        <v>53</v>
      </c>
      <c r="I54" s="6">
        <f>'Monthly Data'!AK54</f>
        <v>154</v>
      </c>
      <c r="K54" s="20">
        <f>'Res OLS model'!$P$5</f>
        <v>-17553361.595151801</v>
      </c>
      <c r="L54" s="20">
        <f>'Res OLS model'!$P$6*D54</f>
        <v>475066.74498839473</v>
      </c>
      <c r="M54" s="20">
        <f>'Res OLS model'!$P$7*E54</f>
        <v>4084673.3909767303</v>
      </c>
      <c r="N54" s="20">
        <f>'Res OLS model'!$P$8*F54</f>
        <v>25612431.743871465</v>
      </c>
      <c r="O54" s="20">
        <f>'Res OLS model'!$P$9*G54</f>
        <v>-1882780.1693229801</v>
      </c>
      <c r="P54" s="20">
        <f>'Res OLS model'!$P$10*H54</f>
        <v>-1073173.2467400359</v>
      </c>
      <c r="Q54" s="20">
        <f>'Res OLS model'!$P$11*I54</f>
        <v>10595478.670926271</v>
      </c>
      <c r="R54" s="20">
        <f t="shared" si="3"/>
        <v>20258335.539548043</v>
      </c>
      <c r="S54" s="23">
        <f t="shared" ca="1" si="4"/>
        <v>9.758805084085248E-2</v>
      </c>
    </row>
    <row r="55" spans="1:19">
      <c r="A55" s="22">
        <f>'Monthly Data'!A55</f>
        <v>41426</v>
      </c>
      <c r="B55" s="6">
        <f t="shared" si="2"/>
        <v>2013</v>
      </c>
      <c r="C55" s="20">
        <f ca="1">'Monthly Data'!G55</f>
        <v>23738163.011233285</v>
      </c>
      <c r="D55" s="6">
        <f>'Monthly Data'!AH55</f>
        <v>14.700000000000001</v>
      </c>
      <c r="E55" s="6">
        <f>'Monthly Data'!AI55</f>
        <v>103.49999999999999</v>
      </c>
      <c r="F55" s="6">
        <f>'Monthly Data'!AM55</f>
        <v>30</v>
      </c>
      <c r="G55" s="6">
        <f>'Monthly Data'!BD55</f>
        <v>0</v>
      </c>
      <c r="H55" s="6">
        <f>'Monthly Data'!AO55</f>
        <v>54</v>
      </c>
      <c r="I55" s="6">
        <f>'Monthly Data'!AK55</f>
        <v>155.9</v>
      </c>
      <c r="K55" s="20">
        <f>'Res OLS model'!$P$5</f>
        <v>-17553361.595151801</v>
      </c>
      <c r="L55" s="20">
        <f>'Res OLS model'!$P$6*D55</f>
        <v>95272.594151833589</v>
      </c>
      <c r="M55" s="20">
        <f>'Res OLS model'!$P$7*E55</f>
        <v>7057824.6405023634</v>
      </c>
      <c r="N55" s="20">
        <f>'Res OLS model'!$P$8*F55</f>
        <v>24786224.26826271</v>
      </c>
      <c r="O55" s="20">
        <f>'Res OLS model'!$P$9*G55</f>
        <v>0</v>
      </c>
      <c r="P55" s="20">
        <f>'Res OLS model'!$P$10*H55</f>
        <v>-1093421.7985653197</v>
      </c>
      <c r="Q55" s="20">
        <f>'Res OLS model'!$P$11*I55</f>
        <v>10726202.109074064</v>
      </c>
      <c r="R55" s="20">
        <f t="shared" si="3"/>
        <v>24018740.218273848</v>
      </c>
      <c r="S55" s="23">
        <f t="shared" ca="1" si="4"/>
        <v>1.1819668055518429E-2</v>
      </c>
    </row>
    <row r="56" spans="1:19">
      <c r="A56" s="22">
        <f>'Monthly Data'!A56</f>
        <v>41456</v>
      </c>
      <c r="B56" s="6">
        <f t="shared" si="2"/>
        <v>2013</v>
      </c>
      <c r="C56" s="20">
        <f ca="1">'Monthly Data'!G56</f>
        <v>28992560.436643723</v>
      </c>
      <c r="D56" s="6">
        <f>'Monthly Data'!AH56</f>
        <v>1.5</v>
      </c>
      <c r="E56" s="6">
        <f>'Monthly Data'!AI56</f>
        <v>174.80000000000004</v>
      </c>
      <c r="F56" s="6">
        <f>'Monthly Data'!AM56</f>
        <v>31</v>
      </c>
      <c r="G56" s="6">
        <f>'Monthly Data'!BD56</f>
        <v>0</v>
      </c>
      <c r="H56" s="6">
        <f>'Monthly Data'!AO56</f>
        <v>55</v>
      </c>
      <c r="I56" s="6">
        <f>'Monthly Data'!AK56</f>
        <v>156.6</v>
      </c>
      <c r="K56" s="20">
        <f>'Res OLS model'!$P$5</f>
        <v>-17553361.595151801</v>
      </c>
      <c r="L56" s="20">
        <f>'Res OLS model'!$P$6*D56</f>
        <v>9721.6932807993453</v>
      </c>
      <c r="M56" s="20">
        <f>'Res OLS model'!$P$7*E56</f>
        <v>11919881.615070663</v>
      </c>
      <c r="N56" s="20">
        <f>'Res OLS model'!$P$8*F56</f>
        <v>25612431.743871465</v>
      </c>
      <c r="O56" s="20">
        <f>'Res OLS model'!$P$9*G56</f>
        <v>0</v>
      </c>
      <c r="P56" s="20">
        <f>'Res OLS model'!$P$10*H56</f>
        <v>-1113670.3503906035</v>
      </c>
      <c r="Q56" s="20">
        <f>'Res OLS model'!$P$11*I56</f>
        <v>10774363.375760091</v>
      </c>
      <c r="R56" s="20">
        <f t="shared" si="3"/>
        <v>29649366.482440621</v>
      </c>
      <c r="S56" s="23">
        <f t="shared" ca="1" si="4"/>
        <v>2.2654295995422312E-2</v>
      </c>
    </row>
    <row r="57" spans="1:19">
      <c r="A57" s="22">
        <f>'Monthly Data'!A57</f>
        <v>41487</v>
      </c>
      <c r="B57" s="6">
        <f t="shared" si="2"/>
        <v>2013</v>
      </c>
      <c r="C57" s="20">
        <f ca="1">'Monthly Data'!G57</f>
        <v>26394506.736268964</v>
      </c>
      <c r="D57" s="6">
        <f>'Monthly Data'!AH57</f>
        <v>1.2</v>
      </c>
      <c r="E57" s="6">
        <f>'Monthly Data'!AI57</f>
        <v>134.29999999999998</v>
      </c>
      <c r="F57" s="6">
        <f>'Monthly Data'!AM57</f>
        <v>31</v>
      </c>
      <c r="G57" s="6">
        <f>'Monthly Data'!BD57</f>
        <v>0</v>
      </c>
      <c r="H57" s="6">
        <f>'Monthly Data'!AO57</f>
        <v>56</v>
      </c>
      <c r="I57" s="6">
        <f>'Monthly Data'!AK57</f>
        <v>156.5</v>
      </c>
      <c r="K57" s="20">
        <f>'Res OLS model'!$P$5</f>
        <v>-17553361.595151801</v>
      </c>
      <c r="L57" s="20">
        <f>'Res OLS model'!$P$6*D57</f>
        <v>7777.3546246394762</v>
      </c>
      <c r="M57" s="20">
        <f>'Res OLS model'!$P$7*E57</f>
        <v>9158124.1470479947</v>
      </c>
      <c r="N57" s="20">
        <f>'Res OLS model'!$P$8*F57</f>
        <v>25612431.743871465</v>
      </c>
      <c r="O57" s="20">
        <f>'Res OLS model'!$P$9*G57</f>
        <v>0</v>
      </c>
      <c r="P57" s="20">
        <f>'Res OLS model'!$P$10*H57</f>
        <v>-1133918.9022158871</v>
      </c>
      <c r="Q57" s="20">
        <f>'Res OLS model'!$P$11*I57</f>
        <v>10767483.194804946</v>
      </c>
      <c r="R57" s="20">
        <f t="shared" si="3"/>
        <v>26858535.942981362</v>
      </c>
      <c r="S57" s="23">
        <f t="shared" ca="1" si="4"/>
        <v>1.7580522013498034E-2</v>
      </c>
    </row>
    <row r="58" spans="1:19">
      <c r="A58" s="22">
        <f>'Monthly Data'!A58</f>
        <v>41518</v>
      </c>
      <c r="B58" s="6">
        <f t="shared" si="2"/>
        <v>2013</v>
      </c>
      <c r="C58" s="20">
        <f ca="1">'Monthly Data'!G58</f>
        <v>22082821.70344121</v>
      </c>
      <c r="D58" s="6">
        <f>'Monthly Data'!AH58</f>
        <v>41.2</v>
      </c>
      <c r="E58" s="6">
        <f>'Monthly Data'!AI58</f>
        <v>65.3</v>
      </c>
      <c r="F58" s="6">
        <f>'Monthly Data'!AM58</f>
        <v>30</v>
      </c>
      <c r="G58" s="6">
        <f>'Monthly Data'!BD58</f>
        <v>0</v>
      </c>
      <c r="H58" s="6">
        <f>'Monthly Data'!AO58</f>
        <v>57</v>
      </c>
      <c r="I58" s="6">
        <f>'Monthly Data'!AK58</f>
        <v>154.6</v>
      </c>
      <c r="K58" s="20">
        <f>'Res OLS model'!$P$5</f>
        <v>-17553361.595151801</v>
      </c>
      <c r="L58" s="20">
        <f>'Res OLS model'!$P$6*D58</f>
        <v>267022.50877928868</v>
      </c>
      <c r="M58" s="20">
        <f>'Res OLS model'!$P$7*E58</f>
        <v>4452907.7200464197</v>
      </c>
      <c r="N58" s="20">
        <f>'Res OLS model'!$P$8*F58</f>
        <v>24786224.26826271</v>
      </c>
      <c r="O58" s="20">
        <f>'Res OLS model'!$P$9*G58</f>
        <v>0</v>
      </c>
      <c r="P58" s="20">
        <f>'Res OLS model'!$P$10*H58</f>
        <v>-1154167.4540411709</v>
      </c>
      <c r="Q58" s="20">
        <f>'Res OLS model'!$P$11*I58</f>
        <v>10636759.756657153</v>
      </c>
      <c r="R58" s="20">
        <f t="shared" si="3"/>
        <v>21435385.204552598</v>
      </c>
      <c r="S58" s="23">
        <f t="shared" ca="1" si="4"/>
        <v>2.9318558451600436E-2</v>
      </c>
    </row>
    <row r="59" spans="1:19">
      <c r="A59" s="22">
        <f>'Monthly Data'!A59</f>
        <v>41548</v>
      </c>
      <c r="B59" s="6">
        <f t="shared" si="2"/>
        <v>2013</v>
      </c>
      <c r="C59" s="20">
        <f ca="1">'Monthly Data'!G59</f>
        <v>17752714.709292348</v>
      </c>
      <c r="D59" s="6">
        <f>'Monthly Data'!AH59</f>
        <v>170.49999999999997</v>
      </c>
      <c r="E59" s="6">
        <f>'Monthly Data'!AI59</f>
        <v>19.899999999999999</v>
      </c>
      <c r="F59" s="6">
        <f>'Monthly Data'!AM59</f>
        <v>31</v>
      </c>
      <c r="G59" s="6">
        <f>'Monthly Data'!BD59</f>
        <v>1</v>
      </c>
      <c r="H59" s="6">
        <f>'Monthly Data'!AO59</f>
        <v>58</v>
      </c>
      <c r="I59" s="6">
        <f>'Monthly Data'!AK59</f>
        <v>155.80000000000001</v>
      </c>
      <c r="K59" s="20">
        <f>'Res OLS model'!$P$5</f>
        <v>-17553361.595151801</v>
      </c>
      <c r="L59" s="20">
        <f>'Res OLS model'!$P$6*D59</f>
        <v>1105032.4695841921</v>
      </c>
      <c r="M59" s="20">
        <f>'Res OLS model'!$P$7*E59</f>
        <v>1357011.6941642228</v>
      </c>
      <c r="N59" s="20">
        <f>'Res OLS model'!$P$8*F59</f>
        <v>25612431.743871465</v>
      </c>
      <c r="O59" s="20">
        <f>'Res OLS model'!$P$9*G59</f>
        <v>-1882780.1693229801</v>
      </c>
      <c r="P59" s="20">
        <f>'Res OLS model'!$P$10*H59</f>
        <v>-1174416.0058664544</v>
      </c>
      <c r="Q59" s="20">
        <f>'Res OLS model'!$P$11*I59</f>
        <v>10719321.928118918</v>
      </c>
      <c r="R59" s="20">
        <f t="shared" si="3"/>
        <v>18183240.065397561</v>
      </c>
      <c r="S59" s="23">
        <f t="shared" ca="1" si="4"/>
        <v>2.4251240621799727E-2</v>
      </c>
    </row>
    <row r="60" spans="1:19">
      <c r="A60" s="22">
        <f>'Monthly Data'!A60</f>
        <v>41579</v>
      </c>
      <c r="B60" s="6">
        <f t="shared" si="2"/>
        <v>2013</v>
      </c>
      <c r="C60" s="20">
        <f ca="1">'Monthly Data'!G60</f>
        <v>18589259.601015333</v>
      </c>
      <c r="D60" s="6">
        <f>'Monthly Data'!AH60</f>
        <v>424.9</v>
      </c>
      <c r="E60" s="6">
        <f>'Monthly Data'!AI60</f>
        <v>0</v>
      </c>
      <c r="F60" s="6">
        <f>'Monthly Data'!AM60</f>
        <v>30</v>
      </c>
      <c r="G60" s="6">
        <f>'Monthly Data'!BD60</f>
        <v>1</v>
      </c>
      <c r="H60" s="6">
        <f>'Monthly Data'!AO60</f>
        <v>59</v>
      </c>
      <c r="I60" s="6">
        <f>'Monthly Data'!AK60</f>
        <v>156.69999999999999</v>
      </c>
      <c r="K60" s="20">
        <f>'Res OLS model'!$P$5</f>
        <v>-17553361.595151801</v>
      </c>
      <c r="L60" s="20">
        <f>'Res OLS model'!$P$6*D60</f>
        <v>2753831.6500077611</v>
      </c>
      <c r="M60" s="20">
        <f>'Res OLS model'!$P$7*E60</f>
        <v>0</v>
      </c>
      <c r="N60" s="20">
        <f>'Res OLS model'!$P$8*F60</f>
        <v>24786224.26826271</v>
      </c>
      <c r="O60" s="20">
        <f>'Res OLS model'!$P$9*G60</f>
        <v>-1882780.1693229801</v>
      </c>
      <c r="P60" s="20">
        <f>'Res OLS model'!$P$10*H60</f>
        <v>-1194664.5576917382</v>
      </c>
      <c r="Q60" s="20">
        <f>'Res OLS model'!$P$11*I60</f>
        <v>10781243.556715239</v>
      </c>
      <c r="R60" s="20">
        <f t="shared" si="3"/>
        <v>17690493.152819194</v>
      </c>
      <c r="S60" s="23">
        <f t="shared" ca="1" si="4"/>
        <v>4.8348695294300435E-2</v>
      </c>
    </row>
    <row r="61" spans="1:19">
      <c r="A61" s="22">
        <f>'Monthly Data'!A61</f>
        <v>41609</v>
      </c>
      <c r="B61" s="6">
        <f t="shared" si="2"/>
        <v>2013</v>
      </c>
      <c r="C61" s="20">
        <f ca="1">'Monthly Data'!G61</f>
        <v>22190029.702539392</v>
      </c>
      <c r="D61" s="6">
        <f>'Monthly Data'!AH61</f>
        <v>614.30000000000007</v>
      </c>
      <c r="E61" s="6">
        <f>'Monthly Data'!AI61</f>
        <v>0</v>
      </c>
      <c r="F61" s="6">
        <f>'Monthly Data'!AM61</f>
        <v>31</v>
      </c>
      <c r="G61" s="6">
        <f>'Monthly Data'!BD61</f>
        <v>0</v>
      </c>
      <c r="H61" s="6">
        <f>'Monthly Data'!AO61</f>
        <v>60</v>
      </c>
      <c r="I61" s="6">
        <f>'Monthly Data'!AK61</f>
        <v>159.19999999999999</v>
      </c>
      <c r="K61" s="20">
        <f>'Res OLS model'!$P$5</f>
        <v>-17553361.595151801</v>
      </c>
      <c r="L61" s="20">
        <f>'Res OLS model'!$P$6*D61</f>
        <v>3981357.4549300256</v>
      </c>
      <c r="M61" s="20">
        <f>'Res OLS model'!$P$7*E61</f>
        <v>0</v>
      </c>
      <c r="N61" s="20">
        <f>'Res OLS model'!$P$8*F61</f>
        <v>25612431.743871465</v>
      </c>
      <c r="O61" s="20">
        <f>'Res OLS model'!$P$9*G61</f>
        <v>0</v>
      </c>
      <c r="P61" s="20">
        <f>'Res OLS model'!$P$10*H61</f>
        <v>-1214913.109517022</v>
      </c>
      <c r="Q61" s="20">
        <f>'Res OLS model'!$P$11*I61</f>
        <v>10953248.080593912</v>
      </c>
      <c r="R61" s="20">
        <f t="shared" si="3"/>
        <v>21778762.574726582</v>
      </c>
      <c r="S61" s="23">
        <f t="shared" ca="1" si="4"/>
        <v>1.8533870090572502E-2</v>
      </c>
    </row>
    <row r="62" spans="1:19">
      <c r="A62" s="22">
        <f>'Monthly Data'!A62</f>
        <v>41640</v>
      </c>
      <c r="B62" s="6">
        <f t="shared" si="2"/>
        <v>2014</v>
      </c>
      <c r="C62" s="20">
        <f ca="1">'Monthly Data'!G62</f>
        <v>22841547.431234065</v>
      </c>
      <c r="D62" s="6">
        <f>'Monthly Data'!AH62</f>
        <v>784.99999999999977</v>
      </c>
      <c r="E62" s="6">
        <f>'Monthly Data'!AI62</f>
        <v>0</v>
      </c>
      <c r="F62" s="6">
        <f>'Monthly Data'!AM62</f>
        <v>31</v>
      </c>
      <c r="G62" s="6">
        <f>'Monthly Data'!BD62</f>
        <v>0</v>
      </c>
      <c r="H62" s="6">
        <f>'Monthly Data'!AO62</f>
        <v>61</v>
      </c>
      <c r="I62" s="6">
        <f>'Monthly Data'!AK62</f>
        <v>157.1</v>
      </c>
      <c r="K62" s="20">
        <f>'Res OLS model'!$P$5</f>
        <v>-17553361.595151801</v>
      </c>
      <c r="L62" s="20">
        <f>'Res OLS model'!$P$6*D62</f>
        <v>5087686.1502849888</v>
      </c>
      <c r="M62" s="20">
        <f>'Res OLS model'!$P$7*E62</f>
        <v>0</v>
      </c>
      <c r="N62" s="20">
        <f>'Res OLS model'!$P$8*F62</f>
        <v>25612431.743871465</v>
      </c>
      <c r="O62" s="20">
        <f>'Res OLS model'!$P$9*G62</f>
        <v>0</v>
      </c>
      <c r="P62" s="20">
        <f>'Res OLS model'!$P$10*H62</f>
        <v>-1235161.6613423056</v>
      </c>
      <c r="Q62" s="20">
        <f>'Res OLS model'!$P$11*I62</f>
        <v>10808764.280535826</v>
      </c>
      <c r="R62" s="20">
        <f t="shared" si="3"/>
        <v>22720358.918198176</v>
      </c>
      <c r="S62" s="23">
        <f t="shared" ca="1" si="4"/>
        <v>5.3056174675001969E-3</v>
      </c>
    </row>
    <row r="63" spans="1:19">
      <c r="A63" s="22">
        <f>'Monthly Data'!A63</f>
        <v>41671</v>
      </c>
      <c r="B63" s="6">
        <f t="shared" si="2"/>
        <v>2014</v>
      </c>
      <c r="C63" s="20">
        <f ca="1">'Monthly Data'!G63</f>
        <v>19788010.013485562</v>
      </c>
      <c r="D63" s="6">
        <f>'Monthly Data'!AH63</f>
        <v>674.19999999999982</v>
      </c>
      <c r="E63" s="6">
        <f>'Monthly Data'!AI63</f>
        <v>0</v>
      </c>
      <c r="F63" s="6">
        <f>'Monthly Data'!AM63</f>
        <v>28</v>
      </c>
      <c r="G63" s="6">
        <f>'Monthly Data'!BD63</f>
        <v>0</v>
      </c>
      <c r="H63" s="6">
        <f>'Monthly Data'!AO63</f>
        <v>62</v>
      </c>
      <c r="I63" s="6">
        <f>'Monthly Data'!AK63</f>
        <v>154.69999999999999</v>
      </c>
      <c r="K63" s="20">
        <f>'Res OLS model'!$P$5</f>
        <v>-17553361.595151801</v>
      </c>
      <c r="L63" s="20">
        <f>'Res OLS model'!$P$6*D63</f>
        <v>4369577.073276611</v>
      </c>
      <c r="M63" s="20">
        <f>'Res OLS model'!$P$7*E63</f>
        <v>0</v>
      </c>
      <c r="N63" s="20">
        <f>'Res OLS model'!$P$8*F63</f>
        <v>23133809.317045197</v>
      </c>
      <c r="O63" s="20">
        <f>'Res OLS model'!$P$9*G63</f>
        <v>0</v>
      </c>
      <c r="P63" s="20">
        <f>'Res OLS model'!$P$10*H63</f>
        <v>-1255410.2131675894</v>
      </c>
      <c r="Q63" s="20">
        <f>'Res OLS model'!$P$11*I63</f>
        <v>10643639.937612299</v>
      </c>
      <c r="R63" s="20">
        <f t="shared" si="3"/>
        <v>19338254.519614719</v>
      </c>
      <c r="S63" s="23">
        <f t="shared" ca="1" si="4"/>
        <v>2.2728687400316357E-2</v>
      </c>
    </row>
    <row r="64" spans="1:19">
      <c r="A64" s="22">
        <f>'Monthly Data'!A64</f>
        <v>41699</v>
      </c>
      <c r="B64" s="6">
        <f t="shared" si="2"/>
        <v>2014</v>
      </c>
      <c r="C64" s="20">
        <f ca="1">'Monthly Data'!G64</f>
        <v>19723646.263600551</v>
      </c>
      <c r="D64" s="6">
        <f>'Monthly Data'!AH64</f>
        <v>591.90000000000009</v>
      </c>
      <c r="E64" s="6">
        <f>'Monthly Data'!AI64</f>
        <v>0</v>
      </c>
      <c r="F64" s="6">
        <f>'Monthly Data'!AM64</f>
        <v>31</v>
      </c>
      <c r="G64" s="6">
        <f>'Monthly Data'!BD64</f>
        <v>1</v>
      </c>
      <c r="H64" s="6">
        <f>'Monthly Data'!AO64</f>
        <v>63</v>
      </c>
      <c r="I64" s="6">
        <f>'Monthly Data'!AK64</f>
        <v>152.4</v>
      </c>
      <c r="K64" s="20">
        <f>'Res OLS model'!$P$5</f>
        <v>-17553361.595151801</v>
      </c>
      <c r="L64" s="20">
        <f>'Res OLS model'!$P$6*D64</f>
        <v>3836180.1686034221</v>
      </c>
      <c r="M64" s="20">
        <f>'Res OLS model'!$P$7*E64</f>
        <v>0</v>
      </c>
      <c r="N64" s="20">
        <f>'Res OLS model'!$P$8*F64</f>
        <v>25612431.743871465</v>
      </c>
      <c r="O64" s="20">
        <f>'Res OLS model'!$P$9*G64</f>
        <v>-1882780.1693229801</v>
      </c>
      <c r="P64" s="20">
        <f>'Res OLS model'!$P$10*H64</f>
        <v>-1275658.764992873</v>
      </c>
      <c r="Q64" s="20">
        <f>'Res OLS model'!$P$11*I64</f>
        <v>10485395.775643921</v>
      </c>
      <c r="R64" s="20">
        <f t="shared" si="3"/>
        <v>19222207.158651154</v>
      </c>
      <c r="S64" s="23">
        <f t="shared" ca="1" si="4"/>
        <v>2.5423245694422548E-2</v>
      </c>
    </row>
    <row r="65" spans="1:19">
      <c r="A65" s="22">
        <f>'Monthly Data'!A65</f>
        <v>41730</v>
      </c>
      <c r="B65" s="6">
        <f t="shared" si="2"/>
        <v>2014</v>
      </c>
      <c r="C65" s="20">
        <f ca="1">'Monthly Data'!G65</f>
        <v>16641111.8668398</v>
      </c>
      <c r="D65" s="6">
        <f>'Monthly Data'!AH65</f>
        <v>253.7</v>
      </c>
      <c r="E65" s="6">
        <f>'Monthly Data'!AI65</f>
        <v>0</v>
      </c>
      <c r="F65" s="6">
        <f>'Monthly Data'!AM65</f>
        <v>30</v>
      </c>
      <c r="G65" s="6">
        <f>'Monthly Data'!BD65</f>
        <v>1</v>
      </c>
      <c r="H65" s="6">
        <f>'Monthly Data'!AO65</f>
        <v>64</v>
      </c>
      <c r="I65" s="6">
        <f>'Monthly Data'!AK65</f>
        <v>151.1</v>
      </c>
      <c r="K65" s="20">
        <f>'Res OLS model'!$P$5</f>
        <v>-17553361.595151801</v>
      </c>
      <c r="L65" s="20">
        <f>'Res OLS model'!$P$6*D65</f>
        <v>1644262.3902258626</v>
      </c>
      <c r="M65" s="20">
        <f>'Res OLS model'!$P$7*E65</f>
        <v>0</v>
      </c>
      <c r="N65" s="20">
        <f>'Res OLS model'!$P$8*F65</f>
        <v>24786224.26826271</v>
      </c>
      <c r="O65" s="20">
        <f>'Res OLS model'!$P$9*G65</f>
        <v>-1882780.1693229801</v>
      </c>
      <c r="P65" s="20">
        <f>'Res OLS model'!$P$10*H65</f>
        <v>-1295907.3168181567</v>
      </c>
      <c r="Q65" s="20">
        <f>'Res OLS model'!$P$11*I65</f>
        <v>10395953.42322701</v>
      </c>
      <c r="R65" s="20">
        <f t="shared" si="3"/>
        <v>16094391.000422645</v>
      </c>
      <c r="S65" s="23">
        <f t="shared" ca="1" si="4"/>
        <v>3.2853626055275038E-2</v>
      </c>
    </row>
    <row r="66" spans="1:19">
      <c r="A66" s="22">
        <f>'Monthly Data'!A66</f>
        <v>41760</v>
      </c>
      <c r="B66" s="6">
        <f t="shared" si="2"/>
        <v>2014</v>
      </c>
      <c r="C66" s="20">
        <f ca="1">'Monthly Data'!G66</f>
        <v>17829710.566903893</v>
      </c>
      <c r="D66" s="6">
        <f>'Monthly Data'!AH66</f>
        <v>90.600000000000009</v>
      </c>
      <c r="E66" s="6">
        <f>'Monthly Data'!AI66</f>
        <v>36.4</v>
      </c>
      <c r="F66" s="6">
        <f>'Monthly Data'!AM66</f>
        <v>31</v>
      </c>
      <c r="G66" s="6">
        <f>'Monthly Data'!BD66</f>
        <v>1</v>
      </c>
      <c r="H66" s="6">
        <f>'Monthly Data'!AO66</f>
        <v>65</v>
      </c>
      <c r="I66" s="6">
        <f>'Monthly Data'!AK66</f>
        <v>151.19999999999999</v>
      </c>
      <c r="K66" s="20">
        <f>'Res OLS model'!$P$5</f>
        <v>-17553361.595151801</v>
      </c>
      <c r="L66" s="20">
        <f>'Res OLS model'!$P$6*D66</f>
        <v>587190.27416028047</v>
      </c>
      <c r="M66" s="20">
        <f>'Res OLS model'!$P$7*E66</f>
        <v>2482172.1440993822</v>
      </c>
      <c r="N66" s="20">
        <f>'Res OLS model'!$P$8*F66</f>
        <v>25612431.743871465</v>
      </c>
      <c r="O66" s="20">
        <f>'Res OLS model'!$P$9*G66</f>
        <v>-1882780.1693229801</v>
      </c>
      <c r="P66" s="20">
        <f>'Res OLS model'!$P$10*H66</f>
        <v>-1316155.8686434405</v>
      </c>
      <c r="Q66" s="20">
        <f>'Res OLS model'!$P$11*I66</f>
        <v>10402833.604182158</v>
      </c>
      <c r="R66" s="20">
        <f t="shared" si="3"/>
        <v>18332330.133195065</v>
      </c>
      <c r="S66" s="23">
        <f t="shared" ref="S66:S97" ca="1" si="5">ABS(R66-C66)/C66</f>
        <v>2.8190001425157814E-2</v>
      </c>
    </row>
    <row r="67" spans="1:19">
      <c r="A67" s="22">
        <f>'Monthly Data'!A67</f>
        <v>41791</v>
      </c>
      <c r="B67" s="6">
        <f t="shared" ref="B67:B97" si="6">YEAR(A67)</f>
        <v>2014</v>
      </c>
      <c r="C67" s="20">
        <f ca="1">'Monthly Data'!G67</f>
        <v>23632986.106066652</v>
      </c>
      <c r="D67" s="6">
        <f>'Monthly Data'!AH67</f>
        <v>2.4000000000000004</v>
      </c>
      <c r="E67" s="6">
        <f>'Monthly Data'!AI67</f>
        <v>123.29999999999997</v>
      </c>
      <c r="F67" s="6">
        <f>'Monthly Data'!AM67</f>
        <v>30</v>
      </c>
      <c r="G67" s="6">
        <f>'Monthly Data'!BD67</f>
        <v>0</v>
      </c>
      <c r="H67" s="6">
        <f>'Monthly Data'!AO67</f>
        <v>66</v>
      </c>
      <c r="I67" s="6">
        <f>'Monthly Data'!AK67</f>
        <v>150.9</v>
      </c>
      <c r="K67" s="20">
        <f>'Res OLS model'!$P$5</f>
        <v>-17553361.595151801</v>
      </c>
      <c r="L67" s="20">
        <f>'Res OLS model'!$P$6*D67</f>
        <v>15554.709249278954</v>
      </c>
      <c r="M67" s="20">
        <f>'Res OLS model'!$P$7*E67</f>
        <v>8408017.1804245543</v>
      </c>
      <c r="N67" s="20">
        <f>'Res OLS model'!$P$8*F67</f>
        <v>24786224.26826271</v>
      </c>
      <c r="O67" s="20">
        <f>'Res OLS model'!$P$9*G67</f>
        <v>0</v>
      </c>
      <c r="P67" s="20">
        <f>'Res OLS model'!$P$10*H67</f>
        <v>-1336404.4204687241</v>
      </c>
      <c r="Q67" s="20">
        <f>'Res OLS model'!$P$11*I67</f>
        <v>10382193.061316717</v>
      </c>
      <c r="R67" s="20">
        <f t="shared" ref="R67:R97" si="7">SUM(K67:Q67)</f>
        <v>24702223.203632738</v>
      </c>
      <c r="S67" s="23">
        <f t="shared" ca="1" si="5"/>
        <v>4.5243419209374088E-2</v>
      </c>
    </row>
    <row r="68" spans="1:19">
      <c r="A68" s="22">
        <f>'Monthly Data'!A68</f>
        <v>41821</v>
      </c>
      <c r="B68" s="6">
        <f t="shared" si="6"/>
        <v>2014</v>
      </c>
      <c r="C68" s="20">
        <f ca="1">'Monthly Data'!G68</f>
        <v>26634565.643123828</v>
      </c>
      <c r="D68" s="6">
        <f>'Monthly Data'!AH68</f>
        <v>0.7</v>
      </c>
      <c r="E68" s="6">
        <f>'Monthly Data'!AI68</f>
        <v>113.59999999999997</v>
      </c>
      <c r="F68" s="6">
        <f>'Monthly Data'!AM68</f>
        <v>31</v>
      </c>
      <c r="G68" s="6">
        <f>'Monthly Data'!BD68</f>
        <v>0</v>
      </c>
      <c r="H68" s="6">
        <f>'Monthly Data'!AO68</f>
        <v>67</v>
      </c>
      <c r="I68" s="6">
        <f>'Monthly Data'!AK68</f>
        <v>153.6</v>
      </c>
      <c r="K68" s="20">
        <f>'Res OLS model'!$P$5</f>
        <v>-17553361.595151801</v>
      </c>
      <c r="L68" s="20">
        <f>'Res OLS model'!$P$6*D68</f>
        <v>4536.7901977063611</v>
      </c>
      <c r="M68" s="20">
        <f>'Res OLS model'!$P$7*E68</f>
        <v>7746559.2189475205</v>
      </c>
      <c r="N68" s="20">
        <f>'Res OLS model'!$P$8*F68</f>
        <v>25612431.743871465</v>
      </c>
      <c r="O68" s="20">
        <f>'Res OLS model'!$P$9*G68</f>
        <v>0</v>
      </c>
      <c r="P68" s="20">
        <f>'Res OLS model'!$P$10*H68</f>
        <v>-1356652.9722940079</v>
      </c>
      <c r="Q68" s="20">
        <f>'Res OLS model'!$P$11*I68</f>
        <v>10567957.947105683</v>
      </c>
      <c r="R68" s="20">
        <f t="shared" si="7"/>
        <v>25021471.132676568</v>
      </c>
      <c r="S68" s="23">
        <f t="shared" ca="1" si="5"/>
        <v>6.0563950321589274E-2</v>
      </c>
    </row>
    <row r="69" spans="1:19">
      <c r="A69" s="22">
        <f>'Monthly Data'!A69</f>
        <v>41852</v>
      </c>
      <c r="B69" s="6">
        <f t="shared" si="6"/>
        <v>2014</v>
      </c>
      <c r="C69" s="20">
        <f ca="1">'Monthly Data'!G69</f>
        <v>26081906.981533043</v>
      </c>
      <c r="D69" s="6">
        <f>'Monthly Data'!AH69</f>
        <v>0.7</v>
      </c>
      <c r="E69" s="6">
        <f>'Monthly Data'!AI69</f>
        <v>130.19999999999996</v>
      </c>
      <c r="F69" s="6">
        <f>'Monthly Data'!AM69</f>
        <v>31</v>
      </c>
      <c r="G69" s="6">
        <f>'Monthly Data'!BD69</f>
        <v>0</v>
      </c>
      <c r="H69" s="6">
        <f>'Monthly Data'!AO69</f>
        <v>68</v>
      </c>
      <c r="I69" s="6">
        <f>'Monthly Data'!AK69</f>
        <v>154.5</v>
      </c>
      <c r="K69" s="20">
        <f>'Res OLS model'!$P$5</f>
        <v>-17553361.595151801</v>
      </c>
      <c r="L69" s="20">
        <f>'Res OLS model'!$P$6*D69</f>
        <v>4536.7901977063611</v>
      </c>
      <c r="M69" s="20">
        <f>'Res OLS model'!$P$7*E69</f>
        <v>8878538.8231247105</v>
      </c>
      <c r="N69" s="20">
        <f>'Res OLS model'!$P$8*F69</f>
        <v>25612431.743871465</v>
      </c>
      <c r="O69" s="20">
        <f>'Res OLS model'!$P$9*G69</f>
        <v>0</v>
      </c>
      <c r="P69" s="20">
        <f>'Res OLS model'!$P$10*H69</f>
        <v>-1376901.5241192915</v>
      </c>
      <c r="Q69" s="20">
        <f>'Res OLS model'!$P$11*I69</f>
        <v>10629879.575702006</v>
      </c>
      <c r="R69" s="20">
        <f t="shared" si="7"/>
        <v>26195123.813624799</v>
      </c>
      <c r="S69" s="23">
        <f t="shared" ca="1" si="5"/>
        <v>4.3408187971806615E-3</v>
      </c>
    </row>
    <row r="70" spans="1:19">
      <c r="A70" s="22">
        <f>'Monthly Data'!A70</f>
        <v>41883</v>
      </c>
      <c r="B70" s="6">
        <f t="shared" si="6"/>
        <v>2014</v>
      </c>
      <c r="C70" s="20">
        <f ca="1">'Monthly Data'!G70</f>
        <v>20850948.143452179</v>
      </c>
      <c r="D70" s="6">
        <f>'Monthly Data'!AH70</f>
        <v>57.20000000000001</v>
      </c>
      <c r="E70" s="6">
        <f>'Monthly Data'!AI70</f>
        <v>50.499999999999979</v>
      </c>
      <c r="F70" s="6">
        <f>'Monthly Data'!AM70</f>
        <v>30</v>
      </c>
      <c r="G70" s="6">
        <f>'Monthly Data'!BD70</f>
        <v>0</v>
      </c>
      <c r="H70" s="6">
        <f>'Monthly Data'!AO70</f>
        <v>69</v>
      </c>
      <c r="I70" s="6">
        <f>'Monthly Data'!AK70</f>
        <v>156.6</v>
      </c>
      <c r="K70" s="20">
        <f>'Res OLS model'!$P$5</f>
        <v>-17553361.595151801</v>
      </c>
      <c r="L70" s="20">
        <f>'Res OLS model'!$P$6*D70</f>
        <v>370720.57044114842</v>
      </c>
      <c r="M70" s="20">
        <f>'Res OLS model'!$P$7*E70</f>
        <v>3443672.8922257903</v>
      </c>
      <c r="N70" s="20">
        <f>'Res OLS model'!$P$8*F70</f>
        <v>24786224.26826271</v>
      </c>
      <c r="O70" s="20">
        <f>'Res OLS model'!$P$9*G70</f>
        <v>0</v>
      </c>
      <c r="P70" s="20">
        <f>'Res OLS model'!$P$10*H70</f>
        <v>-1397150.0759445752</v>
      </c>
      <c r="Q70" s="20">
        <f>'Res OLS model'!$P$11*I70</f>
        <v>10774363.375760091</v>
      </c>
      <c r="R70" s="20">
        <f t="shared" si="7"/>
        <v>20424469.435593367</v>
      </c>
      <c r="S70" s="23">
        <f t="shared" ca="1" si="5"/>
        <v>2.0453684164609038E-2</v>
      </c>
    </row>
    <row r="71" spans="1:19">
      <c r="A71" s="22">
        <f>'Monthly Data'!A71</f>
        <v>41913</v>
      </c>
      <c r="B71" s="6">
        <f t="shared" si="6"/>
        <v>2014</v>
      </c>
      <c r="C71" s="20">
        <f ca="1">'Monthly Data'!G71</f>
        <v>16908660.489088871</v>
      </c>
      <c r="D71" s="6">
        <f>'Monthly Data'!AH71</f>
        <v>179.7</v>
      </c>
      <c r="E71" s="6">
        <f>'Monthly Data'!AI71</f>
        <v>3.9</v>
      </c>
      <c r="F71" s="6">
        <f>'Monthly Data'!AM71</f>
        <v>31</v>
      </c>
      <c r="G71" s="6">
        <f>'Monthly Data'!BD71</f>
        <v>1</v>
      </c>
      <c r="H71" s="6">
        <f>'Monthly Data'!AO71</f>
        <v>70</v>
      </c>
      <c r="I71" s="6">
        <f>'Monthly Data'!AK71</f>
        <v>158.30000000000001</v>
      </c>
      <c r="K71" s="20">
        <f>'Res OLS model'!$P$5</f>
        <v>-17553361.595151801</v>
      </c>
      <c r="L71" s="20">
        <f>'Res OLS model'!$P$6*D71</f>
        <v>1164658.8550397614</v>
      </c>
      <c r="M71" s="20">
        <f>'Res OLS model'!$P$7*E71</f>
        <v>265947.01543921954</v>
      </c>
      <c r="N71" s="20">
        <f>'Res OLS model'!$P$8*F71</f>
        <v>25612431.743871465</v>
      </c>
      <c r="O71" s="20">
        <f>'Res OLS model'!$P$9*G71</f>
        <v>-1882780.1693229801</v>
      </c>
      <c r="P71" s="20">
        <f>'Res OLS model'!$P$10*H71</f>
        <v>-1417398.627769859</v>
      </c>
      <c r="Q71" s="20">
        <f>'Res OLS model'!$P$11*I71</f>
        <v>10891326.451997591</v>
      </c>
      <c r="R71" s="20">
        <f t="shared" si="7"/>
        <v>17080823.674103394</v>
      </c>
      <c r="S71" s="23">
        <f t="shared" ca="1" si="5"/>
        <v>1.018195291848341E-2</v>
      </c>
    </row>
    <row r="72" spans="1:19">
      <c r="A72" s="22">
        <f>'Monthly Data'!A72</f>
        <v>41944</v>
      </c>
      <c r="B72" s="6">
        <f t="shared" si="6"/>
        <v>2014</v>
      </c>
      <c r="C72" s="20">
        <f ca="1">'Monthly Data'!G72</f>
        <v>18563212.718194302</v>
      </c>
      <c r="D72" s="6">
        <f>'Monthly Data'!AH72</f>
        <v>442</v>
      </c>
      <c r="E72" s="6">
        <f>'Monthly Data'!AI72</f>
        <v>0</v>
      </c>
      <c r="F72" s="6">
        <f>'Monthly Data'!AM72</f>
        <v>30</v>
      </c>
      <c r="G72" s="6">
        <f>'Monthly Data'!BD72</f>
        <v>1</v>
      </c>
      <c r="H72" s="6">
        <f>'Monthly Data'!AO72</f>
        <v>71</v>
      </c>
      <c r="I72" s="6">
        <f>'Monthly Data'!AK72</f>
        <v>159.30000000000001</v>
      </c>
      <c r="K72" s="20">
        <f>'Res OLS model'!$P$5</f>
        <v>-17553361.595151801</v>
      </c>
      <c r="L72" s="20">
        <f>'Res OLS model'!$P$6*D72</f>
        <v>2864658.9534088736</v>
      </c>
      <c r="M72" s="20">
        <f>'Res OLS model'!$P$7*E72</f>
        <v>0</v>
      </c>
      <c r="N72" s="20">
        <f>'Res OLS model'!$P$8*F72</f>
        <v>24786224.26826271</v>
      </c>
      <c r="O72" s="20">
        <f>'Res OLS model'!$P$9*G72</f>
        <v>-1882780.1693229801</v>
      </c>
      <c r="P72" s="20">
        <f>'Res OLS model'!$P$10*H72</f>
        <v>-1437647.1795951426</v>
      </c>
      <c r="Q72" s="20">
        <f>'Res OLS model'!$P$11*I72</f>
        <v>10960128.261549059</v>
      </c>
      <c r="R72" s="20">
        <f t="shared" si="7"/>
        <v>17737222.539150722</v>
      </c>
      <c r="S72" s="23">
        <f t="shared" ca="1" si="5"/>
        <v>4.4496078969886756E-2</v>
      </c>
    </row>
    <row r="73" spans="1:19">
      <c r="A73" s="22">
        <f>'Monthly Data'!A73</f>
        <v>41974</v>
      </c>
      <c r="B73" s="6">
        <f t="shared" si="6"/>
        <v>2014</v>
      </c>
      <c r="C73" s="20">
        <f ca="1">'Monthly Data'!G73</f>
        <v>20971941.927321982</v>
      </c>
      <c r="D73" s="6">
        <f>'Monthly Data'!AH73</f>
        <v>513.9</v>
      </c>
      <c r="E73" s="6">
        <f>'Monthly Data'!AI73</f>
        <v>0</v>
      </c>
      <c r="F73" s="6">
        <f>'Monthly Data'!AM73</f>
        <v>31</v>
      </c>
      <c r="G73" s="6">
        <f>'Monthly Data'!BD73</f>
        <v>0</v>
      </c>
      <c r="H73" s="6">
        <f>'Monthly Data'!AO73</f>
        <v>72</v>
      </c>
      <c r="I73" s="6">
        <f>'Monthly Data'!AK73</f>
        <v>161.1</v>
      </c>
      <c r="K73" s="20">
        <f>'Res OLS model'!$P$5</f>
        <v>-17553361.595151801</v>
      </c>
      <c r="L73" s="20">
        <f>'Res OLS model'!$P$6*D73</f>
        <v>3330652.1180018554</v>
      </c>
      <c r="M73" s="20">
        <f>'Res OLS model'!$P$7*E73</f>
        <v>0</v>
      </c>
      <c r="N73" s="20">
        <f>'Res OLS model'!$P$8*F73</f>
        <v>25612431.743871465</v>
      </c>
      <c r="O73" s="20">
        <f>'Res OLS model'!$P$9*G73</f>
        <v>0</v>
      </c>
      <c r="P73" s="20">
        <f>'Res OLS model'!$P$10*H73</f>
        <v>-1457895.7314204264</v>
      </c>
      <c r="Q73" s="20">
        <f>'Res OLS model'!$P$11*I73</f>
        <v>11083971.518741703</v>
      </c>
      <c r="R73" s="20">
        <f t="shared" si="7"/>
        <v>21015798.054042798</v>
      </c>
      <c r="S73" s="23">
        <f t="shared" ca="1" si="5"/>
        <v>2.0911810109335029E-3</v>
      </c>
    </row>
    <row r="74" spans="1:19">
      <c r="A74" s="22">
        <f>'Monthly Data'!A74</f>
        <v>42005</v>
      </c>
      <c r="B74" s="6">
        <f t="shared" si="6"/>
        <v>2015</v>
      </c>
      <c r="C74" s="20">
        <f ca="1">'Monthly Data'!G74</f>
        <v>21649989.759603012</v>
      </c>
      <c r="D74" s="6">
        <f>'Monthly Data'!AH74</f>
        <v>724.69999999999982</v>
      </c>
      <c r="E74" s="6">
        <f>'Monthly Data'!AI74</f>
        <v>0</v>
      </c>
      <c r="F74" s="6">
        <f>'Monthly Data'!AM74</f>
        <v>31</v>
      </c>
      <c r="G74" s="6">
        <f>'Monthly Data'!BD74</f>
        <v>0</v>
      </c>
      <c r="H74" s="6">
        <f>'Monthly Data'!AO74</f>
        <v>73</v>
      </c>
      <c r="I74" s="6">
        <f>'Monthly Data'!AK74</f>
        <v>159.30000000000001</v>
      </c>
      <c r="K74" s="20">
        <f>'Res OLS model'!$P$5</f>
        <v>-17553361.595151801</v>
      </c>
      <c r="L74" s="20">
        <f>'Res OLS model'!$P$6*D74</f>
        <v>4696874.0803968562</v>
      </c>
      <c r="M74" s="20">
        <f>'Res OLS model'!$P$7*E74</f>
        <v>0</v>
      </c>
      <c r="N74" s="20">
        <f>'Res OLS model'!$P$8*F74</f>
        <v>25612431.743871465</v>
      </c>
      <c r="O74" s="20">
        <f>'Res OLS model'!$P$9*G74</f>
        <v>0</v>
      </c>
      <c r="P74" s="20">
        <f>'Res OLS model'!$P$10*H74</f>
        <v>-1478144.28324571</v>
      </c>
      <c r="Q74" s="20">
        <f>'Res OLS model'!$P$11*I74</f>
        <v>10960128.261549059</v>
      </c>
      <c r="R74" s="20">
        <f t="shared" si="7"/>
        <v>22237928.207419872</v>
      </c>
      <c r="S74" s="23">
        <f t="shared" ca="1" si="5"/>
        <v>2.715652313674077E-2</v>
      </c>
    </row>
    <row r="75" spans="1:19">
      <c r="A75" s="22">
        <f>'Monthly Data'!A75</f>
        <v>42036</v>
      </c>
      <c r="B75" s="6">
        <f t="shared" si="6"/>
        <v>2015</v>
      </c>
      <c r="C75" s="20">
        <f ca="1">'Monthly Data'!G75</f>
        <v>19486683.702997562</v>
      </c>
      <c r="D75" s="6">
        <f>'Monthly Data'!AH75</f>
        <v>757.39999999999986</v>
      </c>
      <c r="E75" s="6">
        <f>'Monthly Data'!AI75</f>
        <v>0</v>
      </c>
      <c r="F75" s="6">
        <f>'Monthly Data'!AM75</f>
        <v>28</v>
      </c>
      <c r="G75" s="6">
        <f>'Monthly Data'!BD75</f>
        <v>0</v>
      </c>
      <c r="H75" s="6">
        <f>'Monthly Data'!AO75</f>
        <v>74</v>
      </c>
      <c r="I75" s="6">
        <f>'Monthly Data'!AK75</f>
        <v>159.1</v>
      </c>
      <c r="K75" s="20">
        <f>'Res OLS model'!$P$5</f>
        <v>-17553361.595151801</v>
      </c>
      <c r="L75" s="20">
        <f>'Res OLS model'!$P$6*D75</f>
        <v>4908806.993918282</v>
      </c>
      <c r="M75" s="20">
        <f>'Res OLS model'!$P$7*E75</f>
        <v>0</v>
      </c>
      <c r="N75" s="20">
        <f>'Res OLS model'!$P$8*F75</f>
        <v>23133809.317045197</v>
      </c>
      <c r="O75" s="20">
        <f>'Res OLS model'!$P$9*G75</f>
        <v>0</v>
      </c>
      <c r="P75" s="20">
        <f>'Res OLS model'!$P$10*H75</f>
        <v>-1498392.8350709938</v>
      </c>
      <c r="Q75" s="20">
        <f>'Res OLS model'!$P$11*I75</f>
        <v>10946367.899638765</v>
      </c>
      <c r="R75" s="20">
        <f t="shared" si="7"/>
        <v>19937229.780379448</v>
      </c>
      <c r="S75" s="23">
        <f t="shared" ca="1" si="5"/>
        <v>2.3120715882127277E-2</v>
      </c>
    </row>
    <row r="76" spans="1:19">
      <c r="A76" s="22">
        <f>'Monthly Data'!A76</f>
        <v>42064</v>
      </c>
      <c r="B76" s="6">
        <f t="shared" si="6"/>
        <v>2015</v>
      </c>
      <c r="C76" s="20">
        <f ca="1">'Monthly Data'!G76</f>
        <v>18973860.261144333</v>
      </c>
      <c r="D76" s="6">
        <f>'Monthly Data'!AH76</f>
        <v>508.7</v>
      </c>
      <c r="E76" s="6">
        <f>'Monthly Data'!AI76</f>
        <v>0</v>
      </c>
      <c r="F76" s="6">
        <f>'Monthly Data'!AM76</f>
        <v>31</v>
      </c>
      <c r="G76" s="6">
        <f>'Monthly Data'!BD76</f>
        <v>1</v>
      </c>
      <c r="H76" s="6">
        <f>'Monthly Data'!AO76</f>
        <v>75</v>
      </c>
      <c r="I76" s="6">
        <f>'Monthly Data'!AK76</f>
        <v>156.1</v>
      </c>
      <c r="K76" s="20">
        <f>'Res OLS model'!$P$5</f>
        <v>-17553361.595151801</v>
      </c>
      <c r="L76" s="20">
        <f>'Res OLS model'!$P$6*D76</f>
        <v>3296950.2479617512</v>
      </c>
      <c r="M76" s="20">
        <f>'Res OLS model'!$P$7*E76</f>
        <v>0</v>
      </c>
      <c r="N76" s="20">
        <f>'Res OLS model'!$P$8*F76</f>
        <v>25612431.743871465</v>
      </c>
      <c r="O76" s="20">
        <f>'Res OLS model'!$P$9*G76</f>
        <v>-1882780.1693229801</v>
      </c>
      <c r="P76" s="20">
        <f>'Res OLS model'!$P$10*H76</f>
        <v>-1518641.3868962775</v>
      </c>
      <c r="Q76" s="20">
        <f>'Res OLS model'!$P$11*I76</f>
        <v>10739962.470984356</v>
      </c>
      <c r="R76" s="20">
        <f t="shared" si="7"/>
        <v>18694561.311446514</v>
      </c>
      <c r="S76" s="23">
        <f t="shared" ca="1" si="5"/>
        <v>1.4720196409888274E-2</v>
      </c>
    </row>
    <row r="77" spans="1:19">
      <c r="A77" s="22">
        <f>'Monthly Data'!A77</f>
        <v>42095</v>
      </c>
      <c r="B77" s="6">
        <f t="shared" si="6"/>
        <v>2015</v>
      </c>
      <c r="C77" s="20">
        <f ca="1">'Monthly Data'!G77</f>
        <v>16365087.530337434</v>
      </c>
      <c r="D77" s="6">
        <f>'Monthly Data'!AH77</f>
        <v>257.39999999999992</v>
      </c>
      <c r="E77" s="6">
        <f>'Monthly Data'!AI77</f>
        <v>0</v>
      </c>
      <c r="F77" s="6">
        <f>'Monthly Data'!AM77</f>
        <v>30</v>
      </c>
      <c r="G77" s="6">
        <f>'Monthly Data'!BD77</f>
        <v>1</v>
      </c>
      <c r="H77" s="6">
        <f>'Monthly Data'!AO77</f>
        <v>76</v>
      </c>
      <c r="I77" s="6">
        <f>'Monthly Data'!AK77</f>
        <v>156.4</v>
      </c>
      <c r="K77" s="20">
        <f>'Res OLS model'!$P$5</f>
        <v>-17553361.595151801</v>
      </c>
      <c r="L77" s="20">
        <f>'Res OLS model'!$P$6*D77</f>
        <v>1668242.5669851671</v>
      </c>
      <c r="M77" s="20">
        <f>'Res OLS model'!$P$7*E77</f>
        <v>0</v>
      </c>
      <c r="N77" s="20">
        <f>'Res OLS model'!$P$8*F77</f>
        <v>24786224.26826271</v>
      </c>
      <c r="O77" s="20">
        <f>'Res OLS model'!$P$9*G77</f>
        <v>-1882780.1693229801</v>
      </c>
      <c r="P77" s="20">
        <f>'Res OLS model'!$P$10*H77</f>
        <v>-1538889.9387215611</v>
      </c>
      <c r="Q77" s="20">
        <f>'Res OLS model'!$P$11*I77</f>
        <v>10760603.013849799</v>
      </c>
      <c r="R77" s="20">
        <f t="shared" si="7"/>
        <v>16240038.145901334</v>
      </c>
      <c r="S77" s="23">
        <f t="shared" ca="1" si="5"/>
        <v>7.641229184034942E-3</v>
      </c>
    </row>
    <row r="78" spans="1:19">
      <c r="A78" s="22">
        <f>'Monthly Data'!A78</f>
        <v>42125</v>
      </c>
      <c r="B78" s="6">
        <f t="shared" si="6"/>
        <v>2015</v>
      </c>
      <c r="C78" s="20">
        <f ca="1">'Monthly Data'!G78</f>
        <v>18651758.220492445</v>
      </c>
      <c r="D78" s="6">
        <f>'Monthly Data'!AH78</f>
        <v>68.7</v>
      </c>
      <c r="E78" s="6">
        <f>'Monthly Data'!AI78</f>
        <v>64.099999999999994</v>
      </c>
      <c r="F78" s="6">
        <f>'Monthly Data'!AM78</f>
        <v>31</v>
      </c>
      <c r="G78" s="6">
        <f>'Monthly Data'!BD78</f>
        <v>1</v>
      </c>
      <c r="H78" s="6">
        <f>'Monthly Data'!AO78</f>
        <v>77</v>
      </c>
      <c r="I78" s="6">
        <f>'Monthly Data'!AK78</f>
        <v>159.1</v>
      </c>
      <c r="K78" s="20">
        <f>'Res OLS model'!$P$5</f>
        <v>-17553361.595151801</v>
      </c>
      <c r="L78" s="20">
        <f>'Res OLS model'!$P$6*D78</f>
        <v>445253.55226061004</v>
      </c>
      <c r="M78" s="20">
        <f>'Res OLS model'!$P$7*E78</f>
        <v>4371077.8691420443</v>
      </c>
      <c r="N78" s="20">
        <f>'Res OLS model'!$P$8*F78</f>
        <v>25612431.743871465</v>
      </c>
      <c r="O78" s="20">
        <f>'Res OLS model'!$P$9*G78</f>
        <v>-1882780.1693229801</v>
      </c>
      <c r="P78" s="20">
        <f>'Res OLS model'!$P$10*H78</f>
        <v>-1559138.4905468449</v>
      </c>
      <c r="Q78" s="20">
        <f>'Res OLS model'!$P$11*I78</f>
        <v>10946367.899638765</v>
      </c>
      <c r="R78" s="20">
        <f t="shared" si="7"/>
        <v>20379850.809891261</v>
      </c>
      <c r="S78" s="23">
        <f t="shared" ca="1" si="5"/>
        <v>9.2650385500932742E-2</v>
      </c>
    </row>
    <row r="79" spans="1:19">
      <c r="A79" s="22">
        <f>'Monthly Data'!A79</f>
        <v>42156</v>
      </c>
      <c r="B79" s="6">
        <f t="shared" si="6"/>
        <v>2015</v>
      </c>
      <c r="C79" s="20">
        <f ca="1">'Monthly Data'!G79</f>
        <v>22183132.397238649</v>
      </c>
      <c r="D79" s="6">
        <f>'Monthly Data'!AH79</f>
        <v>13.1</v>
      </c>
      <c r="E79" s="6">
        <f>'Monthly Data'!AI79</f>
        <v>89.59999999999998</v>
      </c>
      <c r="F79" s="6">
        <f>'Monthly Data'!AM79</f>
        <v>30</v>
      </c>
      <c r="G79" s="6">
        <f>'Monthly Data'!BD79</f>
        <v>0</v>
      </c>
      <c r="H79" s="6">
        <f>'Monthly Data'!AO79</f>
        <v>78</v>
      </c>
      <c r="I79" s="6">
        <f>'Monthly Data'!AK79</f>
        <v>163.9</v>
      </c>
      <c r="K79" s="20">
        <f>'Res OLS model'!$P$5</f>
        <v>-17553361.595151801</v>
      </c>
      <c r="L79" s="20">
        <f>'Res OLS model'!$P$6*D79</f>
        <v>84902.787985647607</v>
      </c>
      <c r="M79" s="20">
        <f>'Res OLS model'!$P$7*E79</f>
        <v>6109962.200860017</v>
      </c>
      <c r="N79" s="20">
        <f>'Res OLS model'!$P$8*F79</f>
        <v>24786224.26826271</v>
      </c>
      <c r="O79" s="20">
        <f>'Res OLS model'!$P$9*G79</f>
        <v>0</v>
      </c>
      <c r="P79" s="20">
        <f>'Res OLS model'!$P$10*H79</f>
        <v>-1579387.0423721285</v>
      </c>
      <c r="Q79" s="20">
        <f>'Res OLS model'!$P$11*I79</f>
        <v>11276616.585485818</v>
      </c>
      <c r="R79" s="20">
        <f t="shared" si="7"/>
        <v>23124957.205070265</v>
      </c>
      <c r="S79" s="23">
        <f t="shared" ca="1" si="5"/>
        <v>4.2456799651470922E-2</v>
      </c>
    </row>
    <row r="80" spans="1:19">
      <c r="A80" s="22">
        <f>'Monthly Data'!A80</f>
        <v>42186</v>
      </c>
      <c r="B80" s="6">
        <f t="shared" si="6"/>
        <v>2015</v>
      </c>
      <c r="C80" s="20">
        <f ca="1">'Monthly Data'!G80</f>
        <v>27993055.489478592</v>
      </c>
      <c r="D80" s="6">
        <f>'Monthly Data'!AH80</f>
        <v>1.9</v>
      </c>
      <c r="E80" s="6">
        <f>'Monthly Data'!AI80</f>
        <v>152.89999999999998</v>
      </c>
      <c r="F80" s="6">
        <f>'Monthly Data'!AM80</f>
        <v>31</v>
      </c>
      <c r="G80" s="6">
        <f>'Monthly Data'!BD80</f>
        <v>0</v>
      </c>
      <c r="H80" s="6">
        <f>'Monthly Data'!AO80</f>
        <v>79</v>
      </c>
      <c r="I80" s="6">
        <f>'Monthly Data'!AK80</f>
        <v>164.8</v>
      </c>
      <c r="K80" s="20">
        <f>'Res OLS model'!$P$5</f>
        <v>-17553361.595151801</v>
      </c>
      <c r="L80" s="20">
        <f>'Res OLS model'!$P$6*D80</f>
        <v>12314.144822345837</v>
      </c>
      <c r="M80" s="20">
        <f>'Res OLS model'!$P$7*E80</f>
        <v>10426486.83606581</v>
      </c>
      <c r="N80" s="20">
        <f>'Res OLS model'!$P$8*F80</f>
        <v>25612431.743871465</v>
      </c>
      <c r="O80" s="20">
        <f>'Res OLS model'!$P$9*G80</f>
        <v>0</v>
      </c>
      <c r="P80" s="20">
        <f>'Res OLS model'!$P$10*H80</f>
        <v>-1599635.5941974123</v>
      </c>
      <c r="Q80" s="20">
        <f>'Res OLS model'!$P$11*I80</f>
        <v>11338538.21408214</v>
      </c>
      <c r="R80" s="20">
        <f t="shared" si="7"/>
        <v>28236773.749492548</v>
      </c>
      <c r="S80" s="23">
        <f t="shared" ca="1" si="5"/>
        <v>8.7063829136322744E-3</v>
      </c>
    </row>
    <row r="81" spans="1:19">
      <c r="A81" s="22">
        <f>'Monthly Data'!A81</f>
        <v>42217</v>
      </c>
      <c r="B81" s="6">
        <f t="shared" si="6"/>
        <v>2015</v>
      </c>
      <c r="C81" s="20">
        <f ca="1">'Monthly Data'!G81</f>
        <v>28703608.706477717</v>
      </c>
      <c r="D81" s="6">
        <f>'Monthly Data'!AH81</f>
        <v>3.2</v>
      </c>
      <c r="E81" s="6">
        <f>'Monthly Data'!AI81</f>
        <v>138.69999999999999</v>
      </c>
      <c r="F81" s="6">
        <f>'Monthly Data'!AM81</f>
        <v>31</v>
      </c>
      <c r="G81" s="6">
        <f>'Monthly Data'!BD81</f>
        <v>0</v>
      </c>
      <c r="H81" s="6">
        <f>'Monthly Data'!AO81</f>
        <v>80</v>
      </c>
      <c r="I81" s="6">
        <f>'Monthly Data'!AK81</f>
        <v>160.80000000000001</v>
      </c>
      <c r="K81" s="20">
        <f>'Res OLS model'!$P$5</f>
        <v>-17553361.595151801</v>
      </c>
      <c r="L81" s="20">
        <f>'Res OLS model'!$P$6*D81</f>
        <v>20739.612332371937</v>
      </c>
      <c r="M81" s="20">
        <f>'Res OLS model'!$P$7*E81</f>
        <v>9458166.9336973708</v>
      </c>
      <c r="N81" s="20">
        <f>'Res OLS model'!$P$8*F81</f>
        <v>25612431.743871465</v>
      </c>
      <c r="O81" s="20">
        <f>'Res OLS model'!$P$9*G81</f>
        <v>0</v>
      </c>
      <c r="P81" s="20">
        <f>'Res OLS model'!$P$10*H81</f>
        <v>-1619884.146022696</v>
      </c>
      <c r="Q81" s="20">
        <f>'Res OLS model'!$P$11*I81</f>
        <v>11063330.975876264</v>
      </c>
      <c r="R81" s="20">
        <f t="shared" si="7"/>
        <v>26981423.524602976</v>
      </c>
      <c r="S81" s="23">
        <f t="shared" ca="1" si="5"/>
        <v>5.9998908133320705E-2</v>
      </c>
    </row>
    <row r="82" spans="1:19">
      <c r="A82" s="22">
        <f>'Monthly Data'!A82</f>
        <v>42248</v>
      </c>
      <c r="B82" s="6">
        <f t="shared" si="6"/>
        <v>2015</v>
      </c>
      <c r="C82" s="20">
        <f ca="1">'Monthly Data'!G82</f>
        <v>22815455.466654569</v>
      </c>
      <c r="D82" s="6">
        <f>'Monthly Data'!AH82</f>
        <v>10.8</v>
      </c>
      <c r="E82" s="6">
        <f>'Monthly Data'!AI82</f>
        <v>109.19999999999997</v>
      </c>
      <c r="F82" s="6">
        <f>'Monthly Data'!AM82</f>
        <v>30</v>
      </c>
      <c r="G82" s="6">
        <f>'Monthly Data'!BD82</f>
        <v>0</v>
      </c>
      <c r="H82" s="6">
        <f>'Monthly Data'!AO82</f>
        <v>81</v>
      </c>
      <c r="I82" s="6">
        <f>'Monthly Data'!AK82</f>
        <v>156.69999999999999</v>
      </c>
      <c r="K82" s="20">
        <f>'Res OLS model'!$P$5</f>
        <v>-17553361.595151801</v>
      </c>
      <c r="L82" s="20">
        <f>'Res OLS model'!$P$6*D82</f>
        <v>69996.191621755293</v>
      </c>
      <c r="M82" s="20">
        <f>'Res OLS model'!$P$7*E82</f>
        <v>7446516.4322981453</v>
      </c>
      <c r="N82" s="20">
        <f>'Res OLS model'!$P$8*F82</f>
        <v>24786224.26826271</v>
      </c>
      <c r="O82" s="20">
        <f>'Res OLS model'!$P$9*G82</f>
        <v>0</v>
      </c>
      <c r="P82" s="20">
        <f>'Res OLS model'!$P$10*H82</f>
        <v>-1640132.6978479796</v>
      </c>
      <c r="Q82" s="20">
        <f>'Res OLS model'!$P$11*I82</f>
        <v>10781243.556715239</v>
      </c>
      <c r="R82" s="20">
        <f t="shared" si="7"/>
        <v>23890486.155898072</v>
      </c>
      <c r="S82" s="23">
        <f t="shared" ca="1" si="5"/>
        <v>4.711852852618658E-2</v>
      </c>
    </row>
    <row r="83" spans="1:19">
      <c r="A83" s="22">
        <f>'Monthly Data'!A83</f>
        <v>42278</v>
      </c>
      <c r="B83" s="6">
        <f t="shared" si="6"/>
        <v>2015</v>
      </c>
      <c r="C83" s="20">
        <f ca="1">'Monthly Data'!G83</f>
        <v>17314651.390864406</v>
      </c>
      <c r="D83" s="6">
        <f>'Monthly Data'!AH83</f>
        <v>157.80000000000001</v>
      </c>
      <c r="E83" s="6">
        <f>'Monthly Data'!AI83</f>
        <v>2.6</v>
      </c>
      <c r="F83" s="6">
        <f>'Monthly Data'!AM83</f>
        <v>31</v>
      </c>
      <c r="G83" s="6">
        <f>'Monthly Data'!BD83</f>
        <v>1</v>
      </c>
      <c r="H83" s="6">
        <f>'Monthly Data'!AO83</f>
        <v>82</v>
      </c>
      <c r="I83" s="6">
        <f>'Monthly Data'!AK83</f>
        <v>155.1</v>
      </c>
      <c r="K83" s="20">
        <f>'Res OLS model'!$P$5</f>
        <v>-17553361.595151801</v>
      </c>
      <c r="L83" s="20">
        <f>'Res OLS model'!$P$6*D83</f>
        <v>1022722.1331400912</v>
      </c>
      <c r="M83" s="20">
        <f>'Res OLS model'!$P$7*E83</f>
        <v>177298.01029281304</v>
      </c>
      <c r="N83" s="20">
        <f>'Res OLS model'!$P$8*F83</f>
        <v>25612431.743871465</v>
      </c>
      <c r="O83" s="20">
        <f>'Res OLS model'!$P$9*G83</f>
        <v>-1882780.1693229801</v>
      </c>
      <c r="P83" s="20">
        <f>'Res OLS model'!$P$10*H83</f>
        <v>-1660381.2496732634</v>
      </c>
      <c r="Q83" s="20">
        <f>'Res OLS model'!$P$11*I83</f>
        <v>10671160.661432888</v>
      </c>
      <c r="R83" s="20">
        <f t="shared" si="7"/>
        <v>16387089.534589212</v>
      </c>
      <c r="S83" s="23">
        <f t="shared" ca="1" si="5"/>
        <v>5.3570922990952945E-2</v>
      </c>
    </row>
    <row r="84" spans="1:19">
      <c r="A84" s="22">
        <f>'Monthly Data'!A84</f>
        <v>42309</v>
      </c>
      <c r="B84" s="6">
        <f t="shared" si="6"/>
        <v>2015</v>
      </c>
      <c r="C84" s="20">
        <f ca="1">'Monthly Data'!G84</f>
        <v>17016965.168729268</v>
      </c>
      <c r="D84" s="6">
        <f>'Monthly Data'!AH84</f>
        <v>286.60000000000002</v>
      </c>
      <c r="E84" s="6">
        <f>'Monthly Data'!AI84</f>
        <v>0.5</v>
      </c>
      <c r="F84" s="6">
        <f>'Monthly Data'!AM84</f>
        <v>30</v>
      </c>
      <c r="G84" s="6">
        <f>'Monthly Data'!BD84</f>
        <v>1</v>
      </c>
      <c r="H84" s="6">
        <f>'Monthly Data'!AO84</f>
        <v>83</v>
      </c>
      <c r="I84" s="6">
        <f>'Monthly Data'!AK84</f>
        <v>155.19999999999999</v>
      </c>
      <c r="K84" s="20">
        <f>'Res OLS model'!$P$5</f>
        <v>-17553361.595151801</v>
      </c>
      <c r="L84" s="20">
        <f>'Res OLS model'!$P$6*D84</f>
        <v>1857491.5295180618</v>
      </c>
      <c r="M84" s="20">
        <f>'Res OLS model'!$P$7*E84</f>
        <v>34095.771210156352</v>
      </c>
      <c r="N84" s="20">
        <f>'Res OLS model'!$P$8*F84</f>
        <v>24786224.26826271</v>
      </c>
      <c r="O84" s="20">
        <f>'Res OLS model'!$P$9*G84</f>
        <v>-1882780.1693229801</v>
      </c>
      <c r="P84" s="20">
        <f>'Res OLS model'!$P$10*H84</f>
        <v>-1680629.801498547</v>
      </c>
      <c r="Q84" s="20">
        <f>'Res OLS model'!$P$11*I84</f>
        <v>10678040.842388034</v>
      </c>
      <c r="R84" s="20">
        <f t="shared" si="7"/>
        <v>16239080.845405634</v>
      </c>
      <c r="S84" s="23">
        <f t="shared" ca="1" si="5"/>
        <v>4.5712282749046818E-2</v>
      </c>
    </row>
    <row r="85" spans="1:19">
      <c r="A85" s="22">
        <f>'Monthly Data'!A85</f>
        <v>42339</v>
      </c>
      <c r="B85" s="6">
        <f t="shared" si="6"/>
        <v>2015</v>
      </c>
      <c r="C85" s="20">
        <f ca="1">'Monthly Data'!G85</f>
        <v>19664038.057087231</v>
      </c>
      <c r="D85" s="6">
        <f>'Monthly Data'!AH85</f>
        <v>392.2</v>
      </c>
      <c r="E85" s="6">
        <f>'Monthly Data'!AI85</f>
        <v>0</v>
      </c>
      <c r="F85" s="6">
        <f>'Monthly Data'!AM85</f>
        <v>31</v>
      </c>
      <c r="G85" s="6">
        <f>'Monthly Data'!BD85</f>
        <v>0</v>
      </c>
      <c r="H85" s="6">
        <f>'Monthly Data'!AO85</f>
        <v>84</v>
      </c>
      <c r="I85" s="6">
        <f>'Monthly Data'!AK85</f>
        <v>155.19999999999999</v>
      </c>
      <c r="K85" s="20">
        <f>'Res OLS model'!$P$5</f>
        <v>-17553361.595151801</v>
      </c>
      <c r="L85" s="20">
        <f>'Res OLS model'!$P$6*D85</f>
        <v>2541898.7364863353</v>
      </c>
      <c r="M85" s="20">
        <f>'Res OLS model'!$P$7*E85</f>
        <v>0</v>
      </c>
      <c r="N85" s="20">
        <f>'Res OLS model'!$P$8*F85</f>
        <v>25612431.743871465</v>
      </c>
      <c r="O85" s="20">
        <f>'Res OLS model'!$P$9*G85</f>
        <v>0</v>
      </c>
      <c r="P85" s="20">
        <f>'Res OLS model'!$P$10*H85</f>
        <v>-1700878.3533238308</v>
      </c>
      <c r="Q85" s="20">
        <f>'Res OLS model'!$P$11*I85</f>
        <v>10678040.842388034</v>
      </c>
      <c r="R85" s="20">
        <f t="shared" si="7"/>
        <v>19578131.374270201</v>
      </c>
      <c r="S85" s="23">
        <f t="shared" ca="1" si="5"/>
        <v>4.3687203293460144E-3</v>
      </c>
    </row>
    <row r="86" spans="1:19">
      <c r="A86" s="22">
        <f>'Monthly Data'!A86</f>
        <v>42370</v>
      </c>
      <c r="B86" s="6">
        <f t="shared" si="6"/>
        <v>2016</v>
      </c>
      <c r="C86" s="20">
        <f ca="1">'Monthly Data'!G86</f>
        <v>20601636.758254569</v>
      </c>
      <c r="D86" s="6">
        <f>'Monthly Data'!AH86</f>
        <v>618.5</v>
      </c>
      <c r="E86" s="6">
        <f>'Monthly Data'!AI86</f>
        <v>0</v>
      </c>
      <c r="F86" s="6">
        <f>'Monthly Data'!AM86</f>
        <v>31</v>
      </c>
      <c r="G86" s="6">
        <f>'Monthly Data'!BD86</f>
        <v>0</v>
      </c>
      <c r="H86" s="6">
        <f>'Monthly Data'!AO86</f>
        <v>85</v>
      </c>
      <c r="I86" s="6">
        <f>'Monthly Data'!AK86</f>
        <v>155</v>
      </c>
      <c r="K86" s="20">
        <f>'Res OLS model'!$P$5</f>
        <v>-17553361.595151801</v>
      </c>
      <c r="L86" s="20">
        <f>'Res OLS model'!$P$6*D86</f>
        <v>4008578.1961162635</v>
      </c>
      <c r="M86" s="20">
        <f>'Res OLS model'!$P$7*E86</f>
        <v>0</v>
      </c>
      <c r="N86" s="20">
        <f>'Res OLS model'!$P$8*F86</f>
        <v>25612431.743871465</v>
      </c>
      <c r="O86" s="20">
        <f>'Res OLS model'!$P$9*G86</f>
        <v>0</v>
      </c>
      <c r="P86" s="20">
        <f>'Res OLS model'!$P$10*H86</f>
        <v>-1721126.9051491143</v>
      </c>
      <c r="Q86" s="20">
        <f>'Res OLS model'!$P$11*I86</f>
        <v>10664280.480477741</v>
      </c>
      <c r="R86" s="20">
        <f t="shared" si="7"/>
        <v>21010801.920164555</v>
      </c>
      <c r="S86" s="23">
        <f t="shared" ca="1" si="5"/>
        <v>1.9860808474163775E-2</v>
      </c>
    </row>
    <row r="87" spans="1:19">
      <c r="A87" s="22">
        <f>'Monthly Data'!A87</f>
        <v>42401</v>
      </c>
      <c r="B87" s="6">
        <f t="shared" si="6"/>
        <v>2016</v>
      </c>
      <c r="C87" s="20">
        <f ca="1">'Monthly Data'!G87</f>
        <v>18346878.747394856</v>
      </c>
      <c r="D87" s="6">
        <f>'Monthly Data'!AH87</f>
        <v>510.5</v>
      </c>
      <c r="E87" s="6">
        <f>'Monthly Data'!AI87</f>
        <v>0</v>
      </c>
      <c r="F87" s="6">
        <f>'Monthly Data'!AM87</f>
        <v>29</v>
      </c>
      <c r="G87" s="6">
        <f>'Monthly Data'!BD87</f>
        <v>0</v>
      </c>
      <c r="H87" s="6">
        <f>'Monthly Data'!AO87</f>
        <v>86</v>
      </c>
      <c r="I87" s="6">
        <f>'Monthly Data'!AK87</f>
        <v>156</v>
      </c>
      <c r="K87" s="20">
        <f>'Res OLS model'!$P$5</f>
        <v>-17553361.595151801</v>
      </c>
      <c r="L87" s="20">
        <f>'Res OLS model'!$P$6*D87</f>
        <v>3308616.2798987105</v>
      </c>
      <c r="M87" s="20">
        <f>'Res OLS model'!$P$7*E87</f>
        <v>0</v>
      </c>
      <c r="N87" s="20">
        <f>'Res OLS model'!$P$8*F87</f>
        <v>23960016.792653952</v>
      </c>
      <c r="O87" s="20">
        <f>'Res OLS model'!$P$9*G87</f>
        <v>0</v>
      </c>
      <c r="P87" s="20">
        <f>'Res OLS model'!$P$10*H87</f>
        <v>-1741375.4569743981</v>
      </c>
      <c r="Q87" s="20">
        <f>'Res OLS model'!$P$11*I87</f>
        <v>10733082.290029211</v>
      </c>
      <c r="R87" s="20">
        <f t="shared" si="7"/>
        <v>18706978.310455672</v>
      </c>
      <c r="S87" s="23">
        <f t="shared" ca="1" si="5"/>
        <v>1.9627292904628169E-2</v>
      </c>
    </row>
    <row r="88" spans="1:19">
      <c r="A88" s="22">
        <f>'Monthly Data'!A88</f>
        <v>42430</v>
      </c>
      <c r="B88" s="6">
        <f t="shared" si="6"/>
        <v>2016</v>
      </c>
      <c r="C88" s="20">
        <f ca="1">'Monthly Data'!G88</f>
        <v>17956001.716218144</v>
      </c>
      <c r="D88" s="6">
        <f>'Monthly Data'!AH88</f>
        <v>350.9</v>
      </c>
      <c r="E88" s="6">
        <f>'Monthly Data'!AI88</f>
        <v>0</v>
      </c>
      <c r="F88" s="6">
        <f>'Monthly Data'!AM88</f>
        <v>31</v>
      </c>
      <c r="G88" s="6">
        <f>'Monthly Data'!BD88</f>
        <v>1</v>
      </c>
      <c r="H88" s="6">
        <f>'Monthly Data'!AO88</f>
        <v>87</v>
      </c>
      <c r="I88" s="6">
        <f>'Monthly Data'!AK88</f>
        <v>156.80000000000001</v>
      </c>
      <c r="K88" s="20">
        <f>'Res OLS model'!$P$5</f>
        <v>-17553361.595151801</v>
      </c>
      <c r="L88" s="20">
        <f>'Res OLS model'!$P$6*D88</f>
        <v>2274228.1148216599</v>
      </c>
      <c r="M88" s="20">
        <f>'Res OLS model'!$P$7*E88</f>
        <v>0</v>
      </c>
      <c r="N88" s="20">
        <f>'Res OLS model'!$P$8*F88</f>
        <v>25612431.743871465</v>
      </c>
      <c r="O88" s="20">
        <f>'Res OLS model'!$P$9*G88</f>
        <v>-1882780.1693229801</v>
      </c>
      <c r="P88" s="20">
        <f>'Res OLS model'!$P$10*H88</f>
        <v>-1761624.0087996819</v>
      </c>
      <c r="Q88" s="20">
        <f>'Res OLS model'!$P$11*I88</f>
        <v>10788123.737670386</v>
      </c>
      <c r="R88" s="20">
        <f t="shared" si="7"/>
        <v>17477017.823089048</v>
      </c>
      <c r="S88" s="23">
        <f t="shared" ca="1" si="5"/>
        <v>2.6675420324585381E-2</v>
      </c>
    </row>
    <row r="89" spans="1:19">
      <c r="A89" s="22">
        <f>'Monthly Data'!A89</f>
        <v>42461</v>
      </c>
      <c r="B89" s="6">
        <f t="shared" si="6"/>
        <v>2016</v>
      </c>
      <c r="C89" s="20">
        <f ca="1">'Monthly Data'!G89</f>
        <v>16392981.032851683</v>
      </c>
      <c r="D89" s="6">
        <f>'Monthly Data'!AH89</f>
        <v>315.20000000000005</v>
      </c>
      <c r="E89" s="6">
        <f>'Monthly Data'!AI89</f>
        <v>0</v>
      </c>
      <c r="F89" s="6">
        <f>'Monthly Data'!AM89</f>
        <v>30</v>
      </c>
      <c r="G89" s="6">
        <f>'Monthly Data'!BD89</f>
        <v>1</v>
      </c>
      <c r="H89" s="6">
        <f>'Monthly Data'!AO89</f>
        <v>88</v>
      </c>
      <c r="I89" s="6">
        <f>'Monthly Data'!AK89</f>
        <v>159.30000000000001</v>
      </c>
      <c r="K89" s="20">
        <f>'Res OLS model'!$P$5</f>
        <v>-17553361.595151801</v>
      </c>
      <c r="L89" s="20">
        <f>'Res OLS model'!$P$6*D89</f>
        <v>2042851.8147386361</v>
      </c>
      <c r="M89" s="20">
        <f>'Res OLS model'!$P$7*E89</f>
        <v>0</v>
      </c>
      <c r="N89" s="20">
        <f>'Res OLS model'!$P$8*F89</f>
        <v>24786224.26826271</v>
      </c>
      <c r="O89" s="20">
        <f>'Res OLS model'!$P$9*G89</f>
        <v>-1882780.1693229801</v>
      </c>
      <c r="P89" s="20">
        <f>'Res OLS model'!$P$10*H89</f>
        <v>-1781872.5606249655</v>
      </c>
      <c r="Q89" s="20">
        <f>'Res OLS model'!$P$11*I89</f>
        <v>10960128.261549059</v>
      </c>
      <c r="R89" s="20">
        <f t="shared" si="7"/>
        <v>16571190.019450661</v>
      </c>
      <c r="S89" s="23">
        <f t="shared" ca="1" si="5"/>
        <v>1.0871054278770005E-2</v>
      </c>
    </row>
    <row r="90" spans="1:19">
      <c r="A90" s="22">
        <f>'Monthly Data'!A90</f>
        <v>42491</v>
      </c>
      <c r="B90" s="6">
        <f t="shared" si="6"/>
        <v>2016</v>
      </c>
      <c r="C90" s="20">
        <f ca="1">'Monthly Data'!G90</f>
        <v>18911404.750367332</v>
      </c>
      <c r="D90" s="6">
        <f>'Monthly Data'!AH90</f>
        <v>110.9</v>
      </c>
      <c r="E90" s="6">
        <f>'Monthly Data'!AI90</f>
        <v>47</v>
      </c>
      <c r="F90" s="6">
        <f>'Monthly Data'!AM90</f>
        <v>31</v>
      </c>
      <c r="G90" s="6">
        <f>'Monthly Data'!BD90</f>
        <v>1</v>
      </c>
      <c r="H90" s="6">
        <f>'Monthly Data'!AO90</f>
        <v>89</v>
      </c>
      <c r="I90" s="6">
        <f>'Monthly Data'!AK90</f>
        <v>162.1</v>
      </c>
      <c r="K90" s="20">
        <f>'Res OLS model'!$P$5</f>
        <v>-17553361.595151801</v>
      </c>
      <c r="L90" s="20">
        <f>'Res OLS model'!$P$6*D90</f>
        <v>718757.18989376491</v>
      </c>
      <c r="M90" s="20">
        <f>'Res OLS model'!$P$7*E90</f>
        <v>3205002.493754697</v>
      </c>
      <c r="N90" s="20">
        <f>'Res OLS model'!$P$8*F90</f>
        <v>25612431.743871465</v>
      </c>
      <c r="O90" s="20">
        <f>'Res OLS model'!$P$9*G90</f>
        <v>-1882780.1693229801</v>
      </c>
      <c r="P90" s="20">
        <f>'Res OLS model'!$P$10*H90</f>
        <v>-1802121.1124502493</v>
      </c>
      <c r="Q90" s="20">
        <f>'Res OLS model'!$P$11*I90</f>
        <v>11152773.328293173</v>
      </c>
      <c r="R90" s="20">
        <f t="shared" si="7"/>
        <v>19450701.878888067</v>
      </c>
      <c r="S90" s="23">
        <f t="shared" ca="1" si="5"/>
        <v>2.8517031687466759E-2</v>
      </c>
    </row>
    <row r="91" spans="1:19">
      <c r="A91" s="22">
        <f>'Monthly Data'!A91</f>
        <v>42522</v>
      </c>
      <c r="B91" s="6">
        <f t="shared" si="6"/>
        <v>2016</v>
      </c>
      <c r="C91" s="20">
        <f ca="1">'Monthly Data'!G91</f>
        <v>25541820.802852735</v>
      </c>
      <c r="D91" s="6">
        <f>'Monthly Data'!AH91</f>
        <v>5.6</v>
      </c>
      <c r="E91" s="6">
        <f>'Monthly Data'!AI91</f>
        <v>127.2</v>
      </c>
      <c r="F91" s="6">
        <f>'Monthly Data'!AM91</f>
        <v>30</v>
      </c>
      <c r="G91" s="6">
        <f>'Monthly Data'!BD91</f>
        <v>0</v>
      </c>
      <c r="H91" s="6">
        <f>'Monthly Data'!AO91</f>
        <v>90</v>
      </c>
      <c r="I91" s="6">
        <f>'Monthly Data'!AK91</f>
        <v>166.7</v>
      </c>
      <c r="K91" s="20">
        <f>'Res OLS model'!$P$5</f>
        <v>-17553361.595151801</v>
      </c>
      <c r="L91" s="20">
        <f>'Res OLS model'!$P$6*D91</f>
        <v>36294.321581650889</v>
      </c>
      <c r="M91" s="20">
        <f>'Res OLS model'!$P$7*E91</f>
        <v>8673964.1958637759</v>
      </c>
      <c r="N91" s="20">
        <f>'Res OLS model'!$P$8*F91</f>
        <v>24786224.26826271</v>
      </c>
      <c r="O91" s="20">
        <f>'Res OLS model'!$P$9*G91</f>
        <v>0</v>
      </c>
      <c r="P91" s="20">
        <f>'Res OLS model'!$P$10*H91</f>
        <v>-1822369.6642755328</v>
      </c>
      <c r="Q91" s="20">
        <f>'Res OLS model'!$P$11*I91</f>
        <v>11469261.652229931</v>
      </c>
      <c r="R91" s="20">
        <f t="shared" si="7"/>
        <v>25590013.178510733</v>
      </c>
      <c r="S91" s="23">
        <f t="shared" ca="1" si="5"/>
        <v>1.8868026688455774E-3</v>
      </c>
    </row>
    <row r="92" spans="1:19">
      <c r="A92" s="22">
        <f>'Monthly Data'!A92</f>
        <v>42552</v>
      </c>
      <c r="B92" s="6">
        <f t="shared" si="6"/>
        <v>2016</v>
      </c>
      <c r="C92" s="20">
        <f ca="1">'Monthly Data'!G92</f>
        <v>32875458.838660937</v>
      </c>
      <c r="D92" s="6">
        <f>'Monthly Data'!AH92</f>
        <v>0</v>
      </c>
      <c r="E92" s="6">
        <f>'Monthly Data'!AI92</f>
        <v>213.1</v>
      </c>
      <c r="F92" s="6">
        <f>'Monthly Data'!AM92</f>
        <v>31</v>
      </c>
      <c r="G92" s="6">
        <f>'Monthly Data'!BD92</f>
        <v>0</v>
      </c>
      <c r="H92" s="6">
        <f>'Monthly Data'!AO92</f>
        <v>91</v>
      </c>
      <c r="I92" s="6">
        <f>'Monthly Data'!AK92</f>
        <v>169.9</v>
      </c>
      <c r="K92" s="20">
        <f>'Res OLS model'!$P$5</f>
        <v>-17553361.595151801</v>
      </c>
      <c r="L92" s="20">
        <f>'Res OLS model'!$P$6*D92</f>
        <v>0</v>
      </c>
      <c r="M92" s="20">
        <f>'Res OLS model'!$P$7*E92</f>
        <v>14531617.689768637</v>
      </c>
      <c r="N92" s="20">
        <f>'Res OLS model'!$P$8*F92</f>
        <v>25612431.743871465</v>
      </c>
      <c r="O92" s="20">
        <f>'Res OLS model'!$P$9*G92</f>
        <v>0</v>
      </c>
      <c r="P92" s="20">
        <f>'Res OLS model'!$P$10*H92</f>
        <v>-1842618.2161008166</v>
      </c>
      <c r="Q92" s="20">
        <f>'Res OLS model'!$P$11*I92</f>
        <v>11689427.442794634</v>
      </c>
      <c r="R92" s="20">
        <f t="shared" si="7"/>
        <v>32437497.06518212</v>
      </c>
      <c r="S92" s="23">
        <f t="shared" ca="1" si="5"/>
        <v>1.3321845198515744E-2</v>
      </c>
    </row>
    <row r="93" spans="1:19">
      <c r="A93" s="22">
        <f>'Monthly Data'!A93</f>
        <v>42583</v>
      </c>
      <c r="B93" s="6">
        <f t="shared" si="6"/>
        <v>2016</v>
      </c>
      <c r="C93" s="20">
        <f ca="1">'Monthly Data'!G93</f>
        <v>32826624.542499222</v>
      </c>
      <c r="D93" s="6">
        <f>'Monthly Data'!AH93</f>
        <v>0</v>
      </c>
      <c r="E93" s="6">
        <f>'Monthly Data'!AI93</f>
        <v>219</v>
      </c>
      <c r="F93" s="6">
        <f>'Monthly Data'!AM93</f>
        <v>31</v>
      </c>
      <c r="G93" s="6">
        <f>'Monthly Data'!BD93</f>
        <v>0</v>
      </c>
      <c r="H93" s="6">
        <f>'Monthly Data'!AO93</f>
        <v>92</v>
      </c>
      <c r="I93" s="6">
        <f>'Monthly Data'!AK93</f>
        <v>171.7</v>
      </c>
      <c r="K93" s="20">
        <f>'Res OLS model'!$P$5</f>
        <v>-17553361.595151801</v>
      </c>
      <c r="L93" s="20">
        <f>'Res OLS model'!$P$6*D93</f>
        <v>0</v>
      </c>
      <c r="M93" s="20">
        <f>'Res OLS model'!$P$7*E93</f>
        <v>14933947.790048482</v>
      </c>
      <c r="N93" s="20">
        <f>'Res OLS model'!$P$8*F93</f>
        <v>25612431.743871465</v>
      </c>
      <c r="O93" s="20">
        <f>'Res OLS model'!$P$9*G93</f>
        <v>0</v>
      </c>
      <c r="P93" s="20">
        <f>'Res OLS model'!$P$10*H93</f>
        <v>-1862866.7679261004</v>
      </c>
      <c r="Q93" s="20">
        <f>'Res OLS model'!$P$11*I93</f>
        <v>11813270.699987277</v>
      </c>
      <c r="R93" s="20">
        <f t="shared" si="7"/>
        <v>32943421.870829325</v>
      </c>
      <c r="S93" s="23">
        <f t="shared" ca="1" si="5"/>
        <v>3.5580060380223017E-3</v>
      </c>
    </row>
    <row r="94" spans="1:19">
      <c r="A94" s="22">
        <f>'Monthly Data'!A94</f>
        <v>42614</v>
      </c>
      <c r="B94" s="6">
        <f t="shared" si="6"/>
        <v>2016</v>
      </c>
      <c r="C94" s="20">
        <f ca="1">'Monthly Data'!G94</f>
        <v>24014017.40842779</v>
      </c>
      <c r="D94" s="6">
        <f>'Monthly Data'!AH94</f>
        <v>8</v>
      </c>
      <c r="E94" s="6">
        <f>'Monthly Data'!AI94</f>
        <v>90.1</v>
      </c>
      <c r="F94" s="6">
        <f>'Monthly Data'!AM94</f>
        <v>30</v>
      </c>
      <c r="G94" s="6">
        <f>'Monthly Data'!BD94</f>
        <v>0</v>
      </c>
      <c r="H94" s="6">
        <f>'Monthly Data'!AO94</f>
        <v>93</v>
      </c>
      <c r="I94" s="6">
        <f>'Monthly Data'!AK94</f>
        <v>170.5</v>
      </c>
      <c r="K94" s="20">
        <f>'Res OLS model'!$P$5</f>
        <v>-17553361.595151801</v>
      </c>
      <c r="L94" s="20">
        <f>'Res OLS model'!$P$6*D94</f>
        <v>51849.030830929842</v>
      </c>
      <c r="M94" s="20">
        <f>'Res OLS model'!$P$7*E94</f>
        <v>6144057.9720701743</v>
      </c>
      <c r="N94" s="20">
        <f>'Res OLS model'!$P$8*F94</f>
        <v>24786224.26826271</v>
      </c>
      <c r="O94" s="20">
        <f>'Res OLS model'!$P$9*G94</f>
        <v>0</v>
      </c>
      <c r="P94" s="20">
        <f>'Res OLS model'!$P$10*H94</f>
        <v>-1883115.319751384</v>
      </c>
      <c r="Q94" s="20">
        <f>'Res OLS model'!$P$11*I94</f>
        <v>11730708.528525515</v>
      </c>
      <c r="R94" s="20">
        <f t="shared" si="7"/>
        <v>23276362.884786144</v>
      </c>
      <c r="S94" s="23">
        <f t="shared" ca="1" si="5"/>
        <v>3.0717664233172577E-2</v>
      </c>
    </row>
    <row r="95" spans="1:19">
      <c r="A95" s="22">
        <f>'Monthly Data'!A95</f>
        <v>42644</v>
      </c>
      <c r="B95" s="6">
        <f t="shared" si="6"/>
        <v>2016</v>
      </c>
      <c r="C95" s="20">
        <f ca="1">'Monthly Data'!G95</f>
        <v>18276477.462164998</v>
      </c>
      <c r="D95" s="6">
        <f>'Monthly Data'!AH95</f>
        <v>146</v>
      </c>
      <c r="E95" s="6">
        <f>'Monthly Data'!AI95</f>
        <v>22.7</v>
      </c>
      <c r="F95" s="6">
        <f>'Monthly Data'!AM95</f>
        <v>31</v>
      </c>
      <c r="G95" s="6">
        <f>'Monthly Data'!BD95</f>
        <v>1</v>
      </c>
      <c r="H95" s="6">
        <f>'Monthly Data'!AO95</f>
        <v>94</v>
      </c>
      <c r="I95" s="6">
        <f>'Monthly Data'!AK95</f>
        <v>169.2</v>
      </c>
      <c r="K95" s="20">
        <f>'Res OLS model'!$P$5</f>
        <v>-17553361.595151801</v>
      </c>
      <c r="L95" s="20">
        <f>'Res OLS model'!$P$6*D95</f>
        <v>946244.81266446959</v>
      </c>
      <c r="M95" s="20">
        <f>'Res OLS model'!$P$7*E95</f>
        <v>1547948.0129410983</v>
      </c>
      <c r="N95" s="20">
        <f>'Res OLS model'!$P$8*F95</f>
        <v>25612431.743871465</v>
      </c>
      <c r="O95" s="20">
        <f>'Res OLS model'!$P$9*G95</f>
        <v>-1882780.1693229801</v>
      </c>
      <c r="P95" s="20">
        <f>'Res OLS model'!$P$10*H95</f>
        <v>-1903363.8715766678</v>
      </c>
      <c r="Q95" s="20">
        <f>'Res OLS model'!$P$11*I95</f>
        <v>11641266.176108604</v>
      </c>
      <c r="R95" s="20">
        <f t="shared" si="7"/>
        <v>18408385.109534189</v>
      </c>
      <c r="S95" s="23">
        <f t="shared" ca="1" si="5"/>
        <v>7.2173452265218681E-3</v>
      </c>
    </row>
    <row r="96" spans="1:19">
      <c r="A96" s="22">
        <f>'Monthly Data'!A96</f>
        <v>42675</v>
      </c>
      <c r="B96" s="6">
        <f t="shared" si="6"/>
        <v>2016</v>
      </c>
      <c r="C96" s="20">
        <f ca="1">'Monthly Data'!G96</f>
        <v>17199045.550591063</v>
      </c>
      <c r="D96" s="6">
        <f>'Monthly Data'!AH96</f>
        <v>290.7</v>
      </c>
      <c r="E96" s="6">
        <f>'Monthly Data'!AI96</f>
        <v>0</v>
      </c>
      <c r="F96" s="6">
        <f>'Monthly Data'!AM96</f>
        <v>30</v>
      </c>
      <c r="G96" s="6">
        <f>'Monthly Data'!BD96</f>
        <v>1</v>
      </c>
      <c r="H96" s="6">
        <f>'Monthly Data'!AO96</f>
        <v>95</v>
      </c>
      <c r="I96" s="6">
        <f>'Monthly Data'!AK96</f>
        <v>165.5</v>
      </c>
      <c r="K96" s="20">
        <f>'Res OLS model'!$P$5</f>
        <v>-17553361.595151801</v>
      </c>
      <c r="L96" s="20">
        <f>'Res OLS model'!$P$6*D96</f>
        <v>1884064.157818913</v>
      </c>
      <c r="M96" s="20">
        <f>'Res OLS model'!$P$7*E96</f>
        <v>0</v>
      </c>
      <c r="N96" s="20">
        <f>'Res OLS model'!$P$8*F96</f>
        <v>24786224.26826271</v>
      </c>
      <c r="O96" s="20">
        <f>'Res OLS model'!$P$9*G96</f>
        <v>-1882780.1693229801</v>
      </c>
      <c r="P96" s="20">
        <f>'Res OLS model'!$P$10*H96</f>
        <v>-1923612.4234019513</v>
      </c>
      <c r="Q96" s="20">
        <f>'Res OLS model'!$P$11*I96</f>
        <v>11386699.480768168</v>
      </c>
      <c r="R96" s="20">
        <f t="shared" si="7"/>
        <v>16697233.718973059</v>
      </c>
      <c r="S96" s="23">
        <f t="shared" ca="1" si="5"/>
        <v>2.9176725542235583E-2</v>
      </c>
    </row>
    <row r="97" spans="1:19">
      <c r="A97" s="22">
        <f>'Monthly Data'!A97</f>
        <v>42705</v>
      </c>
      <c r="B97" s="6">
        <f t="shared" si="6"/>
        <v>2016</v>
      </c>
      <c r="C97" s="20">
        <f ca="1">'Monthly Data'!G97</f>
        <v>20674864.277921565</v>
      </c>
      <c r="D97" s="6">
        <f>'Monthly Data'!AH97</f>
        <v>581.1</v>
      </c>
      <c r="E97" s="6">
        <f>'Monthly Data'!AI97</f>
        <v>0</v>
      </c>
      <c r="F97" s="6">
        <f>'Monthly Data'!AM97</f>
        <v>31</v>
      </c>
      <c r="G97" s="6">
        <f>'Monthly Data'!BD97</f>
        <v>0</v>
      </c>
      <c r="H97" s="6">
        <f>'Monthly Data'!AO97</f>
        <v>96</v>
      </c>
      <c r="I97" s="6">
        <f>'Monthly Data'!AK97</f>
        <v>162.5</v>
      </c>
      <c r="K97" s="20">
        <f>'Res OLS model'!$P$5</f>
        <v>-17553361.595151801</v>
      </c>
      <c r="L97" s="20">
        <f>'Res OLS model'!$P$6*D97</f>
        <v>3766183.9769816664</v>
      </c>
      <c r="M97" s="20">
        <f>'Res OLS model'!$P$7*E97</f>
        <v>0</v>
      </c>
      <c r="N97" s="20">
        <f>'Res OLS model'!$P$8*F97</f>
        <v>25612431.743871465</v>
      </c>
      <c r="O97" s="20">
        <f>'Res OLS model'!$P$9*G97</f>
        <v>0</v>
      </c>
      <c r="P97" s="20">
        <f>'Res OLS model'!$P$10*H97</f>
        <v>-1943860.9752272351</v>
      </c>
      <c r="Q97" s="20">
        <f>'Res OLS model'!$P$11*I97</f>
        <v>11180294.05211376</v>
      </c>
      <c r="R97" s="20">
        <f t="shared" si="7"/>
        <v>21061687.202587858</v>
      </c>
      <c r="S97" s="23">
        <f t="shared" ca="1" si="5"/>
        <v>1.8709816880364067E-2</v>
      </c>
    </row>
    <row r="98" spans="1:19">
      <c r="S98" s="23">
        <f ca="1">AVERAGE(S2:S97)</f>
        <v>2.3425652338300153E-2</v>
      </c>
    </row>
  </sheetData>
  <pageMargins left="0.7" right="0.7" top="0.75" bottom="0.75" header="0.3" footer="0.3"/>
  <pageSetup orientation="portrait" horizontalDpi="1200" verticalDpi="12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S23"/>
  <sheetViews>
    <sheetView workbookViewId="0">
      <selection activeCell="O9" sqref="O9:S9"/>
    </sheetView>
  </sheetViews>
  <sheetFormatPr defaultColWidth="8.85546875" defaultRowHeight="12.75"/>
  <cols>
    <col min="1" max="1" width="23.7109375" style="6" customWidth="1"/>
    <col min="2" max="2" width="12.7109375" style="6" customWidth="1"/>
    <col min="3" max="3" width="19.42578125" style="6" customWidth="1"/>
    <col min="4" max="4" width="12.7109375" style="6" customWidth="1"/>
    <col min="5" max="5" width="12.140625" style="6" customWidth="1"/>
    <col min="6" max="8" width="8.85546875" style="6"/>
    <col min="9" max="9" width="12.140625" style="6" bestFit="1" customWidth="1"/>
    <col min="10" max="10" width="16.5703125" style="6" bestFit="1" customWidth="1"/>
    <col min="11" max="11" width="11" style="6" bestFit="1" customWidth="1"/>
    <col min="12" max="12" width="10.42578125" style="6" bestFit="1" customWidth="1"/>
    <col min="13" max="16384" width="8.85546875" style="6"/>
  </cols>
  <sheetData>
    <row r="1" spans="1:19">
      <c r="A1" s="6" t="s">
        <v>158</v>
      </c>
      <c r="H1" s="6" t="s">
        <v>198</v>
      </c>
      <c r="O1" s="6" t="s">
        <v>213</v>
      </c>
    </row>
    <row r="2" spans="1:19">
      <c r="A2" s="6" t="s">
        <v>157</v>
      </c>
      <c r="H2" s="6" t="s">
        <v>157</v>
      </c>
      <c r="O2" s="6" t="s">
        <v>157</v>
      </c>
    </row>
    <row r="4" spans="1:19">
      <c r="B4" s="6" t="s">
        <v>63</v>
      </c>
      <c r="C4" s="6" t="s">
        <v>64</v>
      </c>
      <c r="D4" s="6" t="s">
        <v>65</v>
      </c>
      <c r="E4" s="6" t="s">
        <v>66</v>
      </c>
      <c r="I4" s="6" t="s">
        <v>63</v>
      </c>
      <c r="J4" s="6" t="s">
        <v>64</v>
      </c>
      <c r="K4" s="6" t="s">
        <v>65</v>
      </c>
      <c r="L4" s="6" t="s">
        <v>66</v>
      </c>
      <c r="P4" s="6" t="s">
        <v>63</v>
      </c>
      <c r="Q4" s="6" t="s">
        <v>64</v>
      </c>
      <c r="R4" s="6" t="s">
        <v>65</v>
      </c>
      <c r="S4" s="6" t="s">
        <v>66</v>
      </c>
    </row>
    <row r="5" spans="1:19" ht="15">
      <c r="A5" s="6" t="s">
        <v>67</v>
      </c>
      <c r="B5" s="20">
        <v>-1088732.49289844</v>
      </c>
      <c r="C5" s="20">
        <v>645754.28700131096</v>
      </c>
      <c r="D5" s="6">
        <v>-1.68598569891682</v>
      </c>
      <c r="E5" s="21">
        <v>9.5341224285788603E-2</v>
      </c>
      <c r="H5" s="6" t="s">
        <v>67</v>
      </c>
      <c r="I5" s="6">
        <v>-1348055.69881657</v>
      </c>
      <c r="J5" s="6">
        <v>685696.508376732</v>
      </c>
      <c r="K5" s="6">
        <v>-1.9659655289886999</v>
      </c>
      <c r="L5" s="6">
        <v>5.2455044200106E-2</v>
      </c>
      <c r="O5" s="6" t="s">
        <v>67</v>
      </c>
      <c r="P5" s="6">
        <v>-1417234.7577365099</v>
      </c>
      <c r="Q5" s="6">
        <v>691031.95653599</v>
      </c>
      <c r="R5" s="6">
        <v>-2.0508961189592898</v>
      </c>
      <c r="S5" s="6">
        <v>4.3251178347650902E-2</v>
      </c>
    </row>
    <row r="6" spans="1:19" ht="15">
      <c r="A6" s="6" t="s">
        <v>28</v>
      </c>
      <c r="B6" s="20">
        <v>1030.9244103542001</v>
      </c>
      <c r="C6" s="20">
        <v>94.391314597018194</v>
      </c>
      <c r="D6" s="6">
        <v>10.9218143083979</v>
      </c>
      <c r="E6" s="21">
        <v>4.7110753159696099E-18</v>
      </c>
      <c r="H6" s="6" t="s">
        <v>28</v>
      </c>
      <c r="I6" s="6">
        <v>1032.0166557918501</v>
      </c>
      <c r="J6" s="6">
        <v>100.229756337852</v>
      </c>
      <c r="K6" s="6">
        <v>10.296509674364099</v>
      </c>
      <c r="L6" s="21">
        <v>8.8706309054928306E-17</v>
      </c>
      <c r="O6" s="6" t="s">
        <v>28</v>
      </c>
      <c r="P6" s="6">
        <v>1030.6726819041401</v>
      </c>
      <c r="Q6" s="6">
        <v>101.009650449056</v>
      </c>
      <c r="R6" s="6">
        <v>10.203705065032</v>
      </c>
      <c r="S6" s="21">
        <v>1.3739826937418199E-16</v>
      </c>
    </row>
    <row r="7" spans="1:19" ht="15">
      <c r="A7" s="6" t="s">
        <v>29</v>
      </c>
      <c r="B7" s="20">
        <v>7674.0615464706998</v>
      </c>
      <c r="C7" s="20">
        <v>400.78508249279599</v>
      </c>
      <c r="D7" s="6">
        <v>19.147572805703501</v>
      </c>
      <c r="E7" s="21">
        <v>3.92943399726742E-33</v>
      </c>
      <c r="H7" s="6" t="s">
        <v>29</v>
      </c>
      <c r="I7" s="6">
        <v>7671.6852447399897</v>
      </c>
      <c r="J7" s="6">
        <v>425.57507895295299</v>
      </c>
      <c r="K7" s="6">
        <v>18.026631784019699</v>
      </c>
      <c r="L7" s="21">
        <v>2.7322358698708001E-31</v>
      </c>
      <c r="O7" s="6" t="s">
        <v>29</v>
      </c>
      <c r="P7" s="6">
        <v>7660.41208791603</v>
      </c>
      <c r="Q7" s="6">
        <v>428.88650571958499</v>
      </c>
      <c r="R7" s="6">
        <v>17.8611637012533</v>
      </c>
      <c r="S7" s="21">
        <v>5.1776432566949899E-31</v>
      </c>
    </row>
    <row r="8" spans="1:19" ht="15">
      <c r="A8" s="6" t="s">
        <v>57</v>
      </c>
      <c r="B8" s="20">
        <v>11407.2214389893</v>
      </c>
      <c r="C8" s="20">
        <v>2056.8558229539699</v>
      </c>
      <c r="D8" s="6">
        <v>5.5459509177491997</v>
      </c>
      <c r="E8" s="21">
        <v>3.0275359471912202E-7</v>
      </c>
      <c r="H8" s="6" t="s">
        <v>57</v>
      </c>
      <c r="I8" s="6">
        <v>13309.3283427527</v>
      </c>
      <c r="J8" s="6">
        <v>2184.0797412019601</v>
      </c>
      <c r="K8" s="6">
        <v>6.09379231521475</v>
      </c>
      <c r="L8" s="21">
        <v>2.8455242452589301E-8</v>
      </c>
      <c r="O8" s="6" t="s">
        <v>57</v>
      </c>
      <c r="P8" s="6">
        <v>13832.0200320853</v>
      </c>
      <c r="Q8" s="6">
        <v>2201.0742046307701</v>
      </c>
      <c r="R8" s="6">
        <v>6.2842134095182196</v>
      </c>
      <c r="S8" s="21">
        <v>1.2270785369138501E-8</v>
      </c>
    </row>
    <row r="9" spans="1:19" ht="15">
      <c r="A9" s="6" t="s">
        <v>152</v>
      </c>
      <c r="B9" s="20">
        <v>149535.033335582</v>
      </c>
      <c r="C9" s="20">
        <v>19402.291823567699</v>
      </c>
      <c r="D9" s="6">
        <v>7.7070809312301796</v>
      </c>
      <c r="E9" s="21">
        <v>1.82980745644959E-11</v>
      </c>
      <c r="H9" s="6" t="s">
        <v>152</v>
      </c>
      <c r="I9" s="6">
        <v>148681.597117025</v>
      </c>
      <c r="J9" s="6">
        <v>20602.393241099398</v>
      </c>
      <c r="K9" s="6">
        <v>7.2167148436145103</v>
      </c>
      <c r="L9" s="21">
        <v>1.7867336520901299E-10</v>
      </c>
      <c r="O9" s="6" t="s">
        <v>152</v>
      </c>
      <c r="P9" s="6">
        <v>148455.51931378699</v>
      </c>
      <c r="Q9" s="6">
        <v>20762.701773739798</v>
      </c>
      <c r="R9" s="6">
        <v>7.1501060378158696</v>
      </c>
      <c r="S9" s="21">
        <v>2.42911520078471E-10</v>
      </c>
    </row>
    <row r="10" spans="1:19" ht="15">
      <c r="A10" s="6" t="s">
        <v>129</v>
      </c>
      <c r="B10" s="20">
        <v>-268302.989268562</v>
      </c>
      <c r="C10" s="20">
        <v>42580.838622731098</v>
      </c>
      <c r="D10" s="6">
        <v>-6.3010264228411197</v>
      </c>
      <c r="E10" s="21">
        <v>1.13876700607222E-8</v>
      </c>
      <c r="H10" s="6" t="s">
        <v>129</v>
      </c>
      <c r="I10" s="6">
        <v>-267670.55098135502</v>
      </c>
      <c r="J10" s="6">
        <v>45214.616387518501</v>
      </c>
      <c r="K10" s="6">
        <v>-5.9200004858439002</v>
      </c>
      <c r="L10" s="21">
        <v>6.0813098703887901E-8</v>
      </c>
      <c r="O10" s="6" t="s">
        <v>129</v>
      </c>
      <c r="P10" s="6">
        <v>-268276.91027030803</v>
      </c>
      <c r="Q10" s="6">
        <v>45566.434194418798</v>
      </c>
      <c r="R10" s="6">
        <v>-5.8875993922554599</v>
      </c>
      <c r="S10" s="21">
        <v>6.9999135005384195E-8</v>
      </c>
    </row>
    <row r="11" spans="1:19" ht="15">
      <c r="A11" s="6" t="s">
        <v>50</v>
      </c>
      <c r="B11" s="20">
        <v>178696.970766832</v>
      </c>
      <c r="C11" s="20">
        <v>54524.245784555598</v>
      </c>
      <c r="D11" s="6">
        <v>3.2773854676124601</v>
      </c>
      <c r="E11" s="21">
        <v>1.5007088709655899E-3</v>
      </c>
      <c r="H11" s="6" t="s">
        <v>50</v>
      </c>
      <c r="I11" s="6">
        <v>186511.19475200301</v>
      </c>
      <c r="J11" s="6">
        <v>57896.766167761503</v>
      </c>
      <c r="K11" s="6">
        <v>3.2214440822405899</v>
      </c>
      <c r="L11" s="6">
        <v>1.7884092090341701E-3</v>
      </c>
      <c r="O11" s="6" t="s">
        <v>50</v>
      </c>
      <c r="P11" s="6">
        <v>188882.52120843399</v>
      </c>
      <c r="Q11" s="6">
        <v>58347.2645890063</v>
      </c>
      <c r="R11" s="6">
        <v>3.2372129617199401</v>
      </c>
      <c r="S11" s="21">
        <v>1.7024820766928499E-3</v>
      </c>
    </row>
    <row r="12" spans="1:19" ht="15">
      <c r="A12" s="6" t="s">
        <v>55</v>
      </c>
      <c r="B12" s="20">
        <v>-197900.76217015099</v>
      </c>
      <c r="C12" s="20">
        <v>58891.477283706801</v>
      </c>
      <c r="D12" s="6">
        <v>-3.36043127627405</v>
      </c>
      <c r="E12" s="21">
        <v>1.1525306185092899E-3</v>
      </c>
      <c r="H12" s="6" t="s">
        <v>55</v>
      </c>
      <c r="I12" s="6">
        <v>-201228.923645601</v>
      </c>
      <c r="J12" s="6">
        <v>62534.126616651301</v>
      </c>
      <c r="K12" s="6">
        <v>-3.21790571857156</v>
      </c>
      <c r="L12" s="6">
        <v>1.80823936897078E-3</v>
      </c>
      <c r="O12" s="6" t="s">
        <v>55</v>
      </c>
      <c r="P12" s="6">
        <v>-202556.65738747199</v>
      </c>
      <c r="Q12" s="6">
        <v>63020.708634601899</v>
      </c>
      <c r="R12" s="6">
        <v>-3.21412852657543</v>
      </c>
      <c r="S12" s="6">
        <v>1.82963467943567E-3</v>
      </c>
    </row>
    <row r="13" spans="1:19" ht="15">
      <c r="B13" s="20"/>
      <c r="C13" s="20"/>
      <c r="E13" s="21"/>
    </row>
    <row r="14" spans="1:19" ht="15">
      <c r="A14" s="6" t="s">
        <v>70</v>
      </c>
      <c r="B14" s="20">
        <v>5744506.9980367897</v>
      </c>
      <c r="C14" s="20" t="s">
        <v>71</v>
      </c>
      <c r="D14" s="6">
        <v>530340.39688065497</v>
      </c>
      <c r="E14" s="21"/>
      <c r="H14" s="6" t="s">
        <v>70</v>
      </c>
      <c r="I14" s="6">
        <v>5751739.8594997302</v>
      </c>
      <c r="J14" s="6" t="s">
        <v>71</v>
      </c>
      <c r="K14" s="6">
        <v>534880.90618007199</v>
      </c>
      <c r="O14" s="6" t="s">
        <v>70</v>
      </c>
      <c r="P14" s="6">
        <v>5754774.5114137502</v>
      </c>
      <c r="Q14" s="6" t="s">
        <v>71</v>
      </c>
      <c r="R14" s="6">
        <v>535691.16660365905</v>
      </c>
    </row>
    <row r="15" spans="1:19">
      <c r="A15" s="6" t="s">
        <v>72</v>
      </c>
      <c r="B15" s="6">
        <v>1377467844502.6499</v>
      </c>
      <c r="C15" s="6" t="s">
        <v>73</v>
      </c>
      <c r="D15" s="21">
        <v>125112.12446254</v>
      </c>
      <c r="H15" s="6" t="s">
        <v>72</v>
      </c>
      <c r="I15" s="6">
        <v>1553140517413.23</v>
      </c>
      <c r="J15" s="6" t="s">
        <v>73</v>
      </c>
      <c r="K15" s="6">
        <v>132850.75860345701</v>
      </c>
      <c r="O15" s="6" t="s">
        <v>72</v>
      </c>
      <c r="P15" s="6">
        <v>1577404722599.71</v>
      </c>
      <c r="Q15" s="6" t="s">
        <v>73</v>
      </c>
      <c r="R15" s="6">
        <v>133884.47880880701</v>
      </c>
    </row>
    <row r="16" spans="1:19">
      <c r="A16" s="6" t="s">
        <v>74</v>
      </c>
      <c r="B16" s="6">
        <v>0.9484476525669</v>
      </c>
      <c r="C16" s="6" t="s">
        <v>75</v>
      </c>
      <c r="D16" s="6">
        <v>0.94434689765744895</v>
      </c>
      <c r="H16" s="6" t="s">
        <v>74</v>
      </c>
      <c r="I16" s="6">
        <v>0.94285569512751999</v>
      </c>
      <c r="J16" s="6" t="s">
        <v>75</v>
      </c>
      <c r="K16" s="6">
        <v>0.93831012542175496</v>
      </c>
      <c r="O16" s="6" t="s">
        <v>74</v>
      </c>
      <c r="P16" s="6">
        <v>0.94213838365372304</v>
      </c>
      <c r="Q16" s="6" t="s">
        <v>75</v>
      </c>
      <c r="R16" s="6">
        <v>0.93753575508072395</v>
      </c>
    </row>
    <row r="17" spans="1:18">
      <c r="A17" s="6" t="s">
        <v>159</v>
      </c>
      <c r="B17" s="6">
        <v>231.286110364948</v>
      </c>
      <c r="C17" s="6" t="s">
        <v>76</v>
      </c>
      <c r="D17" s="21">
        <v>8.1670431575841399E-54</v>
      </c>
      <c r="H17" s="6" t="s">
        <v>159</v>
      </c>
      <c r="I17" s="6">
        <v>207.42299781073501</v>
      </c>
      <c r="J17" s="6" t="s">
        <v>76</v>
      </c>
      <c r="K17" s="21">
        <v>7.4760782660340196E-52</v>
      </c>
      <c r="O17" s="6" t="s">
        <v>159</v>
      </c>
      <c r="P17" s="6">
        <v>204.69572304414601</v>
      </c>
      <c r="Q17" s="6" t="s">
        <v>76</v>
      </c>
      <c r="R17" s="21">
        <v>1.29193815424709E-51</v>
      </c>
    </row>
    <row r="18" spans="1:18">
      <c r="A18" s="6" t="s">
        <v>77</v>
      </c>
      <c r="B18" s="6">
        <v>-1258.7902516449001</v>
      </c>
      <c r="C18" s="6" t="s">
        <v>78</v>
      </c>
      <c r="D18" s="21">
        <v>2533.5805032898002</v>
      </c>
      <c r="H18" s="6" t="s">
        <v>77</v>
      </c>
      <c r="I18" s="6">
        <v>-1264.55179258627</v>
      </c>
      <c r="J18" s="6" t="s">
        <v>78</v>
      </c>
      <c r="K18" s="6">
        <v>2545.1035851725501</v>
      </c>
      <c r="O18" s="6" t="s">
        <v>77</v>
      </c>
      <c r="P18" s="6">
        <v>-1265.2958835245399</v>
      </c>
      <c r="Q18" s="6" t="s">
        <v>78</v>
      </c>
      <c r="R18" s="21">
        <v>2546.5917670490699</v>
      </c>
    </row>
    <row r="19" spans="1:18">
      <c r="A19" s="6" t="s">
        <v>79</v>
      </c>
      <c r="B19" s="6">
        <v>2554.0952888215402</v>
      </c>
      <c r="C19" s="6" t="s">
        <v>80</v>
      </c>
      <c r="D19" s="21">
        <v>2541.8729148089401</v>
      </c>
      <c r="H19" s="6" t="s">
        <v>79</v>
      </c>
      <c r="I19" s="6">
        <v>2565.6183707042901</v>
      </c>
      <c r="J19" s="6" t="s">
        <v>80</v>
      </c>
      <c r="K19" s="6">
        <v>2553.39599669168</v>
      </c>
      <c r="O19" s="6" t="s">
        <v>79</v>
      </c>
      <c r="P19" s="6">
        <v>2567.1065525808199</v>
      </c>
      <c r="Q19" s="6" t="s">
        <v>80</v>
      </c>
      <c r="R19" s="6">
        <v>2554.8841785682098</v>
      </c>
    </row>
    <row r="20" spans="1:18">
      <c r="A20" s="6" t="s">
        <v>81</v>
      </c>
      <c r="B20" s="6">
        <v>0.45379315710971702</v>
      </c>
      <c r="C20" s="6" t="s">
        <v>82</v>
      </c>
      <c r="D20" s="6">
        <v>1.0818120777085201</v>
      </c>
      <c r="H20" s="6" t="s">
        <v>81</v>
      </c>
      <c r="I20" s="6">
        <v>0.50707459390145504</v>
      </c>
      <c r="J20" s="6" t="s">
        <v>82</v>
      </c>
      <c r="K20" s="6">
        <v>0.97838543307853798</v>
      </c>
      <c r="O20" s="6" t="s">
        <v>81</v>
      </c>
      <c r="P20" s="6">
        <v>0.51411710924906995</v>
      </c>
      <c r="Q20" s="6" t="s">
        <v>82</v>
      </c>
      <c r="R20" s="6">
        <v>0.964973935556655</v>
      </c>
    </row>
    <row r="21" spans="1:18">
      <c r="A21" s="6" t="s">
        <v>156</v>
      </c>
      <c r="B21" s="6">
        <v>0.25417000000000001</v>
      </c>
    </row>
    <row r="22" spans="1:18">
      <c r="I22" s="124" t="s">
        <v>199</v>
      </c>
      <c r="P22" s="137" t="s">
        <v>212</v>
      </c>
    </row>
    <row r="23" spans="1:18">
      <c r="P23" s="10">
        <v>43200</v>
      </c>
    </row>
  </sheetData>
  <pageMargins left="0.7" right="0.7" top="0.75" bottom="0.75" header="0.3" footer="0.3"/>
  <pageSetup orientation="portrait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U100"/>
  <sheetViews>
    <sheetView workbookViewId="0">
      <selection sqref="A1:XFD1048576"/>
    </sheetView>
  </sheetViews>
  <sheetFormatPr defaultColWidth="8.85546875" defaultRowHeight="12.75"/>
  <cols>
    <col min="1" max="1" width="10.28515625" style="6" bestFit="1" customWidth="1"/>
    <col min="2" max="2" width="5" style="6" bestFit="1" customWidth="1"/>
    <col min="3" max="3" width="12.85546875" style="6" bestFit="1" customWidth="1"/>
    <col min="4" max="5" width="6" style="6" bestFit="1" customWidth="1"/>
    <col min="6" max="6" width="11.7109375" style="6" bestFit="1" customWidth="1"/>
    <col min="7" max="7" width="10.7109375" style="6" bestFit="1" customWidth="1"/>
    <col min="8" max="8" width="7.7109375" style="6" bestFit="1" customWidth="1"/>
    <col min="9" max="9" width="5.85546875" style="6" bestFit="1" customWidth="1"/>
    <col min="10" max="10" width="8.85546875" style="6" bestFit="1" customWidth="1"/>
    <col min="11" max="11" width="8.85546875" style="6"/>
    <col min="12" max="12" width="12.85546875" style="6" customWidth="1"/>
    <col min="13" max="13" width="8.5703125" style="6" bestFit="1" customWidth="1"/>
    <col min="14" max="14" width="10" style="6" bestFit="1" customWidth="1"/>
    <col min="15" max="15" width="12.7109375" style="6" bestFit="1" customWidth="1"/>
    <col min="16" max="16" width="12.42578125" style="6" bestFit="1" customWidth="1"/>
    <col min="17" max="17" width="10.5703125" style="6" customWidth="1"/>
    <col min="18" max="18" width="10.28515625" style="6" customWidth="1"/>
    <col min="19" max="19" width="10.42578125" style="6" bestFit="1" customWidth="1"/>
    <col min="20" max="20" width="14" style="6" bestFit="1" customWidth="1"/>
    <col min="21" max="21" width="10.5703125" style="6" bestFit="1" customWidth="1"/>
    <col min="22" max="16384" width="8.85546875" style="6"/>
  </cols>
  <sheetData>
    <row r="1" spans="1:21" ht="15">
      <c r="A1" s="6" t="str">
        <f>'Monthly Data'!A1</f>
        <v>Date</v>
      </c>
      <c r="B1" s="6" t="s">
        <v>83</v>
      </c>
      <c r="C1" s="20" t="str">
        <f>'Monthly Data'!K1</f>
        <v>Gross_GSlt50</v>
      </c>
      <c r="D1" s="6" t="str">
        <f>'Monthly Data'!AH1</f>
        <v>HDD</v>
      </c>
      <c r="E1" s="6" t="str">
        <f>'Monthly Data'!AI1</f>
        <v>CDD</v>
      </c>
      <c r="F1" s="6" t="str">
        <f>'Monthly Data'!AK1</f>
        <v>Windsor_FTE</v>
      </c>
      <c r="G1" s="6" t="str">
        <f>'Monthly Data'!AM1</f>
        <v>Month_Days</v>
      </c>
      <c r="H1" s="6" t="str">
        <f>'Monthly Data'!BD1</f>
        <v>Shoulder</v>
      </c>
      <c r="I1" s="6" t="str">
        <f>'Monthly Data'!AR1</f>
        <v>March</v>
      </c>
      <c r="J1" s="6" t="str">
        <f>'Monthly Data'!BA1</f>
        <v>December</v>
      </c>
      <c r="L1" s="20" t="s">
        <v>67</v>
      </c>
      <c r="M1" s="20" t="str">
        <f t="shared" ref="M1:S1" si="0">D1</f>
        <v>HDD</v>
      </c>
      <c r="N1" s="20" t="str">
        <f t="shared" si="0"/>
        <v>CDD</v>
      </c>
      <c r="O1" s="20" t="str">
        <f t="shared" si="0"/>
        <v>Windsor_FTE</v>
      </c>
      <c r="P1" s="20" t="str">
        <f t="shared" si="0"/>
        <v>Month_Days</v>
      </c>
      <c r="Q1" s="20" t="str">
        <f t="shared" si="0"/>
        <v>Shoulder</v>
      </c>
      <c r="R1" s="20" t="str">
        <f t="shared" si="0"/>
        <v>March</v>
      </c>
      <c r="S1" s="20" t="str">
        <f t="shared" si="0"/>
        <v>December</v>
      </c>
      <c r="T1" s="20" t="s">
        <v>84</v>
      </c>
      <c r="U1" s="16" t="s">
        <v>85</v>
      </c>
    </row>
    <row r="2" spans="1:21" ht="15">
      <c r="A2" s="22">
        <f>'Monthly Data'!A2</f>
        <v>39814</v>
      </c>
      <c r="B2" s="6">
        <f t="shared" ref="B2:B33" si="1">YEAR(A2)</f>
        <v>2009</v>
      </c>
      <c r="C2" s="20">
        <f ca="1">'Monthly Data'!K2</f>
        <v>6180599.9418864548</v>
      </c>
      <c r="D2" s="6">
        <f>'Monthly Data'!AH2</f>
        <v>768.79999999999973</v>
      </c>
      <c r="E2" s="6">
        <f>'Monthly Data'!AI2</f>
        <v>0</v>
      </c>
      <c r="F2" s="6">
        <f>'Monthly Data'!AK2</f>
        <v>151.5</v>
      </c>
      <c r="G2" s="6">
        <f>'Monthly Data'!AM2</f>
        <v>31</v>
      </c>
      <c r="H2" s="6">
        <f>'Monthly Data'!BD2</f>
        <v>0</v>
      </c>
      <c r="I2" s="6">
        <f>'Monthly Data'!AR2</f>
        <v>0</v>
      </c>
      <c r="J2" s="6">
        <f>'Monthly Data'!BA2</f>
        <v>0</v>
      </c>
      <c r="L2" s="20">
        <f>'GS &lt; 50 OLS model'!$P$5</f>
        <v>-1417234.7577365099</v>
      </c>
      <c r="M2" s="20">
        <f>'GS &lt; 50 OLS model'!$P$6*D2</f>
        <v>792381.15784790262</v>
      </c>
      <c r="N2" s="20">
        <f>'GS &lt; 50 OLS model'!$P$7*E2</f>
        <v>0</v>
      </c>
      <c r="O2" s="20">
        <f>'GS &lt; 50 OLS model'!$P$8*F2</f>
        <v>2095551.034860923</v>
      </c>
      <c r="P2" s="20">
        <f>'GS &lt; 50 OLS model'!$P$9*G2</f>
        <v>4602121.0987273967</v>
      </c>
      <c r="Q2" s="20">
        <f>'GS &lt; 50 OLS model'!$P$10*H2</f>
        <v>0</v>
      </c>
      <c r="R2" s="20">
        <f>'GS &lt; 50 OLS model'!$P$11*I2</f>
        <v>0</v>
      </c>
      <c r="S2" s="20">
        <f>'GS &lt; 50 OLS model'!$P$12*J2</f>
        <v>0</v>
      </c>
      <c r="T2" s="20">
        <f t="shared" ref="T2:T33" si="2">SUM(L2:S2)</f>
        <v>6072818.5336997118</v>
      </c>
      <c r="U2" s="23">
        <f t="shared" ref="U2:U33" ca="1" si="3">ABS(T2-C2)/C2</f>
        <v>1.7438664401541216E-2</v>
      </c>
    </row>
    <row r="3" spans="1:21" ht="15">
      <c r="A3" s="22">
        <f>'Monthly Data'!A3</f>
        <v>39845</v>
      </c>
      <c r="B3" s="6">
        <f t="shared" si="1"/>
        <v>2009</v>
      </c>
      <c r="C3" s="20">
        <f ca="1">'Monthly Data'!K3</f>
        <v>5531247.4825260816</v>
      </c>
      <c r="D3" s="6">
        <f>'Monthly Data'!AH3</f>
        <v>540</v>
      </c>
      <c r="E3" s="6">
        <f>'Monthly Data'!AI3</f>
        <v>0</v>
      </c>
      <c r="F3" s="6">
        <f>'Monthly Data'!AK3</f>
        <v>147.5</v>
      </c>
      <c r="G3" s="6">
        <f>'Monthly Data'!AM3</f>
        <v>28</v>
      </c>
      <c r="H3" s="6">
        <f>'Monthly Data'!BD3</f>
        <v>0</v>
      </c>
      <c r="I3" s="6">
        <f>'Monthly Data'!AR3</f>
        <v>0</v>
      </c>
      <c r="J3" s="6">
        <f>'Monthly Data'!BA3</f>
        <v>0</v>
      </c>
      <c r="L3" s="20">
        <f>'GS &lt; 50 OLS model'!$P$5</f>
        <v>-1417234.7577365099</v>
      </c>
      <c r="M3" s="20">
        <f>'GS &lt; 50 OLS model'!$P$6*D3</f>
        <v>556563.24822823564</v>
      </c>
      <c r="N3" s="20">
        <f>'GS &lt; 50 OLS model'!$P$7*E3</f>
        <v>0</v>
      </c>
      <c r="O3" s="20">
        <f>'GS &lt; 50 OLS model'!$P$8*F3</f>
        <v>2040222.9547325817</v>
      </c>
      <c r="P3" s="20">
        <f>'GS &lt; 50 OLS model'!$P$9*G3</f>
        <v>4156754.5407860358</v>
      </c>
      <c r="Q3" s="20">
        <f>'GS &lt; 50 OLS model'!$P$10*H3</f>
        <v>0</v>
      </c>
      <c r="R3" s="20">
        <f>'GS &lt; 50 OLS model'!$P$11*I3</f>
        <v>0</v>
      </c>
      <c r="S3" s="20">
        <f>'GS &lt; 50 OLS model'!$P$12*J3</f>
        <v>0</v>
      </c>
      <c r="T3" s="20">
        <f>SUM(L3:S3)</f>
        <v>5336305.9860103428</v>
      </c>
      <c r="U3" s="23">
        <f t="shared" ca="1" si="3"/>
        <v>3.524367642771073E-2</v>
      </c>
    </row>
    <row r="4" spans="1:21" ht="15">
      <c r="A4" s="22">
        <f>'Monthly Data'!A4</f>
        <v>39873</v>
      </c>
      <c r="B4" s="6">
        <f t="shared" si="1"/>
        <v>2009</v>
      </c>
      <c r="C4" s="20">
        <f ca="1">'Monthly Data'!K4</f>
        <v>5678036.4363599839</v>
      </c>
      <c r="D4" s="6">
        <f>'Monthly Data'!AH4</f>
        <v>456.7999999999999</v>
      </c>
      <c r="E4" s="6">
        <f>'Monthly Data'!AI4</f>
        <v>0</v>
      </c>
      <c r="F4" s="6">
        <f>'Monthly Data'!AK4</f>
        <v>142.9</v>
      </c>
      <c r="G4" s="6">
        <f>'Monthly Data'!AM4</f>
        <v>31</v>
      </c>
      <c r="H4" s="6">
        <f>'Monthly Data'!BD4</f>
        <v>1</v>
      </c>
      <c r="I4" s="6">
        <f>'Monthly Data'!AR4</f>
        <v>1</v>
      </c>
      <c r="J4" s="6">
        <f>'Monthly Data'!BA4</f>
        <v>0</v>
      </c>
      <c r="L4" s="20">
        <f>'GS &lt; 50 OLS model'!$P$5</f>
        <v>-1417234.7577365099</v>
      </c>
      <c r="M4" s="20">
        <f>'GS &lt; 50 OLS model'!$P$6*D4</f>
        <v>470811.28109381109</v>
      </c>
      <c r="N4" s="20">
        <f>'GS &lt; 50 OLS model'!$P$7*E4</f>
        <v>0</v>
      </c>
      <c r="O4" s="20">
        <f>'GS &lt; 50 OLS model'!$P$8*F4</f>
        <v>1976595.6625849896</v>
      </c>
      <c r="P4" s="20">
        <f>'GS &lt; 50 OLS model'!$P$9*G4</f>
        <v>4602121.0987273967</v>
      </c>
      <c r="Q4" s="20">
        <f>'GS &lt; 50 OLS model'!$P$10*H4</f>
        <v>-268276.91027030803</v>
      </c>
      <c r="R4" s="20">
        <f>'GS &lt; 50 OLS model'!$P$11*I4</f>
        <v>188882.52120843399</v>
      </c>
      <c r="S4" s="20">
        <f>'GS &lt; 50 OLS model'!$P$12*J4</f>
        <v>0</v>
      </c>
      <c r="T4" s="20">
        <f t="shared" si="2"/>
        <v>5552898.8956078142</v>
      </c>
      <c r="U4" s="23">
        <f t="shared" ca="1" si="3"/>
        <v>2.2038875966141482E-2</v>
      </c>
    </row>
    <row r="5" spans="1:21" ht="15">
      <c r="A5" s="22">
        <f>'Monthly Data'!A5</f>
        <v>39904</v>
      </c>
      <c r="B5" s="6">
        <f t="shared" si="1"/>
        <v>2009</v>
      </c>
      <c r="C5" s="20">
        <f ca="1">'Monthly Data'!K5</f>
        <v>5165756.2748493869</v>
      </c>
      <c r="D5" s="6">
        <f>'Monthly Data'!AH5</f>
        <v>263.29999999999995</v>
      </c>
      <c r="E5" s="6">
        <f>'Monthly Data'!AI5</f>
        <v>10.399999999999999</v>
      </c>
      <c r="F5" s="6">
        <f>'Monthly Data'!AK5</f>
        <v>144.80000000000001</v>
      </c>
      <c r="G5" s="6">
        <f>'Monthly Data'!AM5</f>
        <v>30</v>
      </c>
      <c r="H5" s="6">
        <f>'Monthly Data'!BD5</f>
        <v>1</v>
      </c>
      <c r="I5" s="6">
        <f>'Monthly Data'!AR5</f>
        <v>0</v>
      </c>
      <c r="J5" s="6">
        <f>'Monthly Data'!BA5</f>
        <v>0</v>
      </c>
      <c r="L5" s="20">
        <f>'GS &lt; 50 OLS model'!$P$5</f>
        <v>-1417234.7577365099</v>
      </c>
      <c r="M5" s="20">
        <f>'GS &lt; 50 OLS model'!$P$6*D5</f>
        <v>271376.11714536004</v>
      </c>
      <c r="N5" s="20">
        <f>'GS &lt; 50 OLS model'!$P$7*E5</f>
        <v>79668.285714326703</v>
      </c>
      <c r="O5" s="20">
        <f>'GS &lt; 50 OLS model'!$P$8*F5</f>
        <v>2002876.5006459516</v>
      </c>
      <c r="P5" s="20">
        <f>'GS &lt; 50 OLS model'!$P$9*G5</f>
        <v>4453665.5794136096</v>
      </c>
      <c r="Q5" s="20">
        <f>'GS &lt; 50 OLS model'!$P$10*H5</f>
        <v>-268276.91027030803</v>
      </c>
      <c r="R5" s="20">
        <f>'GS &lt; 50 OLS model'!$P$11*I5</f>
        <v>0</v>
      </c>
      <c r="S5" s="20">
        <f>'GS &lt; 50 OLS model'!$P$12*J5</f>
        <v>0</v>
      </c>
      <c r="T5" s="20">
        <f t="shared" si="2"/>
        <v>5122074.81491243</v>
      </c>
      <c r="U5" s="23">
        <f t="shared" ca="1" si="3"/>
        <v>8.4559660992195099E-3</v>
      </c>
    </row>
    <row r="6" spans="1:21" ht="15">
      <c r="A6" s="22">
        <f>'Monthly Data'!A6</f>
        <v>39934</v>
      </c>
      <c r="B6" s="6">
        <f t="shared" si="1"/>
        <v>2009</v>
      </c>
      <c r="C6" s="20">
        <f ca="1">'Monthly Data'!K6</f>
        <v>5358760.0193285467</v>
      </c>
      <c r="D6" s="6">
        <f>'Monthly Data'!AH6</f>
        <v>83.40000000000002</v>
      </c>
      <c r="E6" s="6">
        <f>'Monthly Data'!AI6</f>
        <v>12.899999999999999</v>
      </c>
      <c r="F6" s="6">
        <f>'Monthly Data'!AK6</f>
        <v>145</v>
      </c>
      <c r="G6" s="6">
        <f>'Monthly Data'!AM6</f>
        <v>31</v>
      </c>
      <c r="H6" s="6">
        <f>'Monthly Data'!BD6</f>
        <v>1</v>
      </c>
      <c r="I6" s="6">
        <f>'Monthly Data'!AR6</f>
        <v>0</v>
      </c>
      <c r="J6" s="6">
        <f>'Monthly Data'!BA6</f>
        <v>0</v>
      </c>
      <c r="L6" s="20">
        <f>'GS &lt; 50 OLS model'!$P$5</f>
        <v>-1417234.7577365099</v>
      </c>
      <c r="M6" s="20">
        <f>'GS &lt; 50 OLS model'!$P$6*D6</f>
        <v>85958.101670805307</v>
      </c>
      <c r="N6" s="20">
        <f>'GS &lt; 50 OLS model'!$P$7*E6</f>
        <v>98819.315934116777</v>
      </c>
      <c r="O6" s="20">
        <f>'GS &lt; 50 OLS model'!$P$8*F6</f>
        <v>2005642.9046523685</v>
      </c>
      <c r="P6" s="20">
        <f>'GS &lt; 50 OLS model'!$P$9*G6</f>
        <v>4602121.0987273967</v>
      </c>
      <c r="Q6" s="20">
        <f>'GS &lt; 50 OLS model'!$P$10*H6</f>
        <v>-268276.91027030803</v>
      </c>
      <c r="R6" s="20">
        <f>'GS &lt; 50 OLS model'!$P$11*I6</f>
        <v>0</v>
      </c>
      <c r="S6" s="20">
        <f>'GS &lt; 50 OLS model'!$P$12*J6</f>
        <v>0</v>
      </c>
      <c r="T6" s="20">
        <f t="shared" si="2"/>
        <v>5107029.7529778695</v>
      </c>
      <c r="U6" s="23">
        <f t="shared" ca="1" si="3"/>
        <v>4.6975469220996963E-2</v>
      </c>
    </row>
    <row r="7" spans="1:21" ht="15">
      <c r="A7" s="22">
        <f>'Monthly Data'!A7</f>
        <v>39965</v>
      </c>
      <c r="B7" s="6">
        <f t="shared" si="1"/>
        <v>2009</v>
      </c>
      <c r="C7" s="20">
        <f ca="1">'Monthly Data'!K7</f>
        <v>5663326.2574443072</v>
      </c>
      <c r="D7" s="6">
        <f>'Monthly Data'!AH7</f>
        <v>25.299999999999997</v>
      </c>
      <c r="E7" s="6">
        <f>'Monthly Data'!AI7</f>
        <v>79.399999999999991</v>
      </c>
      <c r="F7" s="6">
        <f>'Monthly Data'!AK7</f>
        <v>145.69999999999999</v>
      </c>
      <c r="G7" s="6">
        <f>'Monthly Data'!AM7</f>
        <v>30</v>
      </c>
      <c r="H7" s="6">
        <f>'Monthly Data'!BD7</f>
        <v>0</v>
      </c>
      <c r="I7" s="6">
        <f>'Monthly Data'!AR7</f>
        <v>0</v>
      </c>
      <c r="J7" s="6">
        <f>'Monthly Data'!BA7</f>
        <v>0</v>
      </c>
      <c r="L7" s="20">
        <f>'GS &lt; 50 OLS model'!$P$5</f>
        <v>-1417234.7577365099</v>
      </c>
      <c r="M7" s="20">
        <f>'GS &lt; 50 OLS model'!$P$6*D7</f>
        <v>26076.01885217474</v>
      </c>
      <c r="N7" s="20">
        <f>'GS &lt; 50 OLS model'!$P$7*E7</f>
        <v>608236.71978053276</v>
      </c>
      <c r="O7" s="20">
        <f>'GS &lt; 50 OLS model'!$P$8*F7</f>
        <v>2015325.3186748282</v>
      </c>
      <c r="P7" s="20">
        <f>'GS &lt; 50 OLS model'!$P$9*G7</f>
        <v>4453665.5794136096</v>
      </c>
      <c r="Q7" s="20">
        <f>'GS &lt; 50 OLS model'!$P$10*H7</f>
        <v>0</v>
      </c>
      <c r="R7" s="20">
        <f>'GS &lt; 50 OLS model'!$P$11*I7</f>
        <v>0</v>
      </c>
      <c r="S7" s="20">
        <f>'GS &lt; 50 OLS model'!$P$12*J7</f>
        <v>0</v>
      </c>
      <c r="T7" s="20">
        <f t="shared" si="2"/>
        <v>5686068.8789846357</v>
      </c>
      <c r="U7" s="23">
        <f t="shared" ca="1" si="3"/>
        <v>4.0157710339279598E-3</v>
      </c>
    </row>
    <row r="8" spans="1:21" ht="15">
      <c r="A8" s="22">
        <f>'Monthly Data'!A8</f>
        <v>39995</v>
      </c>
      <c r="B8" s="6">
        <f t="shared" si="1"/>
        <v>2009</v>
      </c>
      <c r="C8" s="20">
        <f ca="1">'Monthly Data'!K8</f>
        <v>6200335.1519909399</v>
      </c>
      <c r="D8" s="6">
        <f>'Monthly Data'!AH8</f>
        <v>0.5</v>
      </c>
      <c r="E8" s="6">
        <f>'Monthly Data'!AI8</f>
        <v>100.19999999999999</v>
      </c>
      <c r="F8" s="6">
        <f>'Monthly Data'!AK8</f>
        <v>144.30000000000001</v>
      </c>
      <c r="G8" s="6">
        <f>'Monthly Data'!AM8</f>
        <v>31</v>
      </c>
      <c r="H8" s="6">
        <f>'Monthly Data'!BD8</f>
        <v>0</v>
      </c>
      <c r="I8" s="6">
        <f>'Monthly Data'!AR8</f>
        <v>0</v>
      </c>
      <c r="J8" s="6">
        <f>'Monthly Data'!BA8</f>
        <v>0</v>
      </c>
      <c r="L8" s="20">
        <f>'GS &lt; 50 OLS model'!$P$5</f>
        <v>-1417234.7577365099</v>
      </c>
      <c r="M8" s="20">
        <f>'GS &lt; 50 OLS model'!$P$6*D8</f>
        <v>515.33634095207003</v>
      </c>
      <c r="N8" s="20">
        <f>'GS &lt; 50 OLS model'!$P$7*E8</f>
        <v>767573.29120918608</v>
      </c>
      <c r="O8" s="20">
        <f>'GS &lt; 50 OLS model'!$P$8*F8</f>
        <v>1995960.4906299089</v>
      </c>
      <c r="P8" s="20">
        <f>'GS &lt; 50 OLS model'!$P$9*G8</f>
        <v>4602121.0987273967</v>
      </c>
      <c r="Q8" s="20">
        <f>'GS &lt; 50 OLS model'!$P$10*H8</f>
        <v>0</v>
      </c>
      <c r="R8" s="20">
        <f>'GS &lt; 50 OLS model'!$P$11*I8</f>
        <v>0</v>
      </c>
      <c r="S8" s="20">
        <f>'GS &lt; 50 OLS model'!$P$12*J8</f>
        <v>0</v>
      </c>
      <c r="T8" s="20">
        <f t="shared" si="2"/>
        <v>5948935.4591709338</v>
      </c>
      <c r="U8" s="23">
        <f t="shared" ca="1" si="3"/>
        <v>4.054614575782748E-2</v>
      </c>
    </row>
    <row r="9" spans="1:21" ht="15">
      <c r="A9" s="22">
        <f>'Monthly Data'!A9</f>
        <v>40026</v>
      </c>
      <c r="B9" s="6">
        <f t="shared" si="1"/>
        <v>2009</v>
      </c>
      <c r="C9" s="20">
        <f ca="1">'Monthly Data'!K9</f>
        <v>6260864.1239666771</v>
      </c>
      <c r="D9" s="6">
        <f>'Monthly Data'!AH9</f>
        <v>5.9</v>
      </c>
      <c r="E9" s="6">
        <f>'Monthly Data'!AI9</f>
        <v>133.4</v>
      </c>
      <c r="F9" s="6">
        <f>'Monthly Data'!AK9</f>
        <v>145.1</v>
      </c>
      <c r="G9" s="6">
        <f>'Monthly Data'!AM9</f>
        <v>31</v>
      </c>
      <c r="H9" s="6">
        <f>'Monthly Data'!BD9</f>
        <v>0</v>
      </c>
      <c r="I9" s="6">
        <f>'Monthly Data'!AR9</f>
        <v>0</v>
      </c>
      <c r="J9" s="6">
        <f>'Monthly Data'!BA9</f>
        <v>0</v>
      </c>
      <c r="L9" s="20">
        <f>'GS &lt; 50 OLS model'!$P$5</f>
        <v>-1417234.7577365099</v>
      </c>
      <c r="M9" s="20">
        <f>'GS &lt; 50 OLS model'!$P$6*D9</f>
        <v>6080.968823234427</v>
      </c>
      <c r="N9" s="20">
        <f>'GS &lt; 50 OLS model'!$P$7*E9</f>
        <v>1021898.9725279985</v>
      </c>
      <c r="O9" s="20">
        <f>'GS &lt; 50 OLS model'!$P$8*F9</f>
        <v>2007026.106655577</v>
      </c>
      <c r="P9" s="20">
        <f>'GS &lt; 50 OLS model'!$P$9*G9</f>
        <v>4602121.0987273967</v>
      </c>
      <c r="Q9" s="20">
        <f>'GS &lt; 50 OLS model'!$P$10*H9</f>
        <v>0</v>
      </c>
      <c r="R9" s="20">
        <f>'GS &lt; 50 OLS model'!$P$11*I9</f>
        <v>0</v>
      </c>
      <c r="S9" s="20">
        <f>'GS &lt; 50 OLS model'!$P$12*J9</f>
        <v>0</v>
      </c>
      <c r="T9" s="20">
        <f t="shared" si="2"/>
        <v>6219892.3889976963</v>
      </c>
      <c r="U9" s="23">
        <f t="shared" ca="1" si="3"/>
        <v>6.5441022449505637E-3</v>
      </c>
    </row>
    <row r="10" spans="1:21" ht="15">
      <c r="A10" s="22">
        <f>'Monthly Data'!A10</f>
        <v>40057</v>
      </c>
      <c r="B10" s="6">
        <f t="shared" si="1"/>
        <v>2009</v>
      </c>
      <c r="C10" s="20">
        <f ca="1">'Monthly Data'!K10</f>
        <v>5590921.3744961126</v>
      </c>
      <c r="D10" s="6">
        <f>'Monthly Data'!AH10</f>
        <v>26.2</v>
      </c>
      <c r="E10" s="6">
        <f>'Monthly Data'!AI10</f>
        <v>54.699999999999989</v>
      </c>
      <c r="F10" s="6">
        <f>'Monthly Data'!AK10</f>
        <v>146.80000000000001</v>
      </c>
      <c r="G10" s="6">
        <f>'Monthly Data'!AM10</f>
        <v>30</v>
      </c>
      <c r="H10" s="6">
        <f>'Monthly Data'!BD10</f>
        <v>0</v>
      </c>
      <c r="I10" s="6">
        <f>'Monthly Data'!AR10</f>
        <v>0</v>
      </c>
      <c r="J10" s="6">
        <f>'Monthly Data'!BA10</f>
        <v>0</v>
      </c>
      <c r="L10" s="20">
        <f>'GS &lt; 50 OLS model'!$P$5</f>
        <v>-1417234.7577365099</v>
      </c>
      <c r="M10" s="20">
        <f>'GS &lt; 50 OLS model'!$P$6*D10</f>
        <v>27003.624265888469</v>
      </c>
      <c r="N10" s="20">
        <f>'GS &lt; 50 OLS model'!$P$7*E10</f>
        <v>419024.54120900674</v>
      </c>
      <c r="O10" s="20">
        <f>'GS &lt; 50 OLS model'!$P$8*F10</f>
        <v>2030540.5407101221</v>
      </c>
      <c r="P10" s="20">
        <f>'GS &lt; 50 OLS model'!$P$9*G10</f>
        <v>4453665.5794136096</v>
      </c>
      <c r="Q10" s="20">
        <f>'GS &lt; 50 OLS model'!$P$10*H10</f>
        <v>0</v>
      </c>
      <c r="R10" s="20">
        <f>'GS &lt; 50 OLS model'!$P$11*I10</f>
        <v>0</v>
      </c>
      <c r="S10" s="20">
        <f>'GS &lt; 50 OLS model'!$P$12*J10</f>
        <v>0</v>
      </c>
      <c r="T10" s="20">
        <f t="shared" si="2"/>
        <v>5512999.5278621167</v>
      </c>
      <c r="U10" s="23">
        <f t="shared" ca="1" si="3"/>
        <v>1.3937210240417424E-2</v>
      </c>
    </row>
    <row r="11" spans="1:21" ht="15">
      <c r="A11" s="22">
        <f>'Monthly Data'!A11</f>
        <v>40087</v>
      </c>
      <c r="B11" s="6">
        <f t="shared" si="1"/>
        <v>2009</v>
      </c>
      <c r="C11" s="20">
        <f ca="1">'Monthly Data'!K11</f>
        <v>5185699.0044068033</v>
      </c>
      <c r="D11" s="6">
        <f>'Monthly Data'!AH11</f>
        <v>230.79999999999995</v>
      </c>
      <c r="E11" s="6">
        <f>'Monthly Data'!AI11</f>
        <v>0</v>
      </c>
      <c r="F11" s="6">
        <f>'Monthly Data'!AK11</f>
        <v>149.19999999999999</v>
      </c>
      <c r="G11" s="6">
        <f>'Monthly Data'!AM11</f>
        <v>31</v>
      </c>
      <c r="H11" s="6">
        <f>'Monthly Data'!BD11</f>
        <v>1</v>
      </c>
      <c r="I11" s="6">
        <f>'Monthly Data'!AR11</f>
        <v>0</v>
      </c>
      <c r="J11" s="6">
        <f>'Monthly Data'!BA11</f>
        <v>0</v>
      </c>
      <c r="L11" s="20">
        <f>'GS &lt; 50 OLS model'!$P$5</f>
        <v>-1417234.7577365099</v>
      </c>
      <c r="M11" s="20">
        <f>'GS &lt; 50 OLS model'!$P$6*D11</f>
        <v>237879.25498347549</v>
      </c>
      <c r="N11" s="20">
        <f>'GS &lt; 50 OLS model'!$P$7*E11</f>
        <v>0</v>
      </c>
      <c r="O11" s="20">
        <f>'GS &lt; 50 OLS model'!$P$8*F11</f>
        <v>2063737.3887871266</v>
      </c>
      <c r="P11" s="20">
        <f>'GS &lt; 50 OLS model'!$P$9*G11</f>
        <v>4602121.0987273967</v>
      </c>
      <c r="Q11" s="20">
        <f>'GS &lt; 50 OLS model'!$P$10*H11</f>
        <v>-268276.91027030803</v>
      </c>
      <c r="R11" s="20">
        <f>'GS &lt; 50 OLS model'!$P$11*I11</f>
        <v>0</v>
      </c>
      <c r="S11" s="20">
        <f>'GS &lt; 50 OLS model'!$P$12*J11</f>
        <v>0</v>
      </c>
      <c r="T11" s="20">
        <f t="shared" si="2"/>
        <v>5218226.0744911805</v>
      </c>
      <c r="U11" s="23">
        <f t="shared" ca="1" si="3"/>
        <v>6.2724562410459437E-3</v>
      </c>
    </row>
    <row r="12" spans="1:21" ht="15">
      <c r="A12" s="22">
        <f>'Monthly Data'!A12</f>
        <v>40118</v>
      </c>
      <c r="B12" s="6">
        <f t="shared" si="1"/>
        <v>2009</v>
      </c>
      <c r="C12" s="20">
        <f ca="1">'Monthly Data'!K12</f>
        <v>5131204.807266444</v>
      </c>
      <c r="D12" s="6">
        <f>'Monthly Data'!AH12</f>
        <v>305.49999999999989</v>
      </c>
      <c r="E12" s="6">
        <f>'Monthly Data'!AI12</f>
        <v>0</v>
      </c>
      <c r="F12" s="6">
        <f>'Monthly Data'!AK12</f>
        <v>150.1</v>
      </c>
      <c r="G12" s="6">
        <f>'Monthly Data'!AM12</f>
        <v>30</v>
      </c>
      <c r="H12" s="6">
        <f>'Monthly Data'!BD12</f>
        <v>1</v>
      </c>
      <c r="I12" s="6">
        <f>'Monthly Data'!AR12</f>
        <v>0</v>
      </c>
      <c r="J12" s="6">
        <f>'Monthly Data'!BA12</f>
        <v>0</v>
      </c>
      <c r="L12" s="20">
        <f>'GS &lt; 50 OLS model'!$P$5</f>
        <v>-1417234.7577365099</v>
      </c>
      <c r="M12" s="20">
        <f>'GS &lt; 50 OLS model'!$P$6*D12</f>
        <v>314870.50432171469</v>
      </c>
      <c r="N12" s="20">
        <f>'GS &lt; 50 OLS model'!$P$7*E12</f>
        <v>0</v>
      </c>
      <c r="O12" s="20">
        <f>'GS &lt; 50 OLS model'!$P$8*F12</f>
        <v>2076186.2068160034</v>
      </c>
      <c r="P12" s="20">
        <f>'GS &lt; 50 OLS model'!$P$9*G12</f>
        <v>4453665.5794136096</v>
      </c>
      <c r="Q12" s="20">
        <f>'GS &lt; 50 OLS model'!$P$10*H12</f>
        <v>-268276.91027030803</v>
      </c>
      <c r="R12" s="20">
        <f>'GS &lt; 50 OLS model'!$P$11*I12</f>
        <v>0</v>
      </c>
      <c r="S12" s="20">
        <f>'GS &lt; 50 OLS model'!$P$12*J12</f>
        <v>0</v>
      </c>
      <c r="T12" s="20">
        <f t="shared" si="2"/>
        <v>5159210.6225445094</v>
      </c>
      <c r="U12" s="23">
        <f t="shared" ca="1" si="3"/>
        <v>5.4579414250636744E-3</v>
      </c>
    </row>
    <row r="13" spans="1:21" ht="15">
      <c r="A13" s="22">
        <f>'Monthly Data'!A13</f>
        <v>40148</v>
      </c>
      <c r="B13" s="6">
        <f t="shared" si="1"/>
        <v>2009</v>
      </c>
      <c r="C13" s="20">
        <f ca="1">'Monthly Data'!K13</f>
        <v>5688515.449409673</v>
      </c>
      <c r="D13" s="6">
        <f>'Monthly Data'!AH13</f>
        <v>582</v>
      </c>
      <c r="E13" s="6">
        <f>'Monthly Data'!AI13</f>
        <v>0</v>
      </c>
      <c r="F13" s="6">
        <f>'Monthly Data'!AK13</f>
        <v>150.19999999999999</v>
      </c>
      <c r="G13" s="6">
        <f>'Monthly Data'!AM13</f>
        <v>31</v>
      </c>
      <c r="H13" s="6">
        <f>'Monthly Data'!BD13</f>
        <v>0</v>
      </c>
      <c r="I13" s="6">
        <f>'Monthly Data'!AR13</f>
        <v>0</v>
      </c>
      <c r="J13" s="6">
        <f>'Monthly Data'!BA13</f>
        <v>1</v>
      </c>
      <c r="L13" s="20">
        <f>'GS &lt; 50 OLS model'!$P$5</f>
        <v>-1417234.7577365099</v>
      </c>
      <c r="M13" s="20">
        <f>'GS &lt; 50 OLS model'!$P$6*D13</f>
        <v>599851.50086820952</v>
      </c>
      <c r="N13" s="20">
        <f>'GS &lt; 50 OLS model'!$P$7*E13</f>
        <v>0</v>
      </c>
      <c r="O13" s="20">
        <f>'GS &lt; 50 OLS model'!$P$8*F13</f>
        <v>2077569.4088192119</v>
      </c>
      <c r="P13" s="20">
        <f>'GS &lt; 50 OLS model'!$P$9*G13</f>
        <v>4602121.0987273967</v>
      </c>
      <c r="Q13" s="20">
        <f>'GS &lt; 50 OLS model'!$P$10*H13</f>
        <v>0</v>
      </c>
      <c r="R13" s="20">
        <f>'GS &lt; 50 OLS model'!$P$11*I13</f>
        <v>0</v>
      </c>
      <c r="S13" s="20">
        <f>'GS &lt; 50 OLS model'!$P$12*J13</f>
        <v>-202556.65738747199</v>
      </c>
      <c r="T13" s="20">
        <f t="shared" si="2"/>
        <v>5659750.5932908366</v>
      </c>
      <c r="U13" s="23">
        <f t="shared" ca="1" si="3"/>
        <v>5.0566543019271437E-3</v>
      </c>
    </row>
    <row r="14" spans="1:21" ht="15">
      <c r="A14" s="22">
        <f>'Monthly Data'!A14</f>
        <v>40179</v>
      </c>
      <c r="B14" s="6">
        <f t="shared" si="1"/>
        <v>2010</v>
      </c>
      <c r="C14" s="20">
        <f ca="1">'Monthly Data'!K14</f>
        <v>5896501.9011723185</v>
      </c>
      <c r="D14" s="6">
        <f>'Monthly Data'!AH14</f>
        <v>663.29999999999984</v>
      </c>
      <c r="E14" s="6">
        <f>'Monthly Data'!AI14</f>
        <v>0</v>
      </c>
      <c r="F14" s="6">
        <f>'Monthly Data'!AK14</f>
        <v>146.80000000000001</v>
      </c>
      <c r="G14" s="6">
        <f>'Monthly Data'!AM14</f>
        <v>31</v>
      </c>
      <c r="H14" s="6">
        <f>'Monthly Data'!BD14</f>
        <v>0</v>
      </c>
      <c r="I14" s="6">
        <f>'Monthly Data'!AR14</f>
        <v>0</v>
      </c>
      <c r="J14" s="6">
        <f>'Monthly Data'!BA14</f>
        <v>0</v>
      </c>
      <c r="L14" s="20">
        <f>'GS &lt; 50 OLS model'!$P$5</f>
        <v>-1417234.7577365099</v>
      </c>
      <c r="M14" s="20">
        <f>'GS &lt; 50 OLS model'!$P$6*D14</f>
        <v>683645.18990701588</v>
      </c>
      <c r="N14" s="20">
        <f>'GS &lt; 50 OLS model'!$P$7*E14</f>
        <v>0</v>
      </c>
      <c r="O14" s="20">
        <f>'GS &lt; 50 OLS model'!$P$8*F14</f>
        <v>2030540.5407101221</v>
      </c>
      <c r="P14" s="20">
        <f>'GS &lt; 50 OLS model'!$P$9*G14</f>
        <v>4602121.0987273967</v>
      </c>
      <c r="Q14" s="20">
        <f>'GS &lt; 50 OLS model'!$P$10*H14</f>
        <v>0</v>
      </c>
      <c r="R14" s="20">
        <f>'GS &lt; 50 OLS model'!$P$11*I14</f>
        <v>0</v>
      </c>
      <c r="S14" s="20">
        <f>'GS &lt; 50 OLS model'!$P$12*J14</f>
        <v>0</v>
      </c>
      <c r="T14" s="20">
        <f t="shared" si="2"/>
        <v>5899072.0716080246</v>
      </c>
      <c r="U14" s="23">
        <f t="shared" ca="1" si="3"/>
        <v>4.3588054049387533E-4</v>
      </c>
    </row>
    <row r="15" spans="1:21" ht="15">
      <c r="A15" s="22">
        <f>'Monthly Data'!A15</f>
        <v>40210</v>
      </c>
      <c r="B15" s="6">
        <f t="shared" si="1"/>
        <v>2010</v>
      </c>
      <c r="C15" s="20">
        <f ca="1">'Monthly Data'!K15</f>
        <v>5282460.4406652441</v>
      </c>
      <c r="D15" s="6">
        <f>'Monthly Data'!AH15</f>
        <v>557.29999999999995</v>
      </c>
      <c r="E15" s="6">
        <f>'Monthly Data'!AI15</f>
        <v>0</v>
      </c>
      <c r="F15" s="6">
        <f>'Monthly Data'!AK15</f>
        <v>145.5</v>
      </c>
      <c r="G15" s="6">
        <f>'Monthly Data'!AM15</f>
        <v>28</v>
      </c>
      <c r="H15" s="6">
        <f>'Monthly Data'!BD15</f>
        <v>0</v>
      </c>
      <c r="I15" s="6">
        <f>'Monthly Data'!AR15</f>
        <v>0</v>
      </c>
      <c r="J15" s="6">
        <f>'Monthly Data'!BA15</f>
        <v>0</v>
      </c>
      <c r="L15" s="20">
        <f>'GS &lt; 50 OLS model'!$P$5</f>
        <v>-1417234.7577365099</v>
      </c>
      <c r="M15" s="20">
        <f>'GS &lt; 50 OLS model'!$P$6*D15</f>
        <v>574393.88562517718</v>
      </c>
      <c r="N15" s="20">
        <f>'GS &lt; 50 OLS model'!$P$7*E15</f>
        <v>0</v>
      </c>
      <c r="O15" s="20">
        <f>'GS &lt; 50 OLS model'!$P$8*F15</f>
        <v>2012558.9146684112</v>
      </c>
      <c r="P15" s="20">
        <f>'GS &lt; 50 OLS model'!$P$9*G15</f>
        <v>4156754.5407860358</v>
      </c>
      <c r="Q15" s="20">
        <f>'GS &lt; 50 OLS model'!$P$10*H15</f>
        <v>0</v>
      </c>
      <c r="R15" s="20">
        <f>'GS &lt; 50 OLS model'!$P$11*I15</f>
        <v>0</v>
      </c>
      <c r="S15" s="20">
        <f>'GS &lt; 50 OLS model'!$P$12*J15</f>
        <v>0</v>
      </c>
      <c r="T15" s="20">
        <f t="shared" si="2"/>
        <v>5326472.5833431147</v>
      </c>
      <c r="U15" s="23">
        <f t="shared" ca="1" si="3"/>
        <v>8.3317505492436651E-3</v>
      </c>
    </row>
    <row r="16" spans="1:21" ht="15">
      <c r="A16" s="22">
        <f>'Monthly Data'!A16</f>
        <v>40238</v>
      </c>
      <c r="B16" s="6">
        <f t="shared" si="1"/>
        <v>2010</v>
      </c>
      <c r="C16" s="20">
        <f ca="1">'Monthly Data'!K16</f>
        <v>5367265.7782861628</v>
      </c>
      <c r="D16" s="6">
        <f>'Monthly Data'!AH16</f>
        <v>393.39999999999986</v>
      </c>
      <c r="E16" s="6">
        <f>'Monthly Data'!AI16</f>
        <v>0</v>
      </c>
      <c r="F16" s="6">
        <f>'Monthly Data'!AK16</f>
        <v>143.30000000000001</v>
      </c>
      <c r="G16" s="6">
        <f>'Monthly Data'!AM16</f>
        <v>31</v>
      </c>
      <c r="H16" s="6">
        <f>'Monthly Data'!BD16</f>
        <v>1</v>
      </c>
      <c r="I16" s="6">
        <f>'Monthly Data'!AR16</f>
        <v>1</v>
      </c>
      <c r="J16" s="6">
        <f>'Monthly Data'!BA16</f>
        <v>0</v>
      </c>
      <c r="L16" s="20">
        <f>'GS &lt; 50 OLS model'!$P$5</f>
        <v>-1417234.7577365099</v>
      </c>
      <c r="M16" s="20">
        <f>'GS &lt; 50 OLS model'!$P$6*D16</f>
        <v>405466.63306108856</v>
      </c>
      <c r="N16" s="20">
        <f>'GS &lt; 50 OLS model'!$P$7*E16</f>
        <v>0</v>
      </c>
      <c r="O16" s="20">
        <f>'GS &lt; 50 OLS model'!$P$8*F16</f>
        <v>1982128.4705978236</v>
      </c>
      <c r="P16" s="20">
        <f>'GS &lt; 50 OLS model'!$P$9*G16</f>
        <v>4602121.0987273967</v>
      </c>
      <c r="Q16" s="20">
        <f>'GS &lt; 50 OLS model'!$P$10*H16</f>
        <v>-268276.91027030803</v>
      </c>
      <c r="R16" s="20">
        <f>'GS &lt; 50 OLS model'!$P$11*I16</f>
        <v>188882.52120843399</v>
      </c>
      <c r="S16" s="20">
        <f>'GS &lt; 50 OLS model'!$P$12*J16</f>
        <v>0</v>
      </c>
      <c r="T16" s="20">
        <f t="shared" si="2"/>
        <v>5493087.055587925</v>
      </c>
      <c r="U16" s="23">
        <f t="shared" ca="1" si="3"/>
        <v>2.3442341501102002E-2</v>
      </c>
    </row>
    <row r="17" spans="1:21" ht="15">
      <c r="A17" s="22">
        <f>'Monthly Data'!A17</f>
        <v>40269</v>
      </c>
      <c r="B17" s="6">
        <f t="shared" si="1"/>
        <v>2010</v>
      </c>
      <c r="C17" s="20">
        <f ca="1">'Monthly Data'!K17</f>
        <v>5048654.5806024112</v>
      </c>
      <c r="D17" s="6">
        <f>'Monthly Data'!AH17</f>
        <v>174.9</v>
      </c>
      <c r="E17" s="6">
        <f>'Monthly Data'!AI17</f>
        <v>5</v>
      </c>
      <c r="F17" s="6">
        <f>'Monthly Data'!AK17</f>
        <v>146.6</v>
      </c>
      <c r="G17" s="6">
        <f>'Monthly Data'!AM17</f>
        <v>30</v>
      </c>
      <c r="H17" s="6">
        <f>'Monthly Data'!BD17</f>
        <v>1</v>
      </c>
      <c r="I17" s="6">
        <f>'Monthly Data'!AR17</f>
        <v>0</v>
      </c>
      <c r="J17" s="6">
        <f>'Monthly Data'!BA17</f>
        <v>0</v>
      </c>
      <c r="L17" s="20">
        <f>'GS &lt; 50 OLS model'!$P$5</f>
        <v>-1417234.7577365099</v>
      </c>
      <c r="M17" s="20">
        <f>'GS &lt; 50 OLS model'!$P$6*D17</f>
        <v>180264.65206503411</v>
      </c>
      <c r="N17" s="20">
        <f>'GS &lt; 50 OLS model'!$P$7*E17</f>
        <v>38302.060439580149</v>
      </c>
      <c r="O17" s="20">
        <f>'GS &lt; 50 OLS model'!$P$8*F17</f>
        <v>2027774.1367037049</v>
      </c>
      <c r="P17" s="20">
        <f>'GS &lt; 50 OLS model'!$P$9*G17</f>
        <v>4453665.5794136096</v>
      </c>
      <c r="Q17" s="20">
        <f>'GS &lt; 50 OLS model'!$P$10*H17</f>
        <v>-268276.91027030803</v>
      </c>
      <c r="R17" s="20">
        <f>'GS &lt; 50 OLS model'!$P$11*I17</f>
        <v>0</v>
      </c>
      <c r="S17" s="20">
        <f>'GS &lt; 50 OLS model'!$P$12*J17</f>
        <v>0</v>
      </c>
      <c r="T17" s="20">
        <f t="shared" si="2"/>
        <v>5014494.7606151104</v>
      </c>
      <c r="U17" s="23">
        <f t="shared" ca="1" si="3"/>
        <v>6.7661234180185874E-3</v>
      </c>
    </row>
    <row r="18" spans="1:21" ht="15">
      <c r="A18" s="22">
        <f>'Monthly Data'!A18</f>
        <v>40299</v>
      </c>
      <c r="B18" s="6">
        <f t="shared" si="1"/>
        <v>2010</v>
      </c>
      <c r="C18" s="20">
        <f ca="1">'Monthly Data'!K18</f>
        <v>5629447.9636161011</v>
      </c>
      <c r="D18" s="6">
        <f>'Monthly Data'!AH18</f>
        <v>84.300000000000011</v>
      </c>
      <c r="E18" s="6">
        <f>'Monthly Data'!AI18</f>
        <v>59.699999999999989</v>
      </c>
      <c r="F18" s="6">
        <f>'Monthly Data'!AK18</f>
        <v>147.80000000000001</v>
      </c>
      <c r="G18" s="6">
        <f>'Monthly Data'!AM18</f>
        <v>31</v>
      </c>
      <c r="H18" s="6">
        <f>'Monthly Data'!BD18</f>
        <v>1</v>
      </c>
      <c r="I18" s="6">
        <f>'Monthly Data'!AR18</f>
        <v>0</v>
      </c>
      <c r="J18" s="6">
        <f>'Monthly Data'!BA18</f>
        <v>0</v>
      </c>
      <c r="L18" s="20">
        <f>'GS &lt; 50 OLS model'!$P$5</f>
        <v>-1417234.7577365099</v>
      </c>
      <c r="M18" s="20">
        <f>'GS &lt; 50 OLS model'!$P$6*D18</f>
        <v>86885.707084519017</v>
      </c>
      <c r="N18" s="20">
        <f>'GS &lt; 50 OLS model'!$P$7*E18</f>
        <v>457326.60164858692</v>
      </c>
      <c r="O18" s="20">
        <f>'GS &lt; 50 OLS model'!$P$8*F18</f>
        <v>2044372.5607422076</v>
      </c>
      <c r="P18" s="20">
        <f>'GS &lt; 50 OLS model'!$P$9*G18</f>
        <v>4602121.0987273967</v>
      </c>
      <c r="Q18" s="20">
        <f>'GS &lt; 50 OLS model'!$P$10*H18</f>
        <v>-268276.91027030803</v>
      </c>
      <c r="R18" s="20">
        <f>'GS &lt; 50 OLS model'!$P$11*I18</f>
        <v>0</v>
      </c>
      <c r="S18" s="20">
        <f>'GS &lt; 50 OLS model'!$P$12*J18</f>
        <v>0</v>
      </c>
      <c r="T18" s="20">
        <f t="shared" si="2"/>
        <v>5505194.3001958923</v>
      </c>
      <c r="U18" s="23">
        <f t="shared" ca="1" si="3"/>
        <v>2.207208668119455E-2</v>
      </c>
    </row>
    <row r="19" spans="1:21" ht="15">
      <c r="A19" s="22">
        <f>'Monthly Data'!A19</f>
        <v>40330</v>
      </c>
      <c r="B19" s="6">
        <f t="shared" si="1"/>
        <v>2010</v>
      </c>
      <c r="C19" s="20">
        <f ca="1">'Monthly Data'!K19</f>
        <v>6292517.6784429774</v>
      </c>
      <c r="D19" s="6">
        <f>'Monthly Data'!AH19</f>
        <v>3.9000000000000004</v>
      </c>
      <c r="E19" s="6">
        <f>'Monthly Data'!AI19</f>
        <v>135.89999999999998</v>
      </c>
      <c r="F19" s="6">
        <f>'Monthly Data'!AK19</f>
        <v>149.9</v>
      </c>
      <c r="G19" s="6">
        <f>'Monthly Data'!AM19</f>
        <v>30</v>
      </c>
      <c r="H19" s="6">
        <f>'Monthly Data'!BD19</f>
        <v>0</v>
      </c>
      <c r="I19" s="6">
        <f>'Monthly Data'!AR19</f>
        <v>0</v>
      </c>
      <c r="J19" s="6">
        <f>'Monthly Data'!BA19</f>
        <v>0</v>
      </c>
      <c r="L19" s="20">
        <f>'GS &lt; 50 OLS model'!$P$5</f>
        <v>-1417234.7577365099</v>
      </c>
      <c r="M19" s="20">
        <f>'GS &lt; 50 OLS model'!$P$6*D19</f>
        <v>4019.6234594261468</v>
      </c>
      <c r="N19" s="20">
        <f>'GS &lt; 50 OLS model'!$P$7*E19</f>
        <v>1041050.0027477883</v>
      </c>
      <c r="O19" s="20">
        <f>'GS &lt; 50 OLS model'!$P$8*F19</f>
        <v>2073419.8028095865</v>
      </c>
      <c r="P19" s="20">
        <f>'GS &lt; 50 OLS model'!$P$9*G19</f>
        <v>4453665.5794136096</v>
      </c>
      <c r="Q19" s="20">
        <f>'GS &lt; 50 OLS model'!$P$10*H19</f>
        <v>0</v>
      </c>
      <c r="R19" s="20">
        <f>'GS &lt; 50 OLS model'!$P$11*I19</f>
        <v>0</v>
      </c>
      <c r="S19" s="20">
        <f>'GS &lt; 50 OLS model'!$P$12*J19</f>
        <v>0</v>
      </c>
      <c r="T19" s="20">
        <f t="shared" si="2"/>
        <v>6154920.2506939005</v>
      </c>
      <c r="U19" s="23">
        <f t="shared" ca="1" si="3"/>
        <v>2.1866832129921646E-2</v>
      </c>
    </row>
    <row r="20" spans="1:21" ht="15">
      <c r="A20" s="22">
        <f>'Monthly Data'!A20</f>
        <v>40360</v>
      </c>
      <c r="B20" s="6">
        <f t="shared" si="1"/>
        <v>2010</v>
      </c>
      <c r="C20" s="20">
        <f ca="1">'Monthly Data'!K20</f>
        <v>7051776.6779211387</v>
      </c>
      <c r="D20" s="6">
        <f>'Monthly Data'!AH20</f>
        <v>0</v>
      </c>
      <c r="E20" s="6">
        <f>'Monthly Data'!AI20</f>
        <v>227.00000000000006</v>
      </c>
      <c r="F20" s="6">
        <f>'Monthly Data'!AK20</f>
        <v>148.30000000000001</v>
      </c>
      <c r="G20" s="6">
        <f>'Monthly Data'!AM20</f>
        <v>31</v>
      </c>
      <c r="H20" s="6">
        <f>'Monthly Data'!BD20</f>
        <v>0</v>
      </c>
      <c r="I20" s="6">
        <f>'Monthly Data'!AR20</f>
        <v>0</v>
      </c>
      <c r="J20" s="6">
        <f>'Monthly Data'!BA20</f>
        <v>0</v>
      </c>
      <c r="L20" s="20">
        <f>'GS &lt; 50 OLS model'!$P$5</f>
        <v>-1417234.7577365099</v>
      </c>
      <c r="M20" s="20">
        <f>'GS &lt; 50 OLS model'!$P$6*D20</f>
        <v>0</v>
      </c>
      <c r="N20" s="20">
        <f>'GS &lt; 50 OLS model'!$P$7*E20</f>
        <v>1738913.5439569394</v>
      </c>
      <c r="O20" s="20">
        <f>'GS &lt; 50 OLS model'!$P$8*F20</f>
        <v>2051288.5707582501</v>
      </c>
      <c r="P20" s="20">
        <f>'GS &lt; 50 OLS model'!$P$9*G20</f>
        <v>4602121.0987273967</v>
      </c>
      <c r="Q20" s="20">
        <f>'GS &lt; 50 OLS model'!$P$10*H20</f>
        <v>0</v>
      </c>
      <c r="R20" s="20">
        <f>'GS &lt; 50 OLS model'!$P$11*I20</f>
        <v>0</v>
      </c>
      <c r="S20" s="20">
        <f>'GS &lt; 50 OLS model'!$P$12*J20</f>
        <v>0</v>
      </c>
      <c r="T20" s="20">
        <f t="shared" si="2"/>
        <v>6975088.4557060767</v>
      </c>
      <c r="U20" s="23">
        <f t="shared" ca="1" si="3"/>
        <v>1.087502139073265E-2</v>
      </c>
    </row>
    <row r="21" spans="1:21" ht="15">
      <c r="A21" s="22">
        <f>'Monthly Data'!A21</f>
        <v>40391</v>
      </c>
      <c r="B21" s="6">
        <f t="shared" si="1"/>
        <v>2010</v>
      </c>
      <c r="C21" s="20">
        <f ca="1">'Monthly Data'!K21</f>
        <v>6891570.3434989201</v>
      </c>
      <c r="D21" s="6">
        <f>'Monthly Data'!AH21</f>
        <v>0</v>
      </c>
      <c r="E21" s="6">
        <f>'Monthly Data'!AI21</f>
        <v>211.80000000000004</v>
      </c>
      <c r="F21" s="6">
        <f>'Monthly Data'!AK21</f>
        <v>148.4</v>
      </c>
      <c r="G21" s="6">
        <f>'Monthly Data'!AM21</f>
        <v>31</v>
      </c>
      <c r="H21" s="6">
        <f>'Monthly Data'!BD21</f>
        <v>0</v>
      </c>
      <c r="I21" s="6">
        <f>'Monthly Data'!AR21</f>
        <v>0</v>
      </c>
      <c r="J21" s="6">
        <f>'Monthly Data'!BA21</f>
        <v>0</v>
      </c>
      <c r="L21" s="20">
        <f>'GS &lt; 50 OLS model'!$P$5</f>
        <v>-1417234.7577365099</v>
      </c>
      <c r="M21" s="20">
        <f>'GS &lt; 50 OLS model'!$P$6*D21</f>
        <v>0</v>
      </c>
      <c r="N21" s="20">
        <f>'GS &lt; 50 OLS model'!$P$7*E21</f>
        <v>1622475.2802206154</v>
      </c>
      <c r="O21" s="20">
        <f>'GS &lt; 50 OLS model'!$P$8*F21</f>
        <v>2052671.7727614585</v>
      </c>
      <c r="P21" s="20">
        <f>'GS &lt; 50 OLS model'!$P$9*G21</f>
        <v>4602121.0987273967</v>
      </c>
      <c r="Q21" s="20">
        <f>'GS &lt; 50 OLS model'!$P$10*H21</f>
        <v>0</v>
      </c>
      <c r="R21" s="20">
        <f>'GS &lt; 50 OLS model'!$P$11*I21</f>
        <v>0</v>
      </c>
      <c r="S21" s="20">
        <f>'GS &lt; 50 OLS model'!$P$12*J21</f>
        <v>0</v>
      </c>
      <c r="T21" s="20">
        <f t="shared" si="2"/>
        <v>6860033.3939729612</v>
      </c>
      <c r="U21" s="23">
        <f t="shared" ca="1" si="3"/>
        <v>4.5761630447128587E-3</v>
      </c>
    </row>
    <row r="22" spans="1:21" ht="15">
      <c r="A22" s="22">
        <f>'Monthly Data'!A22</f>
        <v>40422</v>
      </c>
      <c r="B22" s="6">
        <f t="shared" si="1"/>
        <v>2010</v>
      </c>
      <c r="C22" s="20">
        <f ca="1">'Monthly Data'!K22</f>
        <v>5651782.3575958619</v>
      </c>
      <c r="D22" s="6">
        <f>'Monthly Data'!AH22</f>
        <v>38</v>
      </c>
      <c r="E22" s="6">
        <f>'Monthly Data'!AI22</f>
        <v>59.699999999999989</v>
      </c>
      <c r="F22" s="6">
        <f>'Monthly Data'!AK22</f>
        <v>148.69999999999999</v>
      </c>
      <c r="G22" s="6">
        <f>'Monthly Data'!AM22</f>
        <v>30</v>
      </c>
      <c r="H22" s="6">
        <f>'Monthly Data'!BD22</f>
        <v>0</v>
      </c>
      <c r="I22" s="6">
        <f>'Monthly Data'!AR22</f>
        <v>0</v>
      </c>
      <c r="J22" s="6">
        <f>'Monthly Data'!BA22</f>
        <v>0</v>
      </c>
      <c r="L22" s="20">
        <f>'GS &lt; 50 OLS model'!$P$5</f>
        <v>-1417234.7577365099</v>
      </c>
      <c r="M22" s="20">
        <f>'GS &lt; 50 OLS model'!$P$6*D22</f>
        <v>39165.56191235732</v>
      </c>
      <c r="N22" s="20">
        <f>'GS &lt; 50 OLS model'!$P$7*E22</f>
        <v>457326.60164858692</v>
      </c>
      <c r="O22" s="20">
        <f>'GS &lt; 50 OLS model'!$P$8*F22</f>
        <v>2056821.3787710839</v>
      </c>
      <c r="P22" s="20">
        <f>'GS &lt; 50 OLS model'!$P$9*G22</f>
        <v>4453665.5794136096</v>
      </c>
      <c r="Q22" s="20">
        <f>'GS &lt; 50 OLS model'!$P$10*H22</f>
        <v>0</v>
      </c>
      <c r="R22" s="20">
        <f>'GS &lt; 50 OLS model'!$P$11*I22</f>
        <v>0</v>
      </c>
      <c r="S22" s="20">
        <f>'GS &lt; 50 OLS model'!$P$12*J22</f>
        <v>0</v>
      </c>
      <c r="T22" s="20">
        <f t="shared" si="2"/>
        <v>5589744.364009128</v>
      </c>
      <c r="U22" s="23">
        <f t="shared" ca="1" si="3"/>
        <v>1.0976713125436676E-2</v>
      </c>
    </row>
    <row r="23" spans="1:21" ht="15">
      <c r="A23" s="22">
        <f>'Monthly Data'!A23</f>
        <v>40452</v>
      </c>
      <c r="B23" s="6">
        <f t="shared" si="1"/>
        <v>2010</v>
      </c>
      <c r="C23" s="20">
        <f ca="1">'Monthly Data'!K23</f>
        <v>5255156.9166128142</v>
      </c>
      <c r="D23" s="6">
        <f>'Monthly Data'!AH23</f>
        <v>157.6</v>
      </c>
      <c r="E23" s="6">
        <f>'Monthly Data'!AI23</f>
        <v>1.4000000000000001</v>
      </c>
      <c r="F23" s="6">
        <f>'Monthly Data'!AK23</f>
        <v>149.6</v>
      </c>
      <c r="G23" s="6">
        <f>'Monthly Data'!AM23</f>
        <v>31</v>
      </c>
      <c r="H23" s="6">
        <f>'Monthly Data'!BD23</f>
        <v>1</v>
      </c>
      <c r="I23" s="6">
        <f>'Monthly Data'!AR23</f>
        <v>0</v>
      </c>
      <c r="J23" s="6">
        <f>'Monthly Data'!BA23</f>
        <v>0</v>
      </c>
      <c r="L23" s="20">
        <f>'GS &lt; 50 OLS model'!$P$5</f>
        <v>-1417234.7577365099</v>
      </c>
      <c r="M23" s="20">
        <f>'GS &lt; 50 OLS model'!$P$6*D23</f>
        <v>162434.01466809248</v>
      </c>
      <c r="N23" s="20">
        <f>'GS &lt; 50 OLS model'!$P$7*E23</f>
        <v>10724.576923082443</v>
      </c>
      <c r="O23" s="20">
        <f>'GS &lt; 50 OLS model'!$P$8*F23</f>
        <v>2069270.1967999609</v>
      </c>
      <c r="P23" s="20">
        <f>'GS &lt; 50 OLS model'!$P$9*G23</f>
        <v>4602121.0987273967</v>
      </c>
      <c r="Q23" s="20">
        <f>'GS &lt; 50 OLS model'!$P$10*H23</f>
        <v>-268276.91027030803</v>
      </c>
      <c r="R23" s="20">
        <f>'GS &lt; 50 OLS model'!$P$11*I23</f>
        <v>0</v>
      </c>
      <c r="S23" s="20">
        <f>'GS &lt; 50 OLS model'!$P$12*J23</f>
        <v>0</v>
      </c>
      <c r="T23" s="20">
        <f t="shared" si="2"/>
        <v>5159038.2191117145</v>
      </c>
      <c r="U23" s="23">
        <f t="shared" ca="1" si="3"/>
        <v>1.8290357267400591E-2</v>
      </c>
    </row>
    <row r="24" spans="1:21" ht="15">
      <c r="A24" s="22">
        <f>'Monthly Data'!A24</f>
        <v>40483</v>
      </c>
      <c r="B24" s="6">
        <f t="shared" si="1"/>
        <v>2010</v>
      </c>
      <c r="C24" s="20">
        <f ca="1">'Monthly Data'!K24</f>
        <v>5251525.9795399467</v>
      </c>
      <c r="D24" s="6">
        <f>'Monthly Data'!AH24</f>
        <v>376.59999999999991</v>
      </c>
      <c r="E24" s="6">
        <f>'Monthly Data'!AI24</f>
        <v>0</v>
      </c>
      <c r="F24" s="6">
        <f>'Monthly Data'!AK24</f>
        <v>148.9</v>
      </c>
      <c r="G24" s="6">
        <f>'Monthly Data'!AM24</f>
        <v>30</v>
      </c>
      <c r="H24" s="6">
        <f>'Monthly Data'!BD24</f>
        <v>1</v>
      </c>
      <c r="I24" s="6">
        <f>'Monthly Data'!AR24</f>
        <v>0</v>
      </c>
      <c r="J24" s="6">
        <f>'Monthly Data'!BA24</f>
        <v>0</v>
      </c>
      <c r="L24" s="20">
        <f>'GS &lt; 50 OLS model'!$P$5</f>
        <v>-1417234.7577365099</v>
      </c>
      <c r="M24" s="20">
        <f>'GS &lt; 50 OLS model'!$P$6*D24</f>
        <v>388151.33200509904</v>
      </c>
      <c r="N24" s="20">
        <f>'GS &lt; 50 OLS model'!$P$7*E24</f>
        <v>0</v>
      </c>
      <c r="O24" s="20">
        <f>'GS &lt; 50 OLS model'!$P$8*F24</f>
        <v>2059587.7827775013</v>
      </c>
      <c r="P24" s="20">
        <f>'GS &lt; 50 OLS model'!$P$9*G24</f>
        <v>4453665.5794136096</v>
      </c>
      <c r="Q24" s="20">
        <f>'GS &lt; 50 OLS model'!$P$10*H24</f>
        <v>-268276.91027030803</v>
      </c>
      <c r="R24" s="20">
        <f>'GS &lt; 50 OLS model'!$P$11*I24</f>
        <v>0</v>
      </c>
      <c r="S24" s="20">
        <f>'GS &lt; 50 OLS model'!$P$12*J24</f>
        <v>0</v>
      </c>
      <c r="T24" s="20">
        <f t="shared" si="2"/>
        <v>5215893.0261893915</v>
      </c>
      <c r="U24" s="23">
        <f t="shared" ca="1" si="3"/>
        <v>6.7852569880415469E-3</v>
      </c>
    </row>
    <row r="25" spans="1:21" ht="15">
      <c r="A25" s="22">
        <f>'Monthly Data'!A25</f>
        <v>40513</v>
      </c>
      <c r="B25" s="6">
        <f t="shared" si="1"/>
        <v>2010</v>
      </c>
      <c r="C25" s="20">
        <f ca="1">'Monthly Data'!K25</f>
        <v>5844905.3892598506</v>
      </c>
      <c r="D25" s="6">
        <f>'Monthly Data'!AH25</f>
        <v>645.59999999999991</v>
      </c>
      <c r="E25" s="6">
        <f>'Monthly Data'!AI25</f>
        <v>0</v>
      </c>
      <c r="F25" s="6">
        <f>'Monthly Data'!AK25</f>
        <v>148.1</v>
      </c>
      <c r="G25" s="6">
        <f>'Monthly Data'!AM25</f>
        <v>31</v>
      </c>
      <c r="H25" s="6">
        <f>'Monthly Data'!BD25</f>
        <v>0</v>
      </c>
      <c r="I25" s="6">
        <f>'Monthly Data'!AR25</f>
        <v>0</v>
      </c>
      <c r="J25" s="6">
        <f>'Monthly Data'!BA25</f>
        <v>1</v>
      </c>
      <c r="L25" s="20">
        <f>'GS &lt; 50 OLS model'!$P$5</f>
        <v>-1417234.7577365099</v>
      </c>
      <c r="M25" s="20">
        <f>'GS &lt; 50 OLS model'!$P$6*D25</f>
        <v>665402.2834373127</v>
      </c>
      <c r="N25" s="20">
        <f>'GS &lt; 50 OLS model'!$P$7*E25</f>
        <v>0</v>
      </c>
      <c r="O25" s="20">
        <f>'GS &lt; 50 OLS model'!$P$8*F25</f>
        <v>2048522.1667518329</v>
      </c>
      <c r="P25" s="20">
        <f>'GS &lt; 50 OLS model'!$P$9*G25</f>
        <v>4602121.0987273967</v>
      </c>
      <c r="Q25" s="20">
        <f>'GS &lt; 50 OLS model'!$P$10*H25</f>
        <v>0</v>
      </c>
      <c r="R25" s="20">
        <f>'GS &lt; 50 OLS model'!$P$11*I25</f>
        <v>0</v>
      </c>
      <c r="S25" s="20">
        <f>'GS &lt; 50 OLS model'!$P$12*J25</f>
        <v>-202556.65738747199</v>
      </c>
      <c r="T25" s="20">
        <f t="shared" si="2"/>
        <v>5696254.1337925605</v>
      </c>
      <c r="U25" s="23">
        <f t="shared" ca="1" si="3"/>
        <v>2.5432619617836789E-2</v>
      </c>
    </row>
    <row r="26" spans="1:21" ht="15">
      <c r="A26" s="22">
        <f>'Monthly Data'!A26</f>
        <v>40544</v>
      </c>
      <c r="B26" s="6">
        <f t="shared" si="1"/>
        <v>2011</v>
      </c>
      <c r="C26" s="20">
        <f ca="1">'Monthly Data'!K26</f>
        <v>6026588.3635599045</v>
      </c>
      <c r="D26" s="6">
        <f>'Monthly Data'!AH26</f>
        <v>703.59999999999991</v>
      </c>
      <c r="E26" s="6">
        <f>'Monthly Data'!AI26</f>
        <v>0</v>
      </c>
      <c r="F26" s="6">
        <f>'Monthly Data'!AK26</f>
        <v>148.69999999999999</v>
      </c>
      <c r="G26" s="6">
        <f>'Monthly Data'!AM26</f>
        <v>31</v>
      </c>
      <c r="H26" s="6">
        <f>'Monthly Data'!BD26</f>
        <v>0</v>
      </c>
      <c r="I26" s="6">
        <f>'Monthly Data'!AR26</f>
        <v>0</v>
      </c>
      <c r="J26" s="6">
        <f>'Monthly Data'!BA26</f>
        <v>0</v>
      </c>
      <c r="L26" s="20">
        <f>'GS &lt; 50 OLS model'!$P$5</f>
        <v>-1417234.7577365099</v>
      </c>
      <c r="M26" s="20">
        <f>'GS &lt; 50 OLS model'!$P$6*D26</f>
        <v>725181.29898775287</v>
      </c>
      <c r="N26" s="20">
        <f>'GS &lt; 50 OLS model'!$P$7*E26</f>
        <v>0</v>
      </c>
      <c r="O26" s="20">
        <f>'GS &lt; 50 OLS model'!$P$8*F26</f>
        <v>2056821.3787710839</v>
      </c>
      <c r="P26" s="20">
        <f>'GS &lt; 50 OLS model'!$P$9*G26</f>
        <v>4602121.0987273967</v>
      </c>
      <c r="Q26" s="20">
        <f>'GS &lt; 50 OLS model'!$P$10*H26</f>
        <v>0</v>
      </c>
      <c r="R26" s="20">
        <f>'GS &lt; 50 OLS model'!$P$11*I26</f>
        <v>0</v>
      </c>
      <c r="S26" s="20">
        <f>'GS &lt; 50 OLS model'!$P$12*J26</f>
        <v>0</v>
      </c>
      <c r="T26" s="20">
        <f t="shared" si="2"/>
        <v>5966889.0187497232</v>
      </c>
      <c r="U26" s="23">
        <f t="shared" ca="1" si="3"/>
        <v>9.9059934425182652E-3</v>
      </c>
    </row>
    <row r="27" spans="1:21" ht="15">
      <c r="A27" s="22">
        <f>'Monthly Data'!A27</f>
        <v>40575</v>
      </c>
      <c r="B27" s="6">
        <f t="shared" si="1"/>
        <v>2011</v>
      </c>
      <c r="C27" s="20">
        <f ca="1">'Monthly Data'!K27</f>
        <v>5362970.5444677435</v>
      </c>
      <c r="D27" s="6">
        <f>'Monthly Data'!AH27</f>
        <v>583.20000000000005</v>
      </c>
      <c r="E27" s="6">
        <f>'Monthly Data'!AI27</f>
        <v>0</v>
      </c>
      <c r="F27" s="6">
        <f>'Monthly Data'!AK27</f>
        <v>146.69999999999999</v>
      </c>
      <c r="G27" s="6">
        <f>'Monthly Data'!AM27</f>
        <v>28</v>
      </c>
      <c r="H27" s="6">
        <f>'Monthly Data'!BD27</f>
        <v>0</v>
      </c>
      <c r="I27" s="6">
        <f>'Monthly Data'!AR27</f>
        <v>0</v>
      </c>
      <c r="J27" s="6">
        <f>'Monthly Data'!BA27</f>
        <v>0</v>
      </c>
      <c r="L27" s="20">
        <f>'GS &lt; 50 OLS model'!$P$5</f>
        <v>-1417234.7577365099</v>
      </c>
      <c r="M27" s="20">
        <f>'GS &lt; 50 OLS model'!$P$6*D27</f>
        <v>601088.30808649457</v>
      </c>
      <c r="N27" s="20">
        <f>'GS &lt; 50 OLS model'!$P$7*E27</f>
        <v>0</v>
      </c>
      <c r="O27" s="20">
        <f>'GS &lt; 50 OLS model'!$P$8*F27</f>
        <v>2029157.3387069134</v>
      </c>
      <c r="P27" s="20">
        <f>'GS &lt; 50 OLS model'!$P$9*G27</f>
        <v>4156754.5407860358</v>
      </c>
      <c r="Q27" s="20">
        <f>'GS &lt; 50 OLS model'!$P$10*H27</f>
        <v>0</v>
      </c>
      <c r="R27" s="20">
        <f>'GS &lt; 50 OLS model'!$P$11*I27</f>
        <v>0</v>
      </c>
      <c r="S27" s="20">
        <f>'GS &lt; 50 OLS model'!$P$12*J27</f>
        <v>0</v>
      </c>
      <c r="T27" s="20">
        <f t="shared" si="2"/>
        <v>5369765.429842934</v>
      </c>
      <c r="U27" s="23">
        <f t="shared" ca="1" si="3"/>
        <v>1.2670003161214258E-3</v>
      </c>
    </row>
    <row r="28" spans="1:21" ht="15">
      <c r="A28" s="22">
        <f>'Monthly Data'!A28</f>
        <v>40603</v>
      </c>
      <c r="B28" s="6">
        <f t="shared" si="1"/>
        <v>2011</v>
      </c>
      <c r="C28" s="20">
        <f ca="1">'Monthly Data'!K28</f>
        <v>5630900.4388400922</v>
      </c>
      <c r="D28" s="6">
        <f>'Monthly Data'!AH28</f>
        <v>514.30000000000007</v>
      </c>
      <c r="E28" s="6">
        <f>'Monthly Data'!AI28</f>
        <v>0</v>
      </c>
      <c r="F28" s="6">
        <f>'Monthly Data'!AK28</f>
        <v>145.4</v>
      </c>
      <c r="G28" s="6">
        <f>'Monthly Data'!AM28</f>
        <v>31</v>
      </c>
      <c r="H28" s="6">
        <f>'Monthly Data'!BD28</f>
        <v>1</v>
      </c>
      <c r="I28" s="6">
        <f>'Monthly Data'!AR28</f>
        <v>1</v>
      </c>
      <c r="J28" s="6">
        <f>'Monthly Data'!BA28</f>
        <v>0</v>
      </c>
      <c r="L28" s="20">
        <f>'GS &lt; 50 OLS model'!$P$5</f>
        <v>-1417234.7577365099</v>
      </c>
      <c r="M28" s="20">
        <f>'GS &lt; 50 OLS model'!$P$6*D28</f>
        <v>530074.96030329936</v>
      </c>
      <c r="N28" s="20">
        <f>'GS &lt; 50 OLS model'!$P$7*E28</f>
        <v>0</v>
      </c>
      <c r="O28" s="20">
        <f>'GS &lt; 50 OLS model'!$P$8*F28</f>
        <v>2011175.7126652028</v>
      </c>
      <c r="P28" s="20">
        <f>'GS &lt; 50 OLS model'!$P$9*G28</f>
        <v>4602121.0987273967</v>
      </c>
      <c r="Q28" s="20">
        <f>'GS &lt; 50 OLS model'!$P$10*H28</f>
        <v>-268276.91027030803</v>
      </c>
      <c r="R28" s="20">
        <f>'GS &lt; 50 OLS model'!$P$11*I28</f>
        <v>188882.52120843399</v>
      </c>
      <c r="S28" s="20">
        <f>'GS &lt; 50 OLS model'!$P$12*J28</f>
        <v>0</v>
      </c>
      <c r="T28" s="20">
        <f t="shared" si="2"/>
        <v>5646742.6248975154</v>
      </c>
      <c r="U28" s="23">
        <f t="shared" ca="1" si="3"/>
        <v>2.8134374296780442E-3</v>
      </c>
    </row>
    <row r="29" spans="1:21" ht="15">
      <c r="A29" s="22">
        <f>'Monthly Data'!A29</f>
        <v>40634</v>
      </c>
      <c r="B29" s="6">
        <f t="shared" si="1"/>
        <v>2011</v>
      </c>
      <c r="C29" s="20">
        <f ca="1">'Monthly Data'!K29</f>
        <v>5175082.1278635412</v>
      </c>
      <c r="D29" s="6">
        <f>'Monthly Data'!AH29</f>
        <v>278.59999999999985</v>
      </c>
      <c r="E29" s="6">
        <f>'Monthly Data'!AI29</f>
        <v>0.5</v>
      </c>
      <c r="F29" s="6">
        <f>'Monthly Data'!AK29</f>
        <v>144</v>
      </c>
      <c r="G29" s="6">
        <f>'Monthly Data'!AM29</f>
        <v>30</v>
      </c>
      <c r="H29" s="6">
        <f>'Monthly Data'!BD29</f>
        <v>1</v>
      </c>
      <c r="I29" s="6">
        <f>'Monthly Data'!AR29</f>
        <v>0</v>
      </c>
      <c r="J29" s="6">
        <f>'Monthly Data'!BA29</f>
        <v>0</v>
      </c>
      <c r="L29" s="20">
        <f>'GS &lt; 50 OLS model'!$P$5</f>
        <v>-1417234.7577365099</v>
      </c>
      <c r="M29" s="20">
        <f>'GS &lt; 50 OLS model'!$P$6*D29</f>
        <v>287145.40917849325</v>
      </c>
      <c r="N29" s="20">
        <f>'GS &lt; 50 OLS model'!$P$7*E29</f>
        <v>3830.206043958015</v>
      </c>
      <c r="O29" s="20">
        <f>'GS &lt; 50 OLS model'!$P$8*F29</f>
        <v>1991810.8846202833</v>
      </c>
      <c r="P29" s="20">
        <f>'GS &lt; 50 OLS model'!$P$9*G29</f>
        <v>4453665.5794136096</v>
      </c>
      <c r="Q29" s="20">
        <f>'GS &lt; 50 OLS model'!$P$10*H29</f>
        <v>-268276.91027030803</v>
      </c>
      <c r="R29" s="20">
        <f>'GS &lt; 50 OLS model'!$P$11*I29</f>
        <v>0</v>
      </c>
      <c r="S29" s="20">
        <f>'GS &lt; 50 OLS model'!$P$12*J29</f>
        <v>0</v>
      </c>
      <c r="T29" s="20">
        <f t="shared" si="2"/>
        <v>5050940.4112495258</v>
      </c>
      <c r="U29" s="23">
        <f t="shared" ca="1" si="3"/>
        <v>2.3988356811888035E-2</v>
      </c>
    </row>
    <row r="30" spans="1:21" ht="15">
      <c r="A30" s="22">
        <f>'Monthly Data'!A30</f>
        <v>40664</v>
      </c>
      <c r="B30" s="6">
        <f t="shared" si="1"/>
        <v>2011</v>
      </c>
      <c r="C30" s="20">
        <f ca="1">'Monthly Data'!K30</f>
        <v>5463133.8059784928</v>
      </c>
      <c r="D30" s="6">
        <f>'Monthly Data'!AH30</f>
        <v>105.20000000000003</v>
      </c>
      <c r="E30" s="6">
        <f>'Monthly Data'!AI30</f>
        <v>37.200000000000003</v>
      </c>
      <c r="F30" s="6">
        <f>'Monthly Data'!AK30</f>
        <v>144.6</v>
      </c>
      <c r="G30" s="6">
        <f>'Monthly Data'!AM30</f>
        <v>31</v>
      </c>
      <c r="H30" s="6">
        <f>'Monthly Data'!BD30</f>
        <v>1</v>
      </c>
      <c r="I30" s="6">
        <f>'Monthly Data'!AR30</f>
        <v>0</v>
      </c>
      <c r="J30" s="6">
        <f>'Monthly Data'!BA30</f>
        <v>0</v>
      </c>
      <c r="L30" s="20">
        <f>'GS &lt; 50 OLS model'!$P$5</f>
        <v>-1417234.7577365099</v>
      </c>
      <c r="M30" s="20">
        <f>'GS &lt; 50 OLS model'!$P$6*D30</f>
        <v>108426.76613631556</v>
      </c>
      <c r="N30" s="20">
        <f>'GS &lt; 50 OLS model'!$P$7*E30</f>
        <v>284967.32967047632</v>
      </c>
      <c r="O30" s="20">
        <f>'GS &lt; 50 OLS model'!$P$8*F30</f>
        <v>2000110.0966395342</v>
      </c>
      <c r="P30" s="20">
        <f>'GS &lt; 50 OLS model'!$P$9*G30</f>
        <v>4602121.0987273967</v>
      </c>
      <c r="Q30" s="20">
        <f>'GS &lt; 50 OLS model'!$P$10*H30</f>
        <v>-268276.91027030803</v>
      </c>
      <c r="R30" s="20">
        <f>'GS &lt; 50 OLS model'!$P$11*I30</f>
        <v>0</v>
      </c>
      <c r="S30" s="20">
        <f>'GS &lt; 50 OLS model'!$P$12*J30</f>
        <v>0</v>
      </c>
      <c r="T30" s="20">
        <f t="shared" si="2"/>
        <v>5310113.6231669048</v>
      </c>
      <c r="U30" s="23">
        <f t="shared" ca="1" si="3"/>
        <v>2.8009598198772447E-2</v>
      </c>
    </row>
    <row r="31" spans="1:21" ht="15">
      <c r="A31" s="22">
        <f>'Monthly Data'!A31</f>
        <v>40695</v>
      </c>
      <c r="B31" s="6">
        <f t="shared" si="1"/>
        <v>2011</v>
      </c>
      <c r="C31" s="20">
        <f ca="1">'Monthly Data'!K31</f>
        <v>5976127.300790932</v>
      </c>
      <c r="D31" s="6">
        <f>'Monthly Data'!AH31</f>
        <v>7.6000000000000005</v>
      </c>
      <c r="E31" s="6">
        <f>'Monthly Data'!AI31</f>
        <v>115.89999999999998</v>
      </c>
      <c r="F31" s="6">
        <f>'Monthly Data'!AK31</f>
        <v>146</v>
      </c>
      <c r="G31" s="6">
        <f>'Monthly Data'!AM31</f>
        <v>30</v>
      </c>
      <c r="H31" s="6">
        <f>'Monthly Data'!BD31</f>
        <v>0</v>
      </c>
      <c r="I31" s="6">
        <f>'Monthly Data'!AR31</f>
        <v>0</v>
      </c>
      <c r="J31" s="6">
        <f>'Monthly Data'!BA31</f>
        <v>0</v>
      </c>
      <c r="L31" s="20">
        <f>'GS &lt; 50 OLS model'!$P$5</f>
        <v>-1417234.7577365099</v>
      </c>
      <c r="M31" s="20">
        <f>'GS &lt; 50 OLS model'!$P$6*D31</f>
        <v>7833.112382471465</v>
      </c>
      <c r="N31" s="20">
        <f>'GS &lt; 50 OLS model'!$P$7*E31</f>
        <v>887841.76098946773</v>
      </c>
      <c r="O31" s="20">
        <f>'GS &lt; 50 OLS model'!$P$8*F31</f>
        <v>2019474.9246844538</v>
      </c>
      <c r="P31" s="20">
        <f>'GS &lt; 50 OLS model'!$P$9*G31</f>
        <v>4453665.5794136096</v>
      </c>
      <c r="Q31" s="20">
        <f>'GS &lt; 50 OLS model'!$P$10*H31</f>
        <v>0</v>
      </c>
      <c r="R31" s="20">
        <f>'GS &lt; 50 OLS model'!$P$11*I31</f>
        <v>0</v>
      </c>
      <c r="S31" s="20">
        <f>'GS &lt; 50 OLS model'!$P$12*J31</f>
        <v>0</v>
      </c>
      <c r="T31" s="20">
        <f t="shared" si="2"/>
        <v>5951580.6197334928</v>
      </c>
      <c r="U31" s="23">
        <f t="shared" ca="1" si="3"/>
        <v>4.1074561872519793E-3</v>
      </c>
    </row>
    <row r="32" spans="1:21" ht="15">
      <c r="A32" s="22">
        <f>'Monthly Data'!A32</f>
        <v>40725</v>
      </c>
      <c r="B32" s="6">
        <f t="shared" si="1"/>
        <v>2011</v>
      </c>
      <c r="C32" s="20">
        <f ca="1">'Monthly Data'!K32</f>
        <v>6877540.0657793824</v>
      </c>
      <c r="D32" s="6">
        <f>'Monthly Data'!AH32</f>
        <v>0</v>
      </c>
      <c r="E32" s="6">
        <f>'Monthly Data'!AI32</f>
        <v>255.50000000000006</v>
      </c>
      <c r="F32" s="6">
        <f>'Monthly Data'!AK32</f>
        <v>147.6</v>
      </c>
      <c r="G32" s="6">
        <f>'Monthly Data'!AM32</f>
        <v>31</v>
      </c>
      <c r="H32" s="6">
        <f>'Monthly Data'!BD32</f>
        <v>0</v>
      </c>
      <c r="I32" s="6">
        <f>'Monthly Data'!AR32</f>
        <v>0</v>
      </c>
      <c r="J32" s="6">
        <f>'Monthly Data'!BA32</f>
        <v>0</v>
      </c>
      <c r="L32" s="20">
        <f>'GS &lt; 50 OLS model'!$P$5</f>
        <v>-1417234.7577365099</v>
      </c>
      <c r="M32" s="20">
        <f>'GS &lt; 50 OLS model'!$P$6*D32</f>
        <v>0</v>
      </c>
      <c r="N32" s="20">
        <f>'GS &lt; 50 OLS model'!$P$7*E32</f>
        <v>1957235.2884625462</v>
      </c>
      <c r="O32" s="20">
        <f>'GS &lt; 50 OLS model'!$P$8*F32</f>
        <v>2041606.1567357902</v>
      </c>
      <c r="P32" s="20">
        <f>'GS &lt; 50 OLS model'!$P$9*G32</f>
        <v>4602121.0987273967</v>
      </c>
      <c r="Q32" s="20">
        <f>'GS &lt; 50 OLS model'!$P$10*H32</f>
        <v>0</v>
      </c>
      <c r="R32" s="20">
        <f>'GS &lt; 50 OLS model'!$P$11*I32</f>
        <v>0</v>
      </c>
      <c r="S32" s="20">
        <f>'GS &lt; 50 OLS model'!$P$12*J32</f>
        <v>0</v>
      </c>
      <c r="T32" s="20">
        <f t="shared" si="2"/>
        <v>7183727.7861892227</v>
      </c>
      <c r="U32" s="23">
        <f t="shared" ca="1" si="3"/>
        <v>4.4519947173167401E-2</v>
      </c>
    </row>
    <row r="33" spans="1:21" ht="15">
      <c r="A33" s="22">
        <f>'Monthly Data'!A33</f>
        <v>40756</v>
      </c>
      <c r="B33" s="6">
        <f t="shared" si="1"/>
        <v>2011</v>
      </c>
      <c r="C33" s="20">
        <f ca="1">'Monthly Data'!K33</f>
        <v>6603628.8820340019</v>
      </c>
      <c r="D33" s="6">
        <f>'Monthly Data'!AH33</f>
        <v>0</v>
      </c>
      <c r="E33" s="6">
        <f>'Monthly Data'!AI33</f>
        <v>159.50000000000003</v>
      </c>
      <c r="F33" s="6">
        <f>'Monthly Data'!AK33</f>
        <v>148.69999999999999</v>
      </c>
      <c r="G33" s="6">
        <f>'Monthly Data'!AM33</f>
        <v>31</v>
      </c>
      <c r="H33" s="6">
        <f>'Monthly Data'!BD33</f>
        <v>0</v>
      </c>
      <c r="I33" s="6">
        <f>'Monthly Data'!AR33</f>
        <v>0</v>
      </c>
      <c r="J33" s="6">
        <f>'Monthly Data'!BA33</f>
        <v>0</v>
      </c>
      <c r="L33" s="20">
        <f>'GS &lt; 50 OLS model'!$P$5</f>
        <v>-1417234.7577365099</v>
      </c>
      <c r="M33" s="20">
        <f>'GS &lt; 50 OLS model'!$P$6*D33</f>
        <v>0</v>
      </c>
      <c r="N33" s="20">
        <f>'GS &lt; 50 OLS model'!$P$7*E33</f>
        <v>1221835.728022607</v>
      </c>
      <c r="O33" s="20">
        <f>'GS &lt; 50 OLS model'!$P$8*F33</f>
        <v>2056821.3787710839</v>
      </c>
      <c r="P33" s="20">
        <f>'GS &lt; 50 OLS model'!$P$9*G33</f>
        <v>4602121.0987273967</v>
      </c>
      <c r="Q33" s="20">
        <f>'GS &lt; 50 OLS model'!$P$10*H33</f>
        <v>0</v>
      </c>
      <c r="R33" s="20">
        <f>'GS &lt; 50 OLS model'!$P$11*I33</f>
        <v>0</v>
      </c>
      <c r="S33" s="20">
        <f>'GS &lt; 50 OLS model'!$P$12*J33</f>
        <v>0</v>
      </c>
      <c r="T33" s="20">
        <f t="shared" si="2"/>
        <v>6463543.4477845775</v>
      </c>
      <c r="U33" s="23">
        <f t="shared" ca="1" si="3"/>
        <v>2.1213402017570115E-2</v>
      </c>
    </row>
    <row r="34" spans="1:21" ht="15">
      <c r="A34" s="22">
        <f>'Monthly Data'!A34</f>
        <v>40787</v>
      </c>
      <c r="B34" s="6">
        <f t="shared" ref="B34:B65" si="4">YEAR(A34)</f>
        <v>2011</v>
      </c>
      <c r="C34" s="20">
        <f ca="1">'Monthly Data'!K34</f>
        <v>5618306.5975156222</v>
      </c>
      <c r="D34" s="6">
        <f>'Monthly Data'!AH34</f>
        <v>51.4</v>
      </c>
      <c r="E34" s="6">
        <f>'Monthly Data'!AI34</f>
        <v>60.199999999999989</v>
      </c>
      <c r="F34" s="6">
        <f>'Monthly Data'!AK34</f>
        <v>148.1</v>
      </c>
      <c r="G34" s="6">
        <f>'Monthly Data'!AM34</f>
        <v>30</v>
      </c>
      <c r="H34" s="6">
        <f>'Monthly Data'!BD34</f>
        <v>0</v>
      </c>
      <c r="I34" s="6">
        <f>'Monthly Data'!AR34</f>
        <v>0</v>
      </c>
      <c r="J34" s="6">
        <f>'Monthly Data'!BA34</f>
        <v>0</v>
      </c>
      <c r="L34" s="20">
        <f>'GS &lt; 50 OLS model'!$P$5</f>
        <v>-1417234.7577365099</v>
      </c>
      <c r="M34" s="20">
        <f>'GS &lt; 50 OLS model'!$P$6*D34</f>
        <v>52976.575849872796</v>
      </c>
      <c r="N34" s="20">
        <f>'GS &lt; 50 OLS model'!$P$7*E34</f>
        <v>461156.80769254494</v>
      </c>
      <c r="O34" s="20">
        <f>'GS &lt; 50 OLS model'!$P$8*F34</f>
        <v>2048522.1667518329</v>
      </c>
      <c r="P34" s="20">
        <f>'GS &lt; 50 OLS model'!$P$9*G34</f>
        <v>4453665.5794136096</v>
      </c>
      <c r="Q34" s="20">
        <f>'GS &lt; 50 OLS model'!$P$10*H34</f>
        <v>0</v>
      </c>
      <c r="R34" s="20">
        <f>'GS &lt; 50 OLS model'!$P$11*I34</f>
        <v>0</v>
      </c>
      <c r="S34" s="20">
        <f>'GS &lt; 50 OLS model'!$P$12*J34</f>
        <v>0</v>
      </c>
      <c r="T34" s="20">
        <f t="shared" ref="T34:T65" si="5">SUM(L34:S34)</f>
        <v>5599086.3719713502</v>
      </c>
      <c r="U34" s="23">
        <f t="shared" ref="U34:U65" ca="1" si="6">ABS(T34-C34)/C34</f>
        <v>3.4209997640162692E-3</v>
      </c>
    </row>
    <row r="35" spans="1:21" ht="15">
      <c r="A35" s="22">
        <f>'Monthly Data'!A35</f>
        <v>40817</v>
      </c>
      <c r="B35" s="6">
        <f t="shared" si="4"/>
        <v>2011</v>
      </c>
      <c r="C35" s="20">
        <f ca="1">'Monthly Data'!K35</f>
        <v>5113557.1313079717</v>
      </c>
      <c r="D35" s="6">
        <f>'Monthly Data'!AH35</f>
        <v>185.29999999999998</v>
      </c>
      <c r="E35" s="6">
        <f>'Monthly Data'!AI35</f>
        <v>2.6999999999999997</v>
      </c>
      <c r="F35" s="6">
        <f>'Monthly Data'!AK35</f>
        <v>149.1</v>
      </c>
      <c r="G35" s="6">
        <f>'Monthly Data'!AM35</f>
        <v>31</v>
      </c>
      <c r="H35" s="6">
        <f>'Monthly Data'!BD35</f>
        <v>1</v>
      </c>
      <c r="I35" s="6">
        <f>'Monthly Data'!AR35</f>
        <v>0</v>
      </c>
      <c r="J35" s="6">
        <f>'Monthly Data'!BA35</f>
        <v>0</v>
      </c>
      <c r="L35" s="20">
        <f>'GS &lt; 50 OLS model'!$P$5</f>
        <v>-1417234.7577365099</v>
      </c>
      <c r="M35" s="20">
        <f>'GS &lt; 50 OLS model'!$P$6*D35</f>
        <v>190983.64795683714</v>
      </c>
      <c r="N35" s="20">
        <f>'GS &lt; 50 OLS model'!$P$7*E35</f>
        <v>20683.11263737328</v>
      </c>
      <c r="O35" s="20">
        <f>'GS &lt; 50 OLS model'!$P$8*F35</f>
        <v>2062354.1867839182</v>
      </c>
      <c r="P35" s="20">
        <f>'GS &lt; 50 OLS model'!$P$9*G35</f>
        <v>4602121.0987273967</v>
      </c>
      <c r="Q35" s="20">
        <f>'GS &lt; 50 OLS model'!$P$10*H35</f>
        <v>-268276.91027030803</v>
      </c>
      <c r="R35" s="20">
        <f>'GS &lt; 50 OLS model'!$P$11*I35</f>
        <v>0</v>
      </c>
      <c r="S35" s="20">
        <f>'GS &lt; 50 OLS model'!$P$12*J35</f>
        <v>0</v>
      </c>
      <c r="T35" s="20">
        <f t="shared" si="5"/>
        <v>5190630.3780987076</v>
      </c>
      <c r="U35" s="23">
        <f t="shared" ca="1" si="6"/>
        <v>1.5072335130246564E-2</v>
      </c>
    </row>
    <row r="36" spans="1:21" ht="15">
      <c r="A36" s="22">
        <f>'Monthly Data'!A36</f>
        <v>40848</v>
      </c>
      <c r="B36" s="6">
        <f t="shared" si="4"/>
        <v>2011</v>
      </c>
      <c r="C36" s="20">
        <f ca="1">'Monthly Data'!K36</f>
        <v>5112407.7414213624</v>
      </c>
      <c r="D36" s="6">
        <f>'Monthly Data'!AH36</f>
        <v>297.2999999999999</v>
      </c>
      <c r="E36" s="6">
        <f>'Monthly Data'!AI36</f>
        <v>0</v>
      </c>
      <c r="F36" s="6">
        <f>'Monthly Data'!AK36</f>
        <v>150.80000000000001</v>
      </c>
      <c r="G36" s="6">
        <f>'Monthly Data'!AM36</f>
        <v>30</v>
      </c>
      <c r="H36" s="6">
        <f>'Monthly Data'!BD36</f>
        <v>1</v>
      </c>
      <c r="I36" s="6">
        <f>'Monthly Data'!AR36</f>
        <v>0</v>
      </c>
      <c r="J36" s="6">
        <f>'Monthly Data'!BA36</f>
        <v>0</v>
      </c>
      <c r="L36" s="20">
        <f>'GS &lt; 50 OLS model'!$P$5</f>
        <v>-1417234.7577365099</v>
      </c>
      <c r="M36" s="20">
        <f>'GS &lt; 50 OLS model'!$P$6*D36</f>
        <v>306418.98833010072</v>
      </c>
      <c r="N36" s="20">
        <f>'GS &lt; 50 OLS model'!$P$7*E36</f>
        <v>0</v>
      </c>
      <c r="O36" s="20">
        <f>'GS &lt; 50 OLS model'!$P$8*F36</f>
        <v>2085868.6208384633</v>
      </c>
      <c r="P36" s="20">
        <f>'GS &lt; 50 OLS model'!$P$9*G36</f>
        <v>4453665.5794136096</v>
      </c>
      <c r="Q36" s="20">
        <f>'GS &lt; 50 OLS model'!$P$10*H36</f>
        <v>-268276.91027030803</v>
      </c>
      <c r="R36" s="20">
        <f>'GS &lt; 50 OLS model'!$P$11*I36</f>
        <v>0</v>
      </c>
      <c r="S36" s="20">
        <f>'GS &lt; 50 OLS model'!$P$12*J36</f>
        <v>0</v>
      </c>
      <c r="T36" s="20">
        <f t="shared" si="5"/>
        <v>5160441.5205753557</v>
      </c>
      <c r="U36" s="23">
        <f t="shared" ca="1" si="6"/>
        <v>9.3955297745165565E-3</v>
      </c>
    </row>
    <row r="37" spans="1:21" ht="15">
      <c r="A37" s="22">
        <f>'Monthly Data'!A37</f>
        <v>40878</v>
      </c>
      <c r="B37" s="6">
        <f t="shared" si="4"/>
        <v>2011</v>
      </c>
      <c r="C37" s="20">
        <f ca="1">'Monthly Data'!K37</f>
        <v>5620143.3445212664</v>
      </c>
      <c r="D37" s="6">
        <f>'Monthly Data'!AH37</f>
        <v>485.4</v>
      </c>
      <c r="E37" s="6">
        <f>'Monthly Data'!AI37</f>
        <v>0</v>
      </c>
      <c r="F37" s="6">
        <f>'Monthly Data'!AK37</f>
        <v>152.1</v>
      </c>
      <c r="G37" s="6">
        <f>'Monthly Data'!AM37</f>
        <v>31</v>
      </c>
      <c r="H37" s="6">
        <f>'Monthly Data'!BD37</f>
        <v>0</v>
      </c>
      <c r="I37" s="6">
        <f>'Monthly Data'!AR37</f>
        <v>0</v>
      </c>
      <c r="J37" s="6">
        <f>'Monthly Data'!BA37</f>
        <v>1</v>
      </c>
      <c r="L37" s="20">
        <f>'GS &lt; 50 OLS model'!$P$5</f>
        <v>-1417234.7577365099</v>
      </c>
      <c r="M37" s="20">
        <f>'GS &lt; 50 OLS model'!$P$6*D37</f>
        <v>500288.51979626954</v>
      </c>
      <c r="N37" s="20">
        <f>'GS &lt; 50 OLS model'!$P$7*E37</f>
        <v>0</v>
      </c>
      <c r="O37" s="20">
        <f>'GS &lt; 50 OLS model'!$P$8*F37</f>
        <v>2103850.2468801741</v>
      </c>
      <c r="P37" s="20">
        <f>'GS &lt; 50 OLS model'!$P$9*G37</f>
        <v>4602121.0987273967</v>
      </c>
      <c r="Q37" s="20">
        <f>'GS &lt; 50 OLS model'!$P$10*H37</f>
        <v>0</v>
      </c>
      <c r="R37" s="20">
        <f>'GS &lt; 50 OLS model'!$P$11*I37</f>
        <v>0</v>
      </c>
      <c r="S37" s="20">
        <f>'GS &lt; 50 OLS model'!$P$12*J37</f>
        <v>-202556.65738747199</v>
      </c>
      <c r="T37" s="20">
        <f t="shared" si="5"/>
        <v>5586468.4502798589</v>
      </c>
      <c r="U37" s="23">
        <f t="shared" ca="1" si="6"/>
        <v>5.9918212360606611E-3</v>
      </c>
    </row>
    <row r="38" spans="1:21" ht="15">
      <c r="A38" s="22">
        <f>'Monthly Data'!A38</f>
        <v>40909</v>
      </c>
      <c r="B38" s="6">
        <f t="shared" si="4"/>
        <v>2012</v>
      </c>
      <c r="C38" s="20">
        <f ca="1">'Monthly Data'!K38</f>
        <v>5678473.7393108159</v>
      </c>
      <c r="D38" s="6">
        <f>'Monthly Data'!AH38</f>
        <v>559.59999999999991</v>
      </c>
      <c r="E38" s="6">
        <f>'Monthly Data'!AI38</f>
        <v>0</v>
      </c>
      <c r="F38" s="6">
        <f>'Monthly Data'!AK38</f>
        <v>149.5</v>
      </c>
      <c r="G38" s="6">
        <f>'Monthly Data'!AM38</f>
        <v>31</v>
      </c>
      <c r="H38" s="6">
        <f>'Monthly Data'!BD38</f>
        <v>0</v>
      </c>
      <c r="I38" s="6">
        <f>'Monthly Data'!AR38</f>
        <v>0</v>
      </c>
      <c r="J38" s="6">
        <f>'Monthly Data'!BA38</f>
        <v>0</v>
      </c>
      <c r="L38" s="20">
        <f>'GS &lt; 50 OLS model'!$P$5</f>
        <v>-1417234.7577365099</v>
      </c>
      <c r="M38" s="20">
        <f>'GS &lt; 50 OLS model'!$P$6*D38</f>
        <v>576764.43279355671</v>
      </c>
      <c r="N38" s="20">
        <f>'GS &lt; 50 OLS model'!$P$7*E38</f>
        <v>0</v>
      </c>
      <c r="O38" s="20">
        <f>'GS &lt; 50 OLS model'!$P$8*F38</f>
        <v>2067886.9947967525</v>
      </c>
      <c r="P38" s="20">
        <f>'GS &lt; 50 OLS model'!$P$9*G38</f>
        <v>4602121.0987273967</v>
      </c>
      <c r="Q38" s="20">
        <f>'GS &lt; 50 OLS model'!$P$10*H38</f>
        <v>0</v>
      </c>
      <c r="R38" s="20">
        <f>'GS &lt; 50 OLS model'!$P$11*I38</f>
        <v>0</v>
      </c>
      <c r="S38" s="20">
        <f>'GS &lt; 50 OLS model'!$P$12*J38</f>
        <v>0</v>
      </c>
      <c r="T38" s="20">
        <f t="shared" si="5"/>
        <v>5829537.7685811957</v>
      </c>
      <c r="U38" s="23">
        <f t="shared" ca="1" si="6"/>
        <v>2.6602928217242073E-2</v>
      </c>
    </row>
    <row r="39" spans="1:21" ht="15">
      <c r="A39" s="22">
        <f>'Monthly Data'!A39</f>
        <v>40940</v>
      </c>
      <c r="B39" s="6">
        <f t="shared" si="4"/>
        <v>2012</v>
      </c>
      <c r="C39" s="20">
        <f ca="1">'Monthly Data'!K39</f>
        <v>5379271.6074002506</v>
      </c>
      <c r="D39" s="6">
        <f>'Monthly Data'!AH39</f>
        <v>492.40000000000003</v>
      </c>
      <c r="E39" s="6">
        <f>'Monthly Data'!AI39</f>
        <v>0</v>
      </c>
      <c r="F39" s="6">
        <f>'Monthly Data'!AK39</f>
        <v>148.4</v>
      </c>
      <c r="G39" s="6">
        <f>'Monthly Data'!AM39</f>
        <v>29</v>
      </c>
      <c r="H39" s="6">
        <f>'Monthly Data'!BD39</f>
        <v>0</v>
      </c>
      <c r="I39" s="6">
        <f>'Monthly Data'!AR39</f>
        <v>0</v>
      </c>
      <c r="J39" s="6">
        <f>'Monthly Data'!BA39</f>
        <v>0</v>
      </c>
      <c r="L39" s="20">
        <f>'GS &lt; 50 OLS model'!$P$5</f>
        <v>-1417234.7577365099</v>
      </c>
      <c r="M39" s="20">
        <f>'GS &lt; 50 OLS model'!$P$6*D39</f>
        <v>507503.22856959858</v>
      </c>
      <c r="N39" s="20">
        <f>'GS &lt; 50 OLS model'!$P$7*E39</f>
        <v>0</v>
      </c>
      <c r="O39" s="20">
        <f>'GS &lt; 50 OLS model'!$P$8*F39</f>
        <v>2052671.7727614585</v>
      </c>
      <c r="P39" s="20">
        <f>'GS &lt; 50 OLS model'!$P$9*G39</f>
        <v>4305210.0600998225</v>
      </c>
      <c r="Q39" s="20">
        <f>'GS &lt; 50 OLS model'!$P$10*H39</f>
        <v>0</v>
      </c>
      <c r="R39" s="20">
        <f>'GS &lt; 50 OLS model'!$P$11*I39</f>
        <v>0</v>
      </c>
      <c r="S39" s="20">
        <f>'GS &lt; 50 OLS model'!$P$12*J39</f>
        <v>0</v>
      </c>
      <c r="T39" s="20">
        <f t="shared" si="5"/>
        <v>5448150.3036943693</v>
      </c>
      <c r="U39" s="23">
        <f t="shared" ca="1" si="6"/>
        <v>1.2804465236401597E-2</v>
      </c>
    </row>
    <row r="40" spans="1:21" ht="15">
      <c r="A40" s="22">
        <f>'Monthly Data'!A40</f>
        <v>40969</v>
      </c>
      <c r="B40" s="6">
        <f t="shared" si="4"/>
        <v>2012</v>
      </c>
      <c r="C40" s="20">
        <f ca="1">'Monthly Data'!K40</f>
        <v>5431638.8336107414</v>
      </c>
      <c r="D40" s="6">
        <f>'Monthly Data'!AH40</f>
        <v>250.79999999999995</v>
      </c>
      <c r="E40" s="6">
        <f>'Monthly Data'!AI40</f>
        <v>4.8</v>
      </c>
      <c r="F40" s="6">
        <f>'Monthly Data'!AK40</f>
        <v>148.5</v>
      </c>
      <c r="G40" s="6">
        <f>'Monthly Data'!AM40</f>
        <v>31</v>
      </c>
      <c r="H40" s="6">
        <f>'Monthly Data'!BD40</f>
        <v>1</v>
      </c>
      <c r="I40" s="6">
        <f>'Monthly Data'!AR40</f>
        <v>1</v>
      </c>
      <c r="J40" s="6">
        <f>'Monthly Data'!BA40</f>
        <v>0</v>
      </c>
      <c r="L40" s="20">
        <f>'GS &lt; 50 OLS model'!$P$5</f>
        <v>-1417234.7577365099</v>
      </c>
      <c r="M40" s="20">
        <f>'GS &lt; 50 OLS model'!$P$6*D40</f>
        <v>258492.70862155827</v>
      </c>
      <c r="N40" s="20">
        <f>'GS &lt; 50 OLS model'!$P$7*E40</f>
        <v>36769.97802199694</v>
      </c>
      <c r="O40" s="20">
        <f>'GS &lt; 50 OLS model'!$P$8*F40</f>
        <v>2054054.974764667</v>
      </c>
      <c r="P40" s="20">
        <f>'GS &lt; 50 OLS model'!$P$9*G40</f>
        <v>4602121.0987273967</v>
      </c>
      <c r="Q40" s="20">
        <f>'GS &lt; 50 OLS model'!$P$10*H40</f>
        <v>-268276.91027030803</v>
      </c>
      <c r="R40" s="20">
        <f>'GS &lt; 50 OLS model'!$P$11*I40</f>
        <v>188882.52120843399</v>
      </c>
      <c r="S40" s="20">
        <f>'GS &lt; 50 OLS model'!$P$12*J40</f>
        <v>0</v>
      </c>
      <c r="T40" s="20">
        <f t="shared" si="5"/>
        <v>5454809.6133372355</v>
      </c>
      <c r="U40" s="23">
        <f t="shared" ca="1" si="6"/>
        <v>4.2658910940680259E-3</v>
      </c>
    </row>
    <row r="41" spans="1:21" ht="15">
      <c r="A41" s="22">
        <f>'Monthly Data'!A41</f>
        <v>41000</v>
      </c>
      <c r="B41" s="6">
        <f t="shared" si="4"/>
        <v>2012</v>
      </c>
      <c r="C41" s="20">
        <f ca="1">'Monthly Data'!K41</f>
        <v>4996283.2985174851</v>
      </c>
      <c r="D41" s="6">
        <f>'Monthly Data'!AH41</f>
        <v>252.49999999999991</v>
      </c>
      <c r="E41" s="6">
        <f>'Monthly Data'!AI41</f>
        <v>4.3</v>
      </c>
      <c r="F41" s="6">
        <f>'Monthly Data'!AK41</f>
        <v>150.6</v>
      </c>
      <c r="G41" s="6">
        <f>'Monthly Data'!AM41</f>
        <v>30</v>
      </c>
      <c r="H41" s="6">
        <f>'Monthly Data'!BD41</f>
        <v>1</v>
      </c>
      <c r="I41" s="6">
        <f>'Monthly Data'!AR41</f>
        <v>0</v>
      </c>
      <c r="J41" s="6">
        <f>'Monthly Data'!BA41</f>
        <v>0</v>
      </c>
      <c r="L41" s="20">
        <f>'GS &lt; 50 OLS model'!$P$5</f>
        <v>-1417234.7577365099</v>
      </c>
      <c r="M41" s="20">
        <f>'GS &lt; 50 OLS model'!$P$6*D41</f>
        <v>260244.85218079528</v>
      </c>
      <c r="N41" s="20">
        <f>'GS &lt; 50 OLS model'!$P$7*E41</f>
        <v>32939.771978038931</v>
      </c>
      <c r="O41" s="20">
        <f>'GS &lt; 50 OLS model'!$P$8*F41</f>
        <v>2083102.2168320462</v>
      </c>
      <c r="P41" s="20">
        <f>'GS &lt; 50 OLS model'!$P$9*G41</f>
        <v>4453665.5794136096</v>
      </c>
      <c r="Q41" s="20">
        <f>'GS &lt; 50 OLS model'!$P$10*H41</f>
        <v>-268276.91027030803</v>
      </c>
      <c r="R41" s="20">
        <f>'GS &lt; 50 OLS model'!$P$11*I41</f>
        <v>0</v>
      </c>
      <c r="S41" s="20">
        <f>'GS &lt; 50 OLS model'!$P$12*J41</f>
        <v>0</v>
      </c>
      <c r="T41" s="20">
        <f t="shared" si="5"/>
        <v>5144440.7523976723</v>
      </c>
      <c r="U41" s="23">
        <f t="shared" ca="1" si="6"/>
        <v>2.9653533442378845E-2</v>
      </c>
    </row>
    <row r="42" spans="1:21" ht="15">
      <c r="A42" s="22">
        <f>'Monthly Data'!A42</f>
        <v>41030</v>
      </c>
      <c r="B42" s="6">
        <f t="shared" si="4"/>
        <v>2012</v>
      </c>
      <c r="C42" s="20">
        <f ca="1">'Monthly Data'!K42</f>
        <v>5646499.9793941975</v>
      </c>
      <c r="D42" s="6">
        <f>'Monthly Data'!AH42</f>
        <v>48.2</v>
      </c>
      <c r="E42" s="6">
        <f>'Monthly Data'!AI42</f>
        <v>59.3</v>
      </c>
      <c r="F42" s="6">
        <f>'Monthly Data'!AK42</f>
        <v>151.1</v>
      </c>
      <c r="G42" s="6">
        <f>'Monthly Data'!AM42</f>
        <v>31</v>
      </c>
      <c r="H42" s="6">
        <f>'Monthly Data'!BD42</f>
        <v>1</v>
      </c>
      <c r="I42" s="6">
        <f>'Monthly Data'!AR42</f>
        <v>0</v>
      </c>
      <c r="J42" s="6">
        <f>'Monthly Data'!BA42</f>
        <v>0</v>
      </c>
      <c r="L42" s="20">
        <f>'GS &lt; 50 OLS model'!$P$5</f>
        <v>-1417234.7577365099</v>
      </c>
      <c r="M42" s="20">
        <f>'GS &lt; 50 OLS model'!$P$6*D42</f>
        <v>49678.423267779552</v>
      </c>
      <c r="N42" s="20">
        <f>'GS &lt; 50 OLS model'!$P$7*E42</f>
        <v>454262.43681342056</v>
      </c>
      <c r="O42" s="20">
        <f>'GS &lt; 50 OLS model'!$P$8*F42</f>
        <v>2090018.2268480887</v>
      </c>
      <c r="P42" s="20">
        <f>'GS &lt; 50 OLS model'!$P$9*G42</f>
        <v>4602121.0987273967</v>
      </c>
      <c r="Q42" s="20">
        <f>'GS &lt; 50 OLS model'!$P$10*H42</f>
        <v>-268276.91027030803</v>
      </c>
      <c r="R42" s="20">
        <f>'GS &lt; 50 OLS model'!$P$11*I42</f>
        <v>0</v>
      </c>
      <c r="S42" s="20">
        <f>'GS &lt; 50 OLS model'!$P$12*J42</f>
        <v>0</v>
      </c>
      <c r="T42" s="20">
        <f t="shared" si="5"/>
        <v>5510568.5176498676</v>
      </c>
      <c r="U42" s="23">
        <f t="shared" ca="1" si="6"/>
        <v>2.4073578719629028E-2</v>
      </c>
    </row>
    <row r="43" spans="1:21" ht="15">
      <c r="A43" s="22">
        <f>'Monthly Data'!A43</f>
        <v>41061</v>
      </c>
      <c r="B43" s="6">
        <f t="shared" si="4"/>
        <v>2012</v>
      </c>
      <c r="C43" s="20">
        <f ca="1">'Monthly Data'!K43</f>
        <v>6382835.9578270745</v>
      </c>
      <c r="D43" s="6">
        <f>'Monthly Data'!AH43</f>
        <v>10.3</v>
      </c>
      <c r="E43" s="6">
        <f>'Monthly Data'!AI43</f>
        <v>147.09999999999997</v>
      </c>
      <c r="F43" s="6">
        <f>'Monthly Data'!AK43</f>
        <v>152.19999999999999</v>
      </c>
      <c r="G43" s="6">
        <f>'Monthly Data'!AM43</f>
        <v>30</v>
      </c>
      <c r="H43" s="6">
        <f>'Monthly Data'!BD43</f>
        <v>0</v>
      </c>
      <c r="I43" s="6">
        <f>'Monthly Data'!AR43</f>
        <v>0</v>
      </c>
      <c r="J43" s="6">
        <f>'Monthly Data'!BA43</f>
        <v>0</v>
      </c>
      <c r="L43" s="20">
        <f>'GS &lt; 50 OLS model'!$P$5</f>
        <v>-1417234.7577365099</v>
      </c>
      <c r="M43" s="20">
        <f>'GS &lt; 50 OLS model'!$P$6*D43</f>
        <v>10615.928623612643</v>
      </c>
      <c r="N43" s="20">
        <f>'GS &lt; 50 OLS model'!$P$7*E43</f>
        <v>1126846.6181324478</v>
      </c>
      <c r="O43" s="20">
        <f>'GS &lt; 50 OLS model'!$P$8*F43</f>
        <v>2105233.4488833826</v>
      </c>
      <c r="P43" s="20">
        <f>'GS &lt; 50 OLS model'!$P$9*G43</f>
        <v>4453665.5794136096</v>
      </c>
      <c r="Q43" s="20">
        <f>'GS &lt; 50 OLS model'!$P$10*H43</f>
        <v>0</v>
      </c>
      <c r="R43" s="20">
        <f>'GS &lt; 50 OLS model'!$P$11*I43</f>
        <v>0</v>
      </c>
      <c r="S43" s="20">
        <f>'GS &lt; 50 OLS model'!$P$12*J43</f>
        <v>0</v>
      </c>
      <c r="T43" s="20">
        <f t="shared" si="5"/>
        <v>6279126.8173165433</v>
      </c>
      <c r="U43" s="23">
        <f t="shared" ca="1" si="6"/>
        <v>1.6248128762161876E-2</v>
      </c>
    </row>
    <row r="44" spans="1:21" ht="15">
      <c r="A44" s="22">
        <f>'Monthly Data'!A44</f>
        <v>41091</v>
      </c>
      <c r="B44" s="6">
        <f t="shared" si="4"/>
        <v>2012</v>
      </c>
      <c r="C44" s="20">
        <f ca="1">'Monthly Data'!K44</f>
        <v>7118049.1198525634</v>
      </c>
      <c r="D44" s="6">
        <f>'Monthly Data'!AH44</f>
        <v>0</v>
      </c>
      <c r="E44" s="6">
        <f>'Monthly Data'!AI44</f>
        <v>235.50000000000009</v>
      </c>
      <c r="F44" s="6">
        <f>'Monthly Data'!AK44</f>
        <v>153.4</v>
      </c>
      <c r="G44" s="6">
        <f>'Monthly Data'!AM44</f>
        <v>31</v>
      </c>
      <c r="H44" s="6">
        <f>'Monthly Data'!BD44</f>
        <v>0</v>
      </c>
      <c r="I44" s="6">
        <f>'Monthly Data'!AR44</f>
        <v>0</v>
      </c>
      <c r="J44" s="6">
        <f>'Monthly Data'!BA44</f>
        <v>0</v>
      </c>
      <c r="L44" s="20">
        <f>'GS &lt; 50 OLS model'!$P$5</f>
        <v>-1417234.7577365099</v>
      </c>
      <c r="M44" s="20">
        <f>'GS &lt; 50 OLS model'!$P$6*D44</f>
        <v>0</v>
      </c>
      <c r="N44" s="20">
        <f>'GS &lt; 50 OLS model'!$P$7*E44</f>
        <v>1804027.0467042257</v>
      </c>
      <c r="O44" s="20">
        <f>'GS &lt; 50 OLS model'!$P$8*F44</f>
        <v>2121831.872921885</v>
      </c>
      <c r="P44" s="20">
        <f>'GS &lt; 50 OLS model'!$P$9*G44</f>
        <v>4602121.0987273967</v>
      </c>
      <c r="Q44" s="20">
        <f>'GS &lt; 50 OLS model'!$P$10*H44</f>
        <v>0</v>
      </c>
      <c r="R44" s="20">
        <f>'GS &lt; 50 OLS model'!$P$11*I44</f>
        <v>0</v>
      </c>
      <c r="S44" s="20">
        <f>'GS &lt; 50 OLS model'!$P$12*J44</f>
        <v>0</v>
      </c>
      <c r="T44" s="20">
        <f t="shared" si="5"/>
        <v>7110745.2606169973</v>
      </c>
      <c r="U44" s="23">
        <f t="shared" ca="1" si="6"/>
        <v>1.0261040788824163E-3</v>
      </c>
    </row>
    <row r="45" spans="1:21" ht="15">
      <c r="A45" s="22">
        <f>'Monthly Data'!A45</f>
        <v>41122</v>
      </c>
      <c r="B45" s="6">
        <f t="shared" si="4"/>
        <v>2012</v>
      </c>
      <c r="C45" s="20">
        <f ca="1">'Monthly Data'!K45</f>
        <v>6559336.0869305413</v>
      </c>
      <c r="D45" s="6">
        <f>'Monthly Data'!AH45</f>
        <v>0.7</v>
      </c>
      <c r="E45" s="6">
        <f>'Monthly Data'!AI45</f>
        <v>143.69999999999999</v>
      </c>
      <c r="F45" s="6">
        <f>'Monthly Data'!AK45</f>
        <v>155</v>
      </c>
      <c r="G45" s="6">
        <f>'Monthly Data'!AM45</f>
        <v>31</v>
      </c>
      <c r="H45" s="6">
        <f>'Monthly Data'!BD45</f>
        <v>0</v>
      </c>
      <c r="I45" s="6">
        <f>'Monthly Data'!AR45</f>
        <v>0</v>
      </c>
      <c r="J45" s="6">
        <f>'Monthly Data'!BA45</f>
        <v>0</v>
      </c>
      <c r="L45" s="20">
        <f>'GS &lt; 50 OLS model'!$P$5</f>
        <v>-1417234.7577365099</v>
      </c>
      <c r="M45" s="20">
        <f>'GS &lt; 50 OLS model'!$P$6*D45</f>
        <v>721.470877332898</v>
      </c>
      <c r="N45" s="20">
        <f>'GS &lt; 50 OLS model'!$P$7*E45</f>
        <v>1100801.2170335334</v>
      </c>
      <c r="O45" s="20">
        <f>'GS &lt; 50 OLS model'!$P$8*F45</f>
        <v>2143963.1049732217</v>
      </c>
      <c r="P45" s="20">
        <f>'GS &lt; 50 OLS model'!$P$9*G45</f>
        <v>4602121.0987273967</v>
      </c>
      <c r="Q45" s="20">
        <f>'GS &lt; 50 OLS model'!$P$10*H45</f>
        <v>0</v>
      </c>
      <c r="R45" s="20">
        <f>'GS &lt; 50 OLS model'!$P$11*I45</f>
        <v>0</v>
      </c>
      <c r="S45" s="20">
        <f>'GS &lt; 50 OLS model'!$P$12*J45</f>
        <v>0</v>
      </c>
      <c r="T45" s="20">
        <f t="shared" si="5"/>
        <v>6430372.1338749751</v>
      </c>
      <c r="U45" s="23">
        <f t="shared" ca="1" si="6"/>
        <v>1.9661129014646238E-2</v>
      </c>
    </row>
    <row r="46" spans="1:21" ht="15">
      <c r="A46" s="22">
        <f>'Monthly Data'!A46</f>
        <v>41153</v>
      </c>
      <c r="B46" s="6">
        <f t="shared" si="4"/>
        <v>2012</v>
      </c>
      <c r="C46" s="20">
        <f ca="1">'Monthly Data'!K46</f>
        <v>5578962.0305964015</v>
      </c>
      <c r="D46" s="6">
        <f>'Monthly Data'!AH46</f>
        <v>53.2</v>
      </c>
      <c r="E46" s="6">
        <f>'Monthly Data'!AI46</f>
        <v>50.29999999999999</v>
      </c>
      <c r="F46" s="6">
        <f>'Monthly Data'!AK46</f>
        <v>156.9</v>
      </c>
      <c r="G46" s="6">
        <f>'Monthly Data'!AM46</f>
        <v>30</v>
      </c>
      <c r="H46" s="6">
        <f>'Monthly Data'!BD46</f>
        <v>0</v>
      </c>
      <c r="I46" s="6">
        <f>'Monthly Data'!AR46</f>
        <v>0</v>
      </c>
      <c r="J46" s="6">
        <f>'Monthly Data'!BA46</f>
        <v>0</v>
      </c>
      <c r="L46" s="20">
        <f>'GS &lt; 50 OLS model'!$P$5</f>
        <v>-1417234.7577365099</v>
      </c>
      <c r="M46" s="20">
        <f>'GS &lt; 50 OLS model'!$P$6*D46</f>
        <v>54831.786677300253</v>
      </c>
      <c r="N46" s="20">
        <f>'GS &lt; 50 OLS model'!$P$7*E46</f>
        <v>385318.72802217625</v>
      </c>
      <c r="O46" s="20">
        <f>'GS &lt; 50 OLS model'!$P$8*F46</f>
        <v>2170243.9430341837</v>
      </c>
      <c r="P46" s="20">
        <f>'GS &lt; 50 OLS model'!$P$9*G46</f>
        <v>4453665.5794136096</v>
      </c>
      <c r="Q46" s="20">
        <f>'GS &lt; 50 OLS model'!$P$10*H46</f>
        <v>0</v>
      </c>
      <c r="R46" s="20">
        <f>'GS &lt; 50 OLS model'!$P$11*I46</f>
        <v>0</v>
      </c>
      <c r="S46" s="20">
        <f>'GS &lt; 50 OLS model'!$P$12*J46</f>
        <v>0</v>
      </c>
      <c r="T46" s="20">
        <f t="shared" si="5"/>
        <v>5646825.2794107599</v>
      </c>
      <c r="U46" s="23">
        <f t="shared" ca="1" si="6"/>
        <v>1.2164135271432142E-2</v>
      </c>
    </row>
    <row r="47" spans="1:21" ht="15">
      <c r="A47" s="22">
        <f>'Monthly Data'!A47</f>
        <v>41183</v>
      </c>
      <c r="B47" s="6">
        <f t="shared" si="4"/>
        <v>2012</v>
      </c>
      <c r="C47" s="20">
        <f ca="1">'Monthly Data'!K47</f>
        <v>5153415.156241239</v>
      </c>
      <c r="D47" s="6">
        <f>'Monthly Data'!AH47</f>
        <v>207.19999999999996</v>
      </c>
      <c r="E47" s="6">
        <f>'Monthly Data'!AI47</f>
        <v>5.6</v>
      </c>
      <c r="F47" s="6">
        <f>'Monthly Data'!AK47</f>
        <v>157.5</v>
      </c>
      <c r="G47" s="6">
        <f>'Monthly Data'!AM47</f>
        <v>31</v>
      </c>
      <c r="H47" s="6">
        <f>'Monthly Data'!BD47</f>
        <v>1</v>
      </c>
      <c r="I47" s="6">
        <f>'Monthly Data'!AR47</f>
        <v>0</v>
      </c>
      <c r="J47" s="6">
        <f>'Monthly Data'!BA47</f>
        <v>0</v>
      </c>
      <c r="L47" s="20">
        <f>'GS &lt; 50 OLS model'!$P$5</f>
        <v>-1417234.7577365099</v>
      </c>
      <c r="M47" s="20">
        <f>'GS &lt; 50 OLS model'!$P$6*D47</f>
        <v>213555.37969053778</v>
      </c>
      <c r="N47" s="20">
        <f>'GS &lt; 50 OLS model'!$P$7*E47</f>
        <v>42898.307692329763</v>
      </c>
      <c r="O47" s="20">
        <f>'GS &lt; 50 OLS model'!$P$8*F47</f>
        <v>2178543.1550534349</v>
      </c>
      <c r="P47" s="20">
        <f>'GS &lt; 50 OLS model'!$P$9*G47</f>
        <v>4602121.0987273967</v>
      </c>
      <c r="Q47" s="20">
        <f>'GS &lt; 50 OLS model'!$P$10*H47</f>
        <v>-268276.91027030803</v>
      </c>
      <c r="R47" s="20">
        <f>'GS &lt; 50 OLS model'!$P$11*I47</f>
        <v>0</v>
      </c>
      <c r="S47" s="20">
        <f>'GS &lt; 50 OLS model'!$P$12*J47</f>
        <v>0</v>
      </c>
      <c r="T47" s="20">
        <f t="shared" si="5"/>
        <v>5351606.2731568813</v>
      </c>
      <c r="U47" s="23">
        <f t="shared" ca="1" si="6"/>
        <v>3.8458208955980462E-2</v>
      </c>
    </row>
    <row r="48" spans="1:21" ht="15">
      <c r="A48" s="22">
        <f>'Monthly Data'!A48</f>
        <v>41214</v>
      </c>
      <c r="B48" s="6">
        <f t="shared" si="4"/>
        <v>2012</v>
      </c>
      <c r="C48" s="20">
        <f ca="1">'Monthly Data'!K48</f>
        <v>5140839.870752953</v>
      </c>
      <c r="D48" s="6">
        <f>'Monthly Data'!AH48</f>
        <v>405.49999999999994</v>
      </c>
      <c r="E48" s="6">
        <f>'Monthly Data'!AI48</f>
        <v>0</v>
      </c>
      <c r="F48" s="6">
        <f>'Monthly Data'!AK48</f>
        <v>157.6</v>
      </c>
      <c r="G48" s="6">
        <f>'Monthly Data'!AM48</f>
        <v>30</v>
      </c>
      <c r="H48" s="6">
        <f>'Monthly Data'!BD48</f>
        <v>1</v>
      </c>
      <c r="I48" s="6">
        <f>'Monthly Data'!AR48</f>
        <v>0</v>
      </c>
      <c r="J48" s="6">
        <f>'Monthly Data'!BA48</f>
        <v>0</v>
      </c>
      <c r="L48" s="20">
        <f>'GS &lt; 50 OLS model'!$P$5</f>
        <v>-1417234.7577365099</v>
      </c>
      <c r="M48" s="20">
        <f>'GS &lt; 50 OLS model'!$P$6*D48</f>
        <v>417937.77251212875</v>
      </c>
      <c r="N48" s="20">
        <f>'GS &lt; 50 OLS model'!$P$7*E48</f>
        <v>0</v>
      </c>
      <c r="O48" s="20">
        <f>'GS &lt; 50 OLS model'!$P$8*F48</f>
        <v>2179926.3570566433</v>
      </c>
      <c r="P48" s="20">
        <f>'GS &lt; 50 OLS model'!$P$9*G48</f>
        <v>4453665.5794136096</v>
      </c>
      <c r="Q48" s="20">
        <f>'GS &lt; 50 OLS model'!$P$10*H48</f>
        <v>-268276.91027030803</v>
      </c>
      <c r="R48" s="20">
        <f>'GS &lt; 50 OLS model'!$P$11*I48</f>
        <v>0</v>
      </c>
      <c r="S48" s="20">
        <f>'GS &lt; 50 OLS model'!$P$12*J48</f>
        <v>0</v>
      </c>
      <c r="T48" s="20">
        <f t="shared" si="5"/>
        <v>5366018.0409755642</v>
      </c>
      <c r="U48" s="23">
        <f t="shared" ca="1" si="6"/>
        <v>4.3801825360032166E-2</v>
      </c>
    </row>
    <row r="49" spans="1:21" ht="15">
      <c r="A49" s="22">
        <f>'Monthly Data'!A49</f>
        <v>41244</v>
      </c>
      <c r="B49" s="6">
        <f t="shared" si="4"/>
        <v>2012</v>
      </c>
      <c r="C49" s="20">
        <f ca="1">'Monthly Data'!K49</f>
        <v>5435911.5977635086</v>
      </c>
      <c r="D49" s="6">
        <f>'Monthly Data'!AH49</f>
        <v>484.20000000000005</v>
      </c>
      <c r="E49" s="6">
        <f>'Monthly Data'!AI49</f>
        <v>0</v>
      </c>
      <c r="F49" s="6">
        <f>'Monthly Data'!AK49</f>
        <v>155.5</v>
      </c>
      <c r="G49" s="6">
        <f>'Monthly Data'!AM49</f>
        <v>31</v>
      </c>
      <c r="H49" s="6">
        <f>'Monthly Data'!BD49</f>
        <v>0</v>
      </c>
      <c r="I49" s="6">
        <f>'Monthly Data'!AR49</f>
        <v>0</v>
      </c>
      <c r="J49" s="6">
        <f>'Monthly Data'!BA49</f>
        <v>1</v>
      </c>
      <c r="L49" s="20">
        <f>'GS &lt; 50 OLS model'!$P$5</f>
        <v>-1417234.7577365099</v>
      </c>
      <c r="M49" s="20">
        <f>'GS &lt; 50 OLS model'!$P$6*D49</f>
        <v>499051.71257798467</v>
      </c>
      <c r="N49" s="20">
        <f>'GS &lt; 50 OLS model'!$P$7*E49</f>
        <v>0</v>
      </c>
      <c r="O49" s="20">
        <f>'GS &lt; 50 OLS model'!$P$8*F49</f>
        <v>2150879.1149892639</v>
      </c>
      <c r="P49" s="20">
        <f>'GS &lt; 50 OLS model'!$P$9*G49</f>
        <v>4602121.0987273967</v>
      </c>
      <c r="Q49" s="20">
        <f>'GS &lt; 50 OLS model'!$P$10*H49</f>
        <v>0</v>
      </c>
      <c r="R49" s="20">
        <f>'GS &lt; 50 OLS model'!$P$11*I49</f>
        <v>0</v>
      </c>
      <c r="S49" s="20">
        <f>'GS &lt; 50 OLS model'!$P$12*J49</f>
        <v>-202556.65738747199</v>
      </c>
      <c r="T49" s="20">
        <f t="shared" si="5"/>
        <v>5632260.5111706639</v>
      </c>
      <c r="U49" s="23">
        <f t="shared" ca="1" si="6"/>
        <v>3.61206965705511E-2</v>
      </c>
    </row>
    <row r="50" spans="1:21" ht="15">
      <c r="A50" s="22">
        <f>'Monthly Data'!A50</f>
        <v>41275</v>
      </c>
      <c r="B50" s="6">
        <f t="shared" si="4"/>
        <v>2013</v>
      </c>
      <c r="C50" s="20">
        <f ca="1">'Monthly Data'!K50</f>
        <v>5731939.4442237746</v>
      </c>
      <c r="D50" s="6">
        <f>'Monthly Data'!AH50</f>
        <v>598.19999999999993</v>
      </c>
      <c r="E50" s="6">
        <f>'Monthly Data'!AI50</f>
        <v>0</v>
      </c>
      <c r="F50" s="6">
        <f>'Monthly Data'!AK50</f>
        <v>151.1</v>
      </c>
      <c r="G50" s="6">
        <f>'Monthly Data'!AM50</f>
        <v>31</v>
      </c>
      <c r="H50" s="6">
        <f>'Monthly Data'!BD50</f>
        <v>0</v>
      </c>
      <c r="I50" s="6">
        <f>'Monthly Data'!AR50</f>
        <v>0</v>
      </c>
      <c r="J50" s="6">
        <f>'Monthly Data'!BA50</f>
        <v>0</v>
      </c>
      <c r="L50" s="20">
        <f>'GS &lt; 50 OLS model'!$P$5</f>
        <v>-1417234.7577365099</v>
      </c>
      <c r="M50" s="20">
        <f>'GS &lt; 50 OLS model'!$P$6*D50</f>
        <v>616548.39831505646</v>
      </c>
      <c r="N50" s="20">
        <f>'GS &lt; 50 OLS model'!$P$7*E50</f>
        <v>0</v>
      </c>
      <c r="O50" s="20">
        <f>'GS &lt; 50 OLS model'!$P$8*F50</f>
        <v>2090018.2268480887</v>
      </c>
      <c r="P50" s="20">
        <f>'GS &lt; 50 OLS model'!$P$9*G50</f>
        <v>4602121.0987273967</v>
      </c>
      <c r="Q50" s="20">
        <f>'GS &lt; 50 OLS model'!$P$10*H50</f>
        <v>0</v>
      </c>
      <c r="R50" s="20">
        <f>'GS &lt; 50 OLS model'!$P$11*I50</f>
        <v>0</v>
      </c>
      <c r="S50" s="20">
        <f>'GS &lt; 50 OLS model'!$P$12*J50</f>
        <v>0</v>
      </c>
      <c r="T50" s="20">
        <f t="shared" si="5"/>
        <v>5891452.9661540315</v>
      </c>
      <c r="U50" s="23">
        <f t="shared" ca="1" si="6"/>
        <v>2.7828891683599834E-2</v>
      </c>
    </row>
    <row r="51" spans="1:21" ht="15">
      <c r="A51" s="22">
        <f>'Monthly Data'!A51</f>
        <v>41306</v>
      </c>
      <c r="B51" s="6">
        <f t="shared" si="4"/>
        <v>2013</v>
      </c>
      <c r="C51" s="20">
        <f ca="1">'Monthly Data'!K51</f>
        <v>5288814.8620550148</v>
      </c>
      <c r="D51" s="6">
        <f>'Monthly Data'!AH51</f>
        <v>574.80000000000007</v>
      </c>
      <c r="E51" s="6">
        <f>'Monthly Data'!AI51</f>
        <v>0</v>
      </c>
      <c r="F51" s="6">
        <f>'Monthly Data'!AK51</f>
        <v>150.19999999999999</v>
      </c>
      <c r="G51" s="6">
        <f>'Monthly Data'!AM51</f>
        <v>28</v>
      </c>
      <c r="H51" s="6">
        <f>'Monthly Data'!BD51</f>
        <v>0</v>
      </c>
      <c r="I51" s="6">
        <f>'Monthly Data'!AR51</f>
        <v>0</v>
      </c>
      <c r="J51" s="6">
        <f>'Monthly Data'!BA51</f>
        <v>0</v>
      </c>
      <c r="L51" s="20">
        <f>'GS &lt; 50 OLS model'!$P$5</f>
        <v>-1417234.7577365099</v>
      </c>
      <c r="M51" s="20">
        <f>'GS &lt; 50 OLS model'!$P$6*D51</f>
        <v>592430.65755849984</v>
      </c>
      <c r="N51" s="20">
        <f>'GS &lt; 50 OLS model'!$P$7*E51</f>
        <v>0</v>
      </c>
      <c r="O51" s="20">
        <f>'GS &lt; 50 OLS model'!$P$8*F51</f>
        <v>2077569.4088192119</v>
      </c>
      <c r="P51" s="20">
        <f>'GS &lt; 50 OLS model'!$P$9*G51</f>
        <v>4156754.5407860358</v>
      </c>
      <c r="Q51" s="20">
        <f>'GS &lt; 50 OLS model'!$P$10*H51</f>
        <v>0</v>
      </c>
      <c r="R51" s="20">
        <f>'GS &lt; 50 OLS model'!$P$11*I51</f>
        <v>0</v>
      </c>
      <c r="S51" s="20">
        <f>'GS &lt; 50 OLS model'!$P$12*J51</f>
        <v>0</v>
      </c>
      <c r="T51" s="20">
        <f t="shared" si="5"/>
        <v>5409519.8494272381</v>
      </c>
      <c r="U51" s="23">
        <f t="shared" ca="1" si="6"/>
        <v>2.2822691003655651E-2</v>
      </c>
    </row>
    <row r="52" spans="1:21" ht="15">
      <c r="A52" s="22">
        <f>'Monthly Data'!A52</f>
        <v>41334</v>
      </c>
      <c r="B52" s="6">
        <f t="shared" si="4"/>
        <v>2013</v>
      </c>
      <c r="C52" s="20">
        <f ca="1">'Monthly Data'!K52</f>
        <v>5578008.3017610069</v>
      </c>
      <c r="D52" s="6">
        <f>'Monthly Data'!AH52</f>
        <v>505.20000000000005</v>
      </c>
      <c r="E52" s="6">
        <f>'Monthly Data'!AI52</f>
        <v>0</v>
      </c>
      <c r="F52" s="6">
        <f>'Monthly Data'!AK52</f>
        <v>149.4</v>
      </c>
      <c r="G52" s="6">
        <f>'Monthly Data'!AM52</f>
        <v>31</v>
      </c>
      <c r="H52" s="6">
        <f>'Monthly Data'!BD52</f>
        <v>1</v>
      </c>
      <c r="I52" s="6">
        <f>'Monthly Data'!AR52</f>
        <v>1</v>
      </c>
      <c r="J52" s="6">
        <f>'Monthly Data'!BA52</f>
        <v>0</v>
      </c>
      <c r="L52" s="20">
        <f>'GS &lt; 50 OLS model'!$P$5</f>
        <v>-1417234.7577365099</v>
      </c>
      <c r="M52" s="20">
        <f>'GS &lt; 50 OLS model'!$P$6*D52</f>
        <v>520695.83889797161</v>
      </c>
      <c r="N52" s="20">
        <f>'GS &lt; 50 OLS model'!$P$7*E52</f>
        <v>0</v>
      </c>
      <c r="O52" s="20">
        <f>'GS &lt; 50 OLS model'!$P$8*F52</f>
        <v>2066503.792793544</v>
      </c>
      <c r="P52" s="20">
        <f>'GS &lt; 50 OLS model'!$P$9*G52</f>
        <v>4602121.0987273967</v>
      </c>
      <c r="Q52" s="20">
        <f>'GS &lt; 50 OLS model'!$P$10*H52</f>
        <v>-268276.91027030803</v>
      </c>
      <c r="R52" s="20">
        <f>'GS &lt; 50 OLS model'!$P$11*I52</f>
        <v>188882.52120843399</v>
      </c>
      <c r="S52" s="20">
        <f>'GS &lt; 50 OLS model'!$P$12*J52</f>
        <v>0</v>
      </c>
      <c r="T52" s="20">
        <f t="shared" si="5"/>
        <v>5692691.5836205287</v>
      </c>
      <c r="U52" s="23">
        <f t="shared" ca="1" si="6"/>
        <v>2.0559898023693443E-2</v>
      </c>
    </row>
    <row r="53" spans="1:21" ht="15">
      <c r="A53" s="22">
        <f>'Monthly Data'!A53</f>
        <v>41365</v>
      </c>
      <c r="B53" s="6">
        <f t="shared" si="4"/>
        <v>2013</v>
      </c>
      <c r="C53" s="20">
        <f ca="1">'Monthly Data'!K53</f>
        <v>5151120.774575416</v>
      </c>
      <c r="D53" s="6">
        <f>'Monthly Data'!AH53</f>
        <v>300.19999999999993</v>
      </c>
      <c r="E53" s="6">
        <f>'Monthly Data'!AI53</f>
        <v>0</v>
      </c>
      <c r="F53" s="6">
        <f>'Monthly Data'!AK53</f>
        <v>152.6</v>
      </c>
      <c r="G53" s="6">
        <f>'Monthly Data'!AM53</f>
        <v>30</v>
      </c>
      <c r="H53" s="6">
        <f>'Monthly Data'!BD53</f>
        <v>1</v>
      </c>
      <c r="I53" s="6">
        <f>'Monthly Data'!AR53</f>
        <v>0</v>
      </c>
      <c r="J53" s="6">
        <f>'Monthly Data'!BA53</f>
        <v>0</v>
      </c>
      <c r="L53" s="20">
        <f>'GS &lt; 50 OLS model'!$P$5</f>
        <v>-1417234.7577365099</v>
      </c>
      <c r="M53" s="20">
        <f>'GS &lt; 50 OLS model'!$P$6*D53</f>
        <v>309407.93910762278</v>
      </c>
      <c r="N53" s="20">
        <f>'GS &lt; 50 OLS model'!$P$7*E53</f>
        <v>0</v>
      </c>
      <c r="O53" s="20">
        <f>'GS &lt; 50 OLS model'!$P$8*F53</f>
        <v>2110766.2568962169</v>
      </c>
      <c r="P53" s="20">
        <f>'GS &lt; 50 OLS model'!$P$9*G53</f>
        <v>4453665.5794136096</v>
      </c>
      <c r="Q53" s="20">
        <f>'GS &lt; 50 OLS model'!$P$10*H53</f>
        <v>-268276.91027030803</v>
      </c>
      <c r="R53" s="20">
        <f>'GS &lt; 50 OLS model'!$P$11*I53</f>
        <v>0</v>
      </c>
      <c r="S53" s="20">
        <f>'GS &lt; 50 OLS model'!$P$12*J53</f>
        <v>0</v>
      </c>
      <c r="T53" s="20">
        <f t="shared" si="5"/>
        <v>5188328.1074106311</v>
      </c>
      <c r="U53" s="23">
        <f t="shared" ca="1" si="6"/>
        <v>7.2231528755568692E-3</v>
      </c>
    </row>
    <row r="54" spans="1:21" ht="15">
      <c r="A54" s="22">
        <f>'Monthly Data'!A54</f>
        <v>41395</v>
      </c>
      <c r="B54" s="6">
        <f t="shared" si="4"/>
        <v>2013</v>
      </c>
      <c r="C54" s="20">
        <f ca="1">'Monthly Data'!K54</f>
        <v>5423795.7144559138</v>
      </c>
      <c r="D54" s="6">
        <f>'Monthly Data'!AH54</f>
        <v>73.300000000000011</v>
      </c>
      <c r="E54" s="6">
        <f>'Monthly Data'!AI54</f>
        <v>59.899999999999991</v>
      </c>
      <c r="F54" s="6">
        <f>'Monthly Data'!AK54</f>
        <v>154</v>
      </c>
      <c r="G54" s="6">
        <f>'Monthly Data'!AM54</f>
        <v>31</v>
      </c>
      <c r="H54" s="6">
        <f>'Monthly Data'!BD54</f>
        <v>1</v>
      </c>
      <c r="I54" s="6">
        <f>'Monthly Data'!AR54</f>
        <v>0</v>
      </c>
      <c r="J54" s="6">
        <f>'Monthly Data'!BA54</f>
        <v>0</v>
      </c>
      <c r="L54" s="20">
        <f>'GS &lt; 50 OLS model'!$P$5</f>
        <v>-1417234.7577365099</v>
      </c>
      <c r="M54" s="20">
        <f>'GS &lt; 50 OLS model'!$P$6*D54</f>
        <v>75548.307583573478</v>
      </c>
      <c r="N54" s="20">
        <f>'GS &lt; 50 OLS model'!$P$7*E54</f>
        <v>458858.68406617013</v>
      </c>
      <c r="O54" s="20">
        <f>'GS &lt; 50 OLS model'!$P$8*F54</f>
        <v>2130131.0849411362</v>
      </c>
      <c r="P54" s="20">
        <f>'GS &lt; 50 OLS model'!$P$9*G54</f>
        <v>4602121.0987273967</v>
      </c>
      <c r="Q54" s="20">
        <f>'GS &lt; 50 OLS model'!$P$10*H54</f>
        <v>-268276.91027030803</v>
      </c>
      <c r="R54" s="20">
        <f>'GS &lt; 50 OLS model'!$P$11*I54</f>
        <v>0</v>
      </c>
      <c r="S54" s="20">
        <f>'GS &lt; 50 OLS model'!$P$12*J54</f>
        <v>0</v>
      </c>
      <c r="T54" s="20">
        <f t="shared" si="5"/>
        <v>5581147.5073114587</v>
      </c>
      <c r="U54" s="23">
        <f t="shared" ca="1" si="6"/>
        <v>2.901137895665188E-2</v>
      </c>
    </row>
    <row r="55" spans="1:21" ht="15">
      <c r="A55" s="22">
        <f>'Monthly Data'!A55</f>
        <v>41426</v>
      </c>
      <c r="B55" s="6">
        <f t="shared" si="4"/>
        <v>2013</v>
      </c>
      <c r="C55" s="20">
        <f ca="1">'Monthly Data'!K55</f>
        <v>5819129.7356781708</v>
      </c>
      <c r="D55" s="6">
        <f>'Monthly Data'!AH55</f>
        <v>14.700000000000001</v>
      </c>
      <c r="E55" s="6">
        <f>'Monthly Data'!AI55</f>
        <v>103.49999999999999</v>
      </c>
      <c r="F55" s="6">
        <f>'Monthly Data'!AK55</f>
        <v>155.9</v>
      </c>
      <c r="G55" s="6">
        <f>'Monthly Data'!AM55</f>
        <v>30</v>
      </c>
      <c r="H55" s="6">
        <f>'Monthly Data'!BD55</f>
        <v>0</v>
      </c>
      <c r="I55" s="6">
        <f>'Monthly Data'!AR55</f>
        <v>0</v>
      </c>
      <c r="J55" s="6">
        <f>'Monthly Data'!BA55</f>
        <v>0</v>
      </c>
      <c r="L55" s="20">
        <f>'GS &lt; 50 OLS model'!$P$5</f>
        <v>-1417234.7577365099</v>
      </c>
      <c r="M55" s="20">
        <f>'GS &lt; 50 OLS model'!$P$6*D55</f>
        <v>15150.88842399086</v>
      </c>
      <c r="N55" s="20">
        <f>'GS &lt; 50 OLS model'!$P$7*E55</f>
        <v>792852.65109930898</v>
      </c>
      <c r="O55" s="20">
        <f>'GS &lt; 50 OLS model'!$P$8*F55</f>
        <v>2156411.9230020982</v>
      </c>
      <c r="P55" s="20">
        <f>'GS &lt; 50 OLS model'!$P$9*G55</f>
        <v>4453665.5794136096</v>
      </c>
      <c r="Q55" s="20">
        <f>'GS &lt; 50 OLS model'!$P$10*H55</f>
        <v>0</v>
      </c>
      <c r="R55" s="20">
        <f>'GS &lt; 50 OLS model'!$P$11*I55</f>
        <v>0</v>
      </c>
      <c r="S55" s="20">
        <f>'GS &lt; 50 OLS model'!$P$12*J55</f>
        <v>0</v>
      </c>
      <c r="T55" s="20">
        <f t="shared" si="5"/>
        <v>6000846.2842024975</v>
      </c>
      <c r="U55" s="23">
        <f t="shared" ca="1" si="6"/>
        <v>3.1227444098760774E-2</v>
      </c>
    </row>
    <row r="56" spans="1:21" ht="15">
      <c r="A56" s="22">
        <f>'Monthly Data'!A56</f>
        <v>41456</v>
      </c>
      <c r="B56" s="6">
        <f t="shared" si="4"/>
        <v>2013</v>
      </c>
      <c r="C56" s="20">
        <f ca="1">'Monthly Data'!K56</f>
        <v>6365784.4325457644</v>
      </c>
      <c r="D56" s="6">
        <f>'Monthly Data'!AH56</f>
        <v>1.5</v>
      </c>
      <c r="E56" s="6">
        <f>'Monthly Data'!AI56</f>
        <v>174.80000000000004</v>
      </c>
      <c r="F56" s="6">
        <f>'Monthly Data'!AK56</f>
        <v>156.6</v>
      </c>
      <c r="G56" s="6">
        <f>'Monthly Data'!AM56</f>
        <v>31</v>
      </c>
      <c r="H56" s="6">
        <f>'Monthly Data'!BD56</f>
        <v>0</v>
      </c>
      <c r="I56" s="6">
        <f>'Monthly Data'!AR56</f>
        <v>0</v>
      </c>
      <c r="J56" s="6">
        <f>'Monthly Data'!BA56</f>
        <v>0</v>
      </c>
      <c r="L56" s="20">
        <f>'GS &lt; 50 OLS model'!$P$5</f>
        <v>-1417234.7577365099</v>
      </c>
      <c r="M56" s="20">
        <f>'GS &lt; 50 OLS model'!$P$6*D56</f>
        <v>1546.0090228562101</v>
      </c>
      <c r="N56" s="20">
        <f>'GS &lt; 50 OLS model'!$P$7*E56</f>
        <v>1339040.0329677223</v>
      </c>
      <c r="O56" s="20">
        <f>'GS &lt; 50 OLS model'!$P$8*F56</f>
        <v>2166094.3370245579</v>
      </c>
      <c r="P56" s="20">
        <f>'GS &lt; 50 OLS model'!$P$9*G56</f>
        <v>4602121.0987273967</v>
      </c>
      <c r="Q56" s="20">
        <f>'GS &lt; 50 OLS model'!$P$10*H56</f>
        <v>0</v>
      </c>
      <c r="R56" s="20">
        <f>'GS &lt; 50 OLS model'!$P$11*I56</f>
        <v>0</v>
      </c>
      <c r="S56" s="20">
        <f>'GS &lt; 50 OLS model'!$P$12*J56</f>
        <v>0</v>
      </c>
      <c r="T56" s="20">
        <f t="shared" si="5"/>
        <v>6691566.7200060226</v>
      </c>
      <c r="U56" s="23">
        <f t="shared" ca="1" si="6"/>
        <v>5.1177084444559713E-2</v>
      </c>
    </row>
    <row r="57" spans="1:21" ht="15">
      <c r="A57" s="22">
        <f>'Monthly Data'!A57</f>
        <v>41487</v>
      </c>
      <c r="B57" s="6">
        <f t="shared" si="4"/>
        <v>2013</v>
      </c>
      <c r="C57" s="20">
        <f ca="1">'Monthly Data'!K57</f>
        <v>6212999.889886952</v>
      </c>
      <c r="D57" s="6">
        <f>'Monthly Data'!AH57</f>
        <v>1.2</v>
      </c>
      <c r="E57" s="6">
        <f>'Monthly Data'!AI57</f>
        <v>134.29999999999998</v>
      </c>
      <c r="F57" s="6">
        <f>'Monthly Data'!AK57</f>
        <v>156.5</v>
      </c>
      <c r="G57" s="6">
        <f>'Monthly Data'!AM57</f>
        <v>31</v>
      </c>
      <c r="H57" s="6">
        <f>'Monthly Data'!BD57</f>
        <v>0</v>
      </c>
      <c r="I57" s="6">
        <f>'Monthly Data'!AR57</f>
        <v>0</v>
      </c>
      <c r="J57" s="6">
        <f>'Monthly Data'!BA57</f>
        <v>0</v>
      </c>
      <c r="L57" s="20">
        <f>'GS &lt; 50 OLS model'!$P$5</f>
        <v>-1417234.7577365099</v>
      </c>
      <c r="M57" s="20">
        <f>'GS &lt; 50 OLS model'!$P$6*D57</f>
        <v>1236.807218284968</v>
      </c>
      <c r="N57" s="20">
        <f>'GS &lt; 50 OLS model'!$P$7*E57</f>
        <v>1028793.3434071227</v>
      </c>
      <c r="O57" s="20">
        <f>'GS &lt; 50 OLS model'!$P$8*F57</f>
        <v>2164711.1350213494</v>
      </c>
      <c r="P57" s="20">
        <f>'GS &lt; 50 OLS model'!$P$9*G57</f>
        <v>4602121.0987273967</v>
      </c>
      <c r="Q57" s="20">
        <f>'GS &lt; 50 OLS model'!$P$10*H57</f>
        <v>0</v>
      </c>
      <c r="R57" s="20">
        <f>'GS &lt; 50 OLS model'!$P$11*I57</f>
        <v>0</v>
      </c>
      <c r="S57" s="20">
        <f>'GS &lt; 50 OLS model'!$P$12*J57</f>
        <v>0</v>
      </c>
      <c r="T57" s="20">
        <f t="shared" si="5"/>
        <v>6379627.6266376441</v>
      </c>
      <c r="U57" s="23">
        <f t="shared" ca="1" si="6"/>
        <v>2.681920806435488E-2</v>
      </c>
    </row>
    <row r="58" spans="1:21" ht="15">
      <c r="A58" s="22">
        <f>'Monthly Data'!A58</f>
        <v>41518</v>
      </c>
      <c r="B58" s="6">
        <f t="shared" si="4"/>
        <v>2013</v>
      </c>
      <c r="C58" s="20">
        <f ca="1">'Monthly Data'!K58</f>
        <v>5635233.8218801301</v>
      </c>
      <c r="D58" s="6">
        <f>'Monthly Data'!AH58</f>
        <v>41.2</v>
      </c>
      <c r="E58" s="6">
        <f>'Monthly Data'!AI58</f>
        <v>65.3</v>
      </c>
      <c r="F58" s="6">
        <f>'Monthly Data'!AK58</f>
        <v>154.6</v>
      </c>
      <c r="G58" s="6">
        <f>'Monthly Data'!AM58</f>
        <v>30</v>
      </c>
      <c r="H58" s="6">
        <f>'Monthly Data'!BD58</f>
        <v>0</v>
      </c>
      <c r="I58" s="6">
        <f>'Monthly Data'!AR58</f>
        <v>0</v>
      </c>
      <c r="J58" s="6">
        <f>'Monthly Data'!BA58</f>
        <v>0</v>
      </c>
      <c r="L58" s="20">
        <f>'GS &lt; 50 OLS model'!$P$5</f>
        <v>-1417234.7577365099</v>
      </c>
      <c r="M58" s="20">
        <f>'GS &lt; 50 OLS model'!$P$6*D58</f>
        <v>42463.714494450571</v>
      </c>
      <c r="N58" s="20">
        <f>'GS &lt; 50 OLS model'!$P$7*E58</f>
        <v>500224.90934091673</v>
      </c>
      <c r="O58" s="20">
        <f>'GS &lt; 50 OLS model'!$P$8*F58</f>
        <v>2138430.2969603874</v>
      </c>
      <c r="P58" s="20">
        <f>'GS &lt; 50 OLS model'!$P$9*G58</f>
        <v>4453665.5794136096</v>
      </c>
      <c r="Q58" s="20">
        <f>'GS &lt; 50 OLS model'!$P$10*H58</f>
        <v>0</v>
      </c>
      <c r="R58" s="20">
        <f>'GS &lt; 50 OLS model'!$P$11*I58</f>
        <v>0</v>
      </c>
      <c r="S58" s="20">
        <f>'GS &lt; 50 OLS model'!$P$12*J58</f>
        <v>0</v>
      </c>
      <c r="T58" s="20">
        <f t="shared" si="5"/>
        <v>5717549.7424728544</v>
      </c>
      <c r="U58" s="23">
        <f t="shared" ca="1" si="6"/>
        <v>1.460736558492272E-2</v>
      </c>
    </row>
    <row r="59" spans="1:21" ht="15">
      <c r="A59" s="22">
        <f>'Monthly Data'!A59</f>
        <v>41548</v>
      </c>
      <c r="B59" s="6">
        <f t="shared" si="4"/>
        <v>2013</v>
      </c>
      <c r="C59" s="20">
        <f ca="1">'Monthly Data'!K59</f>
        <v>5244110.3430482503</v>
      </c>
      <c r="D59" s="6">
        <f>'Monthly Data'!AH59</f>
        <v>170.49999999999997</v>
      </c>
      <c r="E59" s="6">
        <f>'Monthly Data'!AI59</f>
        <v>19.899999999999999</v>
      </c>
      <c r="F59" s="6">
        <f>'Monthly Data'!AK59</f>
        <v>155.80000000000001</v>
      </c>
      <c r="G59" s="6">
        <f>'Monthly Data'!AM59</f>
        <v>31</v>
      </c>
      <c r="H59" s="6">
        <f>'Monthly Data'!BD59</f>
        <v>1</v>
      </c>
      <c r="I59" s="6">
        <f>'Monthly Data'!AR59</f>
        <v>0</v>
      </c>
      <c r="J59" s="6">
        <f>'Monthly Data'!BA59</f>
        <v>0</v>
      </c>
      <c r="L59" s="20">
        <f>'GS &lt; 50 OLS model'!$P$5</f>
        <v>-1417234.7577365099</v>
      </c>
      <c r="M59" s="20">
        <f>'GS &lt; 50 OLS model'!$P$6*D59</f>
        <v>175729.69226465584</v>
      </c>
      <c r="N59" s="20">
        <f>'GS &lt; 50 OLS model'!$P$7*E59</f>
        <v>152442.20054952899</v>
      </c>
      <c r="O59" s="20">
        <f>'GS &lt; 50 OLS model'!$P$8*F59</f>
        <v>2155028.7209988898</v>
      </c>
      <c r="P59" s="20">
        <f>'GS &lt; 50 OLS model'!$P$9*G59</f>
        <v>4602121.0987273967</v>
      </c>
      <c r="Q59" s="20">
        <f>'GS &lt; 50 OLS model'!$P$10*H59</f>
        <v>-268276.91027030803</v>
      </c>
      <c r="R59" s="20">
        <f>'GS &lt; 50 OLS model'!$P$11*I59</f>
        <v>0</v>
      </c>
      <c r="S59" s="20">
        <f>'GS &lt; 50 OLS model'!$P$12*J59</f>
        <v>0</v>
      </c>
      <c r="T59" s="20">
        <f t="shared" si="5"/>
        <v>5399810.0445336532</v>
      </c>
      <c r="U59" s="23">
        <f t="shared" ca="1" si="6"/>
        <v>2.9690393851419063E-2</v>
      </c>
    </row>
    <row r="60" spans="1:21" ht="15">
      <c r="A60" s="22">
        <f>'Monthly Data'!A60</f>
        <v>41579</v>
      </c>
      <c r="B60" s="6">
        <f t="shared" si="4"/>
        <v>2013</v>
      </c>
      <c r="C60" s="20">
        <f ca="1">'Monthly Data'!K60</f>
        <v>5278519.5614520842</v>
      </c>
      <c r="D60" s="6">
        <f>'Monthly Data'!AH60</f>
        <v>424.9</v>
      </c>
      <c r="E60" s="6">
        <f>'Monthly Data'!AI60</f>
        <v>0</v>
      </c>
      <c r="F60" s="6">
        <f>'Monthly Data'!AK60</f>
        <v>156.69999999999999</v>
      </c>
      <c r="G60" s="6">
        <f>'Monthly Data'!AM60</f>
        <v>30</v>
      </c>
      <c r="H60" s="6">
        <f>'Monthly Data'!BD60</f>
        <v>1</v>
      </c>
      <c r="I60" s="6">
        <f>'Monthly Data'!AR60</f>
        <v>0</v>
      </c>
      <c r="J60" s="6">
        <f>'Monthly Data'!BA60</f>
        <v>0</v>
      </c>
      <c r="L60" s="20">
        <f>'GS &lt; 50 OLS model'!$P$5</f>
        <v>-1417234.7577365099</v>
      </c>
      <c r="M60" s="20">
        <f>'GS &lt; 50 OLS model'!$P$6*D60</f>
        <v>437932.82254106906</v>
      </c>
      <c r="N60" s="20">
        <f>'GS &lt; 50 OLS model'!$P$7*E60</f>
        <v>0</v>
      </c>
      <c r="O60" s="20">
        <f>'GS &lt; 50 OLS model'!$P$8*F60</f>
        <v>2167477.5390277663</v>
      </c>
      <c r="P60" s="20">
        <f>'GS &lt; 50 OLS model'!$P$9*G60</f>
        <v>4453665.5794136096</v>
      </c>
      <c r="Q60" s="20">
        <f>'GS &lt; 50 OLS model'!$P$10*H60</f>
        <v>-268276.91027030803</v>
      </c>
      <c r="R60" s="20">
        <f>'GS &lt; 50 OLS model'!$P$11*I60</f>
        <v>0</v>
      </c>
      <c r="S60" s="20">
        <f>'GS &lt; 50 OLS model'!$P$12*J60</f>
        <v>0</v>
      </c>
      <c r="T60" s="20">
        <f t="shared" si="5"/>
        <v>5373564.2729756264</v>
      </c>
      <c r="U60" s="23">
        <f t="shared" ca="1" si="6"/>
        <v>1.8005940949358923E-2</v>
      </c>
    </row>
    <row r="61" spans="1:21" ht="15">
      <c r="A61" s="22">
        <f>'Monthly Data'!A61</f>
        <v>41609</v>
      </c>
      <c r="B61" s="6">
        <f t="shared" si="4"/>
        <v>2013</v>
      </c>
      <c r="C61" s="20">
        <f ca="1">'Monthly Data'!K61</f>
        <v>5836114.3315690635</v>
      </c>
      <c r="D61" s="6">
        <f>'Monthly Data'!AH61</f>
        <v>614.30000000000007</v>
      </c>
      <c r="E61" s="6">
        <f>'Monthly Data'!AI61</f>
        <v>0</v>
      </c>
      <c r="F61" s="6">
        <f>'Monthly Data'!AK61</f>
        <v>159.19999999999999</v>
      </c>
      <c r="G61" s="6">
        <f>'Monthly Data'!AM61</f>
        <v>31</v>
      </c>
      <c r="H61" s="6">
        <f>'Monthly Data'!BD61</f>
        <v>0</v>
      </c>
      <c r="I61" s="6">
        <f>'Monthly Data'!AR61</f>
        <v>0</v>
      </c>
      <c r="J61" s="6">
        <f>'Monthly Data'!BA61</f>
        <v>1</v>
      </c>
      <c r="L61" s="20">
        <f>'GS &lt; 50 OLS model'!$P$5</f>
        <v>-1417234.7577365099</v>
      </c>
      <c r="M61" s="20">
        <f>'GS &lt; 50 OLS model'!$P$6*D61</f>
        <v>633142.22849371331</v>
      </c>
      <c r="N61" s="20">
        <f>'GS &lt; 50 OLS model'!$P$7*E61</f>
        <v>0</v>
      </c>
      <c r="O61" s="20">
        <f>'GS &lt; 50 OLS model'!$P$8*F61</f>
        <v>2202057.5891079796</v>
      </c>
      <c r="P61" s="20">
        <f>'GS &lt; 50 OLS model'!$P$9*G61</f>
        <v>4602121.0987273967</v>
      </c>
      <c r="Q61" s="20">
        <f>'GS &lt; 50 OLS model'!$P$10*H61</f>
        <v>0</v>
      </c>
      <c r="R61" s="20">
        <f>'GS &lt; 50 OLS model'!$P$11*I61</f>
        <v>0</v>
      </c>
      <c r="S61" s="20">
        <f>'GS &lt; 50 OLS model'!$P$12*J61</f>
        <v>-202556.65738747199</v>
      </c>
      <c r="T61" s="20">
        <f t="shared" si="5"/>
        <v>5817529.5012051081</v>
      </c>
      <c r="U61" s="23">
        <f t="shared" ca="1" si="6"/>
        <v>3.1844527553932856E-3</v>
      </c>
    </row>
    <row r="62" spans="1:21" ht="15">
      <c r="A62" s="22">
        <f>'Monthly Data'!A62</f>
        <v>41640</v>
      </c>
      <c r="B62" s="6">
        <f t="shared" si="4"/>
        <v>2014</v>
      </c>
      <c r="C62" s="20">
        <f ca="1">'Monthly Data'!K62</f>
        <v>6160076.9121971037</v>
      </c>
      <c r="D62" s="6">
        <f>'Monthly Data'!AH62</f>
        <v>784.99999999999977</v>
      </c>
      <c r="E62" s="6">
        <f>'Monthly Data'!AI62</f>
        <v>0</v>
      </c>
      <c r="F62" s="6">
        <f>'Monthly Data'!AK62</f>
        <v>157.1</v>
      </c>
      <c r="G62" s="6">
        <f>'Monthly Data'!AM62</f>
        <v>31</v>
      </c>
      <c r="H62" s="6">
        <f>'Monthly Data'!BD62</f>
        <v>0</v>
      </c>
      <c r="I62" s="6">
        <f>'Monthly Data'!AR62</f>
        <v>0</v>
      </c>
      <c r="J62" s="6">
        <f>'Monthly Data'!BA62</f>
        <v>0</v>
      </c>
      <c r="L62" s="20">
        <f>'GS &lt; 50 OLS model'!$P$5</f>
        <v>-1417234.7577365099</v>
      </c>
      <c r="M62" s="20">
        <f>'GS &lt; 50 OLS model'!$P$6*D62</f>
        <v>809078.05529474968</v>
      </c>
      <c r="N62" s="20">
        <f>'GS &lt; 50 OLS model'!$P$7*E62</f>
        <v>0</v>
      </c>
      <c r="O62" s="20">
        <f>'GS &lt; 50 OLS model'!$P$8*F62</f>
        <v>2173010.3470406006</v>
      </c>
      <c r="P62" s="20">
        <f>'GS &lt; 50 OLS model'!$P$9*G62</f>
        <v>4602121.0987273967</v>
      </c>
      <c r="Q62" s="20">
        <f>'GS &lt; 50 OLS model'!$P$10*H62</f>
        <v>0</v>
      </c>
      <c r="R62" s="20">
        <f>'GS &lt; 50 OLS model'!$P$11*I62</f>
        <v>0</v>
      </c>
      <c r="S62" s="20">
        <f>'GS &lt; 50 OLS model'!$P$12*J62</f>
        <v>0</v>
      </c>
      <c r="T62" s="20">
        <f t="shared" si="5"/>
        <v>6166974.7433262374</v>
      </c>
      <c r="U62" s="23">
        <f t="shared" ca="1" si="6"/>
        <v>1.1197637996168239E-3</v>
      </c>
    </row>
    <row r="63" spans="1:21" ht="15">
      <c r="A63" s="22">
        <f>'Monthly Data'!A63</f>
        <v>41671</v>
      </c>
      <c r="B63" s="6">
        <f t="shared" si="4"/>
        <v>2014</v>
      </c>
      <c r="C63" s="20">
        <f ca="1">'Monthly Data'!K63</f>
        <v>5583527.4099679338</v>
      </c>
      <c r="D63" s="6">
        <f>'Monthly Data'!AH63</f>
        <v>674.19999999999982</v>
      </c>
      <c r="E63" s="6">
        <f>'Monthly Data'!AI63</f>
        <v>0</v>
      </c>
      <c r="F63" s="6">
        <f>'Monthly Data'!AK63</f>
        <v>154.69999999999999</v>
      </c>
      <c r="G63" s="6">
        <f>'Monthly Data'!AM63</f>
        <v>28</v>
      </c>
      <c r="H63" s="6">
        <f>'Monthly Data'!BD63</f>
        <v>0</v>
      </c>
      <c r="I63" s="6">
        <f>'Monthly Data'!AR63</f>
        <v>0</v>
      </c>
      <c r="J63" s="6">
        <f>'Monthly Data'!BA63</f>
        <v>0</v>
      </c>
      <c r="L63" s="20">
        <f>'GS &lt; 50 OLS model'!$P$5</f>
        <v>-1417234.7577365099</v>
      </c>
      <c r="M63" s="20">
        <f>'GS &lt; 50 OLS model'!$P$6*D63</f>
        <v>694879.52213977103</v>
      </c>
      <c r="N63" s="20">
        <f>'GS &lt; 50 OLS model'!$P$7*E63</f>
        <v>0</v>
      </c>
      <c r="O63" s="20">
        <f>'GS &lt; 50 OLS model'!$P$8*F63</f>
        <v>2139813.4989635958</v>
      </c>
      <c r="P63" s="20">
        <f>'GS &lt; 50 OLS model'!$P$9*G63</f>
        <v>4156754.5407860358</v>
      </c>
      <c r="Q63" s="20">
        <f>'GS &lt; 50 OLS model'!$P$10*H63</f>
        <v>0</v>
      </c>
      <c r="R63" s="20">
        <f>'GS &lt; 50 OLS model'!$P$11*I63</f>
        <v>0</v>
      </c>
      <c r="S63" s="20">
        <f>'GS &lt; 50 OLS model'!$P$12*J63</f>
        <v>0</v>
      </c>
      <c r="T63" s="20">
        <f t="shared" si="5"/>
        <v>5574212.8041528929</v>
      </c>
      <c r="U63" s="23">
        <f t="shared" ca="1" si="6"/>
        <v>1.6682296210119927E-3</v>
      </c>
    </row>
    <row r="64" spans="1:21" ht="15">
      <c r="A64" s="22">
        <f>'Monthly Data'!A64</f>
        <v>41699</v>
      </c>
      <c r="B64" s="6">
        <f t="shared" si="4"/>
        <v>2014</v>
      </c>
      <c r="C64" s="20">
        <f ca="1">'Monthly Data'!K64</f>
        <v>5765002.1393458238</v>
      </c>
      <c r="D64" s="6">
        <f>'Monthly Data'!AH64</f>
        <v>591.90000000000009</v>
      </c>
      <c r="E64" s="6">
        <f>'Monthly Data'!AI64</f>
        <v>0</v>
      </c>
      <c r="F64" s="6">
        <f>'Monthly Data'!AK64</f>
        <v>152.4</v>
      </c>
      <c r="G64" s="6">
        <f>'Monthly Data'!AM64</f>
        <v>31</v>
      </c>
      <c r="H64" s="6">
        <f>'Monthly Data'!BD64</f>
        <v>1</v>
      </c>
      <c r="I64" s="6">
        <f>'Monthly Data'!AR64</f>
        <v>1</v>
      </c>
      <c r="J64" s="6">
        <f>'Monthly Data'!BA64</f>
        <v>0</v>
      </c>
      <c r="L64" s="20">
        <f>'GS &lt; 50 OLS model'!$P$5</f>
        <v>-1417234.7577365099</v>
      </c>
      <c r="M64" s="20">
        <f>'GS &lt; 50 OLS model'!$P$6*D64</f>
        <v>610055.16041906062</v>
      </c>
      <c r="N64" s="20">
        <f>'GS &lt; 50 OLS model'!$P$7*E64</f>
        <v>0</v>
      </c>
      <c r="O64" s="20">
        <f>'GS &lt; 50 OLS model'!$P$8*F64</f>
        <v>2107999.8528898</v>
      </c>
      <c r="P64" s="20">
        <f>'GS &lt; 50 OLS model'!$P$9*G64</f>
        <v>4602121.0987273967</v>
      </c>
      <c r="Q64" s="20">
        <f>'GS &lt; 50 OLS model'!$P$10*H64</f>
        <v>-268276.91027030803</v>
      </c>
      <c r="R64" s="20">
        <f>'GS &lt; 50 OLS model'!$P$11*I64</f>
        <v>188882.52120843399</v>
      </c>
      <c r="S64" s="20">
        <f>'GS &lt; 50 OLS model'!$P$12*J64</f>
        <v>0</v>
      </c>
      <c r="T64" s="20">
        <f t="shared" si="5"/>
        <v>5823546.9652378736</v>
      </c>
      <c r="U64" s="23">
        <f t="shared" ca="1" si="6"/>
        <v>1.0155213211888437E-2</v>
      </c>
    </row>
    <row r="65" spans="1:21" ht="15">
      <c r="A65" s="22">
        <f>'Monthly Data'!A65</f>
        <v>41730</v>
      </c>
      <c r="B65" s="6">
        <f t="shared" si="4"/>
        <v>2014</v>
      </c>
      <c r="C65" s="20">
        <f ca="1">'Monthly Data'!K65</f>
        <v>5047184.9055247335</v>
      </c>
      <c r="D65" s="6">
        <f>'Monthly Data'!AH65</f>
        <v>253.7</v>
      </c>
      <c r="E65" s="6">
        <f>'Monthly Data'!AI65</f>
        <v>0</v>
      </c>
      <c r="F65" s="6">
        <f>'Monthly Data'!AK65</f>
        <v>151.1</v>
      </c>
      <c r="G65" s="6">
        <f>'Monthly Data'!AM65</f>
        <v>30</v>
      </c>
      <c r="H65" s="6">
        <f>'Monthly Data'!BD65</f>
        <v>1</v>
      </c>
      <c r="I65" s="6">
        <f>'Monthly Data'!AR65</f>
        <v>0</v>
      </c>
      <c r="J65" s="6">
        <f>'Monthly Data'!BA65</f>
        <v>0</v>
      </c>
      <c r="L65" s="20">
        <f>'GS &lt; 50 OLS model'!$P$5</f>
        <v>-1417234.7577365099</v>
      </c>
      <c r="M65" s="20">
        <f>'GS &lt; 50 OLS model'!$P$6*D65</f>
        <v>261481.65939908032</v>
      </c>
      <c r="N65" s="20">
        <f>'GS &lt; 50 OLS model'!$P$7*E65</f>
        <v>0</v>
      </c>
      <c r="O65" s="20">
        <f>'GS &lt; 50 OLS model'!$P$8*F65</f>
        <v>2090018.2268480887</v>
      </c>
      <c r="P65" s="20">
        <f>'GS &lt; 50 OLS model'!$P$9*G65</f>
        <v>4453665.5794136096</v>
      </c>
      <c r="Q65" s="20">
        <f>'GS &lt; 50 OLS model'!$P$10*H65</f>
        <v>-268276.91027030803</v>
      </c>
      <c r="R65" s="20">
        <f>'GS &lt; 50 OLS model'!$P$11*I65</f>
        <v>0</v>
      </c>
      <c r="S65" s="20">
        <f>'GS &lt; 50 OLS model'!$P$12*J65</f>
        <v>0</v>
      </c>
      <c r="T65" s="20">
        <f t="shared" si="5"/>
        <v>5119653.797653961</v>
      </c>
      <c r="U65" s="23">
        <f t="shared" ca="1" si="6"/>
        <v>1.4358279612443335E-2</v>
      </c>
    </row>
    <row r="66" spans="1:21" ht="15">
      <c r="A66" s="22">
        <f>'Monthly Data'!A66</f>
        <v>41760</v>
      </c>
      <c r="B66" s="6">
        <f t="shared" ref="B66:B97" si="7">YEAR(A66)</f>
        <v>2014</v>
      </c>
      <c r="C66" s="20">
        <f ca="1">'Monthly Data'!K66</f>
        <v>5341469.543139304</v>
      </c>
      <c r="D66" s="6">
        <f>'Monthly Data'!AH66</f>
        <v>90.600000000000009</v>
      </c>
      <c r="E66" s="6">
        <f>'Monthly Data'!AI66</f>
        <v>36.4</v>
      </c>
      <c r="F66" s="6">
        <f>'Monthly Data'!AK66</f>
        <v>151.19999999999999</v>
      </c>
      <c r="G66" s="6">
        <f>'Monthly Data'!AM66</f>
        <v>31</v>
      </c>
      <c r="H66" s="6">
        <f>'Monthly Data'!BD66</f>
        <v>1</v>
      </c>
      <c r="I66" s="6">
        <f>'Monthly Data'!AR66</f>
        <v>0</v>
      </c>
      <c r="J66" s="6">
        <f>'Monthly Data'!BA66</f>
        <v>0</v>
      </c>
      <c r="L66" s="20">
        <f>'GS &lt; 50 OLS model'!$P$5</f>
        <v>-1417234.7577365099</v>
      </c>
      <c r="M66" s="20">
        <f>'GS &lt; 50 OLS model'!$P$6*D66</f>
        <v>93378.944980515094</v>
      </c>
      <c r="N66" s="20">
        <f>'GS &lt; 50 OLS model'!$P$7*E66</f>
        <v>278839.00000014348</v>
      </c>
      <c r="O66" s="20">
        <f>'GS &lt; 50 OLS model'!$P$8*F66</f>
        <v>2091401.4288512971</v>
      </c>
      <c r="P66" s="20">
        <f>'GS &lt; 50 OLS model'!$P$9*G66</f>
        <v>4602121.0987273967</v>
      </c>
      <c r="Q66" s="20">
        <f>'GS &lt; 50 OLS model'!$P$10*H66</f>
        <v>-268276.91027030803</v>
      </c>
      <c r="R66" s="20">
        <f>'GS &lt; 50 OLS model'!$P$11*I66</f>
        <v>0</v>
      </c>
      <c r="S66" s="20">
        <f>'GS &lt; 50 OLS model'!$P$12*J66</f>
        <v>0</v>
      </c>
      <c r="T66" s="20">
        <f t="shared" ref="T66:T85" si="8">SUM(L66:S66)</f>
        <v>5380228.8045525346</v>
      </c>
      <c r="U66" s="23">
        <f t="shared" ref="U66:U85" ca="1" si="9">ABS(T66-C66)/C66</f>
        <v>7.2562917564537597E-3</v>
      </c>
    </row>
    <row r="67" spans="1:21" ht="15">
      <c r="A67" s="22">
        <f>'Monthly Data'!A67</f>
        <v>41791</v>
      </c>
      <c r="B67" s="6">
        <f t="shared" si="7"/>
        <v>2014</v>
      </c>
      <c r="C67" s="20">
        <f ca="1">'Monthly Data'!K67</f>
        <v>5873777.4547528643</v>
      </c>
      <c r="D67" s="6">
        <f>'Monthly Data'!AH67</f>
        <v>2.4000000000000004</v>
      </c>
      <c r="E67" s="6">
        <f>'Monthly Data'!AI67</f>
        <v>123.29999999999997</v>
      </c>
      <c r="F67" s="6">
        <f>'Monthly Data'!AK67</f>
        <v>150.9</v>
      </c>
      <c r="G67" s="6">
        <f>'Monthly Data'!AM67</f>
        <v>30</v>
      </c>
      <c r="H67" s="6">
        <f>'Monthly Data'!BD67</f>
        <v>0</v>
      </c>
      <c r="I67" s="6">
        <f>'Monthly Data'!AR67</f>
        <v>0</v>
      </c>
      <c r="J67" s="6">
        <f>'Monthly Data'!BA67</f>
        <v>0</v>
      </c>
      <c r="L67" s="20">
        <f>'GS &lt; 50 OLS model'!$P$5</f>
        <v>-1417234.7577365099</v>
      </c>
      <c r="M67" s="20">
        <f>'GS &lt; 50 OLS model'!$P$6*D67</f>
        <v>2473.6144365699365</v>
      </c>
      <c r="N67" s="20">
        <f>'GS &lt; 50 OLS model'!$P$7*E67</f>
        <v>944528.81044004625</v>
      </c>
      <c r="O67" s="20">
        <f>'GS &lt; 50 OLS model'!$P$8*F67</f>
        <v>2087251.8228416718</v>
      </c>
      <c r="P67" s="20">
        <f>'GS &lt; 50 OLS model'!$P$9*G67</f>
        <v>4453665.5794136096</v>
      </c>
      <c r="Q67" s="20">
        <f>'GS &lt; 50 OLS model'!$P$10*H67</f>
        <v>0</v>
      </c>
      <c r="R67" s="20">
        <f>'GS &lt; 50 OLS model'!$P$11*I67</f>
        <v>0</v>
      </c>
      <c r="S67" s="20">
        <f>'GS &lt; 50 OLS model'!$P$12*J67</f>
        <v>0</v>
      </c>
      <c r="T67" s="20">
        <f t="shared" si="8"/>
        <v>6070685.0693953875</v>
      </c>
      <c r="U67" s="23">
        <f t="shared" ca="1" si="9"/>
        <v>3.3523165656062129E-2</v>
      </c>
    </row>
    <row r="68" spans="1:21" ht="15">
      <c r="A68" s="22">
        <f>'Monthly Data'!A68</f>
        <v>41821</v>
      </c>
      <c r="B68" s="6">
        <f t="shared" si="7"/>
        <v>2014</v>
      </c>
      <c r="C68" s="20">
        <f ca="1">'Monthly Data'!K68</f>
        <v>6167201.5336482739</v>
      </c>
      <c r="D68" s="6">
        <f>'Monthly Data'!AH68</f>
        <v>0.7</v>
      </c>
      <c r="E68" s="6">
        <f>'Monthly Data'!AI68</f>
        <v>113.59999999999997</v>
      </c>
      <c r="F68" s="6">
        <f>'Monthly Data'!AK68</f>
        <v>153.6</v>
      </c>
      <c r="G68" s="6">
        <f>'Monthly Data'!AM68</f>
        <v>31</v>
      </c>
      <c r="H68" s="6">
        <f>'Monthly Data'!BD68</f>
        <v>0</v>
      </c>
      <c r="I68" s="6">
        <f>'Monthly Data'!AR68</f>
        <v>0</v>
      </c>
      <c r="J68" s="6">
        <f>'Monthly Data'!BA68</f>
        <v>0</v>
      </c>
      <c r="L68" s="20">
        <f>'GS &lt; 50 OLS model'!$P$5</f>
        <v>-1417234.7577365099</v>
      </c>
      <c r="M68" s="20">
        <f>'GS &lt; 50 OLS model'!$P$6*D68</f>
        <v>721.470877332898</v>
      </c>
      <c r="N68" s="20">
        <f>'GS &lt; 50 OLS model'!$P$7*E68</f>
        <v>870222.81318726076</v>
      </c>
      <c r="O68" s="20">
        <f>'GS &lt; 50 OLS model'!$P$8*F68</f>
        <v>2124598.2769283019</v>
      </c>
      <c r="P68" s="20">
        <f>'GS &lt; 50 OLS model'!$P$9*G68</f>
        <v>4602121.0987273967</v>
      </c>
      <c r="Q68" s="20">
        <f>'GS &lt; 50 OLS model'!$P$10*H68</f>
        <v>0</v>
      </c>
      <c r="R68" s="20">
        <f>'GS &lt; 50 OLS model'!$P$11*I68</f>
        <v>0</v>
      </c>
      <c r="S68" s="20">
        <f>'GS &lt; 50 OLS model'!$P$12*J68</f>
        <v>0</v>
      </c>
      <c r="T68" s="20">
        <f t="shared" si="8"/>
        <v>6180428.9019837826</v>
      </c>
      <c r="U68" s="23">
        <f t="shared" ca="1" si="9"/>
        <v>2.1447926200141459E-3</v>
      </c>
    </row>
    <row r="69" spans="1:21" ht="15">
      <c r="A69" s="22">
        <f>'Monthly Data'!A69</f>
        <v>41852</v>
      </c>
      <c r="B69" s="6">
        <f t="shared" si="7"/>
        <v>2014</v>
      </c>
      <c r="C69" s="20">
        <f ca="1">'Monthly Data'!K69</f>
        <v>6189372.2861325433</v>
      </c>
      <c r="D69" s="6">
        <f>'Monthly Data'!AH69</f>
        <v>0.7</v>
      </c>
      <c r="E69" s="6">
        <f>'Monthly Data'!AI69</f>
        <v>130.19999999999996</v>
      </c>
      <c r="F69" s="6">
        <f>'Monthly Data'!AK69</f>
        <v>154.5</v>
      </c>
      <c r="G69" s="6">
        <f>'Monthly Data'!AM69</f>
        <v>31</v>
      </c>
      <c r="H69" s="6">
        <f>'Monthly Data'!BD69</f>
        <v>0</v>
      </c>
      <c r="I69" s="6">
        <f>'Monthly Data'!AR69</f>
        <v>0</v>
      </c>
      <c r="J69" s="6">
        <f>'Monthly Data'!BA69</f>
        <v>0</v>
      </c>
      <c r="L69" s="20">
        <f>'GS &lt; 50 OLS model'!$P$5</f>
        <v>-1417234.7577365099</v>
      </c>
      <c r="M69" s="20">
        <f>'GS &lt; 50 OLS model'!$P$6*D69</f>
        <v>721.470877332898</v>
      </c>
      <c r="N69" s="20">
        <f>'GS &lt; 50 OLS model'!$P$7*E69</f>
        <v>997385.6538466668</v>
      </c>
      <c r="O69" s="20">
        <f>'GS &lt; 50 OLS model'!$P$8*F69</f>
        <v>2137047.0949571789</v>
      </c>
      <c r="P69" s="20">
        <f>'GS &lt; 50 OLS model'!$P$9*G69</f>
        <v>4602121.0987273967</v>
      </c>
      <c r="Q69" s="20">
        <f>'GS &lt; 50 OLS model'!$P$10*H69</f>
        <v>0</v>
      </c>
      <c r="R69" s="20">
        <f>'GS &lt; 50 OLS model'!$P$11*I69</f>
        <v>0</v>
      </c>
      <c r="S69" s="20">
        <f>'GS &lt; 50 OLS model'!$P$12*J69</f>
        <v>0</v>
      </c>
      <c r="T69" s="20">
        <f t="shared" si="8"/>
        <v>6320040.5606720652</v>
      </c>
      <c r="U69" s="23">
        <f t="shared" ca="1" si="9"/>
        <v>2.1111716745862534E-2</v>
      </c>
    </row>
    <row r="70" spans="1:21" ht="15">
      <c r="A70" s="22">
        <f>'Monthly Data'!A70</f>
        <v>41883</v>
      </c>
      <c r="B70" s="6">
        <f t="shared" si="7"/>
        <v>2014</v>
      </c>
      <c r="C70" s="20">
        <f ca="1">'Monthly Data'!K70</f>
        <v>5434281.2694790848</v>
      </c>
      <c r="D70" s="6">
        <f>'Monthly Data'!AH70</f>
        <v>57.20000000000001</v>
      </c>
      <c r="E70" s="6">
        <f>'Monthly Data'!AI70</f>
        <v>50.499999999999979</v>
      </c>
      <c r="F70" s="6">
        <f>'Monthly Data'!AK70</f>
        <v>156.6</v>
      </c>
      <c r="G70" s="6">
        <f>'Monthly Data'!AM70</f>
        <v>30</v>
      </c>
      <c r="H70" s="6">
        <f>'Monthly Data'!BD70</f>
        <v>0</v>
      </c>
      <c r="I70" s="6">
        <f>'Monthly Data'!AR70</f>
        <v>0</v>
      </c>
      <c r="J70" s="6">
        <f>'Monthly Data'!BA70</f>
        <v>0</v>
      </c>
      <c r="L70" s="20">
        <f>'GS &lt; 50 OLS model'!$P$5</f>
        <v>-1417234.7577365099</v>
      </c>
      <c r="M70" s="20">
        <f>'GS &lt; 50 OLS model'!$P$6*D70</f>
        <v>58954.477404916819</v>
      </c>
      <c r="N70" s="20">
        <f>'GS &lt; 50 OLS model'!$P$7*E70</f>
        <v>386850.81043975934</v>
      </c>
      <c r="O70" s="20">
        <f>'GS &lt; 50 OLS model'!$P$8*F70</f>
        <v>2166094.3370245579</v>
      </c>
      <c r="P70" s="20">
        <f>'GS &lt; 50 OLS model'!$P$9*G70</f>
        <v>4453665.5794136096</v>
      </c>
      <c r="Q70" s="20">
        <f>'GS &lt; 50 OLS model'!$P$10*H70</f>
        <v>0</v>
      </c>
      <c r="R70" s="20">
        <f>'GS &lt; 50 OLS model'!$P$11*I70</f>
        <v>0</v>
      </c>
      <c r="S70" s="20">
        <f>'GS &lt; 50 OLS model'!$P$12*J70</f>
        <v>0</v>
      </c>
      <c r="T70" s="20">
        <f t="shared" si="8"/>
        <v>5648330.4465463338</v>
      </c>
      <c r="U70" s="23">
        <f t="shared" ca="1" si="9"/>
        <v>3.9388682045117487E-2</v>
      </c>
    </row>
    <row r="71" spans="1:21" ht="15">
      <c r="A71" s="22">
        <f>'Monthly Data'!A71</f>
        <v>41913</v>
      </c>
      <c r="B71" s="6">
        <f t="shared" si="7"/>
        <v>2014</v>
      </c>
      <c r="C71" s="20">
        <f ca="1">'Monthly Data'!K71</f>
        <v>5094540.9732233444</v>
      </c>
      <c r="D71" s="6">
        <f>'Monthly Data'!AH71</f>
        <v>179.7</v>
      </c>
      <c r="E71" s="6">
        <f>'Monthly Data'!AI71</f>
        <v>3.9</v>
      </c>
      <c r="F71" s="6">
        <f>'Monthly Data'!AK71</f>
        <v>158.30000000000001</v>
      </c>
      <c r="G71" s="6">
        <f>'Monthly Data'!AM71</f>
        <v>31</v>
      </c>
      <c r="H71" s="6">
        <f>'Monthly Data'!BD71</f>
        <v>1</v>
      </c>
      <c r="I71" s="6">
        <f>'Monthly Data'!AR71</f>
        <v>0</v>
      </c>
      <c r="J71" s="6">
        <f>'Monthly Data'!BA71</f>
        <v>0</v>
      </c>
      <c r="L71" s="20">
        <f>'GS &lt; 50 OLS model'!$P$5</f>
        <v>-1417234.7577365099</v>
      </c>
      <c r="M71" s="20">
        <f>'GS &lt; 50 OLS model'!$P$6*D71</f>
        <v>185211.88093817397</v>
      </c>
      <c r="N71" s="20">
        <f>'GS &lt; 50 OLS model'!$P$7*E71</f>
        <v>29875.607142872515</v>
      </c>
      <c r="O71" s="20">
        <f>'GS &lt; 50 OLS model'!$P$8*F71</f>
        <v>2189608.771079103</v>
      </c>
      <c r="P71" s="20">
        <f>'GS &lt; 50 OLS model'!$P$9*G71</f>
        <v>4602121.0987273967</v>
      </c>
      <c r="Q71" s="20">
        <f>'GS &lt; 50 OLS model'!$P$10*H71</f>
        <v>-268276.91027030803</v>
      </c>
      <c r="R71" s="20">
        <f>'GS &lt; 50 OLS model'!$P$11*I71</f>
        <v>0</v>
      </c>
      <c r="S71" s="20">
        <f>'GS &lt; 50 OLS model'!$P$12*J71</f>
        <v>0</v>
      </c>
      <c r="T71" s="20">
        <f t="shared" si="8"/>
        <v>5321305.6898807278</v>
      </c>
      <c r="U71" s="23">
        <f t="shared" ca="1" si="9"/>
        <v>4.4511314728696363E-2</v>
      </c>
    </row>
    <row r="72" spans="1:21" ht="15">
      <c r="A72" s="22">
        <f>'Monthly Data'!A72</f>
        <v>41944</v>
      </c>
      <c r="B72" s="6">
        <f t="shared" si="7"/>
        <v>2014</v>
      </c>
      <c r="C72" s="20">
        <f ca="1">'Monthly Data'!K72</f>
        <v>5321955.4914958244</v>
      </c>
      <c r="D72" s="6">
        <f>'Monthly Data'!AH72</f>
        <v>442</v>
      </c>
      <c r="E72" s="6">
        <f>'Monthly Data'!AI72</f>
        <v>0</v>
      </c>
      <c r="F72" s="6">
        <f>'Monthly Data'!AK72</f>
        <v>159.30000000000001</v>
      </c>
      <c r="G72" s="6">
        <f>'Monthly Data'!AM72</f>
        <v>30</v>
      </c>
      <c r="H72" s="6">
        <f>'Monthly Data'!BD72</f>
        <v>1</v>
      </c>
      <c r="I72" s="6">
        <f>'Monthly Data'!AR72</f>
        <v>0</v>
      </c>
      <c r="J72" s="6">
        <f>'Monthly Data'!BA72</f>
        <v>0</v>
      </c>
      <c r="L72" s="20">
        <f>'GS &lt; 50 OLS model'!$P$5</f>
        <v>-1417234.7577365099</v>
      </c>
      <c r="M72" s="20">
        <f>'GS &lt; 50 OLS model'!$P$6*D72</f>
        <v>455557.3254016299</v>
      </c>
      <c r="N72" s="20">
        <f>'GS &lt; 50 OLS model'!$P$7*E72</f>
        <v>0</v>
      </c>
      <c r="O72" s="20">
        <f>'GS &lt; 50 OLS model'!$P$8*F72</f>
        <v>2203440.7911111885</v>
      </c>
      <c r="P72" s="20">
        <f>'GS &lt; 50 OLS model'!$P$9*G72</f>
        <v>4453665.5794136096</v>
      </c>
      <c r="Q72" s="20">
        <f>'GS &lt; 50 OLS model'!$P$10*H72</f>
        <v>-268276.91027030803</v>
      </c>
      <c r="R72" s="20">
        <f>'GS &lt; 50 OLS model'!$P$11*I72</f>
        <v>0</v>
      </c>
      <c r="S72" s="20">
        <f>'GS &lt; 50 OLS model'!$P$12*J72</f>
        <v>0</v>
      </c>
      <c r="T72" s="20">
        <f t="shared" si="8"/>
        <v>5427152.02791961</v>
      </c>
      <c r="U72" s="23">
        <f t="shared" ca="1" si="9"/>
        <v>1.9766519391581451E-2</v>
      </c>
    </row>
    <row r="73" spans="1:21" ht="15">
      <c r="A73" s="22">
        <f>'Monthly Data'!A73</f>
        <v>41974</v>
      </c>
      <c r="B73" s="6">
        <f t="shared" si="7"/>
        <v>2014</v>
      </c>
      <c r="C73" s="20">
        <f ca="1">'Monthly Data'!K73</f>
        <v>5607365.7681212937</v>
      </c>
      <c r="D73" s="6">
        <f>'Monthly Data'!AH73</f>
        <v>513.9</v>
      </c>
      <c r="E73" s="6">
        <f>'Monthly Data'!AI73</f>
        <v>0</v>
      </c>
      <c r="F73" s="6">
        <f>'Monthly Data'!AK73</f>
        <v>161.1</v>
      </c>
      <c r="G73" s="6">
        <f>'Monthly Data'!AM73</f>
        <v>31</v>
      </c>
      <c r="H73" s="6">
        <f>'Monthly Data'!BD73</f>
        <v>0</v>
      </c>
      <c r="I73" s="6">
        <f>'Monthly Data'!AR73</f>
        <v>0</v>
      </c>
      <c r="J73" s="6">
        <f>'Monthly Data'!BA73</f>
        <v>1</v>
      </c>
      <c r="L73" s="20">
        <f>'GS &lt; 50 OLS model'!$P$5</f>
        <v>-1417234.7577365099</v>
      </c>
      <c r="M73" s="20">
        <f>'GS &lt; 50 OLS model'!$P$6*D73</f>
        <v>529662.6912305376</v>
      </c>
      <c r="N73" s="20">
        <f>'GS &lt; 50 OLS model'!$P$7*E73</f>
        <v>0</v>
      </c>
      <c r="O73" s="20">
        <f>'GS &lt; 50 OLS model'!$P$8*F73</f>
        <v>2228338.4271689416</v>
      </c>
      <c r="P73" s="20">
        <f>'GS &lt; 50 OLS model'!$P$9*G73</f>
        <v>4602121.0987273967</v>
      </c>
      <c r="Q73" s="20">
        <f>'GS &lt; 50 OLS model'!$P$10*H73</f>
        <v>0</v>
      </c>
      <c r="R73" s="20">
        <f>'GS &lt; 50 OLS model'!$P$11*I73</f>
        <v>0</v>
      </c>
      <c r="S73" s="20">
        <f>'GS &lt; 50 OLS model'!$P$12*J73</f>
        <v>-202556.65738747199</v>
      </c>
      <c r="T73" s="20">
        <f t="shared" si="8"/>
        <v>5740330.8020028947</v>
      </c>
      <c r="U73" s="23">
        <f t="shared" ca="1" si="9"/>
        <v>2.3712566538378305E-2</v>
      </c>
    </row>
    <row r="74" spans="1:21" ht="15">
      <c r="A74" s="22">
        <f>'Monthly Data'!A74</f>
        <v>42005</v>
      </c>
      <c r="B74" s="6">
        <f t="shared" si="7"/>
        <v>2015</v>
      </c>
      <c r="C74" s="20">
        <f ca="1">'Monthly Data'!K74</f>
        <v>6084150.685240835</v>
      </c>
      <c r="D74" s="6">
        <f>'Monthly Data'!AH74</f>
        <v>724.69999999999982</v>
      </c>
      <c r="E74" s="6">
        <f>'Monthly Data'!AI74</f>
        <v>0</v>
      </c>
      <c r="F74" s="6">
        <f>'Monthly Data'!AK74</f>
        <v>159.30000000000001</v>
      </c>
      <c r="G74" s="6">
        <f>'Monthly Data'!AM74</f>
        <v>31</v>
      </c>
      <c r="H74" s="6">
        <f>'Monthly Data'!BD74</f>
        <v>0</v>
      </c>
      <c r="I74" s="6">
        <f>'Monthly Data'!AR74</f>
        <v>0</v>
      </c>
      <c r="J74" s="6">
        <f>'Monthly Data'!BA74</f>
        <v>0</v>
      </c>
      <c r="L74" s="20">
        <f>'GS &lt; 50 OLS model'!$P$5</f>
        <v>-1417234.7577365099</v>
      </c>
      <c r="M74" s="20">
        <f>'GS &lt; 50 OLS model'!$P$6*D74</f>
        <v>746928.49257593008</v>
      </c>
      <c r="N74" s="20">
        <f>'GS &lt; 50 OLS model'!$P$7*E74</f>
        <v>0</v>
      </c>
      <c r="O74" s="20">
        <f>'GS &lt; 50 OLS model'!$P$8*F74</f>
        <v>2203440.7911111885</v>
      </c>
      <c r="P74" s="20">
        <f>'GS &lt; 50 OLS model'!$P$9*G74</f>
        <v>4602121.0987273967</v>
      </c>
      <c r="Q74" s="20">
        <f>'GS &lt; 50 OLS model'!$P$10*H74</f>
        <v>0</v>
      </c>
      <c r="R74" s="20">
        <f>'GS &lt; 50 OLS model'!$P$11*I74</f>
        <v>0</v>
      </c>
      <c r="S74" s="20">
        <f>'GS &lt; 50 OLS model'!$P$12*J74</f>
        <v>0</v>
      </c>
      <c r="T74" s="20">
        <f t="shared" si="8"/>
        <v>6135255.6246780055</v>
      </c>
      <c r="U74" s="23">
        <f t="shared" ca="1" si="9"/>
        <v>8.3996833873859877E-3</v>
      </c>
    </row>
    <row r="75" spans="1:21" ht="15">
      <c r="A75" s="22">
        <f>'Monthly Data'!A75</f>
        <v>42036</v>
      </c>
      <c r="B75" s="6">
        <f t="shared" si="7"/>
        <v>2015</v>
      </c>
      <c r="C75" s="20">
        <f ca="1">'Monthly Data'!K75</f>
        <v>5710443.8822701648</v>
      </c>
      <c r="D75" s="6">
        <f>'Monthly Data'!AH75</f>
        <v>757.39999999999986</v>
      </c>
      <c r="E75" s="6">
        <f>'Monthly Data'!AI75</f>
        <v>0</v>
      </c>
      <c r="F75" s="6">
        <f>'Monthly Data'!AK75</f>
        <v>159.1</v>
      </c>
      <c r="G75" s="6">
        <f>'Monthly Data'!AM75</f>
        <v>28</v>
      </c>
      <c r="H75" s="6">
        <f>'Monthly Data'!BD75</f>
        <v>0</v>
      </c>
      <c r="I75" s="6">
        <f>'Monthly Data'!AR75</f>
        <v>0</v>
      </c>
      <c r="J75" s="6">
        <f>'Monthly Data'!BA75</f>
        <v>0</v>
      </c>
      <c r="L75" s="20">
        <f>'GS &lt; 50 OLS model'!$P$5</f>
        <v>-1417234.7577365099</v>
      </c>
      <c r="M75" s="20">
        <f>'GS &lt; 50 OLS model'!$P$6*D75</f>
        <v>780631.48927419551</v>
      </c>
      <c r="N75" s="20">
        <f>'GS &lt; 50 OLS model'!$P$7*E75</f>
        <v>0</v>
      </c>
      <c r="O75" s="20">
        <f>'GS &lt; 50 OLS model'!$P$8*F75</f>
        <v>2200674.3871047711</v>
      </c>
      <c r="P75" s="20">
        <f>'GS &lt; 50 OLS model'!$P$9*G75</f>
        <v>4156754.5407860358</v>
      </c>
      <c r="Q75" s="20">
        <f>'GS &lt; 50 OLS model'!$P$10*H75</f>
        <v>0</v>
      </c>
      <c r="R75" s="20">
        <f>'GS &lt; 50 OLS model'!$P$11*I75</f>
        <v>0</v>
      </c>
      <c r="S75" s="20">
        <f>'GS &lt; 50 OLS model'!$P$12*J75</f>
        <v>0</v>
      </c>
      <c r="T75" s="20">
        <f t="shared" si="8"/>
        <v>5720825.6594284922</v>
      </c>
      <c r="U75" s="23">
        <f t="shared" ca="1" si="9"/>
        <v>1.8180333039539765E-3</v>
      </c>
    </row>
    <row r="76" spans="1:21" ht="15">
      <c r="A76" s="22">
        <f>'Monthly Data'!A76</f>
        <v>42064</v>
      </c>
      <c r="B76" s="6">
        <f t="shared" si="7"/>
        <v>2015</v>
      </c>
      <c r="C76" s="20">
        <f ca="1">'Monthly Data'!K76</f>
        <v>5822785.6363107348</v>
      </c>
      <c r="D76" s="6">
        <f>'Monthly Data'!AH76</f>
        <v>508.7</v>
      </c>
      <c r="E76" s="6">
        <f>'Monthly Data'!AI76</f>
        <v>0</v>
      </c>
      <c r="F76" s="6">
        <f>'Monthly Data'!AK76</f>
        <v>156.1</v>
      </c>
      <c r="G76" s="6">
        <f>'Monthly Data'!AM76</f>
        <v>31</v>
      </c>
      <c r="H76" s="6">
        <f>'Monthly Data'!BD76</f>
        <v>1</v>
      </c>
      <c r="I76" s="6">
        <f>'Monthly Data'!AR76</f>
        <v>1</v>
      </c>
      <c r="J76" s="6">
        <f>'Monthly Data'!BA76</f>
        <v>0</v>
      </c>
      <c r="L76" s="20">
        <f>'GS &lt; 50 OLS model'!$P$5</f>
        <v>-1417234.7577365099</v>
      </c>
      <c r="M76" s="20">
        <f>'GS &lt; 50 OLS model'!$P$6*D76</f>
        <v>524303.19328463601</v>
      </c>
      <c r="N76" s="20">
        <f>'GS &lt; 50 OLS model'!$P$7*E76</f>
        <v>0</v>
      </c>
      <c r="O76" s="20">
        <f>'GS &lt; 50 OLS model'!$P$8*F76</f>
        <v>2159178.3270085151</v>
      </c>
      <c r="P76" s="20">
        <f>'GS &lt; 50 OLS model'!$P$9*G76</f>
        <v>4602121.0987273967</v>
      </c>
      <c r="Q76" s="20">
        <f>'GS &lt; 50 OLS model'!$P$10*H76</f>
        <v>-268276.91027030803</v>
      </c>
      <c r="R76" s="20">
        <f>'GS &lt; 50 OLS model'!$P$11*I76</f>
        <v>188882.52120843399</v>
      </c>
      <c r="S76" s="20">
        <f>'GS &lt; 50 OLS model'!$P$12*J76</f>
        <v>0</v>
      </c>
      <c r="T76" s="20">
        <f t="shared" si="8"/>
        <v>5788973.4722221643</v>
      </c>
      <c r="U76" s="23">
        <f t="shared" ca="1" si="9"/>
        <v>5.8068708347631358E-3</v>
      </c>
    </row>
    <row r="77" spans="1:21" ht="15">
      <c r="A77" s="22">
        <f>'Monthly Data'!A77</f>
        <v>42095</v>
      </c>
      <c r="B77" s="6">
        <f t="shared" si="7"/>
        <v>2015</v>
      </c>
      <c r="C77" s="20">
        <f ca="1">'Monthly Data'!K77</f>
        <v>5202149.7221366046</v>
      </c>
      <c r="D77" s="6">
        <f>'Monthly Data'!AH77</f>
        <v>257.39999999999992</v>
      </c>
      <c r="E77" s="6">
        <f>'Monthly Data'!AI77</f>
        <v>0</v>
      </c>
      <c r="F77" s="6">
        <f>'Monthly Data'!AK77</f>
        <v>156.4</v>
      </c>
      <c r="G77" s="6">
        <f>'Monthly Data'!AM77</f>
        <v>30</v>
      </c>
      <c r="H77" s="6">
        <f>'Monthly Data'!BD77</f>
        <v>1</v>
      </c>
      <c r="I77" s="6">
        <f>'Monthly Data'!AR77</f>
        <v>0</v>
      </c>
      <c r="J77" s="6">
        <f>'Monthly Data'!BA77</f>
        <v>0</v>
      </c>
      <c r="L77" s="20">
        <f>'GS &lt; 50 OLS model'!$P$5</f>
        <v>-1417234.7577365099</v>
      </c>
      <c r="M77" s="20">
        <f>'GS &lt; 50 OLS model'!$P$6*D77</f>
        <v>265295.14832212555</v>
      </c>
      <c r="N77" s="20">
        <f>'GS &lt; 50 OLS model'!$P$7*E77</f>
        <v>0</v>
      </c>
      <c r="O77" s="20">
        <f>'GS &lt; 50 OLS model'!$P$8*F77</f>
        <v>2163327.933018141</v>
      </c>
      <c r="P77" s="20">
        <f>'GS &lt; 50 OLS model'!$P$9*G77</f>
        <v>4453665.5794136096</v>
      </c>
      <c r="Q77" s="20">
        <f>'GS &lt; 50 OLS model'!$P$10*H77</f>
        <v>-268276.91027030803</v>
      </c>
      <c r="R77" s="20">
        <f>'GS &lt; 50 OLS model'!$P$11*I77</f>
        <v>0</v>
      </c>
      <c r="S77" s="20">
        <f>'GS &lt; 50 OLS model'!$P$12*J77</f>
        <v>0</v>
      </c>
      <c r="T77" s="20">
        <f t="shared" si="8"/>
        <v>5196776.9927470582</v>
      </c>
      <c r="U77" s="23">
        <f t="shared" ca="1" si="9"/>
        <v>1.0327902264488794E-3</v>
      </c>
    </row>
    <row r="78" spans="1:21" ht="15">
      <c r="A78" s="22">
        <f>'Monthly Data'!A78</f>
        <v>42125</v>
      </c>
      <c r="B78" s="6">
        <f t="shared" si="7"/>
        <v>2015</v>
      </c>
      <c r="C78" s="20">
        <f ca="1">'Monthly Data'!K78</f>
        <v>5469380.5887120552</v>
      </c>
      <c r="D78" s="6">
        <f>'Monthly Data'!AH78</f>
        <v>68.7</v>
      </c>
      <c r="E78" s="6">
        <f>'Monthly Data'!AI78</f>
        <v>64.099999999999994</v>
      </c>
      <c r="F78" s="6">
        <f>'Monthly Data'!AK78</f>
        <v>159.1</v>
      </c>
      <c r="G78" s="6">
        <f>'Monthly Data'!AM78</f>
        <v>31</v>
      </c>
      <c r="H78" s="6">
        <f>'Monthly Data'!BD78</f>
        <v>1</v>
      </c>
      <c r="I78" s="6">
        <f>'Monthly Data'!AR78</f>
        <v>0</v>
      </c>
      <c r="J78" s="6">
        <f>'Monthly Data'!BA78</f>
        <v>0</v>
      </c>
      <c r="L78" s="20">
        <f>'GS &lt; 50 OLS model'!$P$5</f>
        <v>-1417234.7577365099</v>
      </c>
      <c r="M78" s="20">
        <f>'GS &lt; 50 OLS model'!$P$6*D78</f>
        <v>70807.213246814426</v>
      </c>
      <c r="N78" s="20">
        <f>'GS &lt; 50 OLS model'!$P$7*E78</f>
        <v>491032.41483541747</v>
      </c>
      <c r="O78" s="20">
        <f>'GS &lt; 50 OLS model'!$P$8*F78</f>
        <v>2200674.3871047711</v>
      </c>
      <c r="P78" s="20">
        <f>'GS &lt; 50 OLS model'!$P$9*G78</f>
        <v>4602121.0987273967</v>
      </c>
      <c r="Q78" s="20">
        <f>'GS &lt; 50 OLS model'!$P$10*H78</f>
        <v>-268276.91027030803</v>
      </c>
      <c r="R78" s="20">
        <f>'GS &lt; 50 OLS model'!$P$11*I78</f>
        <v>0</v>
      </c>
      <c r="S78" s="20">
        <f>'GS &lt; 50 OLS model'!$P$12*J78</f>
        <v>0</v>
      </c>
      <c r="T78" s="20">
        <f t="shared" si="8"/>
        <v>5679123.4459075816</v>
      </c>
      <c r="U78" s="23">
        <f t="shared" ca="1" si="9"/>
        <v>3.8348557719388325E-2</v>
      </c>
    </row>
    <row r="79" spans="1:21" ht="15">
      <c r="A79" s="22">
        <f>'Monthly Data'!A79</f>
        <v>42156</v>
      </c>
      <c r="B79" s="6">
        <f t="shared" si="7"/>
        <v>2015</v>
      </c>
      <c r="C79" s="20">
        <f ca="1">'Monthly Data'!K79</f>
        <v>5756959.3529045451</v>
      </c>
      <c r="D79" s="6">
        <f>'Monthly Data'!AH79</f>
        <v>13.1</v>
      </c>
      <c r="E79" s="6">
        <f>'Monthly Data'!AI79</f>
        <v>89.59999999999998</v>
      </c>
      <c r="F79" s="6">
        <f>'Monthly Data'!AK79</f>
        <v>163.9</v>
      </c>
      <c r="G79" s="6">
        <f>'Monthly Data'!AM79</f>
        <v>30</v>
      </c>
      <c r="H79" s="6">
        <f>'Monthly Data'!BD79</f>
        <v>0</v>
      </c>
      <c r="I79" s="6">
        <f>'Monthly Data'!AR79</f>
        <v>0</v>
      </c>
      <c r="J79" s="6">
        <f>'Monthly Data'!BA79</f>
        <v>0</v>
      </c>
      <c r="L79" s="20">
        <f>'GS &lt; 50 OLS model'!$P$5</f>
        <v>-1417234.7577365099</v>
      </c>
      <c r="M79" s="20">
        <f>'GS &lt; 50 OLS model'!$P$6*D79</f>
        <v>13501.812132944235</v>
      </c>
      <c r="N79" s="20">
        <f>'GS &lt; 50 OLS model'!$P$7*E79</f>
        <v>686372.92307727609</v>
      </c>
      <c r="O79" s="20">
        <f>'GS &lt; 50 OLS model'!$P$8*F79</f>
        <v>2267068.0832587807</v>
      </c>
      <c r="P79" s="20">
        <f>'GS &lt; 50 OLS model'!$P$9*G79</f>
        <v>4453665.5794136096</v>
      </c>
      <c r="Q79" s="20">
        <f>'GS &lt; 50 OLS model'!$P$10*H79</f>
        <v>0</v>
      </c>
      <c r="R79" s="20">
        <f>'GS &lt; 50 OLS model'!$P$11*I79</f>
        <v>0</v>
      </c>
      <c r="S79" s="20">
        <f>'GS &lt; 50 OLS model'!$P$12*J79</f>
        <v>0</v>
      </c>
      <c r="T79" s="20">
        <f t="shared" si="8"/>
        <v>6003373.6401461009</v>
      </c>
      <c r="U79" s="23">
        <f t="shared" ca="1" si="9"/>
        <v>4.2802853405110967E-2</v>
      </c>
    </row>
    <row r="80" spans="1:21" ht="15">
      <c r="A80" s="22">
        <f>'Monthly Data'!A80</f>
        <v>42186</v>
      </c>
      <c r="B80" s="6">
        <f t="shared" si="7"/>
        <v>2015</v>
      </c>
      <c r="C80" s="20">
        <f ca="1">'Monthly Data'!K80</f>
        <v>6509905.9223975558</v>
      </c>
      <c r="D80" s="6">
        <f>'Monthly Data'!AH80</f>
        <v>1.9</v>
      </c>
      <c r="E80" s="6">
        <f>'Monthly Data'!AI80</f>
        <v>152.89999999999998</v>
      </c>
      <c r="F80" s="6">
        <f>'Monthly Data'!AK80</f>
        <v>164.8</v>
      </c>
      <c r="G80" s="6">
        <f>'Monthly Data'!AM80</f>
        <v>31</v>
      </c>
      <c r="H80" s="6">
        <f>'Monthly Data'!BD80</f>
        <v>0</v>
      </c>
      <c r="I80" s="6">
        <f>'Monthly Data'!AR80</f>
        <v>0</v>
      </c>
      <c r="J80" s="6">
        <f>'Monthly Data'!BA80</f>
        <v>0</v>
      </c>
      <c r="L80" s="20">
        <f>'GS &lt; 50 OLS model'!$P$5</f>
        <v>-1417234.7577365099</v>
      </c>
      <c r="M80" s="20">
        <f>'GS &lt; 50 OLS model'!$P$6*D80</f>
        <v>1958.278095617866</v>
      </c>
      <c r="N80" s="20">
        <f>'GS &lt; 50 OLS model'!$P$7*E80</f>
        <v>1171277.0082423608</v>
      </c>
      <c r="O80" s="20">
        <f>'GS &lt; 50 OLS model'!$P$8*F80</f>
        <v>2279516.9012876577</v>
      </c>
      <c r="P80" s="20">
        <f>'GS &lt; 50 OLS model'!$P$9*G80</f>
        <v>4602121.0987273967</v>
      </c>
      <c r="Q80" s="20">
        <f>'GS &lt; 50 OLS model'!$P$10*H80</f>
        <v>0</v>
      </c>
      <c r="R80" s="20">
        <f>'GS &lt; 50 OLS model'!$P$11*I80</f>
        <v>0</v>
      </c>
      <c r="S80" s="20">
        <f>'GS &lt; 50 OLS model'!$P$12*J80</f>
        <v>0</v>
      </c>
      <c r="T80" s="20">
        <f t="shared" si="8"/>
        <v>6637638.5286165234</v>
      </c>
      <c r="U80" s="23">
        <f t="shared" ca="1" si="9"/>
        <v>1.9621267609951035E-2</v>
      </c>
    </row>
    <row r="81" spans="1:21" ht="15">
      <c r="A81" s="22">
        <f>'Monthly Data'!A81</f>
        <v>42217</v>
      </c>
      <c r="B81" s="6">
        <f t="shared" si="7"/>
        <v>2015</v>
      </c>
      <c r="C81" s="20">
        <f ca="1">'Monthly Data'!K81</f>
        <v>6562142.499803775</v>
      </c>
      <c r="D81" s="6">
        <f>'Monthly Data'!AH81</f>
        <v>3.2</v>
      </c>
      <c r="E81" s="6">
        <f>'Monthly Data'!AI81</f>
        <v>138.69999999999999</v>
      </c>
      <c r="F81" s="6">
        <f>'Monthly Data'!AK81</f>
        <v>160.80000000000001</v>
      </c>
      <c r="G81" s="6">
        <f>'Monthly Data'!AM81</f>
        <v>31</v>
      </c>
      <c r="H81" s="6">
        <f>'Monthly Data'!BD81</f>
        <v>0</v>
      </c>
      <c r="I81" s="6">
        <f>'Monthly Data'!AR81</f>
        <v>0</v>
      </c>
      <c r="J81" s="6">
        <f>'Monthly Data'!BA81</f>
        <v>0</v>
      </c>
      <c r="L81" s="20">
        <f>'GS &lt; 50 OLS model'!$P$5</f>
        <v>-1417234.7577365099</v>
      </c>
      <c r="M81" s="20">
        <f>'GS &lt; 50 OLS model'!$P$6*D81</f>
        <v>3298.1525820932484</v>
      </c>
      <c r="N81" s="20">
        <f>'GS &lt; 50 OLS model'!$P$7*E81</f>
        <v>1062499.1565939533</v>
      </c>
      <c r="O81" s="20">
        <f>'GS &lt; 50 OLS model'!$P$8*F81</f>
        <v>2224188.8211593162</v>
      </c>
      <c r="P81" s="20">
        <f>'GS &lt; 50 OLS model'!$P$9*G81</f>
        <v>4602121.0987273967</v>
      </c>
      <c r="Q81" s="20">
        <f>'GS &lt; 50 OLS model'!$P$10*H81</f>
        <v>0</v>
      </c>
      <c r="R81" s="20">
        <f>'GS &lt; 50 OLS model'!$P$11*I81</f>
        <v>0</v>
      </c>
      <c r="S81" s="20">
        <f>'GS &lt; 50 OLS model'!$P$12*J81</f>
        <v>0</v>
      </c>
      <c r="T81" s="20">
        <f t="shared" si="8"/>
        <v>6474872.4713262497</v>
      </c>
      <c r="U81" s="23">
        <f t="shared" ca="1" si="9"/>
        <v>1.3299014533764687E-2</v>
      </c>
    </row>
    <row r="82" spans="1:21" ht="15">
      <c r="A82" s="22">
        <f>'Monthly Data'!A82</f>
        <v>42248</v>
      </c>
      <c r="B82" s="6">
        <f t="shared" si="7"/>
        <v>2015</v>
      </c>
      <c r="C82" s="20">
        <f ca="1">'Monthly Data'!K82</f>
        <v>5923003.162959775</v>
      </c>
      <c r="D82" s="6">
        <f>'Monthly Data'!AH82</f>
        <v>10.8</v>
      </c>
      <c r="E82" s="6">
        <f>'Monthly Data'!AI82</f>
        <v>109.19999999999997</v>
      </c>
      <c r="F82" s="6">
        <f>'Monthly Data'!AK82</f>
        <v>156.69999999999999</v>
      </c>
      <c r="G82" s="6">
        <f>'Monthly Data'!AM82</f>
        <v>30</v>
      </c>
      <c r="H82" s="6">
        <f>'Monthly Data'!BD82</f>
        <v>0</v>
      </c>
      <c r="I82" s="6">
        <f>'Monthly Data'!AR82</f>
        <v>0</v>
      </c>
      <c r="J82" s="6">
        <f>'Monthly Data'!BA82</f>
        <v>0</v>
      </c>
      <c r="L82" s="20">
        <f>'GS &lt; 50 OLS model'!$P$5</f>
        <v>-1417234.7577365099</v>
      </c>
      <c r="M82" s="20">
        <f>'GS &lt; 50 OLS model'!$P$6*D82</f>
        <v>11131.264964564714</v>
      </c>
      <c r="N82" s="20">
        <f>'GS &lt; 50 OLS model'!$P$7*E82</f>
        <v>836517.00000043027</v>
      </c>
      <c r="O82" s="20">
        <f>'GS &lt; 50 OLS model'!$P$8*F82</f>
        <v>2167477.5390277663</v>
      </c>
      <c r="P82" s="20">
        <f>'GS &lt; 50 OLS model'!$P$9*G82</f>
        <v>4453665.5794136096</v>
      </c>
      <c r="Q82" s="20">
        <f>'GS &lt; 50 OLS model'!$P$10*H82</f>
        <v>0</v>
      </c>
      <c r="R82" s="20">
        <f>'GS &lt; 50 OLS model'!$P$11*I82</f>
        <v>0</v>
      </c>
      <c r="S82" s="20">
        <f>'GS &lt; 50 OLS model'!$P$12*J82</f>
        <v>0</v>
      </c>
      <c r="T82" s="20">
        <f t="shared" si="8"/>
        <v>6051556.6256698612</v>
      </c>
      <c r="U82" s="23">
        <f t="shared" ca="1" si="9"/>
        <v>2.1704101647963159E-2</v>
      </c>
    </row>
    <row r="83" spans="1:21" ht="15">
      <c r="A83" s="22">
        <f>'Monthly Data'!A83</f>
        <v>42278</v>
      </c>
      <c r="B83" s="6">
        <f t="shared" si="7"/>
        <v>2015</v>
      </c>
      <c r="C83" s="20">
        <f ca="1">'Monthly Data'!K83</f>
        <v>5319208.2404462555</v>
      </c>
      <c r="D83" s="6">
        <f>'Monthly Data'!AH83</f>
        <v>157.80000000000001</v>
      </c>
      <c r="E83" s="6">
        <f>'Monthly Data'!AI83</f>
        <v>2.6</v>
      </c>
      <c r="F83" s="6">
        <f>'Monthly Data'!AK83</f>
        <v>155.1</v>
      </c>
      <c r="G83" s="6">
        <f>'Monthly Data'!AM83</f>
        <v>31</v>
      </c>
      <c r="H83" s="6">
        <f>'Monthly Data'!BD83</f>
        <v>1</v>
      </c>
      <c r="I83" s="6">
        <f>'Monthly Data'!AR83</f>
        <v>0</v>
      </c>
      <c r="J83" s="6">
        <f>'Monthly Data'!BA83</f>
        <v>0</v>
      </c>
      <c r="L83" s="20">
        <f>'GS &lt; 50 OLS model'!$P$5</f>
        <v>-1417234.7577365099</v>
      </c>
      <c r="M83" s="20">
        <f>'GS &lt; 50 OLS model'!$P$6*D83</f>
        <v>162640.1492044733</v>
      </c>
      <c r="N83" s="20">
        <f>'GS &lt; 50 OLS model'!$P$7*E83</f>
        <v>19917.071428581679</v>
      </c>
      <c r="O83" s="20">
        <f>'GS &lt; 50 OLS model'!$P$8*F83</f>
        <v>2145346.3069764301</v>
      </c>
      <c r="P83" s="20">
        <f>'GS &lt; 50 OLS model'!$P$9*G83</f>
        <v>4602121.0987273967</v>
      </c>
      <c r="Q83" s="20">
        <f>'GS &lt; 50 OLS model'!$P$10*H83</f>
        <v>-268276.91027030803</v>
      </c>
      <c r="R83" s="20">
        <f>'GS &lt; 50 OLS model'!$P$11*I83</f>
        <v>0</v>
      </c>
      <c r="S83" s="20">
        <f>'GS &lt; 50 OLS model'!$P$12*J83</f>
        <v>0</v>
      </c>
      <c r="T83" s="20">
        <f t="shared" si="8"/>
        <v>5244512.9583300641</v>
      </c>
      <c r="U83" s="23">
        <f t="shared" ca="1" si="9"/>
        <v>1.4042556474518639E-2</v>
      </c>
    </row>
    <row r="84" spans="1:21" ht="15">
      <c r="A84" s="22">
        <f>'Monthly Data'!A84</f>
        <v>42309</v>
      </c>
      <c r="B84" s="6">
        <f t="shared" si="7"/>
        <v>2015</v>
      </c>
      <c r="C84" s="20">
        <f ca="1">'Monthly Data'!K84</f>
        <v>5143230.8555141054</v>
      </c>
      <c r="D84" s="6">
        <f>'Monthly Data'!AH84</f>
        <v>286.60000000000002</v>
      </c>
      <c r="E84" s="6">
        <f>'Monthly Data'!AI84</f>
        <v>0.5</v>
      </c>
      <c r="F84" s="6">
        <f>'Monthly Data'!AK84</f>
        <v>155.19999999999999</v>
      </c>
      <c r="G84" s="6">
        <f>'Monthly Data'!AM84</f>
        <v>30</v>
      </c>
      <c r="H84" s="6">
        <f>'Monthly Data'!BD84</f>
        <v>1</v>
      </c>
      <c r="I84" s="6">
        <f>'Monthly Data'!AR84</f>
        <v>0</v>
      </c>
      <c r="J84" s="6">
        <f>'Monthly Data'!BA84</f>
        <v>0</v>
      </c>
      <c r="L84" s="20">
        <f>'GS &lt; 50 OLS model'!$P$5</f>
        <v>-1417234.7577365099</v>
      </c>
      <c r="M84" s="20">
        <f>'GS &lt; 50 OLS model'!$P$6*D84</f>
        <v>295390.79063372657</v>
      </c>
      <c r="N84" s="20">
        <f>'GS &lt; 50 OLS model'!$P$7*E84</f>
        <v>3830.206043958015</v>
      </c>
      <c r="O84" s="20">
        <f>'GS &lt; 50 OLS model'!$P$8*F84</f>
        <v>2146729.5089796386</v>
      </c>
      <c r="P84" s="20">
        <f>'GS &lt; 50 OLS model'!$P$9*G84</f>
        <v>4453665.5794136096</v>
      </c>
      <c r="Q84" s="20">
        <f>'GS &lt; 50 OLS model'!$P$10*H84</f>
        <v>-268276.91027030803</v>
      </c>
      <c r="R84" s="20">
        <f>'GS &lt; 50 OLS model'!$P$11*I84</f>
        <v>0</v>
      </c>
      <c r="S84" s="20">
        <f>'GS &lt; 50 OLS model'!$P$12*J84</f>
        <v>0</v>
      </c>
      <c r="T84" s="20">
        <f t="shared" si="8"/>
        <v>5214104.4170641145</v>
      </c>
      <c r="U84" s="23">
        <f t="shared" ca="1" si="9"/>
        <v>1.37799689613436E-2</v>
      </c>
    </row>
    <row r="85" spans="1:21" ht="15">
      <c r="A85" s="22">
        <f>'Monthly Data'!A85</f>
        <v>42339</v>
      </c>
      <c r="B85" s="6">
        <f t="shared" si="7"/>
        <v>2015</v>
      </c>
      <c r="C85" s="20">
        <f ca="1">'Monthly Data'!K85</f>
        <v>5382460.9427639553</v>
      </c>
      <c r="D85" s="6">
        <f>'Monthly Data'!AH85</f>
        <v>392.2</v>
      </c>
      <c r="E85" s="6">
        <f>'Monthly Data'!AI85</f>
        <v>0</v>
      </c>
      <c r="F85" s="6">
        <f>'Monthly Data'!AK85</f>
        <v>155.19999999999999</v>
      </c>
      <c r="G85" s="6">
        <f>'Monthly Data'!AM85</f>
        <v>31</v>
      </c>
      <c r="H85" s="6">
        <f>'Monthly Data'!BD85</f>
        <v>0</v>
      </c>
      <c r="I85" s="6">
        <f>'Monthly Data'!AR85</f>
        <v>0</v>
      </c>
      <c r="J85" s="6">
        <f>'Monthly Data'!BA85</f>
        <v>1</v>
      </c>
      <c r="L85" s="20">
        <f>'GS &lt; 50 OLS model'!$P$5</f>
        <v>-1417234.7577365099</v>
      </c>
      <c r="M85" s="20">
        <f>'GS &lt; 50 OLS model'!$P$6*D85</f>
        <v>404229.82584280369</v>
      </c>
      <c r="N85" s="20">
        <f>'GS &lt; 50 OLS model'!$P$7*E85</f>
        <v>0</v>
      </c>
      <c r="O85" s="20">
        <f>'GS &lt; 50 OLS model'!$P$8*F85</f>
        <v>2146729.5089796386</v>
      </c>
      <c r="P85" s="20">
        <f>'GS &lt; 50 OLS model'!$P$9*G85</f>
        <v>4602121.0987273967</v>
      </c>
      <c r="Q85" s="20">
        <f>'GS &lt; 50 OLS model'!$P$10*H85</f>
        <v>0</v>
      </c>
      <c r="R85" s="20">
        <f>'GS &lt; 50 OLS model'!$P$11*I85</f>
        <v>0</v>
      </c>
      <c r="S85" s="20">
        <f>'GS &lt; 50 OLS model'!$P$12*J85</f>
        <v>-202556.65738747199</v>
      </c>
      <c r="T85" s="20">
        <f t="shared" si="8"/>
        <v>5533289.0184258567</v>
      </c>
      <c r="U85" s="23">
        <f t="shared" ca="1" si="9"/>
        <v>2.8022140293404423E-2</v>
      </c>
    </row>
    <row r="86" spans="1:21" ht="15">
      <c r="A86" s="22">
        <f>'Monthly Data'!A86</f>
        <v>42370</v>
      </c>
      <c r="B86" s="6">
        <f t="shared" si="7"/>
        <v>2016</v>
      </c>
      <c r="C86" s="20">
        <f ca="1">'Monthly Data'!K86</f>
        <v>5905404.868295663</v>
      </c>
      <c r="D86" s="6">
        <f>'Monthly Data'!AH86</f>
        <v>618.5</v>
      </c>
      <c r="E86" s="6">
        <f>'Monthly Data'!AI86</f>
        <v>0</v>
      </c>
      <c r="F86" s="6">
        <f>'Monthly Data'!AK86</f>
        <v>155</v>
      </c>
      <c r="G86" s="6">
        <f>'Monthly Data'!AM86</f>
        <v>31</v>
      </c>
      <c r="H86" s="6">
        <f>'Monthly Data'!BD86</f>
        <v>0</v>
      </c>
      <c r="I86" s="6">
        <f>'Monthly Data'!AR86</f>
        <v>0</v>
      </c>
      <c r="J86" s="6">
        <f>'Monthly Data'!BA86</f>
        <v>0</v>
      </c>
      <c r="L86" s="20">
        <f>'GS &lt; 50 OLS model'!$P$5</f>
        <v>-1417234.7577365099</v>
      </c>
      <c r="M86" s="20">
        <f>'GS &lt; 50 OLS model'!$P$6*D86</f>
        <v>637471.05375771062</v>
      </c>
      <c r="N86" s="20">
        <f>'GS &lt; 50 OLS model'!$P$7*E86</f>
        <v>0</v>
      </c>
      <c r="O86" s="20">
        <f>'GS &lt; 50 OLS model'!$P$8*F86</f>
        <v>2143963.1049732217</v>
      </c>
      <c r="P86" s="20">
        <f>'GS &lt; 50 OLS model'!$P$9*G86</f>
        <v>4602121.0987273967</v>
      </c>
      <c r="Q86" s="20">
        <f>'GS &lt; 50 OLS model'!$P$10*H86</f>
        <v>0</v>
      </c>
      <c r="R86" s="20">
        <f>'GS &lt; 50 OLS model'!$P$11*I86</f>
        <v>0</v>
      </c>
      <c r="S86" s="20">
        <f>'GS &lt; 50 OLS model'!$P$12*J86</f>
        <v>0</v>
      </c>
      <c r="T86" s="20">
        <f t="shared" ref="T86:T97" si="10">SUM(L86:S86)</f>
        <v>5966320.4997218195</v>
      </c>
      <c r="U86" s="23">
        <f t="shared" ref="U86:U97" ca="1" si="11">ABS(T86-C86)/C86</f>
        <v>1.0315233719739378E-2</v>
      </c>
    </row>
    <row r="87" spans="1:21" ht="15">
      <c r="A87" s="22">
        <f>'Monthly Data'!A87</f>
        <v>42401</v>
      </c>
      <c r="B87" s="6">
        <f t="shared" si="7"/>
        <v>2016</v>
      </c>
      <c r="C87" s="20">
        <f ca="1">'Monthly Data'!K87</f>
        <v>5580361.4202029929</v>
      </c>
      <c r="D87" s="6">
        <f>'Monthly Data'!AH87</f>
        <v>510.5</v>
      </c>
      <c r="E87" s="6">
        <f>'Monthly Data'!AI87</f>
        <v>0</v>
      </c>
      <c r="F87" s="6">
        <f>'Monthly Data'!AK87</f>
        <v>156</v>
      </c>
      <c r="G87" s="6">
        <f>'Monthly Data'!AM87</f>
        <v>29</v>
      </c>
      <c r="H87" s="6">
        <f>'Monthly Data'!BD87</f>
        <v>0</v>
      </c>
      <c r="I87" s="6">
        <f>'Monthly Data'!AR87</f>
        <v>0</v>
      </c>
      <c r="J87" s="6">
        <f>'Monthly Data'!BA87</f>
        <v>0</v>
      </c>
      <c r="L87" s="20">
        <f>'GS &lt; 50 OLS model'!$P$5</f>
        <v>-1417234.7577365099</v>
      </c>
      <c r="M87" s="20">
        <f>'GS &lt; 50 OLS model'!$P$6*D87</f>
        <v>526158.40411206346</v>
      </c>
      <c r="N87" s="20">
        <f>'GS &lt; 50 OLS model'!$P$7*E87</f>
        <v>0</v>
      </c>
      <c r="O87" s="20">
        <f>'GS &lt; 50 OLS model'!$P$8*F87</f>
        <v>2157795.1250053067</v>
      </c>
      <c r="P87" s="20">
        <f>'GS &lt; 50 OLS model'!$P$9*G87</f>
        <v>4305210.0600998225</v>
      </c>
      <c r="Q87" s="20">
        <f>'GS &lt; 50 OLS model'!$P$10*H87</f>
        <v>0</v>
      </c>
      <c r="R87" s="20">
        <f>'GS &lt; 50 OLS model'!$P$11*I87</f>
        <v>0</v>
      </c>
      <c r="S87" s="20">
        <f>'GS &lt; 50 OLS model'!$P$12*J87</f>
        <v>0</v>
      </c>
      <c r="T87" s="20">
        <f t="shared" si="10"/>
        <v>5571928.8314806828</v>
      </c>
      <c r="U87" s="23">
        <f t="shared" ca="1" si="11"/>
        <v>1.5111187407648738E-3</v>
      </c>
    </row>
    <row r="88" spans="1:21" ht="15">
      <c r="A88" s="22">
        <f>'Monthly Data'!A88</f>
        <v>42430</v>
      </c>
      <c r="B88" s="6">
        <f t="shared" si="7"/>
        <v>2016</v>
      </c>
      <c r="C88" s="20">
        <f ca="1">'Monthly Data'!K88</f>
        <v>5600144.3847357929</v>
      </c>
      <c r="D88" s="6">
        <f>'Monthly Data'!AH88</f>
        <v>350.9</v>
      </c>
      <c r="E88" s="6">
        <f>'Monthly Data'!AI88</f>
        <v>0</v>
      </c>
      <c r="F88" s="6">
        <f>'Monthly Data'!AK88</f>
        <v>156.80000000000001</v>
      </c>
      <c r="G88" s="6">
        <f>'Monthly Data'!AM88</f>
        <v>31</v>
      </c>
      <c r="H88" s="6">
        <f>'Monthly Data'!BD88</f>
        <v>1</v>
      </c>
      <c r="I88" s="6">
        <f>'Monthly Data'!AR88</f>
        <v>1</v>
      </c>
      <c r="J88" s="6">
        <f>'Monthly Data'!BA88</f>
        <v>0</v>
      </c>
      <c r="L88" s="20">
        <f>'GS &lt; 50 OLS model'!$P$5</f>
        <v>-1417234.7577365099</v>
      </c>
      <c r="M88" s="20">
        <f>'GS &lt; 50 OLS model'!$P$6*D88</f>
        <v>361663.04408016271</v>
      </c>
      <c r="N88" s="20">
        <f>'GS &lt; 50 OLS model'!$P$7*E88</f>
        <v>0</v>
      </c>
      <c r="O88" s="20">
        <f>'GS &lt; 50 OLS model'!$P$8*F88</f>
        <v>2168860.7410309752</v>
      </c>
      <c r="P88" s="20">
        <f>'GS &lt; 50 OLS model'!$P$9*G88</f>
        <v>4602121.0987273967</v>
      </c>
      <c r="Q88" s="20">
        <f>'GS &lt; 50 OLS model'!$P$10*H88</f>
        <v>-268276.91027030803</v>
      </c>
      <c r="R88" s="20">
        <f>'GS &lt; 50 OLS model'!$P$11*I88</f>
        <v>188882.52120843399</v>
      </c>
      <c r="S88" s="20">
        <f>'GS &lt; 50 OLS model'!$P$12*J88</f>
        <v>0</v>
      </c>
      <c r="T88" s="20">
        <f t="shared" si="10"/>
        <v>5636015.7370401509</v>
      </c>
      <c r="U88" s="23">
        <f t="shared" ca="1" si="11"/>
        <v>6.4054334745603878E-3</v>
      </c>
    </row>
    <row r="89" spans="1:21" ht="15">
      <c r="A89" s="22">
        <f>'Monthly Data'!A89</f>
        <v>42461</v>
      </c>
      <c r="B89" s="6">
        <f t="shared" si="7"/>
        <v>2016</v>
      </c>
      <c r="C89" s="20">
        <f ca="1">'Monthly Data'!K89</f>
        <v>5299935.1901814425</v>
      </c>
      <c r="D89" s="6">
        <f>'Monthly Data'!AH89</f>
        <v>315.20000000000005</v>
      </c>
      <c r="E89" s="6">
        <f>'Monthly Data'!AI89</f>
        <v>0</v>
      </c>
      <c r="F89" s="6">
        <f>'Monthly Data'!AK89</f>
        <v>159.30000000000001</v>
      </c>
      <c r="G89" s="6">
        <f>'Monthly Data'!AM89</f>
        <v>30</v>
      </c>
      <c r="H89" s="6">
        <f>'Monthly Data'!BD89</f>
        <v>1</v>
      </c>
      <c r="I89" s="6">
        <f>'Monthly Data'!AR89</f>
        <v>0</v>
      </c>
      <c r="J89" s="6">
        <f>'Monthly Data'!BA89</f>
        <v>0</v>
      </c>
      <c r="L89" s="20">
        <f>'GS &lt; 50 OLS model'!$P$5</f>
        <v>-1417234.7577365099</v>
      </c>
      <c r="M89" s="20">
        <f>'GS &lt; 50 OLS model'!$P$6*D89</f>
        <v>324868.02933618502</v>
      </c>
      <c r="N89" s="20">
        <f>'GS &lt; 50 OLS model'!$P$7*E89</f>
        <v>0</v>
      </c>
      <c r="O89" s="20">
        <f>'GS &lt; 50 OLS model'!$P$8*F89</f>
        <v>2203440.7911111885</v>
      </c>
      <c r="P89" s="20">
        <f>'GS &lt; 50 OLS model'!$P$9*G89</f>
        <v>4453665.5794136096</v>
      </c>
      <c r="Q89" s="20">
        <f>'GS &lt; 50 OLS model'!$P$10*H89</f>
        <v>-268276.91027030803</v>
      </c>
      <c r="R89" s="20">
        <f>'GS &lt; 50 OLS model'!$P$11*I89</f>
        <v>0</v>
      </c>
      <c r="S89" s="20">
        <f>'GS &lt; 50 OLS model'!$P$12*J89</f>
        <v>0</v>
      </c>
      <c r="T89" s="20">
        <f t="shared" si="10"/>
        <v>5296462.731854165</v>
      </c>
      <c r="U89" s="23">
        <f t="shared" ca="1" si="11"/>
        <v>6.5518882829182002E-4</v>
      </c>
    </row>
    <row r="90" spans="1:21" ht="15">
      <c r="A90" s="22">
        <f>'Monthly Data'!A90</f>
        <v>42491</v>
      </c>
      <c r="B90" s="6">
        <f t="shared" si="7"/>
        <v>2016</v>
      </c>
      <c r="C90" s="20">
        <f ca="1">'Monthly Data'!K90</f>
        <v>5725044.7124987924</v>
      </c>
      <c r="D90" s="6">
        <f>'Monthly Data'!AH90</f>
        <v>110.9</v>
      </c>
      <c r="E90" s="6">
        <f>'Monthly Data'!AI90</f>
        <v>47</v>
      </c>
      <c r="F90" s="6">
        <f>'Monthly Data'!AK90</f>
        <v>162.1</v>
      </c>
      <c r="G90" s="6">
        <f>'Monthly Data'!AM90</f>
        <v>31</v>
      </c>
      <c r="H90" s="6">
        <f>'Monthly Data'!BD90</f>
        <v>1</v>
      </c>
      <c r="I90" s="6">
        <f>'Monthly Data'!AR90</f>
        <v>0</v>
      </c>
      <c r="J90" s="6">
        <f>'Monthly Data'!BA90</f>
        <v>0</v>
      </c>
      <c r="L90" s="20">
        <f>'GS &lt; 50 OLS model'!$P$5</f>
        <v>-1417234.7577365099</v>
      </c>
      <c r="M90" s="20">
        <f>'GS &lt; 50 OLS model'!$P$6*D90</f>
        <v>114301.60042316913</v>
      </c>
      <c r="N90" s="20">
        <f>'GS &lt; 50 OLS model'!$P$7*E90</f>
        <v>360039.36813205341</v>
      </c>
      <c r="O90" s="20">
        <f>'GS &lt; 50 OLS model'!$P$8*F90</f>
        <v>2242170.4472010271</v>
      </c>
      <c r="P90" s="20">
        <f>'GS &lt; 50 OLS model'!$P$9*G90</f>
        <v>4602121.0987273967</v>
      </c>
      <c r="Q90" s="20">
        <f>'GS &lt; 50 OLS model'!$P$10*H90</f>
        <v>-268276.91027030803</v>
      </c>
      <c r="R90" s="20">
        <f>'GS &lt; 50 OLS model'!$P$11*I90</f>
        <v>0</v>
      </c>
      <c r="S90" s="20">
        <f>'GS &lt; 50 OLS model'!$P$12*J90</f>
        <v>0</v>
      </c>
      <c r="T90" s="20">
        <f t="shared" si="10"/>
        <v>5633120.8464768277</v>
      </c>
      <c r="U90" s="23">
        <f t="shared" ca="1" si="11"/>
        <v>1.605644508265211E-2</v>
      </c>
    </row>
    <row r="91" spans="1:21" ht="15">
      <c r="A91" s="22">
        <f>'Monthly Data'!A91</f>
        <v>42522</v>
      </c>
      <c r="B91" s="6">
        <f t="shared" si="7"/>
        <v>2016</v>
      </c>
      <c r="C91" s="20">
        <f ca="1">'Monthly Data'!K91</f>
        <v>6274571.4465554031</v>
      </c>
      <c r="D91" s="6">
        <f>'Monthly Data'!AH91</f>
        <v>5.6</v>
      </c>
      <c r="E91" s="6">
        <f>'Monthly Data'!AI91</f>
        <v>127.2</v>
      </c>
      <c r="F91" s="6">
        <f>'Monthly Data'!AK91</f>
        <v>166.7</v>
      </c>
      <c r="G91" s="6">
        <f>'Monthly Data'!AM91</f>
        <v>30</v>
      </c>
      <c r="H91" s="6">
        <f>'Monthly Data'!BD91</f>
        <v>0</v>
      </c>
      <c r="I91" s="6">
        <f>'Monthly Data'!AR91</f>
        <v>0</v>
      </c>
      <c r="J91" s="6">
        <f>'Monthly Data'!BA91</f>
        <v>0</v>
      </c>
      <c r="L91" s="20">
        <f>'GS &lt; 50 OLS model'!$P$5</f>
        <v>-1417234.7577365099</v>
      </c>
      <c r="M91" s="20">
        <f>'GS &lt; 50 OLS model'!$P$6*D91</f>
        <v>5771.767018663184</v>
      </c>
      <c r="N91" s="20">
        <f>'GS &lt; 50 OLS model'!$P$7*E91</f>
        <v>974404.41758291901</v>
      </c>
      <c r="O91" s="20">
        <f>'GS &lt; 50 OLS model'!$P$8*F91</f>
        <v>2305797.7393486192</v>
      </c>
      <c r="P91" s="20">
        <f>'GS &lt; 50 OLS model'!$P$9*G91</f>
        <v>4453665.5794136096</v>
      </c>
      <c r="Q91" s="20">
        <f>'GS &lt; 50 OLS model'!$P$10*H91</f>
        <v>0</v>
      </c>
      <c r="R91" s="20">
        <f>'GS &lt; 50 OLS model'!$P$11*I91</f>
        <v>0</v>
      </c>
      <c r="S91" s="20">
        <f>'GS &lt; 50 OLS model'!$P$12*J91</f>
        <v>0</v>
      </c>
      <c r="T91" s="20">
        <f t="shared" si="10"/>
        <v>6322404.7456273008</v>
      </c>
      <c r="U91" s="23">
        <f t="shared" ca="1" si="11"/>
        <v>7.6233571454759905E-3</v>
      </c>
    </row>
    <row r="92" spans="1:21" ht="15">
      <c r="A92" s="22">
        <f>'Monthly Data'!A92</f>
        <v>42552</v>
      </c>
      <c r="B92" s="6">
        <f t="shared" si="7"/>
        <v>2016</v>
      </c>
      <c r="C92" s="20">
        <f ca="1">'Monthly Data'!K92</f>
        <v>7190951.1979749231</v>
      </c>
      <c r="D92" s="6">
        <f>'Monthly Data'!AH92</f>
        <v>0</v>
      </c>
      <c r="E92" s="6">
        <f>'Monthly Data'!AI92</f>
        <v>213.1</v>
      </c>
      <c r="F92" s="6">
        <f>'Monthly Data'!AK92</f>
        <v>169.9</v>
      </c>
      <c r="G92" s="6">
        <f>'Monthly Data'!AM92</f>
        <v>31</v>
      </c>
      <c r="H92" s="6">
        <f>'Monthly Data'!BD92</f>
        <v>0</v>
      </c>
      <c r="I92" s="6">
        <f>'Monthly Data'!AR92</f>
        <v>0</v>
      </c>
      <c r="J92" s="6">
        <f>'Monthly Data'!BA92</f>
        <v>0</v>
      </c>
      <c r="L92" s="20">
        <f>'GS &lt; 50 OLS model'!$P$5</f>
        <v>-1417234.7577365099</v>
      </c>
      <c r="M92" s="20">
        <f>'GS &lt; 50 OLS model'!$P$6*D92</f>
        <v>0</v>
      </c>
      <c r="N92" s="20">
        <f>'GS &lt; 50 OLS model'!$P$7*E92</f>
        <v>1632433.815934906</v>
      </c>
      <c r="O92" s="20">
        <f>'GS &lt; 50 OLS model'!$P$8*F92</f>
        <v>2350060.2034512926</v>
      </c>
      <c r="P92" s="20">
        <f>'GS &lt; 50 OLS model'!$P$9*G92</f>
        <v>4602121.0987273967</v>
      </c>
      <c r="Q92" s="20">
        <f>'GS &lt; 50 OLS model'!$P$10*H92</f>
        <v>0</v>
      </c>
      <c r="R92" s="20">
        <f>'GS &lt; 50 OLS model'!$P$11*I92</f>
        <v>0</v>
      </c>
      <c r="S92" s="20">
        <f>'GS &lt; 50 OLS model'!$P$12*J92</f>
        <v>0</v>
      </c>
      <c r="T92" s="20">
        <f t="shared" si="10"/>
        <v>7167380.3603770854</v>
      </c>
      <c r="U92" s="23">
        <f t="shared" ca="1" si="11"/>
        <v>3.2778469702972762E-3</v>
      </c>
    </row>
    <row r="93" spans="1:21" ht="15">
      <c r="A93" s="22">
        <f>'Monthly Data'!A93</f>
        <v>42583</v>
      </c>
      <c r="B93" s="6">
        <f t="shared" si="7"/>
        <v>2016</v>
      </c>
      <c r="C93" s="20">
        <f ca="1">'Monthly Data'!K93</f>
        <v>7201848.0708680535</v>
      </c>
      <c r="D93" s="6">
        <f>'Monthly Data'!AH93</f>
        <v>0</v>
      </c>
      <c r="E93" s="6">
        <f>'Monthly Data'!AI93</f>
        <v>219</v>
      </c>
      <c r="F93" s="6">
        <f>'Monthly Data'!AK93</f>
        <v>171.7</v>
      </c>
      <c r="G93" s="6">
        <f>'Monthly Data'!AM93</f>
        <v>31</v>
      </c>
      <c r="H93" s="6">
        <f>'Monthly Data'!BD93</f>
        <v>0</v>
      </c>
      <c r="I93" s="6">
        <f>'Monthly Data'!AR93</f>
        <v>0</v>
      </c>
      <c r="J93" s="6">
        <f>'Monthly Data'!BA93</f>
        <v>0</v>
      </c>
      <c r="L93" s="20">
        <f>'GS &lt; 50 OLS model'!$P$5</f>
        <v>-1417234.7577365099</v>
      </c>
      <c r="M93" s="20">
        <f>'GS &lt; 50 OLS model'!$P$6*D93</f>
        <v>0</v>
      </c>
      <c r="N93" s="20">
        <f>'GS &lt; 50 OLS model'!$P$7*E93</f>
        <v>1677630.2472536105</v>
      </c>
      <c r="O93" s="20">
        <f>'GS &lt; 50 OLS model'!$P$8*F93</f>
        <v>2374957.8395090457</v>
      </c>
      <c r="P93" s="20">
        <f>'GS &lt; 50 OLS model'!$P$9*G93</f>
        <v>4602121.0987273967</v>
      </c>
      <c r="Q93" s="20">
        <f>'GS &lt; 50 OLS model'!$P$10*H93</f>
        <v>0</v>
      </c>
      <c r="R93" s="20">
        <f>'GS &lt; 50 OLS model'!$P$11*I93</f>
        <v>0</v>
      </c>
      <c r="S93" s="20">
        <f>'GS &lt; 50 OLS model'!$P$12*J93</f>
        <v>0</v>
      </c>
      <c r="T93" s="20">
        <f t="shared" si="10"/>
        <v>7237474.4277535435</v>
      </c>
      <c r="U93" s="23">
        <f t="shared" ca="1" si="11"/>
        <v>4.9468353865448718E-3</v>
      </c>
    </row>
    <row r="94" spans="1:21" ht="15">
      <c r="A94" s="22">
        <f>'Monthly Data'!A94</f>
        <v>42614</v>
      </c>
      <c r="B94" s="6">
        <f t="shared" si="7"/>
        <v>2016</v>
      </c>
      <c r="C94" s="20">
        <f ca="1">'Monthly Data'!K94</f>
        <v>6187428.4299528729</v>
      </c>
      <c r="D94" s="6">
        <f>'Monthly Data'!AH94</f>
        <v>8</v>
      </c>
      <c r="E94" s="6">
        <f>'Monthly Data'!AI94</f>
        <v>90.1</v>
      </c>
      <c r="F94" s="6">
        <f>'Monthly Data'!AK94</f>
        <v>170.5</v>
      </c>
      <c r="G94" s="6">
        <f>'Monthly Data'!AM94</f>
        <v>30</v>
      </c>
      <c r="H94" s="6">
        <f>'Monthly Data'!BD94</f>
        <v>0</v>
      </c>
      <c r="I94" s="6">
        <f>'Monthly Data'!AR94</f>
        <v>0</v>
      </c>
      <c r="J94" s="6">
        <f>'Monthly Data'!BA94</f>
        <v>0</v>
      </c>
      <c r="L94" s="20">
        <f>'GS &lt; 50 OLS model'!$P$5</f>
        <v>-1417234.7577365099</v>
      </c>
      <c r="M94" s="20">
        <f>'GS &lt; 50 OLS model'!$P$6*D94</f>
        <v>8245.3814552331205</v>
      </c>
      <c r="N94" s="20">
        <f>'GS &lt; 50 OLS model'!$P$7*E94</f>
        <v>690203.12912123429</v>
      </c>
      <c r="O94" s="20">
        <f>'GS &lt; 50 OLS model'!$P$8*F94</f>
        <v>2358359.4154705438</v>
      </c>
      <c r="P94" s="20">
        <f>'GS &lt; 50 OLS model'!$P$9*G94</f>
        <v>4453665.5794136096</v>
      </c>
      <c r="Q94" s="20">
        <f>'GS &lt; 50 OLS model'!$P$10*H94</f>
        <v>0</v>
      </c>
      <c r="R94" s="20">
        <f>'GS &lt; 50 OLS model'!$P$11*I94</f>
        <v>0</v>
      </c>
      <c r="S94" s="20">
        <f>'GS &lt; 50 OLS model'!$P$12*J94</f>
        <v>0</v>
      </c>
      <c r="T94" s="20">
        <f t="shared" si="10"/>
        <v>6093238.7477241103</v>
      </c>
      <c r="U94" s="23">
        <f t="shared" ca="1" si="11"/>
        <v>1.5222750985336255E-2</v>
      </c>
    </row>
    <row r="95" spans="1:21" ht="15">
      <c r="A95" s="22">
        <f>'Monthly Data'!A95</f>
        <v>42644</v>
      </c>
      <c r="B95" s="6">
        <f t="shared" si="7"/>
        <v>2016</v>
      </c>
      <c r="C95" s="20">
        <f ca="1">'Monthly Data'!K95</f>
        <v>5528378.5441089226</v>
      </c>
      <c r="D95" s="6">
        <f>'Monthly Data'!AH95</f>
        <v>146</v>
      </c>
      <c r="E95" s="6">
        <f>'Monthly Data'!AI95</f>
        <v>22.7</v>
      </c>
      <c r="F95" s="6">
        <f>'Monthly Data'!AK95</f>
        <v>169.2</v>
      </c>
      <c r="G95" s="6">
        <f>'Monthly Data'!AM95</f>
        <v>31</v>
      </c>
      <c r="H95" s="6">
        <f>'Monthly Data'!BD95</f>
        <v>1</v>
      </c>
      <c r="I95" s="6">
        <f>'Monthly Data'!AR95</f>
        <v>0</v>
      </c>
      <c r="J95" s="6">
        <f>'Monthly Data'!BA95</f>
        <v>0</v>
      </c>
      <c r="L95" s="20">
        <f>'GS &lt; 50 OLS model'!$P$5</f>
        <v>-1417234.7577365099</v>
      </c>
      <c r="M95" s="20">
        <f>'GS &lt; 50 OLS model'!$P$6*D95</f>
        <v>150478.21155800446</v>
      </c>
      <c r="N95" s="20">
        <f>'GS &lt; 50 OLS model'!$P$7*E95</f>
        <v>173891.35439569387</v>
      </c>
      <c r="O95" s="20">
        <f>'GS &lt; 50 OLS model'!$P$8*F95</f>
        <v>2340377.7894288325</v>
      </c>
      <c r="P95" s="20">
        <f>'GS &lt; 50 OLS model'!$P$9*G95</f>
        <v>4602121.0987273967</v>
      </c>
      <c r="Q95" s="20">
        <f>'GS &lt; 50 OLS model'!$P$10*H95</f>
        <v>-268276.91027030803</v>
      </c>
      <c r="R95" s="20">
        <f>'GS &lt; 50 OLS model'!$P$11*I95</f>
        <v>0</v>
      </c>
      <c r="S95" s="20">
        <f>'GS &lt; 50 OLS model'!$P$12*J95</f>
        <v>0</v>
      </c>
      <c r="T95" s="20">
        <f t="shared" si="10"/>
        <v>5581356.7861031098</v>
      </c>
      <c r="U95" s="23">
        <f t="shared" ca="1" si="11"/>
        <v>9.5829620876163053E-3</v>
      </c>
    </row>
    <row r="96" spans="1:21" ht="15">
      <c r="A96" s="22">
        <f>'Monthly Data'!A96</f>
        <v>42675</v>
      </c>
      <c r="B96" s="6">
        <f t="shared" si="7"/>
        <v>2016</v>
      </c>
      <c r="C96" s="20">
        <f ca="1">'Monthly Data'!K96</f>
        <v>5302153.4829599326</v>
      </c>
      <c r="D96" s="6">
        <f>'Monthly Data'!AH96</f>
        <v>290.7</v>
      </c>
      <c r="E96" s="6">
        <f>'Monthly Data'!AI96</f>
        <v>0</v>
      </c>
      <c r="F96" s="6">
        <f>'Monthly Data'!AK96</f>
        <v>165.5</v>
      </c>
      <c r="G96" s="6">
        <f>'Monthly Data'!AM96</f>
        <v>30</v>
      </c>
      <c r="H96" s="6">
        <f>'Monthly Data'!BD96</f>
        <v>1</v>
      </c>
      <c r="I96" s="6">
        <f>'Monthly Data'!AR96</f>
        <v>0</v>
      </c>
      <c r="J96" s="6">
        <f>'Monthly Data'!BA96</f>
        <v>0</v>
      </c>
      <c r="L96" s="20">
        <f>'GS &lt; 50 OLS model'!$P$5</f>
        <v>-1417234.7577365099</v>
      </c>
      <c r="M96" s="20">
        <f>'GS &lt; 50 OLS model'!$P$6*D96</f>
        <v>299616.5486295335</v>
      </c>
      <c r="N96" s="20">
        <f>'GS &lt; 50 OLS model'!$P$7*E96</f>
        <v>0</v>
      </c>
      <c r="O96" s="20">
        <f>'GS &lt; 50 OLS model'!$P$8*F96</f>
        <v>2289199.3153101173</v>
      </c>
      <c r="P96" s="20">
        <f>'GS &lt; 50 OLS model'!$P$9*G96</f>
        <v>4453665.5794136096</v>
      </c>
      <c r="Q96" s="20">
        <f>'GS &lt; 50 OLS model'!$P$10*H96</f>
        <v>-268276.91027030803</v>
      </c>
      <c r="R96" s="20">
        <f>'GS &lt; 50 OLS model'!$P$11*I96</f>
        <v>0</v>
      </c>
      <c r="S96" s="20">
        <f>'GS &lt; 50 OLS model'!$P$12*J96</f>
        <v>0</v>
      </c>
      <c r="T96" s="20">
        <f t="shared" si="10"/>
        <v>5356969.7753464421</v>
      </c>
      <c r="U96" s="23">
        <f t="shared" ca="1" si="11"/>
        <v>1.0338495964456356E-2</v>
      </c>
    </row>
    <row r="97" spans="1:21" ht="15">
      <c r="A97" s="22">
        <f>'Monthly Data'!A97</f>
        <v>42705</v>
      </c>
      <c r="B97" s="6">
        <f t="shared" si="7"/>
        <v>2016</v>
      </c>
      <c r="C97" s="20">
        <f ca="1">'Monthly Data'!K97</f>
        <v>5864439.0227300832</v>
      </c>
      <c r="D97" s="6">
        <f>'Monthly Data'!AH97</f>
        <v>581.1</v>
      </c>
      <c r="E97" s="6">
        <f>'Monthly Data'!AI97</f>
        <v>0</v>
      </c>
      <c r="F97" s="6">
        <f>'Monthly Data'!AK97</f>
        <v>162.5</v>
      </c>
      <c r="G97" s="6">
        <f>'Monthly Data'!AM97</f>
        <v>31</v>
      </c>
      <c r="H97" s="6">
        <f>'Monthly Data'!BD97</f>
        <v>0</v>
      </c>
      <c r="I97" s="6">
        <f>'Monthly Data'!AR97</f>
        <v>0</v>
      </c>
      <c r="J97" s="6">
        <f>'Monthly Data'!BA97</f>
        <v>1</v>
      </c>
      <c r="L97" s="20">
        <f>'GS &lt; 50 OLS model'!$P$5</f>
        <v>-1417234.7577365099</v>
      </c>
      <c r="M97" s="20">
        <f>'GS &lt; 50 OLS model'!$P$6*D97</f>
        <v>598923.8954544958</v>
      </c>
      <c r="N97" s="20">
        <f>'GS &lt; 50 OLS model'!$P$7*E97</f>
        <v>0</v>
      </c>
      <c r="O97" s="20">
        <f>'GS &lt; 50 OLS model'!$P$8*F97</f>
        <v>2247703.2552138614</v>
      </c>
      <c r="P97" s="20">
        <f>'GS &lt; 50 OLS model'!$P$9*G97</f>
        <v>4602121.0987273967</v>
      </c>
      <c r="Q97" s="20">
        <f>'GS &lt; 50 OLS model'!$P$10*H97</f>
        <v>0</v>
      </c>
      <c r="R97" s="20">
        <f>'GS &lt; 50 OLS model'!$P$11*I97</f>
        <v>0</v>
      </c>
      <c r="S97" s="20">
        <f>'GS &lt; 50 OLS model'!$P$12*J97</f>
        <v>-202556.65738747199</v>
      </c>
      <c r="T97" s="20">
        <f t="shared" si="10"/>
        <v>5828956.8342717728</v>
      </c>
      <c r="U97" s="23">
        <f t="shared" ca="1" si="11"/>
        <v>6.0503977142203026E-3</v>
      </c>
    </row>
    <row r="98" spans="1:21" ht="15">
      <c r="U98" s="23">
        <f ca="1">AVERAGE(U2:U97)</f>
        <v>1.6749572128511723E-2</v>
      </c>
    </row>
    <row r="100" spans="1:21">
      <c r="C100" s="121">
        <f ca="1">SUM(C2:C97)</f>
        <v>549878545.1161083</v>
      </c>
    </row>
  </sheetData>
  <pageMargins left="0.7" right="0.7" top="0.75" bottom="0.75" header="0.3" footer="0.3"/>
  <pageSetup orientation="portrait" horizontalDpi="1200" verticalDpi="12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S46"/>
  <sheetViews>
    <sheetView workbookViewId="0">
      <selection activeCell="O7" sqref="O7:S8"/>
    </sheetView>
  </sheetViews>
  <sheetFormatPr defaultColWidth="8.85546875" defaultRowHeight="12.75"/>
  <cols>
    <col min="1" max="1" width="22.5703125" style="6" customWidth="1"/>
    <col min="2" max="2" width="18.140625" style="6" bestFit="1" customWidth="1"/>
    <col min="3" max="3" width="18" style="6" bestFit="1" customWidth="1"/>
    <col min="4" max="4" width="17.7109375" style="6" customWidth="1"/>
    <col min="5" max="5" width="8.28515625" style="6" bestFit="1" customWidth="1"/>
    <col min="6" max="16384" width="8.85546875" style="6"/>
  </cols>
  <sheetData>
    <row r="1" spans="1:19">
      <c r="A1" s="6" t="s">
        <v>197</v>
      </c>
      <c r="H1" s="6" t="s">
        <v>162</v>
      </c>
      <c r="O1" s="6" t="s">
        <v>214</v>
      </c>
    </row>
    <row r="2" spans="1:19">
      <c r="A2" s="6" t="s">
        <v>160</v>
      </c>
      <c r="H2" s="6" t="s">
        <v>160</v>
      </c>
      <c r="O2" s="6" t="s">
        <v>160</v>
      </c>
    </row>
    <row r="3" spans="1:19" ht="15">
      <c r="B3" s="20"/>
    </row>
    <row r="4" spans="1:19" ht="15">
      <c r="B4" s="20" t="s">
        <v>63</v>
      </c>
      <c r="C4" s="6" t="s">
        <v>64</v>
      </c>
      <c r="D4" s="6" t="s">
        <v>65</v>
      </c>
      <c r="E4" s="6" t="s">
        <v>66</v>
      </c>
      <c r="I4" s="6" t="s">
        <v>63</v>
      </c>
      <c r="J4" s="6" t="s">
        <v>64</v>
      </c>
      <c r="K4" s="6" t="s">
        <v>65</v>
      </c>
      <c r="L4" s="6" t="s">
        <v>66</v>
      </c>
      <c r="P4" s="6" t="s">
        <v>63</v>
      </c>
      <c r="Q4" s="6" t="s">
        <v>64</v>
      </c>
      <c r="R4" s="6" t="s">
        <v>65</v>
      </c>
      <c r="S4" s="6" t="s">
        <v>66</v>
      </c>
    </row>
    <row r="5" spans="1:19" ht="15">
      <c r="A5" s="6" t="s">
        <v>67</v>
      </c>
      <c r="B5" s="20">
        <v>-11694573.8944258</v>
      </c>
      <c r="C5" s="20">
        <v>3877080.28295884</v>
      </c>
      <c r="D5" s="6">
        <v>-3.0163352422253502</v>
      </c>
      <c r="E5" s="21">
        <v>3.3740965370307801E-3</v>
      </c>
      <c r="H5" s="6" t="s">
        <v>67</v>
      </c>
      <c r="I5" s="6">
        <v>-12817553.537286799</v>
      </c>
      <c r="J5" s="6">
        <v>3968070.8236230901</v>
      </c>
      <c r="K5" s="6">
        <v>-3.2301725717646401</v>
      </c>
      <c r="L5" s="6">
        <v>1.7599276436855199E-3</v>
      </c>
      <c r="O5" s="6" t="s">
        <v>67</v>
      </c>
      <c r="P5" s="6">
        <v>-12525532.812157899</v>
      </c>
      <c r="Q5" s="6">
        <v>3950846.0691760699</v>
      </c>
      <c r="R5" s="6">
        <v>-3.1703418945831001</v>
      </c>
      <c r="S5" s="6">
        <v>2.1176440498706902E-3</v>
      </c>
    </row>
    <row r="6" spans="1:19" ht="15">
      <c r="A6" s="6" t="s">
        <v>8</v>
      </c>
      <c r="B6" s="20">
        <v>50679.484671114697</v>
      </c>
      <c r="C6" s="20">
        <v>10133.291906332501</v>
      </c>
      <c r="D6" s="6">
        <v>5.0012853808587101</v>
      </c>
      <c r="E6" s="21">
        <v>3.0266540718907501E-6</v>
      </c>
      <c r="H6" s="6" t="s">
        <v>8</v>
      </c>
      <c r="I6" s="6">
        <v>53242.073353597298</v>
      </c>
      <c r="J6" s="6">
        <v>10371.108418238</v>
      </c>
      <c r="K6" s="6">
        <v>5.1336917141825298</v>
      </c>
      <c r="L6" s="21">
        <v>1.775011481065E-6</v>
      </c>
      <c r="O6" s="6" t="s">
        <v>8</v>
      </c>
      <c r="P6" s="6">
        <v>52643.708759975998</v>
      </c>
      <c r="Q6" s="6">
        <v>10326.089111933299</v>
      </c>
      <c r="R6" s="6">
        <v>5.0981265210212596</v>
      </c>
      <c r="S6" s="21">
        <v>2.0499017721179499E-6</v>
      </c>
    </row>
    <row r="7" spans="1:19" ht="15">
      <c r="A7" s="6" t="s">
        <v>28</v>
      </c>
      <c r="B7" s="20">
        <v>2681.4755432888801</v>
      </c>
      <c r="C7" s="20">
        <v>528.55485080420397</v>
      </c>
      <c r="D7" s="6">
        <v>5.0732209518254798</v>
      </c>
      <c r="E7" s="21">
        <v>2.2667403967826401E-6</v>
      </c>
      <c r="H7" s="6" t="s">
        <v>28</v>
      </c>
      <c r="I7" s="6">
        <v>2654.6603657174401</v>
      </c>
      <c r="J7" s="6">
        <v>540.95941509891804</v>
      </c>
      <c r="K7" s="6">
        <v>4.9073189071531704</v>
      </c>
      <c r="L7" s="21">
        <v>4.4022648270983801E-6</v>
      </c>
      <c r="O7" s="6" t="s">
        <v>28</v>
      </c>
      <c r="P7" s="6">
        <v>2659.6766822054401</v>
      </c>
      <c r="Q7" s="6">
        <v>538.61119766403601</v>
      </c>
      <c r="R7" s="6">
        <v>4.9380270847328998</v>
      </c>
      <c r="S7" s="21">
        <v>3.89642496712628E-6</v>
      </c>
    </row>
    <row r="8" spans="1:19" ht="15">
      <c r="A8" s="6" t="s">
        <v>29</v>
      </c>
      <c r="B8" s="20">
        <v>14782.217955322199</v>
      </c>
      <c r="C8" s="20">
        <v>1992.4048399291501</v>
      </c>
      <c r="D8" s="6">
        <v>7.4192843036096097</v>
      </c>
      <c r="E8" s="21">
        <v>8.22534603505968E-11</v>
      </c>
      <c r="H8" s="6" t="s">
        <v>29</v>
      </c>
      <c r="I8" s="6">
        <v>14615.152492409001</v>
      </c>
      <c r="J8" s="6">
        <v>2039.1642517487201</v>
      </c>
      <c r="K8" s="6">
        <v>7.1672267105877197</v>
      </c>
      <c r="L8" s="21">
        <v>2.5996934835829498E-10</v>
      </c>
      <c r="O8" s="6" t="s">
        <v>29</v>
      </c>
      <c r="P8" s="6">
        <v>14646.125620679701</v>
      </c>
      <c r="Q8" s="6">
        <v>2030.3125691365001</v>
      </c>
      <c r="R8" s="6">
        <v>7.2137294736389999</v>
      </c>
      <c r="S8" s="21">
        <v>2.1036757734579801E-10</v>
      </c>
    </row>
    <row r="9" spans="1:19" ht="15">
      <c r="A9" s="6" t="s">
        <v>57</v>
      </c>
      <c r="B9" s="20">
        <v>83819.015433712702</v>
      </c>
      <c r="C9" s="20">
        <v>23663.677240880701</v>
      </c>
      <c r="D9" s="6">
        <v>3.5420959549308502</v>
      </c>
      <c r="E9" s="21">
        <v>6.4731750810940699E-4</v>
      </c>
      <c r="H9" s="6" t="s">
        <v>57</v>
      </c>
      <c r="I9" s="6">
        <v>87678.222512548498</v>
      </c>
      <c r="J9" s="6">
        <v>24219.036075135798</v>
      </c>
      <c r="K9" s="6">
        <v>3.6202193283225901</v>
      </c>
      <c r="L9" s="6">
        <v>4.9934017107482404E-4</v>
      </c>
      <c r="O9" s="6" t="s">
        <v>57</v>
      </c>
      <c r="P9" s="6">
        <v>86534.0610375947</v>
      </c>
      <c r="Q9" s="6">
        <v>24113.905151853302</v>
      </c>
      <c r="R9" s="6">
        <v>3.58855442503654</v>
      </c>
      <c r="S9" s="6">
        <v>5.5496941459112596E-4</v>
      </c>
    </row>
    <row r="10" spans="1:19" ht="15">
      <c r="A10" s="6" t="s">
        <v>68</v>
      </c>
      <c r="B10" s="20">
        <v>12860.4931842888</v>
      </c>
      <c r="C10" s="20">
        <v>5317.0911077342698</v>
      </c>
      <c r="D10" s="6">
        <v>2.41870844860677</v>
      </c>
      <c r="E10" s="21">
        <v>1.77099094577069E-2</v>
      </c>
      <c r="H10" s="6" t="s">
        <v>68</v>
      </c>
      <c r="I10" s="6">
        <v>13277.4768998001</v>
      </c>
      <c r="J10" s="6">
        <v>5441.8770186122101</v>
      </c>
      <c r="K10" s="6">
        <v>2.4398708119255001</v>
      </c>
      <c r="L10" s="6">
        <v>1.6770765038403499E-2</v>
      </c>
      <c r="O10" s="6" t="s">
        <v>68</v>
      </c>
      <c r="P10" s="6">
        <v>13478.2272289665</v>
      </c>
      <c r="Q10" s="6">
        <v>5418.2547095499804</v>
      </c>
      <c r="R10" s="6">
        <v>2.48755880841304</v>
      </c>
      <c r="S10" s="21">
        <v>1.4815716172966399E-2</v>
      </c>
    </row>
    <row r="11" spans="1:19" ht="15">
      <c r="A11" s="6" t="s">
        <v>49</v>
      </c>
      <c r="B11" s="20">
        <v>-797686.81375559501</v>
      </c>
      <c r="C11" s="20">
        <v>286469.949500555</v>
      </c>
      <c r="D11" s="6">
        <v>-2.7845392340324699</v>
      </c>
      <c r="E11" s="21">
        <v>6.6065137730264003E-3</v>
      </c>
      <c r="H11" s="6" t="s">
        <v>49</v>
      </c>
      <c r="I11" s="6">
        <v>-794225.86066449794</v>
      </c>
      <c r="J11" s="6">
        <v>293193.06423817901</v>
      </c>
      <c r="K11" s="6">
        <v>-2.708883522631</v>
      </c>
      <c r="L11" s="6">
        <v>8.1626631982971206E-3</v>
      </c>
      <c r="O11" s="6" t="s">
        <v>49</v>
      </c>
      <c r="P11" s="6">
        <v>-794437.04938529804</v>
      </c>
      <c r="Q11" s="6">
        <v>291920.360508446</v>
      </c>
      <c r="R11" s="6">
        <v>-2.7214170604667798</v>
      </c>
      <c r="S11" s="6">
        <v>7.8837153921733003E-3</v>
      </c>
    </row>
    <row r="12" spans="1:19" ht="15">
      <c r="A12" s="6" t="s">
        <v>37</v>
      </c>
      <c r="B12" s="20">
        <v>1257541.23571065</v>
      </c>
      <c r="C12" s="20">
        <v>297285.93122259103</v>
      </c>
      <c r="D12" s="6">
        <v>4.2300731505826699</v>
      </c>
      <c r="E12" s="21">
        <v>5.8674187382455202E-5</v>
      </c>
      <c r="H12" s="6" t="s">
        <v>37</v>
      </c>
      <c r="I12" s="6">
        <v>1251385.41443781</v>
      </c>
      <c r="J12" s="6">
        <v>304262.88440380897</v>
      </c>
      <c r="K12" s="6">
        <v>4.1128428033207296</v>
      </c>
      <c r="L12" s="21">
        <v>8.9901462429352005E-5</v>
      </c>
      <c r="O12" s="6" t="s">
        <v>37</v>
      </c>
      <c r="P12" s="6">
        <v>1253169.7974445899</v>
      </c>
      <c r="Q12" s="6">
        <v>302942.12837294402</v>
      </c>
      <c r="R12" s="6">
        <v>4.1366640030396997</v>
      </c>
      <c r="S12" s="21">
        <v>8.24804508283799E-5</v>
      </c>
    </row>
    <row r="13" spans="1:19" ht="15">
      <c r="A13" s="6" t="s">
        <v>52</v>
      </c>
      <c r="B13" s="20">
        <v>1979532.62008895</v>
      </c>
      <c r="C13" s="20">
        <v>291251.37676029903</v>
      </c>
      <c r="D13" s="6">
        <v>6.7966463956601704</v>
      </c>
      <c r="E13" s="21">
        <v>1.3892042919440101E-9</v>
      </c>
      <c r="H13" s="6" t="s">
        <v>52</v>
      </c>
      <c r="I13" s="6">
        <v>1959169.9851084701</v>
      </c>
      <c r="J13" s="6">
        <v>298086.706004654</v>
      </c>
      <c r="K13" s="6">
        <v>6.5724835950177596</v>
      </c>
      <c r="L13" s="21">
        <v>3.7865942748915603E-9</v>
      </c>
      <c r="O13" s="6" t="s">
        <v>52</v>
      </c>
      <c r="P13" s="6">
        <v>1963227.6010161501</v>
      </c>
      <c r="Q13" s="6">
        <v>296792.759766526</v>
      </c>
      <c r="R13" s="6">
        <v>6.6148096151689701</v>
      </c>
      <c r="S13" s="21">
        <v>3.1356609492792099E-9</v>
      </c>
    </row>
    <row r="14" spans="1:19" ht="15">
      <c r="A14" s="6" t="s">
        <v>53</v>
      </c>
      <c r="B14" s="20">
        <v>1466841.9423256</v>
      </c>
      <c r="C14" s="20">
        <v>305152.00300131802</v>
      </c>
      <c r="D14" s="6">
        <v>4.80692221548113</v>
      </c>
      <c r="E14" s="21">
        <v>6.5440102732039501E-6</v>
      </c>
      <c r="H14" s="6" t="s">
        <v>53</v>
      </c>
      <c r="I14" s="6">
        <v>1445828.9796066401</v>
      </c>
      <c r="J14" s="6">
        <v>312313.56368916598</v>
      </c>
      <c r="K14" s="6">
        <v>4.6294146258906101</v>
      </c>
      <c r="L14" s="21">
        <v>1.3056272185186601E-5</v>
      </c>
      <c r="O14" s="6" t="s">
        <v>53</v>
      </c>
      <c r="P14" s="6">
        <v>1449584.5870731501</v>
      </c>
      <c r="Q14" s="6">
        <v>310957.86096002301</v>
      </c>
      <c r="R14" s="6">
        <v>4.6616753234596997</v>
      </c>
      <c r="S14" s="21">
        <v>1.1527441396714199E-5</v>
      </c>
    </row>
    <row r="15" spans="1:19" ht="15">
      <c r="A15" s="6" t="s">
        <v>54</v>
      </c>
      <c r="B15" s="20">
        <v>671693.73401239095</v>
      </c>
      <c r="C15" s="20">
        <v>282457.63655234402</v>
      </c>
      <c r="D15" s="6">
        <v>2.3780335423429602</v>
      </c>
      <c r="E15" s="21">
        <v>1.9647573239675E-2</v>
      </c>
      <c r="H15" s="6" t="s">
        <v>54</v>
      </c>
      <c r="I15" s="6">
        <v>649730.90979902504</v>
      </c>
      <c r="J15" s="6">
        <v>289086.58699677902</v>
      </c>
      <c r="K15" s="6">
        <v>2.24753045981433</v>
      </c>
      <c r="L15" s="6">
        <v>2.7195621312047301E-2</v>
      </c>
      <c r="O15" s="6" t="s">
        <v>54</v>
      </c>
      <c r="P15" s="6">
        <v>653577.717998437</v>
      </c>
      <c r="Q15" s="6">
        <v>287831.70882139402</v>
      </c>
      <c r="R15" s="6">
        <v>2.2706939436057598</v>
      </c>
      <c r="S15" s="6">
        <v>2.56938365107615E-2</v>
      </c>
    </row>
    <row r="16" spans="1:19" ht="15">
      <c r="B16" s="20"/>
      <c r="C16" s="20"/>
      <c r="E16" s="21"/>
    </row>
    <row r="17" spans="1:18">
      <c r="A17" s="6" t="s">
        <v>70</v>
      </c>
      <c r="B17" s="6">
        <v>14471630.798689799</v>
      </c>
      <c r="C17" s="6" t="s">
        <v>71</v>
      </c>
      <c r="D17" s="21">
        <v>1610190.92518969</v>
      </c>
      <c r="H17" s="6" t="s">
        <v>70</v>
      </c>
      <c r="I17" s="6">
        <v>14490086.358583501</v>
      </c>
      <c r="J17" s="6" t="s">
        <v>71</v>
      </c>
      <c r="K17" s="6">
        <v>1637310.67600952</v>
      </c>
      <c r="O17" s="6" t="s">
        <v>70</v>
      </c>
      <c r="P17" s="6">
        <v>14491864.549372099</v>
      </c>
      <c r="Q17" s="6" t="s">
        <v>71</v>
      </c>
      <c r="R17" s="6">
        <v>1634195.5490675101</v>
      </c>
    </row>
    <row r="18" spans="1:18">
      <c r="A18" s="6" t="s">
        <v>72</v>
      </c>
      <c r="B18" s="6">
        <v>41055964927301.5</v>
      </c>
      <c r="C18" s="6" t="s">
        <v>73</v>
      </c>
      <c r="D18" s="6">
        <v>694990.18128740496</v>
      </c>
      <c r="H18" s="6" t="s">
        <v>72</v>
      </c>
      <c r="I18" s="6">
        <v>43005648956499.797</v>
      </c>
      <c r="J18" s="6" t="s">
        <v>73</v>
      </c>
      <c r="K18" s="6">
        <v>711300.78817117796</v>
      </c>
      <c r="O18" s="6" t="s">
        <v>72</v>
      </c>
      <c r="P18" s="6">
        <v>42633098156661.602</v>
      </c>
      <c r="Q18" s="6" t="s">
        <v>73</v>
      </c>
      <c r="R18" s="6">
        <v>708213.14635257004</v>
      </c>
    </row>
    <row r="19" spans="1:18">
      <c r="A19" s="6" t="s">
        <v>74</v>
      </c>
      <c r="B19" s="6">
        <v>0.83331446664624798</v>
      </c>
      <c r="C19" s="6" t="s">
        <v>75</v>
      </c>
      <c r="D19" s="6">
        <v>0.81370440389874799</v>
      </c>
      <c r="H19" s="6" t="s">
        <v>74</v>
      </c>
      <c r="I19" s="6">
        <v>0.83113497329919495</v>
      </c>
      <c r="J19" s="6" t="s">
        <v>75</v>
      </c>
      <c r="K19" s="6">
        <v>0.81126849956968805</v>
      </c>
      <c r="O19" s="6" t="s">
        <v>74</v>
      </c>
      <c r="P19" s="6">
        <v>0.83195900586896299</v>
      </c>
      <c r="Q19" s="6" t="s">
        <v>75</v>
      </c>
      <c r="R19" s="6">
        <v>0.81218947714766498</v>
      </c>
    </row>
    <row r="20" spans="1:18">
      <c r="A20" s="6" t="s">
        <v>195</v>
      </c>
      <c r="B20" s="6">
        <v>42.494227447205702</v>
      </c>
      <c r="C20" s="6" t="s">
        <v>76</v>
      </c>
      <c r="D20" s="21">
        <v>7.1453157404395196E-29</v>
      </c>
      <c r="H20" s="6" t="s">
        <v>195</v>
      </c>
      <c r="I20" s="6">
        <v>41.836059313574303</v>
      </c>
      <c r="J20" s="6" t="s">
        <v>76</v>
      </c>
      <c r="K20" s="21">
        <v>1.22850064073719E-28</v>
      </c>
      <c r="O20" s="6" t="s">
        <v>195</v>
      </c>
      <c r="P20" s="6">
        <v>42.082895227172102</v>
      </c>
      <c r="Q20" s="6" t="s">
        <v>76</v>
      </c>
      <c r="R20" s="21">
        <v>1.00174885250066E-28</v>
      </c>
    </row>
    <row r="21" spans="1:18">
      <c r="A21" s="6" t="s">
        <v>77</v>
      </c>
      <c r="B21" s="6">
        <v>-1421.7353340018301</v>
      </c>
      <c r="C21" s="6" t="s">
        <v>78</v>
      </c>
      <c r="D21" s="21">
        <v>2865.4706680036502</v>
      </c>
      <c r="H21" s="6" t="s">
        <v>77</v>
      </c>
      <c r="I21" s="6">
        <v>-1423.9623105128001</v>
      </c>
      <c r="J21" s="6" t="s">
        <v>78</v>
      </c>
      <c r="K21" s="6">
        <v>2869.9246210255901</v>
      </c>
      <c r="O21" s="6" t="s">
        <v>77</v>
      </c>
      <c r="P21" s="6">
        <v>-1423.54468293642</v>
      </c>
      <c r="Q21" s="6" t="s">
        <v>78</v>
      </c>
      <c r="R21" s="21">
        <v>2869.0893658728401</v>
      </c>
    </row>
    <row r="22" spans="1:18">
      <c r="A22" s="6" t="s">
        <v>79</v>
      </c>
      <c r="B22" s="6">
        <v>2893.6784981097999</v>
      </c>
      <c r="C22" s="6" t="s">
        <v>80</v>
      </c>
      <c r="D22" s="6">
        <v>2876.8727338424701</v>
      </c>
      <c r="H22" s="6" t="s">
        <v>79</v>
      </c>
      <c r="I22" s="6">
        <v>2898.1324511317398</v>
      </c>
      <c r="J22" s="6" t="s">
        <v>80</v>
      </c>
      <c r="K22" s="6">
        <v>2881.32668686441</v>
      </c>
      <c r="O22" s="6" t="s">
        <v>79</v>
      </c>
      <c r="P22" s="6">
        <v>2897.2971959789802</v>
      </c>
      <c r="Q22" s="6" t="s">
        <v>80</v>
      </c>
      <c r="R22" s="6">
        <v>2880.49143171165</v>
      </c>
    </row>
    <row r="23" spans="1:18">
      <c r="A23" s="6" t="s">
        <v>81</v>
      </c>
      <c r="B23" s="6">
        <v>0.25423217813639498</v>
      </c>
      <c r="C23" s="6" t="s">
        <v>82</v>
      </c>
      <c r="D23" s="6">
        <v>1.4855146709995799</v>
      </c>
      <c r="H23" s="6" t="s">
        <v>81</v>
      </c>
      <c r="I23" s="6">
        <v>0.26674260165906899</v>
      </c>
      <c r="J23" s="6" t="s">
        <v>82</v>
      </c>
      <c r="K23" s="6">
        <v>1.4599246221314299</v>
      </c>
      <c r="O23" s="6" t="s">
        <v>81</v>
      </c>
      <c r="P23" s="6">
        <v>0.26601413614508301</v>
      </c>
      <c r="Q23" s="6" t="s">
        <v>82</v>
      </c>
      <c r="R23" s="6">
        <v>1.4618331765954</v>
      </c>
    </row>
    <row r="24" spans="1:18">
      <c r="A24" s="6" t="s">
        <v>156</v>
      </c>
      <c r="B24" s="6">
        <v>0.57872000000000001</v>
      </c>
    </row>
    <row r="25" spans="1:18">
      <c r="I25" s="124" t="s">
        <v>199</v>
      </c>
      <c r="Q25" s="137" t="s">
        <v>212</v>
      </c>
    </row>
    <row r="26" spans="1:18">
      <c r="Q26" s="10">
        <v>43200</v>
      </c>
    </row>
    <row r="27" spans="1:18" ht="15">
      <c r="B27" s="20"/>
    </row>
    <row r="28" spans="1:18" ht="15">
      <c r="B28" s="20"/>
    </row>
    <row r="29" spans="1:18" ht="15">
      <c r="B29" s="20"/>
      <c r="E29" s="21"/>
    </row>
    <row r="30" spans="1:18" ht="15">
      <c r="B30" s="20"/>
    </row>
    <row r="31" spans="1:18" ht="15">
      <c r="B31" s="20"/>
      <c r="E31" s="21"/>
    </row>
    <row r="32" spans="1:18" ht="15">
      <c r="B32" s="20"/>
    </row>
    <row r="33" spans="2:5" ht="15">
      <c r="B33" s="20"/>
    </row>
    <row r="34" spans="2:5" ht="15">
      <c r="B34" s="20"/>
    </row>
    <row r="35" spans="2:5" ht="15">
      <c r="B35" s="20"/>
      <c r="E35" s="21"/>
    </row>
    <row r="36" spans="2:5" ht="15">
      <c r="B36" s="20"/>
    </row>
    <row r="37" spans="2:5" ht="15">
      <c r="B37" s="20"/>
    </row>
    <row r="38" spans="2:5" ht="15">
      <c r="B38" s="20"/>
      <c r="E38" s="21"/>
    </row>
    <row r="39" spans="2:5" ht="15">
      <c r="B39" s="20"/>
      <c r="E39" s="21"/>
    </row>
    <row r="40" spans="2:5" ht="15">
      <c r="B40" s="20"/>
      <c r="E40" s="21"/>
    </row>
    <row r="41" spans="2:5" ht="15">
      <c r="B41" s="20"/>
    </row>
    <row r="42" spans="2:5" ht="15">
      <c r="B42" s="20"/>
    </row>
    <row r="43" spans="2:5" ht="15">
      <c r="B43" s="20"/>
    </row>
    <row r="46" spans="2:5">
      <c r="D46" s="21"/>
    </row>
  </sheetData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19</vt:i4>
      </vt:variant>
    </vt:vector>
  </HeadingPairs>
  <TitlesOfParts>
    <vt:vector size="19" baseType="lpstr">
      <vt:lpstr>Monthly Data</vt:lpstr>
      <vt:lpstr>Historic CDM</vt:lpstr>
      <vt:lpstr>Weather</vt:lpstr>
      <vt:lpstr>Employment</vt:lpstr>
      <vt:lpstr>Res OLS model</vt:lpstr>
      <vt:lpstr>Res Predicted Monthly</vt:lpstr>
      <vt:lpstr>GS &lt; 50 OLS model</vt:lpstr>
      <vt:lpstr>GS &lt; 50 Predicted Monthly</vt:lpstr>
      <vt:lpstr>GS &gt; 50 OLS model</vt:lpstr>
      <vt:lpstr>GS &gt; 50 Predicted Monthly</vt:lpstr>
      <vt:lpstr>Model Annual Summary</vt:lpstr>
      <vt:lpstr>Res Normalized Monthly</vt:lpstr>
      <vt:lpstr>GS &lt; 50 Normalized Monthly</vt:lpstr>
      <vt:lpstr>GS &gt; 50 Normalized Monthly</vt:lpstr>
      <vt:lpstr>Connection count </vt:lpstr>
      <vt:lpstr>Normalized Annual Summary</vt:lpstr>
      <vt:lpstr>kW Forecast</vt:lpstr>
      <vt:lpstr>CDM Adjustments</vt:lpstr>
      <vt:lpstr>Summary Tables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2018-04-11T15:16:47Z</dcterms:modified>
</cp:coreProperties>
</file>