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480" yWindow="1575" windowWidth="17025" windowHeight="10305"/>
  </bookViews>
  <sheets>
    <sheet name="Summary" sheetId="56" r:id="rId1"/>
    <sheet name="2018 Cost of Power Expense" sheetId="53" r:id="rId2"/>
    <sheet name="COP Rates" sheetId="58" r:id="rId3"/>
    <sheet name="2018 Load Forecast Output" sheetId="54" state="hidden" r:id="rId4"/>
    <sheet name="2018 COP Forecast" sheetId="55" state="hidden" r:id="rId5"/>
    <sheet name="2018 Billing Determinants" sheetId="57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5">#REF!</definedName>
    <definedName name="CustomerCount" localSheetId="4">#REF!</definedName>
    <definedName name="CustomerCount" localSheetId="3">#REF!</definedName>
    <definedName name="CustomerCount" localSheetId="2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1">'2018 Cost of Power Expense'!$A$1:$AN$91</definedName>
    <definedName name="_xlnm.Print_Area" localSheetId="2">'COP Rates'!$B$1:$M$23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45621"/>
</workbook>
</file>

<file path=xl/calcChain.xml><?xml version="1.0" encoding="utf-8"?>
<calcChain xmlns="http://schemas.openxmlformats.org/spreadsheetml/2006/main">
  <c r="M46" i="53" l="1"/>
  <c r="L46" i="53"/>
  <c r="K46" i="53"/>
  <c r="J46" i="53"/>
  <c r="I46" i="53"/>
  <c r="H46" i="53"/>
  <c r="G46" i="53"/>
  <c r="F46" i="53"/>
  <c r="E46" i="53"/>
  <c r="D46" i="53"/>
  <c r="C46" i="53"/>
  <c r="B46" i="53"/>
  <c r="M45" i="53"/>
  <c r="L45" i="53"/>
  <c r="K45" i="53"/>
  <c r="J45" i="53"/>
  <c r="I45" i="53"/>
  <c r="H45" i="53"/>
  <c r="G45" i="53"/>
  <c r="F45" i="53"/>
  <c r="E45" i="53"/>
  <c r="D45" i="53"/>
  <c r="C45" i="53"/>
  <c r="B45" i="53"/>
  <c r="M44" i="53"/>
  <c r="L44" i="53"/>
  <c r="K44" i="53"/>
  <c r="J44" i="53"/>
  <c r="I44" i="53"/>
  <c r="H44" i="53"/>
  <c r="G44" i="53"/>
  <c r="F44" i="53"/>
  <c r="E44" i="53"/>
  <c r="D44" i="53"/>
  <c r="C44" i="53"/>
  <c r="B44" i="53"/>
  <c r="M43" i="53"/>
  <c r="L43" i="53"/>
  <c r="K43" i="53"/>
  <c r="J43" i="53"/>
  <c r="I43" i="53"/>
  <c r="H43" i="53"/>
  <c r="G43" i="53"/>
  <c r="F43" i="53"/>
  <c r="E43" i="53"/>
  <c r="D43" i="53"/>
  <c r="C43" i="53"/>
  <c r="B43" i="53"/>
  <c r="M42" i="53"/>
  <c r="L42" i="53"/>
  <c r="K42" i="53"/>
  <c r="J42" i="53"/>
  <c r="I42" i="53"/>
  <c r="H42" i="53"/>
  <c r="G42" i="53"/>
  <c r="F42" i="53"/>
  <c r="E42" i="53"/>
  <c r="D42" i="53"/>
  <c r="C42" i="53"/>
  <c r="B42" i="53"/>
  <c r="M41" i="53"/>
  <c r="L41" i="53"/>
  <c r="K41" i="53"/>
  <c r="J41" i="53"/>
  <c r="I41" i="53"/>
  <c r="H41" i="53"/>
  <c r="G41" i="53"/>
  <c r="F41" i="53"/>
  <c r="E41" i="53"/>
  <c r="D41" i="53"/>
  <c r="C41" i="53"/>
  <c r="B41" i="53"/>
  <c r="M40" i="53"/>
  <c r="L40" i="53"/>
  <c r="K40" i="53"/>
  <c r="J40" i="53"/>
  <c r="I40" i="53"/>
  <c r="H40" i="53"/>
  <c r="G40" i="53"/>
  <c r="F40" i="53"/>
  <c r="E40" i="53"/>
  <c r="D40" i="53"/>
  <c r="C40" i="53"/>
  <c r="B40" i="53"/>
  <c r="M39" i="53"/>
  <c r="L39" i="53"/>
  <c r="K39" i="53"/>
  <c r="J39" i="53"/>
  <c r="I39" i="53"/>
  <c r="H39" i="53"/>
  <c r="G39" i="53"/>
  <c r="F39" i="53"/>
  <c r="E39" i="53"/>
  <c r="D39" i="53"/>
  <c r="C39" i="53"/>
  <c r="B39" i="53"/>
  <c r="B32" i="53" l="1"/>
  <c r="B33" i="53" s="1"/>
  <c r="B34" i="53" s="1"/>
  <c r="B35" i="53" s="1"/>
  <c r="M31" i="53"/>
  <c r="M32" i="53" s="1"/>
  <c r="M33" i="53" s="1"/>
  <c r="M34" i="53" s="1"/>
  <c r="M35" i="53" s="1"/>
  <c r="L31" i="53"/>
  <c r="L32" i="53" s="1"/>
  <c r="L33" i="53" s="1"/>
  <c r="L34" i="53" s="1"/>
  <c r="L35" i="53" s="1"/>
  <c r="K31" i="53"/>
  <c r="K32" i="53" s="1"/>
  <c r="K33" i="53" s="1"/>
  <c r="K34" i="53" s="1"/>
  <c r="K35" i="53" s="1"/>
  <c r="J31" i="53"/>
  <c r="J32" i="53" s="1"/>
  <c r="J33" i="53" s="1"/>
  <c r="J34" i="53" s="1"/>
  <c r="J35" i="53" s="1"/>
  <c r="I31" i="53"/>
  <c r="I32" i="53" s="1"/>
  <c r="I33" i="53" s="1"/>
  <c r="I34" i="53" s="1"/>
  <c r="I35" i="53" s="1"/>
  <c r="H31" i="53"/>
  <c r="H32" i="53" s="1"/>
  <c r="H33" i="53" s="1"/>
  <c r="H34" i="53" s="1"/>
  <c r="H35" i="53" s="1"/>
  <c r="G31" i="53"/>
  <c r="G32" i="53" s="1"/>
  <c r="G33" i="53" s="1"/>
  <c r="G34" i="53" s="1"/>
  <c r="G35" i="53" s="1"/>
  <c r="F31" i="53"/>
  <c r="F32" i="53" s="1"/>
  <c r="F33" i="53" s="1"/>
  <c r="F34" i="53" s="1"/>
  <c r="F35" i="53" s="1"/>
  <c r="E31" i="53"/>
  <c r="E32" i="53" s="1"/>
  <c r="E33" i="53" s="1"/>
  <c r="E34" i="53" s="1"/>
  <c r="E35" i="53" s="1"/>
  <c r="D31" i="53"/>
  <c r="D32" i="53" s="1"/>
  <c r="D33" i="53" s="1"/>
  <c r="D34" i="53" s="1"/>
  <c r="D35" i="53" s="1"/>
  <c r="C31" i="53"/>
  <c r="C32" i="53" s="1"/>
  <c r="C33" i="53" s="1"/>
  <c r="C34" i="53" s="1"/>
  <c r="C35" i="53" s="1"/>
  <c r="B31" i="53"/>
  <c r="M30" i="53"/>
  <c r="H30" i="53"/>
  <c r="I30" i="53" s="1"/>
  <c r="J30" i="53" s="1"/>
  <c r="K30" i="53" s="1"/>
  <c r="G30" i="53"/>
  <c r="E30" i="53"/>
  <c r="D30" i="53"/>
  <c r="C30" i="53"/>
  <c r="L30" i="53"/>
  <c r="F30" i="53"/>
  <c r="B30" i="53"/>
  <c r="M29" i="53"/>
  <c r="L29" i="53"/>
  <c r="K29" i="53"/>
  <c r="J29" i="53"/>
  <c r="I29" i="53"/>
  <c r="H29" i="53"/>
  <c r="G29" i="53"/>
  <c r="F29" i="53"/>
  <c r="E29" i="53"/>
  <c r="D29" i="53"/>
  <c r="C29" i="53"/>
  <c r="B29" i="53"/>
  <c r="H28" i="53"/>
  <c r="I28" i="53" s="1"/>
  <c r="J28" i="53" s="1"/>
  <c r="K28" i="53" s="1"/>
  <c r="G28" i="53"/>
  <c r="M28" i="53"/>
  <c r="L28" i="53"/>
  <c r="F28" i="53"/>
  <c r="E28" i="53"/>
  <c r="D28" i="53"/>
  <c r="C28" i="53"/>
  <c r="B28" i="53"/>
  <c r="B19" i="53"/>
  <c r="B20" i="53" s="1"/>
  <c r="B21" i="53" s="1"/>
  <c r="B22" i="53" s="1"/>
  <c r="B23" i="53" s="1"/>
  <c r="B24" i="53" s="1"/>
  <c r="M18" i="53"/>
  <c r="M19" i="53" s="1"/>
  <c r="M20" i="53" s="1"/>
  <c r="M21" i="53" s="1"/>
  <c r="M22" i="53" s="1"/>
  <c r="M23" i="53" s="1"/>
  <c r="M24" i="53" s="1"/>
  <c r="L18" i="53"/>
  <c r="L19" i="53" s="1"/>
  <c r="L20" i="53" s="1"/>
  <c r="L21" i="53" s="1"/>
  <c r="L22" i="53" s="1"/>
  <c r="L23" i="53" s="1"/>
  <c r="L24" i="53" s="1"/>
  <c r="K18" i="53"/>
  <c r="K19" i="53" s="1"/>
  <c r="K20" i="53" s="1"/>
  <c r="K21" i="53" s="1"/>
  <c r="K22" i="53" s="1"/>
  <c r="K23" i="53" s="1"/>
  <c r="K24" i="53" s="1"/>
  <c r="J18" i="53"/>
  <c r="J19" i="53" s="1"/>
  <c r="J20" i="53" s="1"/>
  <c r="J21" i="53" s="1"/>
  <c r="J22" i="53" s="1"/>
  <c r="J23" i="53" s="1"/>
  <c r="J24" i="53" s="1"/>
  <c r="I18" i="53"/>
  <c r="I19" i="53" s="1"/>
  <c r="I20" i="53" s="1"/>
  <c r="I21" i="53" s="1"/>
  <c r="I22" i="53" s="1"/>
  <c r="I23" i="53" s="1"/>
  <c r="I24" i="53" s="1"/>
  <c r="H18" i="53"/>
  <c r="H19" i="53" s="1"/>
  <c r="H20" i="53" s="1"/>
  <c r="H21" i="53" s="1"/>
  <c r="H22" i="53" s="1"/>
  <c r="H23" i="53" s="1"/>
  <c r="H24" i="53" s="1"/>
  <c r="G18" i="53"/>
  <c r="G19" i="53" s="1"/>
  <c r="G20" i="53" s="1"/>
  <c r="G21" i="53" s="1"/>
  <c r="G22" i="53" s="1"/>
  <c r="G23" i="53" s="1"/>
  <c r="G24" i="53" s="1"/>
  <c r="F18" i="53"/>
  <c r="F19" i="53" s="1"/>
  <c r="F20" i="53" s="1"/>
  <c r="F21" i="53" s="1"/>
  <c r="F22" i="53" s="1"/>
  <c r="F23" i="53" s="1"/>
  <c r="F24" i="53" s="1"/>
  <c r="E18" i="53"/>
  <c r="E19" i="53" s="1"/>
  <c r="E20" i="53" s="1"/>
  <c r="E21" i="53" s="1"/>
  <c r="E22" i="53" s="1"/>
  <c r="E23" i="53" s="1"/>
  <c r="E24" i="53" s="1"/>
  <c r="D18" i="53"/>
  <c r="D19" i="53" s="1"/>
  <c r="D20" i="53" s="1"/>
  <c r="D21" i="53" s="1"/>
  <c r="D22" i="53" s="1"/>
  <c r="D23" i="53" s="1"/>
  <c r="D24" i="53" s="1"/>
  <c r="C18" i="53"/>
  <c r="C19" i="53" s="1"/>
  <c r="C20" i="53" s="1"/>
  <c r="C21" i="53" s="1"/>
  <c r="C22" i="53" s="1"/>
  <c r="C23" i="53" s="1"/>
  <c r="C24" i="53" s="1"/>
  <c r="B18" i="53"/>
  <c r="M17" i="53"/>
  <c r="L17" i="53"/>
  <c r="H17" i="53"/>
  <c r="I17" i="53" s="1"/>
  <c r="J17" i="53" s="1"/>
  <c r="K17" i="53" s="1"/>
  <c r="G17" i="53"/>
  <c r="F17" i="53"/>
  <c r="E17" i="53"/>
  <c r="D17" i="53"/>
  <c r="C17" i="53"/>
  <c r="B17" i="53"/>
  <c r="B8" i="53"/>
  <c r="B9" i="53" s="1"/>
  <c r="B10" i="53" s="1"/>
  <c r="B11" i="53" s="1"/>
  <c r="B12" i="53" s="1"/>
  <c r="B13" i="53" s="1"/>
  <c r="M7" i="53"/>
  <c r="M8" i="53" s="1"/>
  <c r="M9" i="53" s="1"/>
  <c r="M10" i="53" s="1"/>
  <c r="M11" i="53" s="1"/>
  <c r="M12" i="53" s="1"/>
  <c r="M13" i="53" s="1"/>
  <c r="L7" i="53"/>
  <c r="L8" i="53" s="1"/>
  <c r="L9" i="53" s="1"/>
  <c r="L10" i="53" s="1"/>
  <c r="L11" i="53" s="1"/>
  <c r="L12" i="53" s="1"/>
  <c r="L13" i="53" s="1"/>
  <c r="K7" i="53"/>
  <c r="K8" i="53" s="1"/>
  <c r="K9" i="53" s="1"/>
  <c r="K10" i="53" s="1"/>
  <c r="K11" i="53" s="1"/>
  <c r="K12" i="53" s="1"/>
  <c r="K13" i="53" s="1"/>
  <c r="J7" i="53"/>
  <c r="J8" i="53" s="1"/>
  <c r="J9" i="53" s="1"/>
  <c r="J10" i="53" s="1"/>
  <c r="J11" i="53" s="1"/>
  <c r="J12" i="53" s="1"/>
  <c r="J13" i="53" s="1"/>
  <c r="I7" i="53"/>
  <c r="I8" i="53" s="1"/>
  <c r="I9" i="53" s="1"/>
  <c r="I10" i="53" s="1"/>
  <c r="I11" i="53" s="1"/>
  <c r="I12" i="53" s="1"/>
  <c r="I13" i="53" s="1"/>
  <c r="H7" i="53"/>
  <c r="H8" i="53" s="1"/>
  <c r="H9" i="53" s="1"/>
  <c r="H10" i="53" s="1"/>
  <c r="H11" i="53" s="1"/>
  <c r="H12" i="53" s="1"/>
  <c r="H13" i="53" s="1"/>
  <c r="G7" i="53"/>
  <c r="G8" i="53" s="1"/>
  <c r="G9" i="53" s="1"/>
  <c r="G10" i="53" s="1"/>
  <c r="G11" i="53" s="1"/>
  <c r="G12" i="53" s="1"/>
  <c r="G13" i="53" s="1"/>
  <c r="F7" i="53"/>
  <c r="F8" i="53" s="1"/>
  <c r="F9" i="53" s="1"/>
  <c r="F10" i="53" s="1"/>
  <c r="F11" i="53" s="1"/>
  <c r="F12" i="53" s="1"/>
  <c r="F13" i="53" s="1"/>
  <c r="E7" i="53"/>
  <c r="E8" i="53" s="1"/>
  <c r="E9" i="53" s="1"/>
  <c r="E10" i="53" s="1"/>
  <c r="E11" i="53" s="1"/>
  <c r="E12" i="53" s="1"/>
  <c r="E13" i="53" s="1"/>
  <c r="D7" i="53"/>
  <c r="D8" i="53" s="1"/>
  <c r="D9" i="53" s="1"/>
  <c r="D10" i="53" s="1"/>
  <c r="D11" i="53" s="1"/>
  <c r="D12" i="53" s="1"/>
  <c r="D13" i="53" s="1"/>
  <c r="C7" i="53"/>
  <c r="C8" i="53" s="1"/>
  <c r="C9" i="53" s="1"/>
  <c r="C10" i="53" s="1"/>
  <c r="C11" i="53" s="1"/>
  <c r="C12" i="53" s="1"/>
  <c r="C13" i="53" s="1"/>
  <c r="B7" i="53"/>
  <c r="M6" i="53"/>
  <c r="L6" i="53"/>
  <c r="K6" i="53"/>
  <c r="H6" i="53"/>
  <c r="I6" i="53" s="1"/>
  <c r="J6" i="53" s="1"/>
  <c r="G6" i="53"/>
  <c r="F6" i="53"/>
  <c r="D6" i="53"/>
  <c r="E6" i="53" s="1"/>
  <c r="C6" i="53"/>
  <c r="B6" i="53"/>
  <c r="D10" i="58"/>
  <c r="C10" i="58"/>
  <c r="E9" i="58"/>
  <c r="J8" i="58"/>
  <c r="K8" i="58" s="1"/>
  <c r="L8" i="58" s="1"/>
  <c r="M8" i="58" s="1"/>
  <c r="I8" i="58"/>
  <c r="E8" i="58"/>
  <c r="E7" i="58"/>
  <c r="I7" i="58" s="1"/>
  <c r="J7" i="58" s="1"/>
  <c r="K7" i="58" s="1"/>
  <c r="L7" i="58" s="1"/>
  <c r="M7" i="58" s="1"/>
  <c r="J6" i="58"/>
  <c r="K6" i="58" s="1"/>
  <c r="L6" i="58" s="1"/>
  <c r="M6" i="58" s="1"/>
  <c r="I6" i="58"/>
  <c r="E6" i="58"/>
  <c r="J5" i="58"/>
  <c r="K5" i="58" s="1"/>
  <c r="L5" i="58" s="1"/>
  <c r="M5" i="58" s="1"/>
  <c r="I5" i="58"/>
  <c r="E5" i="58"/>
  <c r="F42" i="55" l="1"/>
  <c r="C42" i="55"/>
  <c r="F41" i="55"/>
  <c r="C41" i="55"/>
  <c r="F40" i="55"/>
  <c r="C40" i="55"/>
  <c r="F39" i="55"/>
  <c r="C39" i="55"/>
  <c r="F38" i="55"/>
  <c r="C38" i="55"/>
  <c r="F37" i="55"/>
  <c r="C37" i="55"/>
  <c r="F36" i="55"/>
  <c r="C36" i="55"/>
  <c r="F35" i="55"/>
  <c r="C35" i="55"/>
  <c r="D44" i="54" l="1"/>
  <c r="E44" i="54"/>
  <c r="F44" i="54"/>
  <c r="G44" i="54"/>
  <c r="H44" i="54"/>
  <c r="I44" i="54"/>
  <c r="J44" i="54"/>
  <c r="K44" i="54"/>
  <c r="L44" i="54"/>
  <c r="M44" i="54"/>
  <c r="N44" i="54"/>
  <c r="D45" i="54"/>
  <c r="E45" i="54"/>
  <c r="F45" i="54"/>
  <c r="G45" i="54"/>
  <c r="H45" i="54"/>
  <c r="I45" i="54"/>
  <c r="J45" i="54"/>
  <c r="K45" i="54"/>
  <c r="L45" i="54"/>
  <c r="M45" i="54"/>
  <c r="N45" i="54"/>
  <c r="C45" i="54"/>
  <c r="C44" i="54"/>
  <c r="D52" i="54"/>
  <c r="E52" i="54"/>
  <c r="F52" i="54"/>
  <c r="G52" i="54"/>
  <c r="H52" i="54"/>
  <c r="I52" i="54"/>
  <c r="J52" i="54"/>
  <c r="K52" i="54"/>
  <c r="L52" i="54"/>
  <c r="M52" i="54"/>
  <c r="N52" i="54"/>
  <c r="D53" i="54"/>
  <c r="E53" i="54"/>
  <c r="F53" i="54"/>
  <c r="G53" i="54"/>
  <c r="H53" i="54"/>
  <c r="I53" i="54"/>
  <c r="J53" i="54"/>
  <c r="K53" i="54"/>
  <c r="L53" i="54"/>
  <c r="M53" i="54"/>
  <c r="N53" i="54"/>
  <c r="C53" i="54"/>
  <c r="C52" i="54"/>
  <c r="D54" i="54" l="1"/>
  <c r="E54" i="54"/>
  <c r="F54" i="54"/>
  <c r="G54" i="54"/>
  <c r="H54" i="54"/>
  <c r="I54" i="54"/>
  <c r="J54" i="54"/>
  <c r="K54" i="54"/>
  <c r="L54" i="54"/>
  <c r="M54" i="54"/>
  <c r="N54" i="54"/>
  <c r="D55" i="54"/>
  <c r="E55" i="54"/>
  <c r="F55" i="54"/>
  <c r="G55" i="54"/>
  <c r="H55" i="54"/>
  <c r="I55" i="54"/>
  <c r="J55" i="54"/>
  <c r="K55" i="54"/>
  <c r="L55" i="54"/>
  <c r="M55" i="54"/>
  <c r="N55" i="54"/>
  <c r="D56" i="54"/>
  <c r="E56" i="54"/>
  <c r="F56" i="54"/>
  <c r="G56" i="54"/>
  <c r="H56" i="54"/>
  <c r="I56" i="54"/>
  <c r="J56" i="54"/>
  <c r="K56" i="54"/>
  <c r="L56" i="54"/>
  <c r="M56" i="54"/>
  <c r="N56" i="54"/>
  <c r="D51" i="54"/>
  <c r="E51" i="54"/>
  <c r="F51" i="54"/>
  <c r="G51" i="54"/>
  <c r="H51" i="54"/>
  <c r="I51" i="54"/>
  <c r="J51" i="54"/>
  <c r="K51" i="54"/>
  <c r="L51" i="54"/>
  <c r="M51" i="54"/>
  <c r="N51" i="54"/>
  <c r="C56" i="54"/>
  <c r="C55" i="54"/>
  <c r="C54" i="54"/>
  <c r="C51" i="54"/>
  <c r="K37" i="54"/>
  <c r="L37" i="54"/>
  <c r="M37" i="54"/>
  <c r="N37" i="54"/>
  <c r="K38" i="54"/>
  <c r="L38" i="54"/>
  <c r="M38" i="54"/>
  <c r="N38" i="54"/>
  <c r="K39" i="54"/>
  <c r="L39" i="54"/>
  <c r="M39" i="54"/>
  <c r="N39" i="54"/>
  <c r="K40" i="54"/>
  <c r="L40" i="54"/>
  <c r="M40" i="54"/>
  <c r="N40" i="54"/>
  <c r="K41" i="54"/>
  <c r="L41" i="54"/>
  <c r="M41" i="54"/>
  <c r="N41" i="54"/>
  <c r="K42" i="54"/>
  <c r="L42" i="54"/>
  <c r="M42" i="54"/>
  <c r="N42" i="54"/>
  <c r="D37" i="54"/>
  <c r="E37" i="54"/>
  <c r="F37" i="54"/>
  <c r="G37" i="54"/>
  <c r="H37" i="54"/>
  <c r="I37" i="54"/>
  <c r="J37" i="54"/>
  <c r="D38" i="54"/>
  <c r="E38" i="54"/>
  <c r="F38" i="54"/>
  <c r="G38" i="54"/>
  <c r="H38" i="54"/>
  <c r="I38" i="54"/>
  <c r="J38" i="54"/>
  <c r="D39" i="54"/>
  <c r="E39" i="54"/>
  <c r="F39" i="54"/>
  <c r="G39" i="54"/>
  <c r="H39" i="54"/>
  <c r="I39" i="54"/>
  <c r="J39" i="54"/>
  <c r="D40" i="54"/>
  <c r="E40" i="54"/>
  <c r="F40" i="54"/>
  <c r="G40" i="54"/>
  <c r="H40" i="54"/>
  <c r="I40" i="54"/>
  <c r="J40" i="54"/>
  <c r="D41" i="54"/>
  <c r="E41" i="54"/>
  <c r="F41" i="54"/>
  <c r="G41" i="54"/>
  <c r="H41" i="54"/>
  <c r="I41" i="54"/>
  <c r="J41" i="54"/>
  <c r="D42" i="54"/>
  <c r="E42" i="54"/>
  <c r="F42" i="54"/>
  <c r="G42" i="54"/>
  <c r="H42" i="54"/>
  <c r="I42" i="54"/>
  <c r="J42" i="54"/>
  <c r="C42" i="54"/>
  <c r="C41" i="54"/>
  <c r="C40" i="54"/>
  <c r="C39" i="54"/>
  <c r="C38" i="54"/>
  <c r="C37" i="54"/>
  <c r="O84" i="53"/>
  <c r="O83" i="53"/>
  <c r="C12" i="56" l="1"/>
  <c r="P84" i="53" l="1"/>
  <c r="Q84" i="53" s="1"/>
  <c r="R84" i="53" s="1"/>
  <c r="S84" i="53" s="1"/>
  <c r="T84" i="53" s="1"/>
  <c r="U84" i="53" s="1"/>
  <c r="V84" i="53" s="1"/>
  <c r="W84" i="53" s="1"/>
  <c r="X84" i="53" s="1"/>
  <c r="Y84" i="53" s="1"/>
  <c r="Z84" i="53" s="1"/>
  <c r="P83" i="53"/>
  <c r="Q83" i="53" s="1"/>
  <c r="R83" i="53" s="1"/>
  <c r="S83" i="53" s="1"/>
  <c r="T83" i="53" s="1"/>
  <c r="U83" i="53" s="1"/>
  <c r="V83" i="53" s="1"/>
  <c r="W83" i="53" s="1"/>
  <c r="X83" i="53" s="1"/>
  <c r="Y83" i="53" s="1"/>
  <c r="Z83" i="53" s="1"/>
  <c r="U91" i="53" l="1"/>
  <c r="V91" i="53"/>
  <c r="W91" i="53"/>
  <c r="Z54" i="53"/>
  <c r="Z65" i="53" s="1"/>
  <c r="Z76" i="53" s="1"/>
  <c r="Y54" i="53"/>
  <c r="Y65" i="53" s="1"/>
  <c r="Y76" i="53" s="1"/>
  <c r="X54" i="53"/>
  <c r="X65" i="53" s="1"/>
  <c r="X76" i="53" s="1"/>
  <c r="W54" i="53"/>
  <c r="W65" i="53" s="1"/>
  <c r="W76" i="53" s="1"/>
  <c r="V54" i="53"/>
  <c r="V65" i="53" s="1"/>
  <c r="V76" i="53" s="1"/>
  <c r="U54" i="53"/>
  <c r="U65" i="53" s="1"/>
  <c r="U76" i="53" s="1"/>
  <c r="T54" i="53"/>
  <c r="T65" i="53" s="1"/>
  <c r="T76" i="53" s="1"/>
  <c r="S54" i="53"/>
  <c r="S65" i="53" s="1"/>
  <c r="S76" i="53" s="1"/>
  <c r="R54" i="53"/>
  <c r="R65" i="53" s="1"/>
  <c r="R76" i="53" s="1"/>
  <c r="Q54" i="53"/>
  <c r="Q65" i="53" s="1"/>
  <c r="Q76" i="53" s="1"/>
  <c r="P54" i="53"/>
  <c r="P65" i="53" s="1"/>
  <c r="Z53" i="53"/>
  <c r="Z64" i="53" s="1"/>
  <c r="Z75" i="53" s="1"/>
  <c r="Y53" i="53"/>
  <c r="Y64" i="53" s="1"/>
  <c r="Y75" i="53" s="1"/>
  <c r="X53" i="53"/>
  <c r="X64" i="53" s="1"/>
  <c r="X75" i="53" s="1"/>
  <c r="V53" i="53"/>
  <c r="V64" i="53" s="1"/>
  <c r="V75" i="53" s="1"/>
  <c r="U53" i="53"/>
  <c r="U64" i="53" s="1"/>
  <c r="U75" i="53" s="1"/>
  <c r="T53" i="53"/>
  <c r="T64" i="53" s="1"/>
  <c r="T75" i="53" s="1"/>
  <c r="S53" i="53"/>
  <c r="S64" i="53" s="1"/>
  <c r="S75" i="53" s="1"/>
  <c r="R53" i="53"/>
  <c r="R64" i="53" s="1"/>
  <c r="R75" i="53" s="1"/>
  <c r="Q53" i="53"/>
  <c r="Q64" i="53" s="1"/>
  <c r="Q75" i="53" s="1"/>
  <c r="P53" i="53"/>
  <c r="P64" i="53" s="1"/>
  <c r="P75" i="53" s="1"/>
  <c r="O54" i="53"/>
  <c r="O65" i="53" s="1"/>
  <c r="O76" i="53" s="1"/>
  <c r="O53" i="53"/>
  <c r="O64" i="53" s="1"/>
  <c r="O75" i="53" s="1"/>
  <c r="N29" i="54"/>
  <c r="M29" i="54"/>
  <c r="L29" i="54"/>
  <c r="X43" i="53" s="1"/>
  <c r="K29" i="54"/>
  <c r="W43" i="53" s="1"/>
  <c r="J29" i="54"/>
  <c r="I29" i="54"/>
  <c r="U43" i="53" s="1"/>
  <c r="H29" i="54"/>
  <c r="T43" i="53" s="1"/>
  <c r="G29" i="54"/>
  <c r="S43" i="53" s="1"/>
  <c r="F29" i="54"/>
  <c r="E29" i="54"/>
  <c r="Q43" i="53" s="1"/>
  <c r="D29" i="54"/>
  <c r="P43" i="53" s="1"/>
  <c r="N26" i="54"/>
  <c r="M26" i="54"/>
  <c r="L26" i="54"/>
  <c r="K26" i="54"/>
  <c r="J26" i="54"/>
  <c r="V42" i="53" s="1"/>
  <c r="I26" i="54"/>
  <c r="H26" i="54"/>
  <c r="T42" i="53" s="1"/>
  <c r="G26" i="54"/>
  <c r="F26" i="54"/>
  <c r="F27" i="54" s="1"/>
  <c r="R9" i="53" s="1"/>
  <c r="E26" i="54"/>
  <c r="C26" i="54"/>
  <c r="F43" i="55"/>
  <c r="C43" i="55"/>
  <c r="G42" i="55"/>
  <c r="D42" i="55"/>
  <c r="E42" i="55" s="1"/>
  <c r="G41" i="55"/>
  <c r="D41" i="55"/>
  <c r="E41" i="55" s="1"/>
  <c r="G40" i="55"/>
  <c r="D40" i="55"/>
  <c r="E40" i="55" s="1"/>
  <c r="G39" i="55"/>
  <c r="E39" i="55"/>
  <c r="G38" i="55"/>
  <c r="E38" i="55"/>
  <c r="G37" i="55"/>
  <c r="D37" i="55"/>
  <c r="E37" i="55" s="1"/>
  <c r="G36" i="55"/>
  <c r="D36" i="55"/>
  <c r="E36" i="55" s="1"/>
  <c r="G35" i="55"/>
  <c r="D35" i="55"/>
  <c r="E35" i="55" s="1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O68" i="53" s="1"/>
  <c r="O79" i="53" s="1"/>
  <c r="AB79" i="53" s="1"/>
  <c r="Z56" i="53"/>
  <c r="Z67" i="53" s="1"/>
  <c r="Z78" i="53" s="1"/>
  <c r="Y56" i="53"/>
  <c r="Y67" i="53" s="1"/>
  <c r="Y78" i="53" s="1"/>
  <c r="X56" i="53"/>
  <c r="X67" i="53" s="1"/>
  <c r="W56" i="53"/>
  <c r="W67" i="53" s="1"/>
  <c r="W78" i="53" s="1"/>
  <c r="U56" i="53"/>
  <c r="U67" i="53" s="1"/>
  <c r="U78" i="53" s="1"/>
  <c r="S56" i="53"/>
  <c r="S67" i="53" s="1"/>
  <c r="S78" i="53" s="1"/>
  <c r="R56" i="53"/>
  <c r="Q56" i="53"/>
  <c r="P56" i="53"/>
  <c r="P67" i="53" s="1"/>
  <c r="P78" i="53" s="1"/>
  <c r="O56" i="53"/>
  <c r="Z52" i="53"/>
  <c r="Z63" i="53" s="1"/>
  <c r="Z74" i="53" s="1"/>
  <c r="Y52" i="53"/>
  <c r="Y63" i="53" s="1"/>
  <c r="Y74" i="53" s="1"/>
  <c r="W52" i="53"/>
  <c r="V52" i="53"/>
  <c r="V63" i="53" s="1"/>
  <c r="V74" i="53" s="1"/>
  <c r="U52" i="53"/>
  <c r="U63" i="53" s="1"/>
  <c r="U74" i="53" s="1"/>
  <c r="S52" i="53"/>
  <c r="S63" i="53" s="1"/>
  <c r="S74" i="53" s="1"/>
  <c r="P52" i="53"/>
  <c r="P63" i="53" s="1"/>
  <c r="O49" i="54"/>
  <c r="N20" i="54"/>
  <c r="Z46" i="53" s="1"/>
  <c r="M20" i="54"/>
  <c r="L20" i="54"/>
  <c r="K20" i="54"/>
  <c r="J20" i="54"/>
  <c r="I20" i="54"/>
  <c r="H20" i="54"/>
  <c r="G20" i="54"/>
  <c r="F20" i="54"/>
  <c r="D20" i="54"/>
  <c r="P46" i="53" s="1"/>
  <c r="C20" i="54"/>
  <c r="N17" i="54"/>
  <c r="M17" i="54"/>
  <c r="L17" i="54"/>
  <c r="X45" i="53" s="1"/>
  <c r="K17" i="54"/>
  <c r="W45" i="53" s="1"/>
  <c r="J17" i="54"/>
  <c r="I17" i="54"/>
  <c r="H17" i="54"/>
  <c r="G17" i="54"/>
  <c r="F17" i="54"/>
  <c r="D17" i="54"/>
  <c r="P77" i="53"/>
  <c r="N11" i="54"/>
  <c r="M11" i="54"/>
  <c r="L11" i="54"/>
  <c r="X41" i="53" s="1"/>
  <c r="J11" i="54"/>
  <c r="I11" i="54"/>
  <c r="U41" i="53" s="1"/>
  <c r="G11" i="54"/>
  <c r="F11" i="54"/>
  <c r="R41" i="53" s="1"/>
  <c r="E11" i="54"/>
  <c r="Q41" i="53" s="1"/>
  <c r="C11" i="54"/>
  <c r="O41" i="53" s="1"/>
  <c r="Y73" i="53"/>
  <c r="M8" i="54"/>
  <c r="X73" i="53"/>
  <c r="W73" i="53"/>
  <c r="S73" i="53"/>
  <c r="R73" i="53"/>
  <c r="F8" i="54"/>
  <c r="Z72" i="53"/>
  <c r="X72" i="53"/>
  <c r="V72" i="53"/>
  <c r="U72" i="53"/>
  <c r="T72" i="53"/>
  <c r="Q72" i="53"/>
  <c r="O35" i="54"/>
  <c r="N24" i="54"/>
  <c r="N25" i="54"/>
  <c r="M24" i="54"/>
  <c r="M25" i="54" s="1"/>
  <c r="L24" i="54"/>
  <c r="L25" i="54" s="1"/>
  <c r="K24" i="54"/>
  <c r="K25" i="54" s="1"/>
  <c r="J24" i="54"/>
  <c r="J25" i="54"/>
  <c r="I24" i="54"/>
  <c r="I25" i="54" s="1"/>
  <c r="H24" i="54"/>
  <c r="H25" i="54"/>
  <c r="G24" i="54"/>
  <c r="G25" i="54" s="1"/>
  <c r="F24" i="54"/>
  <c r="F25" i="54" s="1"/>
  <c r="E24" i="54"/>
  <c r="E25" i="54" s="1"/>
  <c r="D24" i="54"/>
  <c r="D25" i="54"/>
  <c r="C24" i="54"/>
  <c r="C25" i="54" s="1"/>
  <c r="O23" i="54"/>
  <c r="L5" i="54"/>
  <c r="X50" i="53" s="1"/>
  <c r="X61" i="53" s="1"/>
  <c r="O3" i="54"/>
  <c r="C17" i="54"/>
  <c r="T91" i="53" l="1"/>
  <c r="AB83" i="53"/>
  <c r="S91" i="53"/>
  <c r="Z91" i="53"/>
  <c r="R91" i="53"/>
  <c r="Y91" i="53"/>
  <c r="Q91" i="53"/>
  <c r="H5" i="54"/>
  <c r="H6" i="54" s="1"/>
  <c r="T6" i="53" s="1"/>
  <c r="K8" i="54"/>
  <c r="W40" i="53" s="1"/>
  <c r="L8" i="54"/>
  <c r="X40" i="53" s="1"/>
  <c r="O25" i="54"/>
  <c r="F5" i="54"/>
  <c r="R72" i="53"/>
  <c r="I8" i="54"/>
  <c r="U51" i="53" s="1"/>
  <c r="U62" i="53" s="1"/>
  <c r="U73" i="53"/>
  <c r="E14" i="54"/>
  <c r="Q55" i="53" s="1"/>
  <c r="Q77" i="53"/>
  <c r="M14" i="54"/>
  <c r="Y44" i="53" s="1"/>
  <c r="Y77" i="53"/>
  <c r="J8" i="54"/>
  <c r="J9" i="54" s="1"/>
  <c r="J10" i="54" s="1"/>
  <c r="V18" i="53" s="1"/>
  <c r="V29" i="53" s="1"/>
  <c r="V73" i="53"/>
  <c r="E12" i="54"/>
  <c r="E13" i="54" s="1"/>
  <c r="Q19" i="53" s="1"/>
  <c r="Q30" i="53" s="1"/>
  <c r="D8" i="54"/>
  <c r="D9" i="54" s="1"/>
  <c r="D10" i="54" s="1"/>
  <c r="P18" i="53" s="1"/>
  <c r="P29" i="53" s="1"/>
  <c r="P73" i="53"/>
  <c r="AC73" i="53" s="1"/>
  <c r="G14" i="54"/>
  <c r="G15" i="54" s="1"/>
  <c r="S77" i="53"/>
  <c r="X91" i="53"/>
  <c r="P91" i="53"/>
  <c r="H8" i="54"/>
  <c r="T51" i="53" s="1"/>
  <c r="T62" i="53" s="1"/>
  <c r="T73" i="53"/>
  <c r="L14" i="54"/>
  <c r="L15" i="54" s="1"/>
  <c r="X11" i="53" s="1"/>
  <c r="X77" i="53"/>
  <c r="C8" i="54"/>
  <c r="C9" i="54" s="1"/>
  <c r="O73" i="53"/>
  <c r="N14" i="54"/>
  <c r="N15" i="54" s="1"/>
  <c r="Z77" i="53"/>
  <c r="O24" i="54"/>
  <c r="C5" i="54"/>
  <c r="O50" i="53" s="1"/>
  <c r="O72" i="53"/>
  <c r="E8" i="54"/>
  <c r="Q51" i="53" s="1"/>
  <c r="Q62" i="53" s="1"/>
  <c r="Q73" i="53"/>
  <c r="H14" i="54"/>
  <c r="T44" i="53" s="1"/>
  <c r="T77" i="53"/>
  <c r="K18" i="54"/>
  <c r="K19" i="54" s="1"/>
  <c r="W23" i="53" s="1"/>
  <c r="W34" i="53" s="1"/>
  <c r="O91" i="53"/>
  <c r="F14" i="54"/>
  <c r="F15" i="54" s="1"/>
  <c r="R11" i="53" s="1"/>
  <c r="R77" i="53"/>
  <c r="D5" i="54"/>
  <c r="P50" i="53" s="1"/>
  <c r="P61" i="53" s="1"/>
  <c r="P72" i="53"/>
  <c r="I14" i="54"/>
  <c r="I15" i="54" s="1"/>
  <c r="U11" i="53" s="1"/>
  <c r="U77" i="53"/>
  <c r="E5" i="54"/>
  <c r="Q39" i="53" s="1"/>
  <c r="K5" i="54"/>
  <c r="W50" i="53" s="1"/>
  <c r="W61" i="53" s="1"/>
  <c r="W72" i="53"/>
  <c r="J14" i="54"/>
  <c r="J15" i="54" s="1"/>
  <c r="V11" i="53" s="1"/>
  <c r="V77" i="53"/>
  <c r="M5" i="54"/>
  <c r="Y39" i="53" s="1"/>
  <c r="Y72" i="53"/>
  <c r="G5" i="54"/>
  <c r="S50" i="53" s="1"/>
  <c r="S72" i="53"/>
  <c r="N8" i="54"/>
  <c r="Z40" i="53" s="1"/>
  <c r="Z73" i="53"/>
  <c r="C14" i="54"/>
  <c r="O55" i="53" s="1"/>
  <c r="O66" i="53" s="1"/>
  <c r="O77" i="53"/>
  <c r="K14" i="54"/>
  <c r="K15" i="54" s="1"/>
  <c r="W77" i="53"/>
  <c r="G57" i="54"/>
  <c r="E30" i="54"/>
  <c r="Q10" i="53" s="1"/>
  <c r="C46" i="54"/>
  <c r="H27" i="54"/>
  <c r="T9" i="53" s="1"/>
  <c r="D21" i="54"/>
  <c r="P13" i="53" s="1"/>
  <c r="G30" i="54"/>
  <c r="C29" i="54"/>
  <c r="C57" i="54"/>
  <c r="K30" i="54"/>
  <c r="W10" i="53" s="1"/>
  <c r="F21" i="54"/>
  <c r="R13" i="53" s="1"/>
  <c r="G18" i="54"/>
  <c r="S12" i="53" s="1"/>
  <c r="H18" i="54"/>
  <c r="T12" i="53" s="1"/>
  <c r="G12" i="54"/>
  <c r="S8" i="53" s="1"/>
  <c r="I12" i="54"/>
  <c r="M9" i="54"/>
  <c r="Y7" i="53" s="1"/>
  <c r="D43" i="55"/>
  <c r="Q42" i="53"/>
  <c r="E27" i="54"/>
  <c r="Q9" i="53" s="1"/>
  <c r="S42" i="53"/>
  <c r="G27" i="54"/>
  <c r="S9" i="53" s="1"/>
  <c r="Z42" i="53"/>
  <c r="N27" i="54"/>
  <c r="Z9" i="53" s="1"/>
  <c r="J27" i="54"/>
  <c r="V9" i="53" s="1"/>
  <c r="D30" i="54"/>
  <c r="P10" i="53" s="1"/>
  <c r="L30" i="54"/>
  <c r="X10" i="53" s="1"/>
  <c r="K46" i="54"/>
  <c r="H30" i="54"/>
  <c r="H31" i="54" s="1"/>
  <c r="T21" i="53" s="1"/>
  <c r="T32" i="53" s="1"/>
  <c r="I27" i="54"/>
  <c r="U9" i="53" s="1"/>
  <c r="U42" i="53"/>
  <c r="I46" i="54"/>
  <c r="I5" i="54"/>
  <c r="U50" i="53" s="1"/>
  <c r="U61" i="53" s="1"/>
  <c r="D57" i="54"/>
  <c r="O55" i="54"/>
  <c r="G10" i="57" s="1"/>
  <c r="O52" i="54"/>
  <c r="G6" i="57" s="1"/>
  <c r="R67" i="53"/>
  <c r="L9" i="54"/>
  <c r="X7" i="53" s="1"/>
  <c r="V43" i="53"/>
  <c r="J30" i="54"/>
  <c r="V10" i="53" s="1"/>
  <c r="I30" i="54"/>
  <c r="U10" i="53" s="1"/>
  <c r="F30" i="54"/>
  <c r="R10" i="53" s="1"/>
  <c r="R43" i="53"/>
  <c r="O45" i="54"/>
  <c r="C18" i="55" s="1"/>
  <c r="T56" i="53"/>
  <c r="O54" i="54"/>
  <c r="G9" i="57" s="1"/>
  <c r="C18" i="54"/>
  <c r="O12" i="53" s="1"/>
  <c r="O45" i="53"/>
  <c r="N30" i="54"/>
  <c r="Z10" i="53" s="1"/>
  <c r="Z43" i="53"/>
  <c r="Y42" i="53"/>
  <c r="M27" i="54"/>
  <c r="Y9" i="53" s="1"/>
  <c r="K11" i="54"/>
  <c r="F12" i="54"/>
  <c r="R8" i="53" s="1"/>
  <c r="L6" i="54"/>
  <c r="X6" i="53" s="1"/>
  <c r="P76" i="53"/>
  <c r="O42" i="53"/>
  <c r="C27" i="54"/>
  <c r="X52" i="53"/>
  <c r="X63" i="53" s="1"/>
  <c r="X74" i="53" s="1"/>
  <c r="L57" i="54"/>
  <c r="V56" i="53"/>
  <c r="V67" i="53" s="1"/>
  <c r="V78" i="53" s="1"/>
  <c r="J57" i="54"/>
  <c r="Y43" i="53"/>
  <c r="M30" i="54"/>
  <c r="I57" i="54"/>
  <c r="K27" i="54"/>
  <c r="W9" i="53" s="1"/>
  <c r="W42" i="53"/>
  <c r="O53" i="54"/>
  <c r="G7" i="57" s="1"/>
  <c r="K57" i="54"/>
  <c r="W53" i="53"/>
  <c r="W64" i="53" s="1"/>
  <c r="W75" i="53" s="1"/>
  <c r="H57" i="54"/>
  <c r="T52" i="53"/>
  <c r="T63" i="53" s="1"/>
  <c r="T74" i="53" s="1"/>
  <c r="N57" i="54"/>
  <c r="O44" i="54"/>
  <c r="C15" i="55" s="1"/>
  <c r="D26" i="54"/>
  <c r="L27" i="54"/>
  <c r="X9" i="53" s="1"/>
  <c r="X39" i="53"/>
  <c r="H46" i="54"/>
  <c r="H11" i="54"/>
  <c r="H12" i="54" s="1"/>
  <c r="R42" i="53"/>
  <c r="F28" i="54"/>
  <c r="R20" i="53" s="1"/>
  <c r="R31" i="53" s="1"/>
  <c r="X42" i="53"/>
  <c r="G46" i="54"/>
  <c r="O56" i="54"/>
  <c r="M57" i="54"/>
  <c r="U45" i="53"/>
  <c r="I18" i="54"/>
  <c r="U12" i="53" s="1"/>
  <c r="E17" i="54"/>
  <c r="O41" i="54"/>
  <c r="C24" i="55" s="1"/>
  <c r="C9" i="57" s="1"/>
  <c r="V45" i="53"/>
  <c r="J18" i="54"/>
  <c r="V12" i="53" s="1"/>
  <c r="Q67" i="53"/>
  <c r="W63" i="53"/>
  <c r="F9" i="54"/>
  <c r="R40" i="53"/>
  <c r="R51" i="53"/>
  <c r="Y40" i="53"/>
  <c r="Y51" i="53"/>
  <c r="D14" i="54"/>
  <c r="O40" i="54"/>
  <c r="C21" i="55" s="1"/>
  <c r="C8" i="57" s="1"/>
  <c r="R45" i="53"/>
  <c r="F18" i="54"/>
  <c r="R12" i="53" s="1"/>
  <c r="E20" i="54"/>
  <c r="O42" i="54"/>
  <c r="C27" i="55" s="1"/>
  <c r="C10" i="57" s="1"/>
  <c r="X46" i="53"/>
  <c r="L21" i="54"/>
  <c r="X13" i="53" s="1"/>
  <c r="P74" i="53"/>
  <c r="AC74" i="53" s="1"/>
  <c r="X78" i="53"/>
  <c r="R79" i="53"/>
  <c r="Y46" i="53"/>
  <c r="D46" i="54"/>
  <c r="D11" i="54"/>
  <c r="O39" i="54"/>
  <c r="C12" i="55" s="1"/>
  <c r="C5" i="57" s="1"/>
  <c r="Y41" i="53"/>
  <c r="M12" i="54"/>
  <c r="Y8" i="53" s="1"/>
  <c r="F57" i="54"/>
  <c r="R52" i="53"/>
  <c r="P68" i="53"/>
  <c r="R46" i="53"/>
  <c r="G8" i="54"/>
  <c r="O38" i="54"/>
  <c r="C9" i="55" s="1"/>
  <c r="C4" i="57" s="1"/>
  <c r="T46" i="53"/>
  <c r="H21" i="54"/>
  <c r="T13" i="53" s="1"/>
  <c r="L12" i="54"/>
  <c r="X8" i="53" s="1"/>
  <c r="O37" i="54"/>
  <c r="E46" i="54"/>
  <c r="J46" i="54"/>
  <c r="J5" i="54"/>
  <c r="O46" i="53"/>
  <c r="C21" i="54"/>
  <c r="C22" i="54" s="1"/>
  <c r="V46" i="53"/>
  <c r="J21" i="54"/>
  <c r="L18" i="54"/>
  <c r="X12" i="53" s="1"/>
  <c r="N46" i="54"/>
  <c r="N5" i="54"/>
  <c r="S46" i="53"/>
  <c r="O67" i="53"/>
  <c r="Z45" i="53"/>
  <c r="N18" i="54"/>
  <c r="Z12" i="53" s="1"/>
  <c r="G21" i="54"/>
  <c r="S13" i="53" s="1"/>
  <c r="M21" i="54"/>
  <c r="Y13" i="53" s="1"/>
  <c r="N12" i="54"/>
  <c r="Z8" i="53" s="1"/>
  <c r="Z41" i="53"/>
  <c r="K21" i="54"/>
  <c r="W46" i="53"/>
  <c r="Q79" i="53"/>
  <c r="C12" i="54"/>
  <c r="F46" i="54"/>
  <c r="M46" i="54"/>
  <c r="S41" i="53"/>
  <c r="P45" i="53"/>
  <c r="D18" i="54"/>
  <c r="Y45" i="53"/>
  <c r="M18" i="54"/>
  <c r="O51" i="54"/>
  <c r="G5" i="57" s="1"/>
  <c r="O52" i="53"/>
  <c r="U46" i="53"/>
  <c r="I21" i="54"/>
  <c r="N21" i="54"/>
  <c r="Q52" i="53"/>
  <c r="E57" i="54"/>
  <c r="V41" i="53"/>
  <c r="J12" i="54"/>
  <c r="S45" i="53"/>
  <c r="L46" i="54"/>
  <c r="T45" i="53"/>
  <c r="AC78" i="53"/>
  <c r="U40" i="53" l="1"/>
  <c r="X51" i="53"/>
  <c r="T55" i="53"/>
  <c r="T39" i="53"/>
  <c r="T50" i="53"/>
  <c r="E15" i="54"/>
  <c r="Q11" i="53" s="1"/>
  <c r="W51" i="53"/>
  <c r="W62" i="53" s="1"/>
  <c r="K9" i="54"/>
  <c r="W7" i="53" s="1"/>
  <c r="E17" i="55"/>
  <c r="C6" i="57"/>
  <c r="G11" i="57"/>
  <c r="E20" i="55"/>
  <c r="C7" i="57"/>
  <c r="E7" i="57" s="1"/>
  <c r="I7" i="57" s="1"/>
  <c r="R44" i="53"/>
  <c r="O39" i="53"/>
  <c r="AB39" i="53" s="1"/>
  <c r="R55" i="53"/>
  <c r="R66" i="53" s="1"/>
  <c r="M32" i="54"/>
  <c r="H15" i="54"/>
  <c r="T11" i="53" s="1"/>
  <c r="Y55" i="53"/>
  <c r="Y66" i="53" s="1"/>
  <c r="F32" i="54"/>
  <c r="S44" i="53"/>
  <c r="I9" i="54"/>
  <c r="U7" i="53" s="1"/>
  <c r="L32" i="54"/>
  <c r="Q8" i="53"/>
  <c r="L10" i="54"/>
  <c r="X18" i="53" s="1"/>
  <c r="X29" i="53" s="1"/>
  <c r="J28" i="54"/>
  <c r="V20" i="53" s="1"/>
  <c r="V31" i="53" s="1"/>
  <c r="E31" i="54"/>
  <c r="Q21" i="53" s="1"/>
  <c r="Q32" i="53" s="1"/>
  <c r="M15" i="54"/>
  <c r="Y11" i="53" s="1"/>
  <c r="F22" i="54"/>
  <c r="R24" i="53" s="1"/>
  <c r="R35" i="53" s="1"/>
  <c r="H32" i="54"/>
  <c r="G6" i="54"/>
  <c r="S6" i="53" s="1"/>
  <c r="W39" i="53"/>
  <c r="AC72" i="53"/>
  <c r="T40" i="53"/>
  <c r="Q50" i="53"/>
  <c r="Q61" i="53" s="1"/>
  <c r="S39" i="53"/>
  <c r="K6" i="54"/>
  <c r="K7" i="54" s="1"/>
  <c r="W17" i="53" s="1"/>
  <c r="U55" i="53"/>
  <c r="U66" i="53" s="1"/>
  <c r="U69" i="53" s="1"/>
  <c r="W12" i="53"/>
  <c r="U44" i="53"/>
  <c r="X55" i="53"/>
  <c r="X66" i="53" s="1"/>
  <c r="H9" i="54"/>
  <c r="T7" i="53" s="1"/>
  <c r="O51" i="53"/>
  <c r="O58" i="53" s="1"/>
  <c r="O40" i="53"/>
  <c r="AB40" i="53" s="1"/>
  <c r="F6" i="54"/>
  <c r="R6" i="53" s="1"/>
  <c r="W44" i="53"/>
  <c r="E6" i="54"/>
  <c r="Y50" i="53"/>
  <c r="M6" i="54"/>
  <c r="Y6" i="53" s="1"/>
  <c r="Z44" i="53"/>
  <c r="K32" i="54"/>
  <c r="W55" i="53"/>
  <c r="W66" i="53" s="1"/>
  <c r="K31" i="54"/>
  <c r="W21" i="53" s="1"/>
  <c r="W32" i="53" s="1"/>
  <c r="W11" i="53"/>
  <c r="K16" i="54"/>
  <c r="W22" i="53" s="1"/>
  <c r="W33" i="53" s="1"/>
  <c r="O14" i="54"/>
  <c r="V55" i="53"/>
  <c r="V66" i="53" s="1"/>
  <c r="V44" i="53"/>
  <c r="X44" i="53"/>
  <c r="N9" i="54"/>
  <c r="Z7" i="53" s="1"/>
  <c r="Z51" i="53"/>
  <c r="Z62" i="53" s="1"/>
  <c r="F31" i="54"/>
  <c r="R21" i="53" s="1"/>
  <c r="R32" i="53" s="1"/>
  <c r="D6" i="54"/>
  <c r="P6" i="53" s="1"/>
  <c r="P39" i="53"/>
  <c r="AC39" i="53" s="1"/>
  <c r="Q44" i="53"/>
  <c r="P40" i="53"/>
  <c r="AC40" i="53" s="1"/>
  <c r="P51" i="53"/>
  <c r="P62" i="53" s="1"/>
  <c r="C6" i="54"/>
  <c r="O6" i="53" s="1"/>
  <c r="Z55" i="53"/>
  <c r="Z66" i="53" s="1"/>
  <c r="M10" i="54"/>
  <c r="Y18" i="53" s="1"/>
  <c r="Y29" i="53" s="1"/>
  <c r="G32" i="54"/>
  <c r="Q40" i="53"/>
  <c r="AD40" i="53" s="1"/>
  <c r="P7" i="53"/>
  <c r="C32" i="54"/>
  <c r="S55" i="53"/>
  <c r="S66" i="53" s="1"/>
  <c r="T41" i="53"/>
  <c r="J16" i="54"/>
  <c r="V22" i="53" s="1"/>
  <c r="V33" i="53" s="1"/>
  <c r="R50" i="53"/>
  <c r="R61" i="53" s="1"/>
  <c r="R39" i="53"/>
  <c r="O44" i="53"/>
  <c r="E9" i="54"/>
  <c r="Q7" i="53" s="1"/>
  <c r="C15" i="54"/>
  <c r="O11" i="53" s="1"/>
  <c r="V51" i="53"/>
  <c r="V62" i="53" s="1"/>
  <c r="V40" i="53"/>
  <c r="N32" i="54"/>
  <c r="O8" i="54"/>
  <c r="D22" i="54"/>
  <c r="P24" i="53" s="1"/>
  <c r="P35" i="53" s="1"/>
  <c r="O29" i="54"/>
  <c r="I31" i="54"/>
  <c r="U21" i="53" s="1"/>
  <c r="U32" i="53" s="1"/>
  <c r="H28" i="54"/>
  <c r="T20" i="53" s="1"/>
  <c r="T31" i="53" s="1"/>
  <c r="Y47" i="53"/>
  <c r="I28" i="54"/>
  <c r="U20" i="53" s="1"/>
  <c r="U31" i="53" s="1"/>
  <c r="T10" i="53"/>
  <c r="G28" i="54"/>
  <c r="S20" i="53" s="1"/>
  <c r="S31" i="53" s="1"/>
  <c r="S10" i="53"/>
  <c r="G31" i="54"/>
  <c r="S21" i="53" s="1"/>
  <c r="S32" i="53" s="1"/>
  <c r="N31" i="54"/>
  <c r="Z21" i="53" s="1"/>
  <c r="Z32" i="53" s="1"/>
  <c r="N28" i="54"/>
  <c r="Z20" i="53" s="1"/>
  <c r="Z31" i="53" s="1"/>
  <c r="O43" i="53"/>
  <c r="C30" i="54"/>
  <c r="O30" i="54" s="1"/>
  <c r="G19" i="54"/>
  <c r="S23" i="53" s="1"/>
  <c r="S34" i="53" s="1"/>
  <c r="G13" i="54"/>
  <c r="S19" i="53" s="1"/>
  <c r="S30" i="53" s="1"/>
  <c r="F13" i="54"/>
  <c r="R19" i="53" s="1"/>
  <c r="R30" i="53" s="1"/>
  <c r="M13" i="54"/>
  <c r="Y19" i="53" s="1"/>
  <c r="Y30" i="53" s="1"/>
  <c r="H19" i="54"/>
  <c r="T23" i="53" s="1"/>
  <c r="T34" i="53" s="1"/>
  <c r="C19" i="54"/>
  <c r="O23" i="53" s="1"/>
  <c r="O34" i="53" s="1"/>
  <c r="L16" i="54"/>
  <c r="X22" i="53" s="1"/>
  <c r="X33" i="53" s="1"/>
  <c r="U8" i="53"/>
  <c r="I13" i="54"/>
  <c r="U19" i="53" s="1"/>
  <c r="U30" i="53" s="1"/>
  <c r="V7" i="53"/>
  <c r="D31" i="54"/>
  <c r="P21" i="53" s="1"/>
  <c r="P32" i="53" s="1"/>
  <c r="L31" i="54"/>
  <c r="X21" i="53" s="1"/>
  <c r="X32" i="53" s="1"/>
  <c r="E28" i="54"/>
  <c r="Q20" i="53" s="1"/>
  <c r="Q31" i="53" s="1"/>
  <c r="M28" i="54"/>
  <c r="Y20" i="53" s="1"/>
  <c r="Y31" i="53" s="1"/>
  <c r="AE79" i="53"/>
  <c r="AD79" i="53"/>
  <c r="T8" i="53"/>
  <c r="H13" i="54"/>
  <c r="T19" i="53" s="1"/>
  <c r="T30" i="53" s="1"/>
  <c r="X47" i="53"/>
  <c r="K12" i="54"/>
  <c r="W41" i="53"/>
  <c r="O57" i="54"/>
  <c r="U39" i="53"/>
  <c r="L22" i="54"/>
  <c r="X24" i="53" s="1"/>
  <c r="X35" i="53" s="1"/>
  <c r="K28" i="54"/>
  <c r="W20" i="53" s="1"/>
  <c r="W31" i="53" s="1"/>
  <c r="J31" i="54"/>
  <c r="V21" i="53" s="1"/>
  <c r="V32" i="53" s="1"/>
  <c r="I32" i="54"/>
  <c r="H22" i="54"/>
  <c r="T24" i="53" s="1"/>
  <c r="T35" i="53" s="1"/>
  <c r="L28" i="54"/>
  <c r="X20" i="53" s="1"/>
  <c r="X31" i="53" s="1"/>
  <c r="L7" i="54"/>
  <c r="X17" i="53" s="1"/>
  <c r="AB77" i="53"/>
  <c r="I6" i="54"/>
  <c r="U6" i="53" s="1"/>
  <c r="U58" i="53"/>
  <c r="R78" i="53"/>
  <c r="Y10" i="53"/>
  <c r="M31" i="54"/>
  <c r="Y21" i="53" s="1"/>
  <c r="Y32" i="53" s="1"/>
  <c r="T67" i="53"/>
  <c r="T78" i="53" s="1"/>
  <c r="O5" i="54"/>
  <c r="O11" i="54"/>
  <c r="F16" i="54"/>
  <c r="R22" i="53" s="1"/>
  <c r="R33" i="53" s="1"/>
  <c r="O26" i="54"/>
  <c r="D27" i="54"/>
  <c r="P9" i="53" s="1"/>
  <c r="P42" i="53"/>
  <c r="O9" i="53"/>
  <c r="C28" i="54"/>
  <c r="O7" i="53"/>
  <c r="E14" i="55"/>
  <c r="E5" i="57" s="1"/>
  <c r="E13" i="55"/>
  <c r="D5" i="57" s="1"/>
  <c r="V13" i="53"/>
  <c r="J22" i="54"/>
  <c r="V24" i="53" s="1"/>
  <c r="V35" i="53" s="1"/>
  <c r="E22" i="55"/>
  <c r="D8" i="57" s="1"/>
  <c r="E23" i="55"/>
  <c r="E8" i="57" s="1"/>
  <c r="W74" i="53"/>
  <c r="J32" i="54"/>
  <c r="C6" i="55"/>
  <c r="C3" i="57" s="1"/>
  <c r="O46" i="54"/>
  <c r="X14" i="53"/>
  <c r="R63" i="53"/>
  <c r="Y62" i="53"/>
  <c r="I19" i="54"/>
  <c r="U23" i="53" s="1"/>
  <c r="U34" i="53" s="1"/>
  <c r="T66" i="53"/>
  <c r="O8" i="53"/>
  <c r="C13" i="54"/>
  <c r="N13" i="54"/>
  <c r="Z19" i="53" s="1"/>
  <c r="Z30" i="53" s="1"/>
  <c r="N19" i="54"/>
  <c r="Z23" i="53" s="1"/>
  <c r="Z34" i="53" s="1"/>
  <c r="G22" i="54"/>
  <c r="S24" i="53" s="1"/>
  <c r="S35" i="53" s="1"/>
  <c r="L19" i="54"/>
  <c r="X23" i="53" s="1"/>
  <c r="X34" i="53" s="1"/>
  <c r="O24" i="53"/>
  <c r="O35" i="53" s="1"/>
  <c r="L13" i="54"/>
  <c r="X19" i="53" s="1"/>
  <c r="F19" i="54"/>
  <c r="R23" i="53" s="1"/>
  <c r="R34" i="53" s="1"/>
  <c r="E25" i="55"/>
  <c r="D9" i="57" s="1"/>
  <c r="E26" i="55"/>
  <c r="E9" i="57" s="1"/>
  <c r="AC83" i="53"/>
  <c r="P79" i="53"/>
  <c r="AC79" i="53" s="1"/>
  <c r="E21" i="54"/>
  <c r="Q13" i="53" s="1"/>
  <c r="E32" i="54"/>
  <c r="Q46" i="53"/>
  <c r="O63" i="53"/>
  <c r="C10" i="54"/>
  <c r="O61" i="53"/>
  <c r="R62" i="53"/>
  <c r="Q45" i="53"/>
  <c r="E18" i="54"/>
  <c r="Q12" i="53" s="1"/>
  <c r="O17" i="54"/>
  <c r="W13" i="53"/>
  <c r="K22" i="54"/>
  <c r="W24" i="53" s="1"/>
  <c r="W35" i="53" s="1"/>
  <c r="J19" i="54"/>
  <c r="V23" i="53" s="1"/>
  <c r="V34" i="53" s="1"/>
  <c r="O13" i="53"/>
  <c r="E10" i="55"/>
  <c r="D4" i="57" s="1"/>
  <c r="E11" i="55"/>
  <c r="E4" i="57" s="1"/>
  <c r="H7" i="54"/>
  <c r="T17" i="53" s="1"/>
  <c r="V50" i="53"/>
  <c r="V39" i="53"/>
  <c r="J6" i="54"/>
  <c r="V6" i="53" s="1"/>
  <c r="V8" i="53"/>
  <c r="J13" i="54"/>
  <c r="V19" i="53" s="1"/>
  <c r="V30" i="53" s="1"/>
  <c r="D19" i="54"/>
  <c r="P12" i="53"/>
  <c r="Z11" i="53"/>
  <c r="N16" i="54"/>
  <c r="Z22" i="53" s="1"/>
  <c r="Z33" i="53" s="1"/>
  <c r="Z39" i="53"/>
  <c r="Z50" i="53"/>
  <c r="N6" i="54"/>
  <c r="Z6" i="53" s="1"/>
  <c r="P41" i="53"/>
  <c r="D12" i="54"/>
  <c r="P8" i="53" s="1"/>
  <c r="E28" i="55"/>
  <c r="D10" i="57" s="1"/>
  <c r="E29" i="55"/>
  <c r="E10" i="57" s="1"/>
  <c r="Q78" i="53"/>
  <c r="AD78" i="53" s="1"/>
  <c r="O78" i="53"/>
  <c r="AB78" i="53" s="1"/>
  <c r="P44" i="53"/>
  <c r="P55" i="53"/>
  <c r="D15" i="54"/>
  <c r="D16" i="54" s="1"/>
  <c r="D32" i="54"/>
  <c r="Q63" i="53"/>
  <c r="S61" i="53"/>
  <c r="Z13" i="53"/>
  <c r="N22" i="54"/>
  <c r="Z24" i="53" s="1"/>
  <c r="Z35" i="53" s="1"/>
  <c r="O20" i="54"/>
  <c r="Q66" i="53"/>
  <c r="X62" i="53"/>
  <c r="S11" i="53"/>
  <c r="G16" i="54"/>
  <c r="S22" i="53" s="1"/>
  <c r="S33" i="53" s="1"/>
  <c r="I22" i="54"/>
  <c r="U24" i="53" s="1"/>
  <c r="U13" i="53"/>
  <c r="Y12" i="53"/>
  <c r="M19" i="54"/>
  <c r="Y23" i="53" s="1"/>
  <c r="Y34" i="53" s="1"/>
  <c r="I16" i="54"/>
  <c r="U22" i="53" s="1"/>
  <c r="U33" i="53" s="1"/>
  <c r="S40" i="53"/>
  <c r="G9" i="54"/>
  <c r="S7" i="53" s="1"/>
  <c r="S51" i="53"/>
  <c r="AB84" i="53"/>
  <c r="R7" i="53"/>
  <c r="F10" i="54"/>
  <c r="R18" i="53" s="1"/>
  <c r="R29" i="53" s="1"/>
  <c r="M22" i="54"/>
  <c r="Y24" i="53" s="1"/>
  <c r="Y35" i="53" s="1"/>
  <c r="AF79" i="53"/>
  <c r="AD73" i="53"/>
  <c r="R47" i="53" l="1"/>
  <c r="W69" i="53"/>
  <c r="E16" i="54"/>
  <c r="Q22" i="53" s="1"/>
  <c r="Q33" i="53" s="1"/>
  <c r="T58" i="53"/>
  <c r="T61" i="53"/>
  <c r="K10" i="54"/>
  <c r="W18" i="53" s="1"/>
  <c r="W29" i="53" s="1"/>
  <c r="I10" i="57"/>
  <c r="I4" i="57"/>
  <c r="O62" i="53"/>
  <c r="O69" i="53" s="1"/>
  <c r="C11" i="57"/>
  <c r="E6" i="57"/>
  <c r="I6" i="57" s="1"/>
  <c r="I9" i="57"/>
  <c r="I8" i="57"/>
  <c r="I5" i="57"/>
  <c r="I7" i="54"/>
  <c r="U17" i="53" s="1"/>
  <c r="U28" i="53" s="1"/>
  <c r="H16" i="54"/>
  <c r="T22" i="53" s="1"/>
  <c r="T33" i="53" s="1"/>
  <c r="W58" i="53"/>
  <c r="Y58" i="53"/>
  <c r="S47" i="53"/>
  <c r="I10" i="54"/>
  <c r="U18" i="53" s="1"/>
  <c r="U29" i="53" s="1"/>
  <c r="Y61" i="53"/>
  <c r="R14" i="53"/>
  <c r="M16" i="54"/>
  <c r="Y22" i="53" s="1"/>
  <c r="Y33" i="53" s="1"/>
  <c r="N10" i="54"/>
  <c r="Z18" i="53" s="1"/>
  <c r="Z29" i="53" s="1"/>
  <c r="C7" i="54"/>
  <c r="O17" i="53" s="1"/>
  <c r="W6" i="53"/>
  <c r="F7" i="54"/>
  <c r="R17" i="53" s="1"/>
  <c r="R28" i="53" s="1"/>
  <c r="G7" i="54"/>
  <c r="S17" i="53" s="1"/>
  <c r="S28" i="53" s="1"/>
  <c r="V47" i="53"/>
  <c r="Q58" i="53"/>
  <c r="X58" i="53"/>
  <c r="E10" i="54"/>
  <c r="Q18" i="53" s="1"/>
  <c r="Q29" i="53" s="1"/>
  <c r="W47" i="53"/>
  <c r="D7" i="54"/>
  <c r="P17" i="53" s="1"/>
  <c r="R58" i="53"/>
  <c r="T47" i="53"/>
  <c r="H10" i="54"/>
  <c r="T18" i="53" s="1"/>
  <c r="T29" i="53" s="1"/>
  <c r="U47" i="53"/>
  <c r="Z47" i="53"/>
  <c r="S58" i="53"/>
  <c r="E19" i="54"/>
  <c r="Q23" i="53" s="1"/>
  <c r="Q34" i="53" s="1"/>
  <c r="M7" i="54"/>
  <c r="Y17" i="53" s="1"/>
  <c r="Q6" i="53"/>
  <c r="Q14" i="53" s="1"/>
  <c r="E7" i="54"/>
  <c r="Q17" i="53" s="1"/>
  <c r="C16" i="54"/>
  <c r="O22" i="53" s="1"/>
  <c r="O33" i="53" s="1"/>
  <c r="O47" i="53"/>
  <c r="E22" i="54"/>
  <c r="Q24" i="53" s="1"/>
  <c r="Q35" i="53" s="1"/>
  <c r="R69" i="53"/>
  <c r="T14" i="53"/>
  <c r="Q47" i="53"/>
  <c r="O10" i="53"/>
  <c r="C31" i="54"/>
  <c r="O21" i="53" s="1"/>
  <c r="O32" i="53" s="1"/>
  <c r="O18" i="54"/>
  <c r="S14" i="53"/>
  <c r="V14" i="53"/>
  <c r="O21" i="54"/>
  <c r="O27" i="54"/>
  <c r="D28" i="54"/>
  <c r="P20" i="53" s="1"/>
  <c r="O6" i="54"/>
  <c r="O20" i="53"/>
  <c r="X28" i="53"/>
  <c r="W8" i="53"/>
  <c r="K13" i="54"/>
  <c r="W19" i="53" s="1"/>
  <c r="AE40" i="53"/>
  <c r="P22" i="53"/>
  <c r="AB91" i="53"/>
  <c r="T69" i="53"/>
  <c r="T80" i="53"/>
  <c r="AD77" i="53"/>
  <c r="P66" i="53"/>
  <c r="P58" i="53"/>
  <c r="AB73" i="53"/>
  <c r="O18" i="53"/>
  <c r="P47" i="53"/>
  <c r="AC84" i="53"/>
  <c r="AC91" i="53" s="1"/>
  <c r="N7" i="54"/>
  <c r="Z17" i="53" s="1"/>
  <c r="P23" i="53"/>
  <c r="J7" i="54"/>
  <c r="V17" i="53" s="1"/>
  <c r="Q69" i="53"/>
  <c r="W28" i="53"/>
  <c r="W80" i="53"/>
  <c r="E7" i="55"/>
  <c r="D3" i="57" s="1"/>
  <c r="C30" i="55"/>
  <c r="E8" i="55"/>
  <c r="E3" i="57" s="1"/>
  <c r="U35" i="53"/>
  <c r="S62" i="53"/>
  <c r="Z14" i="53"/>
  <c r="O74" i="53"/>
  <c r="AB74" i="53" s="1"/>
  <c r="O32" i="54"/>
  <c r="R74" i="53"/>
  <c r="AE74" i="53" s="1"/>
  <c r="T28" i="53"/>
  <c r="Y14" i="53"/>
  <c r="AD83" i="53"/>
  <c r="P11" i="53"/>
  <c r="O15" i="54"/>
  <c r="Y69" i="53"/>
  <c r="O19" i="53"/>
  <c r="U80" i="53"/>
  <c r="Z61" i="53"/>
  <c r="Z58" i="53"/>
  <c r="U14" i="53"/>
  <c r="AE73" i="53"/>
  <c r="X30" i="53"/>
  <c r="X25" i="53"/>
  <c r="G10" i="54"/>
  <c r="S18" i="53" s="1"/>
  <c r="V61" i="53"/>
  <c r="V58" i="53"/>
  <c r="X69" i="53"/>
  <c r="X80" i="53"/>
  <c r="Q74" i="53"/>
  <c r="AD74" i="53" s="1"/>
  <c r="D13" i="54"/>
  <c r="P19" i="53" s="1"/>
  <c r="O12" i="54"/>
  <c r="O9" i="54"/>
  <c r="AG79" i="53"/>
  <c r="AE77" i="53"/>
  <c r="AE78" i="53"/>
  <c r="AD39" i="53"/>
  <c r="AE72" i="53"/>
  <c r="W25" i="53" l="1"/>
  <c r="E11" i="57"/>
  <c r="I3" i="57"/>
  <c r="D11" i="57"/>
  <c r="U25" i="53"/>
  <c r="T25" i="53"/>
  <c r="O19" i="54"/>
  <c r="R36" i="53"/>
  <c r="R25" i="53"/>
  <c r="Y25" i="53"/>
  <c r="Y28" i="53"/>
  <c r="Y36" i="53" s="1"/>
  <c r="P28" i="53"/>
  <c r="O22" i="54"/>
  <c r="Q28" i="53"/>
  <c r="O13" i="54"/>
  <c r="O16" i="54"/>
  <c r="Q25" i="53"/>
  <c r="O14" i="53"/>
  <c r="P14" i="53"/>
  <c r="O31" i="54"/>
  <c r="P25" i="53"/>
  <c r="O28" i="54"/>
  <c r="AF40" i="53"/>
  <c r="W14" i="53"/>
  <c r="AG40" i="53"/>
  <c r="W30" i="53"/>
  <c r="O31" i="53"/>
  <c r="P31" i="53"/>
  <c r="Z25" i="53"/>
  <c r="Z28" i="53"/>
  <c r="P33" i="53"/>
  <c r="R80" i="53"/>
  <c r="AB72" i="53"/>
  <c r="O80" i="53"/>
  <c r="T36" i="53"/>
  <c r="E30" i="55"/>
  <c r="V69" i="53"/>
  <c r="V80" i="53"/>
  <c r="S80" i="53"/>
  <c r="O28" i="53"/>
  <c r="O25" i="53"/>
  <c r="AD84" i="53"/>
  <c r="Z69" i="53"/>
  <c r="Z80" i="53"/>
  <c r="O7" i="54"/>
  <c r="AE83" i="53"/>
  <c r="Q80" i="53"/>
  <c r="AD72" i="53"/>
  <c r="U36" i="53"/>
  <c r="V28" i="53"/>
  <c r="V25" i="53"/>
  <c r="S69" i="53"/>
  <c r="P34" i="53"/>
  <c r="S29" i="53"/>
  <c r="O10" i="54"/>
  <c r="P69" i="53"/>
  <c r="Y80" i="53"/>
  <c r="O29" i="53"/>
  <c r="P30" i="53"/>
  <c r="X36" i="53"/>
  <c r="O30" i="53"/>
  <c r="S25" i="53"/>
  <c r="AF73" i="53"/>
  <c r="AF72" i="53"/>
  <c r="AF77" i="53"/>
  <c r="AF74" i="53"/>
  <c r="AE39" i="53"/>
  <c r="AH79" i="53"/>
  <c r="AF78" i="53"/>
  <c r="I11" i="57" l="1"/>
  <c r="Q36" i="53"/>
  <c r="AH40" i="53"/>
  <c r="S36" i="53"/>
  <c r="W36" i="53"/>
  <c r="AC77" i="53"/>
  <c r="P80" i="53"/>
  <c r="O36" i="53"/>
  <c r="Z36" i="53"/>
  <c r="V36" i="53"/>
  <c r="AF83" i="53"/>
  <c r="P36" i="53"/>
  <c r="AE84" i="53"/>
  <c r="AE91" i="53" s="1"/>
  <c r="AD91" i="53"/>
  <c r="AG78" i="53"/>
  <c r="AF39" i="53"/>
  <c r="AG72" i="53"/>
  <c r="AG74" i="53"/>
  <c r="AG73" i="53"/>
  <c r="AI79" i="53"/>
  <c r="AG77" i="53"/>
  <c r="AI40" i="53" l="1"/>
  <c r="AG83" i="53"/>
  <c r="AF84" i="53"/>
  <c r="AF91" i="53" s="1"/>
  <c r="AG39" i="53"/>
  <c r="AH73" i="53"/>
  <c r="AH72" i="53"/>
  <c r="AH74" i="53"/>
  <c r="AH77" i="53"/>
  <c r="AJ79" i="53"/>
  <c r="AH78" i="53"/>
  <c r="AJ40" i="53" l="1"/>
  <c r="AH83" i="53"/>
  <c r="AG84" i="53"/>
  <c r="AG91" i="53" s="1"/>
  <c r="AI78" i="53"/>
  <c r="AI77" i="53"/>
  <c r="AH39" i="53"/>
  <c r="AI72" i="53"/>
  <c r="AI73" i="53"/>
  <c r="AI74" i="53"/>
  <c r="AK79" i="53"/>
  <c r="AK40" i="53" l="1"/>
  <c r="AH84" i="53"/>
  <c r="AH91" i="53" s="1"/>
  <c r="AI83" i="53"/>
  <c r="AI39" i="53"/>
  <c r="AM79" i="53"/>
  <c r="AL79" i="53"/>
  <c r="AJ74" i="53"/>
  <c r="AJ72" i="53"/>
  <c r="AJ73" i="53"/>
  <c r="AJ77" i="53"/>
  <c r="AJ78" i="53"/>
  <c r="AM40" i="53" l="1"/>
  <c r="AL40" i="53"/>
  <c r="AJ83" i="53"/>
  <c r="AN79" i="53"/>
  <c r="AI84" i="53"/>
  <c r="AI91" i="53" s="1"/>
  <c r="AK74" i="53"/>
  <c r="AK73" i="53"/>
  <c r="AK77" i="53"/>
  <c r="AJ39" i="53"/>
  <c r="AK78" i="53"/>
  <c r="AK72" i="53"/>
  <c r="AN40" i="53" l="1"/>
  <c r="AJ84" i="53"/>
  <c r="AJ91" i="53" s="1"/>
  <c r="AK83" i="53"/>
  <c r="AL78" i="53"/>
  <c r="AM78" i="53"/>
  <c r="AL74" i="53"/>
  <c r="AM74" i="53"/>
  <c r="AL77" i="53"/>
  <c r="AM77" i="53"/>
  <c r="AK39" i="53"/>
  <c r="AM72" i="53"/>
  <c r="AL72" i="53"/>
  <c r="AL73" i="53"/>
  <c r="AM73" i="53"/>
  <c r="AN73" i="53" l="1"/>
  <c r="AN77" i="53"/>
  <c r="AM83" i="53"/>
  <c r="AL83" i="53"/>
  <c r="AK84" i="53"/>
  <c r="AK91" i="53" s="1"/>
  <c r="AN78" i="53"/>
  <c r="AN72" i="53"/>
  <c r="AL39" i="53"/>
  <c r="AM39" i="53"/>
  <c r="AN74" i="53"/>
  <c r="AN83" i="53" l="1"/>
  <c r="AM84" i="53"/>
  <c r="AL84" i="53"/>
  <c r="AL91" i="53"/>
  <c r="AN39" i="53"/>
  <c r="AN84" i="53" l="1"/>
  <c r="AN91" i="53" s="1"/>
  <c r="AM91" i="53"/>
  <c r="B11" i="56" l="1"/>
  <c r="E11" i="56" l="1"/>
  <c r="D11" i="56"/>
  <c r="AB45" i="53" l="1"/>
  <c r="AB44" i="53"/>
  <c r="AB46" i="53"/>
  <c r="AB41" i="53"/>
  <c r="AC46" i="53" l="1"/>
  <c r="AC41" i="53"/>
  <c r="AC44" i="53"/>
  <c r="AB42" i="53"/>
  <c r="AC45" i="53"/>
  <c r="AD45" i="53" l="1"/>
  <c r="AD41" i="53"/>
  <c r="AD46" i="53"/>
  <c r="AC42" i="53"/>
  <c r="AB43" i="53"/>
  <c r="AB47" i="53" s="1"/>
  <c r="AD44" i="53"/>
  <c r="AE44" i="53" l="1"/>
  <c r="AE41" i="53"/>
  <c r="AE46" i="53"/>
  <c r="AC43" i="53"/>
  <c r="AC47" i="53" s="1"/>
  <c r="AE45" i="53"/>
  <c r="AD42" i="53"/>
  <c r="AE42" i="53" l="1"/>
  <c r="AF46" i="53"/>
  <c r="AF41" i="53"/>
  <c r="AF45" i="53"/>
  <c r="AD43" i="53"/>
  <c r="AD47" i="53" s="1"/>
  <c r="AF44" i="53"/>
  <c r="AE43" i="53" l="1"/>
  <c r="AE47" i="53" s="1"/>
  <c r="AG44" i="53"/>
  <c r="AG46" i="53"/>
  <c r="AG45" i="53"/>
  <c r="AF42" i="53"/>
  <c r="AG41" i="53"/>
  <c r="AH44" i="53" l="1"/>
  <c r="AG42" i="53"/>
  <c r="AH46" i="53"/>
  <c r="AH41" i="53"/>
  <c r="AF43" i="53"/>
  <c r="AH45" i="53"/>
  <c r="AI41" i="53" l="1"/>
  <c r="AI46" i="53"/>
  <c r="AG43" i="53"/>
  <c r="AG47" i="53" s="1"/>
  <c r="AI44" i="53"/>
  <c r="AI45" i="53"/>
  <c r="AH42" i="53"/>
  <c r="AF47" i="53"/>
  <c r="AJ46" i="53" l="1"/>
  <c r="AJ44" i="53"/>
  <c r="AH43" i="53"/>
  <c r="AH47" i="53" s="1"/>
  <c r="AI42" i="53"/>
  <c r="AJ45" i="53"/>
  <c r="AJ41" i="53"/>
  <c r="AJ42" i="53" l="1"/>
  <c r="AI43" i="53"/>
  <c r="AI47" i="53" s="1"/>
  <c r="AK41" i="53"/>
  <c r="AK44" i="53"/>
  <c r="AK45" i="53"/>
  <c r="AK46" i="53"/>
  <c r="AM41" i="53" l="1"/>
  <c r="AL41" i="53"/>
  <c r="AJ43" i="53"/>
  <c r="AJ47" i="53" s="1"/>
  <c r="AL44" i="53"/>
  <c r="AM44" i="53"/>
  <c r="AN44" i="53" s="1"/>
  <c r="AL46" i="53"/>
  <c r="AM46" i="53"/>
  <c r="AN46" i="53" s="1"/>
  <c r="AK42" i="53"/>
  <c r="AL45" i="53"/>
  <c r="AM45" i="53"/>
  <c r="AN45" i="53" s="1"/>
  <c r="AK43" i="53" l="1"/>
  <c r="AK47" i="53" s="1"/>
  <c r="AL42" i="53"/>
  <c r="AM42" i="53"/>
  <c r="AN41" i="53"/>
  <c r="AN42" i="53" l="1"/>
  <c r="AL43" i="53"/>
  <c r="AL47" i="53" s="1"/>
  <c r="AM43" i="53"/>
  <c r="AM47" i="53" l="1"/>
  <c r="AN43" i="53"/>
  <c r="AN47" i="53" s="1"/>
  <c r="B7" i="56" l="1"/>
  <c r="E7" i="56" l="1"/>
  <c r="D7" i="56"/>
  <c r="AB75" i="53"/>
  <c r="AC75" i="53" l="1"/>
  <c r="AB76" i="53"/>
  <c r="AB80" i="53" s="1"/>
  <c r="AC76" i="53" l="1"/>
  <c r="AC80" i="53" s="1"/>
  <c r="AD75" i="53"/>
  <c r="AE75" i="53" l="1"/>
  <c r="AD76" i="53"/>
  <c r="AE76" i="53" l="1"/>
  <c r="AE80" i="53" s="1"/>
  <c r="AF75" i="53"/>
  <c r="AD80" i="53"/>
  <c r="AG75" i="53" l="1"/>
  <c r="AF76" i="53"/>
  <c r="AF80" i="53" s="1"/>
  <c r="AG76" i="53" l="1"/>
  <c r="AG80" i="53" s="1"/>
  <c r="AH75" i="53"/>
  <c r="AI75" i="53" l="1"/>
  <c r="AH76" i="53"/>
  <c r="AH80" i="53" s="1"/>
  <c r="AI76" i="53" l="1"/>
  <c r="AI80" i="53" s="1"/>
  <c r="AJ75" i="53"/>
  <c r="AJ76" i="53" l="1"/>
  <c r="AJ80" i="53" s="1"/>
  <c r="AK75" i="53"/>
  <c r="AK76" i="53" l="1"/>
  <c r="AK80" i="53" s="1"/>
  <c r="AM75" i="53"/>
  <c r="AL75" i="53"/>
  <c r="AL76" i="53" l="1"/>
  <c r="AL80" i="53" s="1"/>
  <c r="AM76" i="53"/>
  <c r="AM80" i="53" s="1"/>
  <c r="AN75" i="53"/>
  <c r="AN76" i="53" l="1"/>
  <c r="AN80" i="53" s="1"/>
  <c r="B10" i="56" l="1"/>
  <c r="AB54" i="53"/>
  <c r="AB51" i="53"/>
  <c r="AB53" i="53"/>
  <c r="D10" i="56" l="1"/>
  <c r="E10" i="56"/>
  <c r="AB57" i="53"/>
  <c r="AB56" i="53"/>
  <c r="AB52" i="53"/>
  <c r="AC53" i="53"/>
  <c r="AC51" i="53"/>
  <c r="AB55" i="53"/>
  <c r="AC54" i="53"/>
  <c r="AD51" i="53" l="1"/>
  <c r="AC52" i="53"/>
  <c r="AB65" i="53"/>
  <c r="AD54" i="53"/>
  <c r="AC56" i="53"/>
  <c r="AD53" i="53"/>
  <c r="AC57" i="53"/>
  <c r="AB62" i="53"/>
  <c r="AB68" i="53"/>
  <c r="AB50" i="53"/>
  <c r="AC55" i="53"/>
  <c r="AB64" i="53" l="1"/>
  <c r="AB63" i="53"/>
  <c r="AC62" i="53"/>
  <c r="AC65" i="53"/>
  <c r="AB67" i="53"/>
  <c r="AD55" i="53"/>
  <c r="AE53" i="53"/>
  <c r="AB58" i="53"/>
  <c r="AD57" i="53"/>
  <c r="AD52" i="53"/>
  <c r="AB61" i="53"/>
  <c r="AC50" i="53"/>
  <c r="AC58" i="53" s="1"/>
  <c r="AB66" i="53"/>
  <c r="AD56" i="53"/>
  <c r="AE51" i="53"/>
  <c r="AC68" i="53"/>
  <c r="AE54" i="53"/>
  <c r="AE52" i="53" l="1"/>
  <c r="AD62" i="53"/>
  <c r="AF54" i="53"/>
  <c r="AC66" i="53"/>
  <c r="AE57" i="53"/>
  <c r="AE55" i="53"/>
  <c r="AD50" i="53"/>
  <c r="AC67" i="53"/>
  <c r="AC63" i="53"/>
  <c r="AD68" i="53"/>
  <c r="AB69" i="53"/>
  <c r="AD65" i="53"/>
  <c r="AF51" i="53"/>
  <c r="AC61" i="53"/>
  <c r="AF53" i="53"/>
  <c r="AC64" i="53"/>
  <c r="AE56" i="53"/>
  <c r="AE62" i="53" l="1"/>
  <c r="AD64" i="53"/>
  <c r="AD63" i="53"/>
  <c r="AF55" i="53"/>
  <c r="AG53" i="53"/>
  <c r="AE65" i="53"/>
  <c r="AC69" i="53"/>
  <c r="AD67" i="53"/>
  <c r="AF57" i="53"/>
  <c r="AF52" i="53"/>
  <c r="AD61" i="53"/>
  <c r="AD58" i="53"/>
  <c r="AD66" i="53"/>
  <c r="AG51" i="53"/>
  <c r="AE50" i="53"/>
  <c r="AE58" i="53" s="1"/>
  <c r="AF56" i="53"/>
  <c r="AE68" i="53"/>
  <c r="AG54" i="53"/>
  <c r="AE64" i="53" l="1"/>
  <c r="AE66" i="53"/>
  <c r="AG57" i="53"/>
  <c r="AH53" i="53"/>
  <c r="AF62" i="53"/>
  <c r="AF68" i="53"/>
  <c r="AE67" i="53"/>
  <c r="AG55" i="53"/>
  <c r="AF50" i="53"/>
  <c r="AE61" i="53"/>
  <c r="AG56" i="53"/>
  <c r="AD69" i="53"/>
  <c r="AG52" i="53"/>
  <c r="AE63" i="53"/>
  <c r="AH54" i="53"/>
  <c r="AH51" i="53"/>
  <c r="AF65" i="53"/>
  <c r="AF61" i="53" l="1"/>
  <c r="AH57" i="53"/>
  <c r="AF58" i="53"/>
  <c r="AH52" i="53"/>
  <c r="AH55" i="53"/>
  <c r="AF64" i="53"/>
  <c r="AG65" i="53"/>
  <c r="AF66" i="53"/>
  <c r="AI51" i="53"/>
  <c r="AG62" i="53"/>
  <c r="AG68" i="53"/>
  <c r="AI54" i="53"/>
  <c r="AI53" i="53"/>
  <c r="AG50" i="53"/>
  <c r="AG58" i="53" s="1"/>
  <c r="AH56" i="53"/>
  <c r="AF63" i="53"/>
  <c r="AE69" i="53"/>
  <c r="AF67" i="53"/>
  <c r="AH65" i="53" l="1"/>
  <c r="AI57" i="53"/>
  <c r="AG67" i="53"/>
  <c r="AJ51" i="53"/>
  <c r="AF69" i="53"/>
  <c r="AH50" i="53"/>
  <c r="AH58" i="53" s="1"/>
  <c r="AG64" i="53"/>
  <c r="AI55" i="53"/>
  <c r="AG61" i="53"/>
  <c r="AJ53" i="53"/>
  <c r="AG63" i="53"/>
  <c r="AJ54" i="53"/>
  <c r="AG66" i="53"/>
  <c r="AI52" i="53"/>
  <c r="AH62" i="53"/>
  <c r="AI56" i="53"/>
  <c r="AH68" i="53"/>
  <c r="AK51" i="53" l="1"/>
  <c r="AK54" i="53"/>
  <c r="AI62" i="53"/>
  <c r="AH67" i="53"/>
  <c r="AJ56" i="53"/>
  <c r="AK53" i="53"/>
  <c r="AJ55" i="53"/>
  <c r="AH64" i="53"/>
  <c r="AJ52" i="53"/>
  <c r="AI50" i="53"/>
  <c r="AJ57" i="53"/>
  <c r="AH63" i="53"/>
  <c r="AI68" i="53"/>
  <c r="AG69" i="53"/>
  <c r="AI65" i="53"/>
  <c r="AH66" i="53"/>
  <c r="AH61" i="53"/>
  <c r="AI64" i="53" l="1"/>
  <c r="AK57" i="53"/>
  <c r="AI66" i="53"/>
  <c r="AI58" i="53"/>
  <c r="AM53" i="53"/>
  <c r="AL53" i="53"/>
  <c r="AM54" i="53"/>
  <c r="AL54" i="53"/>
  <c r="AI67" i="53"/>
  <c r="AJ62" i="53"/>
  <c r="AK55" i="53"/>
  <c r="AJ50" i="53"/>
  <c r="AJ58" i="53" s="1"/>
  <c r="AI63" i="53"/>
  <c r="AJ65" i="53"/>
  <c r="AH69" i="53"/>
  <c r="AK52" i="53"/>
  <c r="AL51" i="53"/>
  <c r="AM51" i="53"/>
  <c r="AI61" i="53"/>
  <c r="AJ68" i="53"/>
  <c r="AK56" i="53"/>
  <c r="AN51" i="53" l="1"/>
  <c r="AJ61" i="53"/>
  <c r="AI69" i="53"/>
  <c r="AJ63" i="53"/>
  <c r="AJ67" i="53"/>
  <c r="AK65" i="53"/>
  <c r="AK62" i="53"/>
  <c r="AM57" i="53"/>
  <c r="AL57" i="53"/>
  <c r="AJ66" i="53"/>
  <c r="AM56" i="53"/>
  <c r="AL56" i="53"/>
  <c r="AK50" i="53"/>
  <c r="AK58" i="53" s="1"/>
  <c r="AN54" i="53"/>
  <c r="AL52" i="53"/>
  <c r="AM52" i="53"/>
  <c r="AN52" i="53" s="1"/>
  <c r="AL55" i="53"/>
  <c r="AM55" i="53"/>
  <c r="AJ64" i="53"/>
  <c r="AK68" i="53"/>
  <c r="AN53" i="53"/>
  <c r="AK67" i="53" l="1"/>
  <c r="AN57" i="53"/>
  <c r="AK63" i="53"/>
  <c r="AL68" i="53"/>
  <c r="AM68" i="53"/>
  <c r="AK64" i="53"/>
  <c r="AL50" i="53"/>
  <c r="AL58" i="53" s="1"/>
  <c r="AM50" i="53"/>
  <c r="AM62" i="53"/>
  <c r="AL62" i="53"/>
  <c r="AK66" i="53"/>
  <c r="AJ69" i="53"/>
  <c r="AN55" i="53"/>
  <c r="AN56" i="53"/>
  <c r="AL65" i="53"/>
  <c r="AM65" i="53"/>
  <c r="AK61" i="53"/>
  <c r="AN68" i="53" l="1"/>
  <c r="AN65" i="53"/>
  <c r="AM66" i="53"/>
  <c r="AL66" i="53"/>
  <c r="AM61" i="53"/>
  <c r="AL61" i="53"/>
  <c r="AN62" i="53"/>
  <c r="AL63" i="53"/>
  <c r="AM63" i="53"/>
  <c r="AK69" i="53"/>
  <c r="AM58" i="53"/>
  <c r="AN50" i="53"/>
  <c r="AN58" i="53" s="1"/>
  <c r="AM64" i="53"/>
  <c r="AL64" i="53"/>
  <c r="AM67" i="53"/>
  <c r="AL67" i="53"/>
  <c r="AN63" i="53" l="1"/>
  <c r="B8" i="56"/>
  <c r="AL69" i="53"/>
  <c r="AN67" i="53"/>
  <c r="AN64" i="53"/>
  <c r="AM69" i="53"/>
  <c r="AN61" i="53"/>
  <c r="AN66" i="53"/>
  <c r="D8" i="56" l="1"/>
  <c r="E8" i="56"/>
  <c r="AN69" i="53"/>
  <c r="B9" i="56" l="1"/>
  <c r="D9" i="56" l="1"/>
  <c r="E9" i="56"/>
  <c r="AB7" i="53" l="1"/>
  <c r="AE10" i="53"/>
  <c r="AC10" i="53"/>
  <c r="AE9" i="53"/>
  <c r="AC9" i="53"/>
  <c r="AE8" i="53"/>
  <c r="AC8" i="53"/>
  <c r="AE7" i="53"/>
  <c r="AC7" i="53"/>
  <c r="AE6" i="53"/>
  <c r="AC6" i="53"/>
  <c r="AD13" i="53"/>
  <c r="AD12" i="53"/>
  <c r="AB12" i="53"/>
  <c r="AD11" i="53"/>
  <c r="AB11" i="53"/>
  <c r="AD8" i="53"/>
  <c r="AD7" i="53"/>
  <c r="AB6" i="53"/>
  <c r="AC13" i="53"/>
  <c r="AE12" i="53"/>
  <c r="AC12" i="53"/>
  <c r="AC11" i="53"/>
  <c r="AB13" i="53"/>
  <c r="AD10" i="53"/>
  <c r="AB10" i="53"/>
  <c r="AD9" i="53"/>
  <c r="AB9" i="53"/>
  <c r="AB8" i="53"/>
  <c r="AD6" i="53"/>
  <c r="AE13" i="53"/>
  <c r="AE11" i="53"/>
  <c r="AB18" i="53"/>
  <c r="AE17" i="53"/>
  <c r="AC17" i="53"/>
  <c r="AD24" i="53"/>
  <c r="AD23" i="53"/>
  <c r="AB23" i="53"/>
  <c r="AD22" i="53"/>
  <c r="AD21" i="53"/>
  <c r="AB21" i="53"/>
  <c r="AD20" i="53"/>
  <c r="AD19" i="53"/>
  <c r="AB19" i="53"/>
  <c r="AD18" i="53"/>
  <c r="AB20" i="53"/>
  <c r="AB17" i="53"/>
  <c r="AD17" i="53"/>
  <c r="AE24" i="53"/>
  <c r="AC24" i="53"/>
  <c r="AE18" i="53"/>
  <c r="AE23" i="53"/>
  <c r="AC23" i="53"/>
  <c r="AE22" i="53"/>
  <c r="AC22" i="53"/>
  <c r="AB24" i="53"/>
  <c r="AE19" i="53"/>
  <c r="AC19" i="53"/>
  <c r="AC18" i="53"/>
  <c r="AE21" i="53"/>
  <c r="AC21" i="53"/>
  <c r="AE20" i="53"/>
  <c r="AC20" i="53"/>
  <c r="AB22" i="53"/>
  <c r="AE14" i="53" l="1"/>
  <c r="AE25" i="53"/>
  <c r="AD14" i="53"/>
  <c r="AB14" i="53"/>
  <c r="AC14" i="53"/>
  <c r="AD25" i="53"/>
  <c r="AB25" i="53"/>
  <c r="AC25" i="53"/>
  <c r="AB29" i="53"/>
  <c r="AB28" i="53"/>
  <c r="AD28" i="53"/>
  <c r="AE35" i="53"/>
  <c r="AC35" i="53"/>
  <c r="AB31" i="53"/>
  <c r="AE34" i="53"/>
  <c r="AC34" i="53"/>
  <c r="AE33" i="53"/>
  <c r="AC33" i="53"/>
  <c r="AE32" i="53"/>
  <c r="AC32" i="53"/>
  <c r="AE31" i="53"/>
  <c r="AC31" i="53"/>
  <c r="AD29" i="53"/>
  <c r="AE30" i="53"/>
  <c r="AC30" i="53"/>
  <c r="AE29" i="53"/>
  <c r="AC29" i="53"/>
  <c r="AE28" i="53"/>
  <c r="AC28" i="53"/>
  <c r="AD35" i="53"/>
  <c r="AB30" i="53"/>
  <c r="AB33" i="53"/>
  <c r="AD34" i="53"/>
  <c r="AB34" i="53"/>
  <c r="AD33" i="53"/>
  <c r="AD32" i="53"/>
  <c r="AB32" i="53"/>
  <c r="AD31" i="53"/>
  <c r="AB35" i="53"/>
  <c r="AD30" i="53"/>
  <c r="AG6" i="53" l="1"/>
  <c r="AG12" i="53"/>
  <c r="AJ11" i="53"/>
  <c r="AH11" i="53"/>
  <c r="AH9" i="53"/>
  <c r="AI10" i="53"/>
  <c r="AG10" i="53"/>
  <c r="AJ9" i="53"/>
  <c r="AJ7" i="53"/>
  <c r="AF6" i="53"/>
  <c r="AK8" i="53"/>
  <c r="AF12" i="53"/>
  <c r="AF10" i="53"/>
  <c r="AF8" i="53"/>
  <c r="AI8" i="53"/>
  <c r="AK13" i="53"/>
  <c r="AH7" i="53"/>
  <c r="AI13" i="53"/>
  <c r="AK6" i="53"/>
  <c r="AG13" i="53"/>
  <c r="AI6" i="53"/>
  <c r="AJ12" i="53"/>
  <c r="AH10" i="53"/>
  <c r="AI9" i="53"/>
  <c r="AF13" i="53"/>
  <c r="AF11" i="53"/>
  <c r="AH8" i="53"/>
  <c r="AH13" i="53"/>
  <c r="AJ6" i="53"/>
  <c r="AK10" i="53"/>
  <c r="AH12" i="53"/>
  <c r="AK11" i="53"/>
  <c r="AI11" i="53"/>
  <c r="AG11" i="53"/>
  <c r="AJ10" i="53"/>
  <c r="AK9" i="53"/>
  <c r="AF7" i="53"/>
  <c r="AG9" i="53"/>
  <c r="AJ8" i="53"/>
  <c r="AF9" i="53"/>
  <c r="AK7" i="53"/>
  <c r="AI12" i="53"/>
  <c r="AI7" i="53"/>
  <c r="AJ13" i="53"/>
  <c r="AG7" i="53"/>
  <c r="AK12" i="53"/>
  <c r="AH6" i="53"/>
  <c r="AG8" i="53"/>
  <c r="AE36" i="53"/>
  <c r="AD36" i="53"/>
  <c r="AB36" i="53"/>
  <c r="AF29" i="53"/>
  <c r="AI31" i="53"/>
  <c r="AK28" i="53"/>
  <c r="AG31" i="53"/>
  <c r="AI28" i="53"/>
  <c r="AK30" i="53"/>
  <c r="AG28" i="53"/>
  <c r="AI30" i="53"/>
  <c r="AK31" i="53"/>
  <c r="AG30" i="53"/>
  <c r="AH35" i="53"/>
  <c r="AK29" i="53"/>
  <c r="AF35" i="53"/>
  <c r="AI29" i="53"/>
  <c r="AJ34" i="53"/>
  <c r="AG29" i="53"/>
  <c r="AJ35" i="53"/>
  <c r="AG32" i="53"/>
  <c r="AF34" i="53"/>
  <c r="AJ33" i="53"/>
  <c r="AH33" i="53"/>
  <c r="AH34" i="53"/>
  <c r="AJ32" i="53"/>
  <c r="AH32" i="53"/>
  <c r="AF32" i="53"/>
  <c r="AF33" i="53"/>
  <c r="AF28" i="53"/>
  <c r="AH31" i="53"/>
  <c r="AJ28" i="53"/>
  <c r="AF31" i="53"/>
  <c r="AH28" i="53"/>
  <c r="AJ30" i="53"/>
  <c r="AK35" i="53"/>
  <c r="AJ31" i="53"/>
  <c r="AI32" i="53"/>
  <c r="AI35" i="53"/>
  <c r="AF30" i="53"/>
  <c r="AG35" i="53"/>
  <c r="AJ29" i="53"/>
  <c r="AK34" i="53"/>
  <c r="AH29" i="53"/>
  <c r="AI34" i="53"/>
  <c r="AH30" i="53"/>
  <c r="AG34" i="53"/>
  <c r="AK33" i="53"/>
  <c r="AI33" i="53"/>
  <c r="AG33" i="53"/>
  <c r="AK32" i="53"/>
  <c r="AF18" i="53"/>
  <c r="AF17" i="53"/>
  <c r="AH20" i="53"/>
  <c r="AJ17" i="53"/>
  <c r="AF20" i="53"/>
  <c r="AH17" i="53"/>
  <c r="AJ19" i="53"/>
  <c r="AK24" i="53"/>
  <c r="AJ24" i="53"/>
  <c r="AI24" i="53"/>
  <c r="AF19" i="53"/>
  <c r="AG24" i="53"/>
  <c r="AJ18" i="53"/>
  <c r="AK23" i="53"/>
  <c r="AH18" i="53"/>
  <c r="AI23" i="53"/>
  <c r="AH23" i="53"/>
  <c r="AG23" i="53"/>
  <c r="AK22" i="53"/>
  <c r="AI22" i="53"/>
  <c r="AG22" i="53"/>
  <c r="AF22" i="53"/>
  <c r="AK21" i="53"/>
  <c r="AI21" i="53"/>
  <c r="AG21" i="53"/>
  <c r="AK20" i="53"/>
  <c r="AJ20" i="53"/>
  <c r="AI20" i="53"/>
  <c r="AK17" i="53"/>
  <c r="AG20" i="53"/>
  <c r="AI17" i="53"/>
  <c r="AK19" i="53"/>
  <c r="AG17" i="53"/>
  <c r="AI19" i="53"/>
  <c r="AH19" i="53"/>
  <c r="AG19" i="53"/>
  <c r="AH24" i="53"/>
  <c r="AK18" i="53"/>
  <c r="AF24" i="53"/>
  <c r="AI18" i="53"/>
  <c r="AJ23" i="53"/>
  <c r="AG18" i="53"/>
  <c r="AJ21" i="53"/>
  <c r="AF23" i="53"/>
  <c r="AJ22" i="53"/>
  <c r="AH22" i="53"/>
  <c r="AH21" i="53"/>
  <c r="AF21" i="53"/>
  <c r="AC36" i="53"/>
  <c r="AH14" i="53" l="1"/>
  <c r="AJ25" i="53"/>
  <c r="AJ36" i="53"/>
  <c r="AI36" i="53"/>
  <c r="AF14" i="53"/>
  <c r="AJ14" i="53"/>
  <c r="AI14" i="53"/>
  <c r="AK14" i="53"/>
  <c r="AL7" i="53"/>
  <c r="AL6" i="53"/>
  <c r="AM13" i="53"/>
  <c r="AM12" i="53"/>
  <c r="AM11" i="53"/>
  <c r="AM10" i="53"/>
  <c r="AM9" i="53"/>
  <c r="AM8" i="53"/>
  <c r="AM7" i="53"/>
  <c r="AL9" i="53"/>
  <c r="AM6" i="53"/>
  <c r="AL13" i="53"/>
  <c r="AL12" i="53"/>
  <c r="AL10" i="53"/>
  <c r="AN10" i="53" s="1"/>
  <c r="G19" i="55" s="1"/>
  <c r="AL8" i="53"/>
  <c r="AL11" i="53"/>
  <c r="AG14" i="53"/>
  <c r="AH25" i="53"/>
  <c r="AH36" i="53"/>
  <c r="AG36" i="53"/>
  <c r="AK25" i="53"/>
  <c r="AL18" i="53"/>
  <c r="AM17" i="53"/>
  <c r="AL24" i="53"/>
  <c r="AL23" i="53"/>
  <c r="AL21" i="53"/>
  <c r="AL20" i="53"/>
  <c r="AL19" i="53"/>
  <c r="AM19" i="53"/>
  <c r="AM21" i="53"/>
  <c r="AL22" i="53"/>
  <c r="AL17" i="53"/>
  <c r="AM24" i="53"/>
  <c r="AN24" i="53" s="1"/>
  <c r="AM23" i="53"/>
  <c r="AM22" i="53"/>
  <c r="AM20" i="53"/>
  <c r="AM18" i="53"/>
  <c r="AL29" i="53"/>
  <c r="AL28" i="53"/>
  <c r="AM35" i="53"/>
  <c r="AM34" i="53"/>
  <c r="AM33" i="53"/>
  <c r="AM32" i="53"/>
  <c r="AM31" i="53"/>
  <c r="AM30" i="53"/>
  <c r="AM29" i="53"/>
  <c r="AL32" i="53"/>
  <c r="AL30" i="53"/>
  <c r="AL31" i="53"/>
  <c r="AM28" i="53"/>
  <c r="AL35" i="53"/>
  <c r="AL34" i="53"/>
  <c r="AL33" i="53"/>
  <c r="AF25" i="53"/>
  <c r="AF36" i="53"/>
  <c r="AK36" i="53"/>
  <c r="AG25" i="53"/>
  <c r="AI25" i="53"/>
  <c r="AN13" i="53" l="1"/>
  <c r="G28" i="55" s="1"/>
  <c r="F28" i="55" s="1"/>
  <c r="AN32" i="53"/>
  <c r="AN31" i="53"/>
  <c r="AN17" i="53"/>
  <c r="AN34" i="53"/>
  <c r="AN11" i="53"/>
  <c r="G22" i="55" s="1"/>
  <c r="F22" i="55" s="1"/>
  <c r="AN19" i="53"/>
  <c r="AN20" i="53"/>
  <c r="AN18" i="53"/>
  <c r="AN12" i="53"/>
  <c r="G25" i="55" s="1"/>
  <c r="F25" i="55" s="1"/>
  <c r="AN21" i="53"/>
  <c r="AN30" i="53"/>
  <c r="AN23" i="53"/>
  <c r="G26" i="55" s="1"/>
  <c r="F26" i="55" s="1"/>
  <c r="AN22" i="53"/>
  <c r="AN8" i="53"/>
  <c r="G13" i="55" s="1"/>
  <c r="F13" i="55" s="1"/>
  <c r="AM14" i="53"/>
  <c r="AN9" i="53"/>
  <c r="G16" i="55" s="1"/>
  <c r="AN33" i="53"/>
  <c r="AN7" i="53"/>
  <c r="G10" i="55" s="1"/>
  <c r="F10" i="55" s="1"/>
  <c r="AN29" i="53"/>
  <c r="AN35" i="53"/>
  <c r="G29" i="55" s="1"/>
  <c r="F29" i="55" s="1"/>
  <c r="AL14" i="53"/>
  <c r="AM36" i="53"/>
  <c r="AN6" i="53"/>
  <c r="AN28" i="53"/>
  <c r="AL25" i="53"/>
  <c r="AM25" i="53"/>
  <c r="AL36" i="53"/>
  <c r="G17" i="55" l="1"/>
  <c r="F17" i="55" s="1"/>
  <c r="G14" i="55"/>
  <c r="F14" i="55" s="1"/>
  <c r="G11" i="55"/>
  <c r="F11" i="55" s="1"/>
  <c r="AN25" i="53"/>
  <c r="G20" i="55"/>
  <c r="F20" i="55" s="1"/>
  <c r="G23" i="55"/>
  <c r="F23" i="55" s="1"/>
  <c r="AN36" i="53"/>
  <c r="B6" i="56" s="1"/>
  <c r="G8" i="55"/>
  <c r="F8" i="55" s="1"/>
  <c r="G7" i="55"/>
  <c r="F7" i="55" s="1"/>
  <c r="AN14" i="53"/>
  <c r="E6" i="56" l="1"/>
  <c r="B5" i="56"/>
  <c r="D5" i="56" s="1"/>
  <c r="D6" i="56"/>
  <c r="G30" i="55"/>
  <c r="E5" i="56" l="1"/>
  <c r="B12" i="56"/>
  <c r="D12" i="56"/>
  <c r="E12" i="56" l="1"/>
</calcChain>
</file>

<file path=xl/sharedStrings.xml><?xml version="1.0" encoding="utf-8"?>
<sst xmlns="http://schemas.openxmlformats.org/spreadsheetml/2006/main" count="568" uniqueCount="121">
  <si>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</si>
  <si>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</si>
  <si>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</si>
  <si>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</si>
  <si>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</si>
  <si>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</si>
  <si>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</si>
  <si>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</si>
  <si>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</si>
  <si>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</si>
  <si>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</si>
  <si>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</si>
  <si>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</si>
  <si>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</si>
  <si>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</si>
  <si>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</si>
  <si>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</si>
  <si>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</si>
  <si>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</si>
  <si>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</si>
  <si>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Rates</t>
  </si>
  <si>
    <t>Global Adjustment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</si>
  <si>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</si>
  <si>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</si>
  <si>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</si>
  <si>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</si>
  <si>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</si>
  <si>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</si>
  <si>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</si>
  <si>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</si>
  <si>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</si>
  <si>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</si>
  <si>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</si>
  <si>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</si>
  <si>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</si>
  <si>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</si>
  <si>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</si>
  <si>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</si>
  <si>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</si>
  <si>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</si>
  <si>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</si>
  <si>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</si>
  <si>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</si>
  <si>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Electricity - Commodity</t>
  </si>
  <si>
    <t>Class per Load Forecast</t>
  </si>
  <si>
    <t xml:space="preserve">Uplifted  </t>
  </si>
  <si>
    <t>Cost Of Energy</t>
  </si>
  <si>
    <t>Total Cost</t>
  </si>
  <si>
    <t xml:space="preserve">                  - Rpp</t>
  </si>
  <si>
    <t xml:space="preserve">                  - Non Rpp</t>
  </si>
  <si>
    <t>GS&lt;50kW</t>
  </si>
  <si>
    <t>GS&gt;50kW</t>
  </si>
  <si>
    <t>TOTAL</t>
  </si>
  <si>
    <t>RateClass</t>
  </si>
  <si>
    <t>Total Billed</t>
  </si>
  <si>
    <t xml:space="preserve">Billed RPP </t>
  </si>
  <si>
    <t>RPP%</t>
  </si>
  <si>
    <t xml:space="preserve">Billed Non RPP </t>
  </si>
  <si>
    <t>Non RPP%</t>
  </si>
  <si>
    <t>General Svc &lt; 50kW</t>
  </si>
  <si>
    <t>General Svc &gt; 50kW</t>
  </si>
  <si>
    <t>Large Use (1)</t>
  </si>
  <si>
    <t>Large Use (2)</t>
  </si>
  <si>
    <t>Unmetered</t>
  </si>
  <si>
    <t xml:space="preserve">Total </t>
  </si>
  <si>
    <t>Power</t>
  </si>
  <si>
    <t xml:space="preserve">Smart Meter Entity </t>
  </si>
  <si>
    <t>Category</t>
  </si>
  <si>
    <t>Variance</t>
  </si>
  <si>
    <t>% Variance</t>
  </si>
  <si>
    <t>RPP</t>
  </si>
  <si>
    <t>Non-RPP</t>
  </si>
  <si>
    <t>kWh</t>
  </si>
  <si>
    <t>kW</t>
  </si>
  <si>
    <t>Check</t>
  </si>
  <si>
    <t>2018 Custom IR 
(EB-2014-0002)</t>
  </si>
  <si>
    <t>2018 Annual Filing Cost of Power Impact</t>
  </si>
  <si>
    <t>2018 Cost of Power Expense</t>
  </si>
  <si>
    <t>2018 - Custom IR</t>
  </si>
  <si>
    <t>2018 - Budget</t>
  </si>
  <si>
    <t>2018 COST OF POWER FORECAST CALCULATION</t>
  </si>
  <si>
    <t>2018 Forecasted Metered kWhs</t>
  </si>
  <si>
    <t>2018 Loss Factor</t>
  </si>
  <si>
    <t>Updated for 2016 Actuals</t>
  </si>
  <si>
    <t>HRZ - COP Calculation - Impact of the Fair Hydro Plan</t>
  </si>
  <si>
    <t>No FHP Impact</t>
  </si>
  <si>
    <t>FHP Impact</t>
  </si>
  <si>
    <t>RPP Supply Cost Summary ($/MWh)</t>
  </si>
  <si>
    <t>May 1, 2017 - April 30, 2018</t>
  </si>
  <si>
    <t>July 1, 2017 - April 30, 2018</t>
  </si>
  <si>
    <t>COP Rates</t>
  </si>
  <si>
    <t>May 1, 2018 - Oct 30, 2018</t>
  </si>
  <si>
    <t>Nov 1, 2018 - Apr 30, 2019</t>
  </si>
  <si>
    <t>May 1, 2019 - Oct 30, 2019</t>
  </si>
  <si>
    <t>Nov 1, 2019 - Apr 30, 2020</t>
  </si>
  <si>
    <t>Forecast  Wholesale Electricity Price</t>
  </si>
  <si>
    <t>HOEP</t>
  </si>
  <si>
    <t>Load-Weighted Price for RPP Consumers ($/MWh)</t>
  </si>
  <si>
    <t>RPP Rates_FHP</t>
  </si>
  <si>
    <t>Impact of the Global Adjustment</t>
  </si>
  <si>
    <t>GA_FHP</t>
  </si>
  <si>
    <t>Adjustment to Address Bias Towards Unfavourable Variance ($/MWh)</t>
  </si>
  <si>
    <t>GA</t>
  </si>
  <si>
    <t>Adjustment to Clear Existing Variance ($/MWh)</t>
  </si>
  <si>
    <t>Average Supply Cost for RPP Consumers ($/MWh)</t>
  </si>
  <si>
    <t>Reference: Regulated Price Plan Price Report (May 1, 2017 to April 30, 2018), issued April 20, 2017; page 5</t>
  </si>
  <si>
    <t>Reference: Regulated Price Plan Prices and the GA Modifier for the period July 1, 2017 to April 30, 2018, issued June 22, 2017; page 2</t>
  </si>
  <si>
    <t>Ontario Electricity Market Price Forecast (HOEP Forecast $/MWh)</t>
  </si>
  <si>
    <t>On-Peak</t>
  </si>
  <si>
    <t>Off-Peak</t>
  </si>
  <si>
    <t>Average</t>
  </si>
  <si>
    <t>Term Avg.</t>
  </si>
  <si>
    <t>May 17 - Jul 17</t>
  </si>
  <si>
    <t>Aug 17 - Oct 17</t>
  </si>
  <si>
    <t>Nov 17 - Jan 18</t>
  </si>
  <si>
    <t>Feb 18 - Apr 18</t>
  </si>
  <si>
    <t>May 18 - Jul 18</t>
  </si>
  <si>
    <t>Aug 18 - Oct 18</t>
  </si>
  <si>
    <t>Reference: Regulated Price Plan Price Report (May 1, 2017 to April 30, 2018), issued April 20, 2017; page 13</t>
  </si>
  <si>
    <t>Rate of Inflation</t>
  </si>
  <si>
    <t>2018 Draft Rate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</si>
</sst>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[Red]\-&quot;$&quot;#,##0"/>
    <numFmt numFmtId="165" formatCode="&quot;$&quot;#,##0.00;[Red]\-&quot;$&quot;#,##0.00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(* #,##0_);_(* \(#,##0\);_(* &quot;-&quot;??_);_(@_)"/>
    <numFmt numFmtId="169" formatCode="_(* #,##0.0_);_(* \(#,##0.0\);_(* &quot;-&quot;??_);_(@_)"/>
    <numFmt numFmtId="170" formatCode="#,##0.0"/>
    <numFmt numFmtId="171" formatCode="0\-0"/>
    <numFmt numFmtId="172" formatCode="##\-#"/>
    <numFmt numFmtId="173" formatCode="&quot;£ &quot;#,##0.00;[Red]\-&quot;£ &quot;#,##0.00"/>
    <numFmt numFmtId="174" formatCode="0.0000"/>
    <numFmt numFmtId="175" formatCode="_-&quot;$&quot;* #,##0.0000_-;\-&quot;$&quot;* #,##0.0000_-;_-&quot;$&quot;* &quot;-&quot;??_-;_-@_-"/>
    <numFmt numFmtId="176" formatCode="_-&quot;$&quot;* #,##0.00000_-;\-&quot;$&quot;* #,##0.00000_-;_-&quot;$&quot;* &quot;-&quot;??_-;_-@_-"/>
    <numFmt numFmtId="177" formatCode="[$-409]dddd\,\ mmmm\ dd\,\ yyyy"/>
    <numFmt numFmtId="178" formatCode="_(* #,##0.00_);_(* \(#,##0.00\);_(* &quot;-&quot;_);_(@_)"/>
    <numFmt numFmtId="179" formatCode="m/d"/>
    <numFmt numFmtId="180" formatCode="_-* #,##0_-;\-* #,##0_-;_-* &quot;-&quot;??_-;_-@_-"/>
    <numFmt numFmtId="181" formatCode="#,##0.0000_);\(#,##0.0000\)"/>
    <numFmt numFmtId="182" formatCode="&quot;$&quot;#,##0.0000_);\(&quot;$&quot;#,##0.0000\)"/>
    <numFmt numFmtId="183" formatCode="&quot;$&quot;#,##0.00000_);\(&quot;$&quot;#,##0.00000\)"/>
    <numFmt numFmtId="184" formatCode="_(* #,##0.00000_);_(* \(#,##0.00000\);_(* &quot;-&quot;??_);_(@_)"/>
    <numFmt numFmtId="185" formatCode="#,##0.00000_);\(#,##0.00000\)"/>
    <numFmt numFmtId="186" formatCode="_-&quot;$&quot;* #,##0_-;\-&quot;$&quot;* #,##0_-;_-&quot;$&quot;* &quot;-&quot;??_-;_-@_-"/>
    <numFmt numFmtId="187" formatCode="#,##0.00%_);\(#,##0.00%\)"/>
    <numFmt numFmtId="188" formatCode="&quot;$&quot;#,##0"/>
    <numFmt numFmtId="189" formatCode="0.00000"/>
    <numFmt numFmtId="190" formatCode="0.0%"/>
  </numFmts>
  <fonts count="1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theme="0"/>
      </left>
      <right/>
      <top style="medium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0"/>
      </bottom>
      <diagonal/>
    </border>
    <border>
      <left/>
      <right style="medium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981">
    <xf numFmtId="0" fontId="0" fillId="0" borderId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2" fillId="0" borderId="0"/>
    <xf numFmtId="166" fontId="1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4" fontId="13" fillId="0" borderId="0"/>
    <xf numFmtId="14" fontId="13" fillId="0" borderId="0"/>
    <xf numFmtId="14" fontId="13" fillId="0" borderId="0"/>
    <xf numFmtId="14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0" applyNumberFormat="0" applyAlignment="0" applyProtection="0"/>
    <xf numFmtId="0" fontId="19" fillId="20" borderId="10" applyNumberFormat="0" applyAlignment="0" applyProtection="0"/>
    <xf numFmtId="0" fontId="20" fillId="21" borderId="11" applyNumberFormat="0" applyAlignment="0" applyProtection="0"/>
    <xf numFmtId="0" fontId="20" fillId="21" borderId="11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38" fontId="24" fillId="22" borderId="0" applyNumberFormat="0" applyBorder="0" applyAlignment="0" applyProtection="0"/>
    <xf numFmtId="0" fontId="25" fillId="0" borderId="0" applyNumberFormat="0" applyFon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5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0" fontId="24" fillId="23" borderId="1" applyNumberFormat="0" applyBorder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172" fontId="13" fillId="0" borderId="0"/>
    <xf numFmtId="172" fontId="13" fillId="0" borderId="0"/>
    <xf numFmtId="172" fontId="13" fillId="0" borderId="0"/>
    <xf numFmtId="172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173" fontId="13" fillId="0" borderId="0"/>
    <xf numFmtId="173" fontId="13" fillId="0" borderId="0"/>
    <xf numFmtId="173" fontId="13" fillId="0" borderId="0"/>
    <xf numFmtId="17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9" applyNumberFormat="0" applyFont="0" applyAlignment="0" applyProtection="0"/>
    <xf numFmtId="0" fontId="13" fillId="25" borderId="9" applyNumberFormat="0" applyFont="0" applyAlignment="0" applyProtection="0"/>
    <xf numFmtId="0" fontId="32" fillId="20" borderId="16" applyNumberFormat="0" applyAlignment="0" applyProtection="0"/>
    <xf numFmtId="0" fontId="32" fillId="20" borderId="16" applyNumberFormat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49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49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49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9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49" fillId="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49" fillId="7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49" fillId="8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49" fillId="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49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49" fillId="5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49" fillId="8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9" fillId="1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1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9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50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51" fillId="14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50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0" fontId="51" fillId="1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18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50" fillId="45" borderId="0" applyNumberFormat="0" applyBorder="0" applyAlignment="0" applyProtection="0"/>
    <xf numFmtId="0" fontId="51" fillId="13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50" fillId="49" borderId="0" applyNumberFormat="0" applyBorder="0" applyAlignment="0" applyProtection="0"/>
    <xf numFmtId="0" fontId="51" fillId="14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51" fillId="1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54" fillId="30" borderId="25" applyNumberFormat="0" applyAlignment="0" applyProtection="0"/>
    <xf numFmtId="0" fontId="55" fillId="20" borderId="10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56" fillId="31" borderId="27" applyNumberFormat="0" applyAlignment="0" applyProtection="0"/>
    <xf numFmtId="0" fontId="57" fillId="21" borderId="11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167" fontId="58" fillId="0" borderId="0" applyFont="0" applyFill="0" applyBorder="0" applyAlignment="0" applyProtection="0"/>
    <xf numFmtId="167" fontId="4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0" fontId="62" fillId="4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63" fillId="0" borderId="22" applyNumberFormat="0" applyFill="0" applyAlignment="0" applyProtection="0"/>
    <xf numFmtId="0" fontId="37" fillId="0" borderId="22" applyNumberFormat="0" applyFill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65" fillId="0" borderId="23" applyNumberFormat="0" applyFill="0" applyAlignment="0" applyProtection="0"/>
    <xf numFmtId="0" fontId="38" fillId="0" borderId="2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69" fillId="29" borderId="25" applyNumberFormat="0" applyAlignment="0" applyProtection="0"/>
    <xf numFmtId="0" fontId="70" fillId="7" borderId="10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71" fillId="0" borderId="26" applyNumberFormat="0" applyFill="0" applyAlignment="0" applyProtection="0"/>
    <xf numFmtId="0" fontId="72" fillId="0" borderId="1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73" fillId="28" borderId="0" applyNumberFormat="0" applyBorder="0" applyAlignment="0" applyProtection="0"/>
    <xf numFmtId="0" fontId="74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25" borderId="9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0" fillId="0" borderId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4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0" fontId="11" fillId="0" borderId="0"/>
    <xf numFmtId="0" fontId="9" fillId="0" borderId="0"/>
    <xf numFmtId="167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3" fillId="0" borderId="0"/>
    <xf numFmtId="41" fontId="13" fillId="0" borderId="0" applyFont="0" applyFill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177" fontId="16" fillId="8" borderId="0" applyNumberFormat="0" applyBorder="0" applyAlignment="0" applyProtection="0"/>
    <xf numFmtId="177" fontId="16" fillId="8" borderId="0" applyNumberFormat="0" applyBorder="0" applyAlignment="0" applyProtection="0"/>
    <xf numFmtId="177" fontId="16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177" fontId="16" fillId="9" borderId="0" applyNumberFormat="0" applyBorder="0" applyAlignment="0" applyProtection="0"/>
    <xf numFmtId="177" fontId="16" fillId="9" borderId="0" applyNumberFormat="0" applyBorder="0" applyAlignment="0" applyProtection="0"/>
    <xf numFmtId="177" fontId="16" fillId="9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3" fillId="0" borderId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177" fontId="16" fillId="25" borderId="0" applyNumberFormat="0" applyBorder="0" applyAlignment="0" applyProtection="0"/>
    <xf numFmtId="177" fontId="16" fillId="25" borderId="0" applyNumberFormat="0" applyBorder="0" applyAlignment="0" applyProtection="0"/>
    <xf numFmtId="177" fontId="16" fillId="2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177" fontId="16" fillId="7" borderId="0" applyNumberFormat="0" applyBorder="0" applyAlignment="0" applyProtection="0"/>
    <xf numFmtId="177" fontId="16" fillId="7" borderId="0" applyNumberFormat="0" applyBorder="0" applyAlignment="0" applyProtection="0"/>
    <xf numFmtId="177" fontId="16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177" fontId="16" fillId="25" borderId="0" applyNumberFormat="0" applyBorder="0" applyAlignment="0" applyProtection="0"/>
    <xf numFmtId="177" fontId="16" fillId="25" borderId="0" applyNumberFormat="0" applyBorder="0" applyAlignment="0" applyProtection="0"/>
    <xf numFmtId="177" fontId="16" fillId="2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177" fontId="16" fillId="9" borderId="0" applyNumberFormat="0" applyBorder="0" applyAlignment="0" applyProtection="0"/>
    <xf numFmtId="177" fontId="16" fillId="9" borderId="0" applyNumberFormat="0" applyBorder="0" applyAlignment="0" applyProtection="0"/>
    <xf numFmtId="177" fontId="16" fillId="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177" fontId="16" fillId="24" borderId="0" applyNumberFormat="0" applyBorder="0" applyAlignment="0" applyProtection="0"/>
    <xf numFmtId="177" fontId="16" fillId="24" borderId="0" applyNumberFormat="0" applyBorder="0" applyAlignment="0" applyProtection="0"/>
    <xf numFmtId="177" fontId="16" fillId="2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177" fontId="16" fillId="3" borderId="0" applyNumberFormat="0" applyBorder="0" applyAlignment="0" applyProtection="0"/>
    <xf numFmtId="177" fontId="16" fillId="3" borderId="0" applyNumberFormat="0" applyBorder="0" applyAlignment="0" applyProtection="0"/>
    <xf numFmtId="177" fontId="16" fillId="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77" fontId="16" fillId="25" borderId="0" applyNumberFormat="0" applyBorder="0" applyAlignment="0" applyProtection="0"/>
    <xf numFmtId="177" fontId="16" fillId="25" borderId="0" applyNumberFormat="0" applyBorder="0" applyAlignment="0" applyProtection="0"/>
    <xf numFmtId="177" fontId="16" fillId="2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77" fontId="17" fillId="6" borderId="0" applyNumberFormat="0" applyBorder="0" applyAlignment="0" applyProtection="0"/>
    <xf numFmtId="177" fontId="17" fillId="6" borderId="0" applyNumberFormat="0" applyBorder="0" applyAlignment="0" applyProtection="0"/>
    <xf numFmtId="177" fontId="17" fillId="19" borderId="0" applyNumberFormat="0" applyBorder="0" applyAlignment="0" applyProtection="0"/>
    <xf numFmtId="177" fontId="17" fillId="19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177" fontId="17" fillId="11" borderId="0" applyNumberFormat="0" applyBorder="0" applyAlignment="0" applyProtection="0"/>
    <xf numFmtId="177" fontId="17" fillId="11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77" fontId="17" fillId="3" borderId="0" applyNumberFormat="0" applyBorder="0" applyAlignment="0" applyProtection="0"/>
    <xf numFmtId="177" fontId="17" fillId="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77" fontId="17" fillId="6" borderId="0" applyNumberFormat="0" applyBorder="0" applyAlignment="0" applyProtection="0"/>
    <xf numFmtId="177" fontId="17" fillId="6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177" fontId="17" fillId="9" borderId="0" applyNumberFormat="0" applyBorder="0" applyAlignment="0" applyProtection="0"/>
    <xf numFmtId="177" fontId="17" fillId="9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177" fontId="17" fillId="58" borderId="0" applyNumberFormat="0" applyBorder="0" applyAlignment="0" applyProtection="0"/>
    <xf numFmtId="177" fontId="17" fillId="58" borderId="0" applyNumberFormat="0" applyBorder="0" applyAlignment="0" applyProtection="0"/>
    <xf numFmtId="177" fontId="17" fillId="19" borderId="0" applyNumberFormat="0" applyBorder="0" applyAlignment="0" applyProtection="0"/>
    <xf numFmtId="177" fontId="17" fillId="19" borderId="0" applyNumberFormat="0" applyBorder="0" applyAlignment="0" applyProtection="0"/>
    <xf numFmtId="177" fontId="17" fillId="11" borderId="0" applyNumberFormat="0" applyBorder="0" applyAlignment="0" applyProtection="0"/>
    <xf numFmtId="177" fontId="17" fillId="11" borderId="0" applyNumberFormat="0" applyBorder="0" applyAlignment="0" applyProtection="0"/>
    <xf numFmtId="177" fontId="17" fillId="59" borderId="0" applyNumberFormat="0" applyBorder="0" applyAlignment="0" applyProtection="0"/>
    <xf numFmtId="177" fontId="17" fillId="59" borderId="0" applyNumberFormat="0" applyBorder="0" applyAlignment="0" applyProtection="0"/>
    <xf numFmtId="177" fontId="17" fillId="14" borderId="0" applyNumberFormat="0" applyBorder="0" applyAlignment="0" applyProtection="0"/>
    <xf numFmtId="177" fontId="17" fillId="14" borderId="0" applyNumberFormat="0" applyBorder="0" applyAlignment="0" applyProtection="0"/>
    <xf numFmtId="177" fontId="17" fillId="17" borderId="0" applyNumberFormat="0" applyBorder="0" applyAlignment="0" applyProtection="0"/>
    <xf numFmtId="177" fontId="17" fillId="1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177" fontId="18" fillId="5" borderId="0" applyNumberFormat="0" applyBorder="0" applyAlignment="0" applyProtection="0"/>
    <xf numFmtId="177" fontId="18" fillId="5" borderId="0" applyNumberFormat="0" applyBorder="0" applyAlignment="0" applyProtection="0"/>
    <xf numFmtId="177" fontId="78" fillId="60" borderId="10" applyNumberFormat="0" applyAlignment="0" applyProtection="0"/>
    <xf numFmtId="177" fontId="78" fillId="60" borderId="10" applyNumberFormat="0" applyAlignment="0" applyProtection="0"/>
    <xf numFmtId="177" fontId="20" fillId="21" borderId="11" applyNumberFormat="0" applyAlignment="0" applyProtection="0"/>
    <xf numFmtId="177" fontId="20" fillId="21" borderId="11" applyNumberFormat="0" applyAlignment="0" applyProtection="0"/>
    <xf numFmtId="178" fontId="79" fillId="0" borderId="0" applyFont="0" applyFill="0" applyBorder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9" fontId="80" fillId="0" borderId="0" applyFont="0" applyFill="0" applyBorder="0" applyAlignment="0" applyProtection="0"/>
    <xf numFmtId="179" fontId="80" fillId="0" borderId="0" applyFont="0" applyFill="0" applyBorder="0" applyAlignment="0" applyProtection="0"/>
    <xf numFmtId="17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1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5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9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9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8" fontId="80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82" fillId="61" borderId="31">
      <alignment horizontal="left" vertical="center" wrapText="1"/>
    </xf>
    <xf numFmtId="177" fontId="22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177" fontId="23" fillId="6" borderId="0" applyNumberFormat="0" applyBorder="0" applyAlignment="0" applyProtection="0"/>
    <xf numFmtId="177" fontId="23" fillId="6" borderId="0" applyNumberFormat="0" applyBorder="0" applyAlignment="0" applyProtection="0"/>
    <xf numFmtId="177" fontId="83" fillId="0" borderId="32" applyNumberFormat="0" applyFill="0" applyAlignment="0" applyProtection="0"/>
    <xf numFmtId="177" fontId="83" fillId="0" borderId="32" applyNumberFormat="0" applyFill="0" applyAlignment="0" applyProtection="0"/>
    <xf numFmtId="177" fontId="84" fillId="0" borderId="33" applyNumberFormat="0" applyFill="0" applyAlignment="0" applyProtection="0"/>
    <xf numFmtId="177" fontId="84" fillId="0" borderId="33" applyNumberFormat="0" applyFill="0" applyAlignment="0" applyProtection="0"/>
    <xf numFmtId="177" fontId="85" fillId="0" borderId="34" applyNumberFormat="0" applyFill="0" applyAlignment="0" applyProtection="0"/>
    <xf numFmtId="177" fontId="85" fillId="0" borderId="34" applyNumberFormat="0" applyFill="0" applyAlignment="0" applyProtection="0"/>
    <xf numFmtId="177" fontId="85" fillId="0" borderId="0" applyNumberFormat="0" applyFill="0" applyBorder="0" applyAlignment="0" applyProtection="0"/>
    <xf numFmtId="177" fontId="85" fillId="0" borderId="0" applyNumberFormat="0" applyFill="0" applyBorder="0" applyAlignment="0" applyProtection="0"/>
    <xf numFmtId="177" fontId="29" fillId="24" borderId="10" applyNumberFormat="0" applyAlignment="0" applyProtection="0"/>
    <xf numFmtId="177" fontId="29" fillId="24" borderId="10" applyNumberFormat="0" applyAlignment="0" applyProtection="0"/>
    <xf numFmtId="177" fontId="35" fillId="0" borderId="35" applyNumberFormat="0" applyFill="0" applyAlignment="0" applyProtection="0"/>
    <xf numFmtId="177" fontId="35" fillId="0" borderId="35" applyNumberFormat="0" applyFill="0" applyAlignment="0" applyProtection="0"/>
    <xf numFmtId="177" fontId="86" fillId="24" borderId="0" applyNumberFormat="0" applyBorder="0" applyAlignment="0" applyProtection="0"/>
    <xf numFmtId="0" fontId="86" fillId="24" borderId="0" applyNumberFormat="0" applyBorder="0" applyAlignment="0" applyProtection="0"/>
    <xf numFmtId="177" fontId="86" fillId="24" borderId="0" applyNumberFormat="0" applyBorder="0" applyAlignment="0" applyProtection="0"/>
    <xf numFmtId="177" fontId="87" fillId="24" borderId="0" applyNumberFormat="0" applyBorder="0" applyAlignment="0" applyProtection="0"/>
    <xf numFmtId="177" fontId="87" fillId="24" borderId="0" applyNumberFormat="0" applyBorder="0" applyAlignment="0" applyProtection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7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8" fillId="0" borderId="0"/>
    <xf numFmtId="0" fontId="8" fillId="0" borderId="0"/>
    <xf numFmtId="177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1" fillId="0" borderId="0"/>
    <xf numFmtId="0" fontId="13" fillId="0" borderId="0"/>
    <xf numFmtId="177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177" fontId="36" fillId="0" borderId="0"/>
    <xf numFmtId="0" fontId="13" fillId="0" borderId="0"/>
    <xf numFmtId="177" fontId="36" fillId="0" borderId="0"/>
    <xf numFmtId="177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177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16" fillId="0" borderId="0"/>
    <xf numFmtId="177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49" fillId="0" borderId="0"/>
    <xf numFmtId="0" fontId="13" fillId="0" borderId="0" applyBorder="0"/>
    <xf numFmtId="177" fontId="13" fillId="0" borderId="0"/>
    <xf numFmtId="177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58" fillId="0" borderId="0"/>
    <xf numFmtId="0" fontId="36" fillId="0" borderId="0"/>
    <xf numFmtId="0" fontId="36" fillId="0" borderId="0"/>
    <xf numFmtId="177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11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17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77" fontId="13" fillId="25" borderId="9" applyNumberFormat="0" applyFont="0" applyAlignment="0" applyProtection="0"/>
    <xf numFmtId="177" fontId="13" fillId="25" borderId="9" applyNumberFormat="0" applyFont="0" applyAlignment="0" applyProtection="0"/>
    <xf numFmtId="177" fontId="13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77" fontId="32" fillId="60" borderId="16" applyNumberFormat="0" applyAlignment="0" applyProtection="0"/>
    <xf numFmtId="177" fontId="32" fillId="60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82" fillId="62" borderId="1">
      <alignment horizontal="left" vertical="top" wrapText="1"/>
    </xf>
    <xf numFmtId="0" fontId="82" fillId="61" borderId="31">
      <alignment horizontal="left" vertical="top" wrapText="1"/>
    </xf>
    <xf numFmtId="0" fontId="82" fillId="61" borderId="31">
      <alignment horizontal="left" vertical="top" wrapText="1"/>
    </xf>
    <xf numFmtId="2" fontId="82" fillId="61" borderId="1">
      <alignment horizontal="right" vertical="top" wrapText="1"/>
    </xf>
    <xf numFmtId="0" fontId="82" fillId="63" borderId="31">
      <alignment horizontal="left" vertical="top" wrapText="1"/>
    </xf>
    <xf numFmtId="0" fontId="82" fillId="63" borderId="31">
      <alignment horizontal="left" vertical="top" wrapText="1"/>
    </xf>
    <xf numFmtId="0" fontId="82" fillId="63" borderId="31">
      <alignment horizontal="right" vertical="top" wrapText="1"/>
    </xf>
    <xf numFmtId="0" fontId="82" fillId="22" borderId="31">
      <alignment horizontal="right" vertical="top" wrapText="1"/>
    </xf>
    <xf numFmtId="177" fontId="88" fillId="0" borderId="0" applyNumberFormat="0" applyFill="0" applyBorder="0" applyAlignment="0" applyProtection="0"/>
    <xf numFmtId="177" fontId="88" fillId="0" borderId="0" applyNumberFormat="0" applyFill="0" applyBorder="0" applyAlignment="0" applyProtection="0"/>
    <xf numFmtId="177" fontId="88" fillId="0" borderId="0" applyNumberFormat="0" applyFill="0" applyBorder="0" applyAlignment="0" applyProtection="0"/>
    <xf numFmtId="177" fontId="34" fillId="0" borderId="36" applyNumberFormat="0" applyFill="0" applyAlignment="0" applyProtection="0"/>
    <xf numFmtId="177" fontId="34" fillId="0" borderId="36" applyNumberFormat="0" applyFill="0" applyAlignment="0" applyProtection="0"/>
    <xf numFmtId="177" fontId="35" fillId="0" borderId="0" applyNumberFormat="0" applyFill="0" applyBorder="0" applyAlignment="0" applyProtection="0"/>
    <xf numFmtId="177" fontId="35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167" fontId="4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4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51" fillId="12" borderId="0" applyNumberFormat="0" applyBorder="0" applyAlignment="0" applyProtection="0"/>
    <xf numFmtId="0" fontId="77" fillId="36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51" fillId="9" borderId="0" applyNumberFormat="0" applyBorder="0" applyAlignment="0" applyProtection="0"/>
    <xf numFmtId="0" fontId="77" fillId="40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48" fillId="10" borderId="0" applyNumberFormat="0" applyBorder="0" applyAlignment="0" applyProtection="0"/>
    <xf numFmtId="0" fontId="77" fillId="44" borderId="0" applyNumberFormat="0" applyBorder="0" applyAlignment="0" applyProtection="0"/>
    <xf numFmtId="0" fontId="77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51" fillId="14" borderId="0" applyNumberFormat="0" applyBorder="0" applyAlignment="0" applyProtection="0"/>
    <xf numFmtId="0" fontId="77" fillId="52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8" fillId="1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77" fillId="33" borderId="0" applyNumberFormat="0" applyBorder="0" applyAlignment="0" applyProtection="0"/>
    <xf numFmtId="0" fontId="51" fillId="16" borderId="0" applyNumberFormat="0" applyBorder="0" applyAlignment="0" applyProtection="0"/>
    <xf numFmtId="0" fontId="77" fillId="33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51" fillId="17" borderId="0" applyNumberFormat="0" applyBorder="0" applyAlignment="0" applyProtection="0"/>
    <xf numFmtId="0" fontId="77" fillId="3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77" fillId="41" borderId="0" applyNumberFormat="0" applyBorder="0" applyAlignment="0" applyProtection="0"/>
    <xf numFmtId="0" fontId="77" fillId="41" borderId="0" applyNumberFormat="0" applyBorder="0" applyAlignment="0" applyProtection="0"/>
    <xf numFmtId="0" fontId="77" fillId="41" borderId="0" applyNumberFormat="0" applyBorder="0" applyAlignment="0" applyProtection="0"/>
    <xf numFmtId="0" fontId="51" fillId="18" borderId="0" applyNumberFormat="0" applyBorder="0" applyAlignment="0" applyProtection="0"/>
    <xf numFmtId="0" fontId="77" fillId="41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51" fillId="13" borderId="0" applyNumberFormat="0" applyBorder="0" applyAlignment="0" applyProtection="0"/>
    <xf numFmtId="0" fontId="77" fillId="45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51" fillId="14" borderId="0" applyNumberFormat="0" applyBorder="0" applyAlignment="0" applyProtection="0"/>
    <xf numFmtId="0" fontId="77" fillId="49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51" fillId="19" borderId="0" applyNumberFormat="0" applyBorder="0" applyAlignment="0" applyProtection="0"/>
    <xf numFmtId="0" fontId="77" fillId="53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90" fillId="27" borderId="0" applyNumberFormat="0" applyBorder="0" applyAlignment="0" applyProtection="0"/>
    <xf numFmtId="0" fontId="53" fillId="3" borderId="0" applyNumberFormat="0" applyBorder="0" applyAlignment="0" applyProtection="0"/>
    <xf numFmtId="0" fontId="90" fillId="27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91" fillId="30" borderId="25" applyNumberFormat="0" applyAlignment="0" applyProtection="0"/>
    <xf numFmtId="0" fontId="91" fillId="30" borderId="25" applyNumberFormat="0" applyAlignment="0" applyProtection="0"/>
    <xf numFmtId="0" fontId="91" fillId="30" borderId="25" applyNumberFormat="0" applyAlignment="0" applyProtection="0"/>
    <xf numFmtId="0" fontId="55" fillId="20" borderId="10" applyNumberFormat="0" applyAlignment="0" applyProtection="0"/>
    <xf numFmtId="0" fontId="91" fillId="30" borderId="25" applyNumberFormat="0" applyAlignment="0" applyProtection="0"/>
    <xf numFmtId="0" fontId="55" fillId="20" borderId="10" applyNumberFormat="0" applyAlignment="0" applyProtection="0"/>
    <xf numFmtId="0" fontId="55" fillId="20" borderId="10" applyNumberFormat="0" applyAlignment="0" applyProtection="0"/>
    <xf numFmtId="0" fontId="76" fillId="31" borderId="27" applyNumberFormat="0" applyAlignment="0" applyProtection="0"/>
    <xf numFmtId="0" fontId="76" fillId="31" borderId="27" applyNumberFormat="0" applyAlignment="0" applyProtection="0"/>
    <xf numFmtId="0" fontId="76" fillId="31" borderId="27" applyNumberFormat="0" applyAlignment="0" applyProtection="0"/>
    <xf numFmtId="0" fontId="57" fillId="21" borderId="11" applyNumberFormat="0" applyAlignment="0" applyProtection="0"/>
    <xf numFmtId="0" fontId="76" fillId="31" borderId="27" applyNumberFormat="0" applyAlignment="0" applyProtection="0"/>
    <xf numFmtId="0" fontId="57" fillId="21" borderId="11" applyNumberFormat="0" applyAlignment="0" applyProtection="0"/>
    <xf numFmtId="0" fontId="57" fillId="21" borderId="11" applyNumberFormat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61" borderId="31">
      <alignment horizontal="left" vertical="center" wrapText="1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3" fillId="26" borderId="0" applyNumberFormat="0" applyBorder="0" applyAlignment="0" applyProtection="0"/>
    <xf numFmtId="0" fontId="62" fillId="4" borderId="0" applyNumberFormat="0" applyBorder="0" applyAlignment="0" applyProtection="0"/>
    <xf numFmtId="0" fontId="93" fillId="26" borderId="0" applyNumberFormat="0" applyBorder="0" applyAlignment="0" applyProtection="0"/>
    <xf numFmtId="0" fontId="62" fillId="4" borderId="0" applyNumberFormat="0" applyBorder="0" applyAlignment="0" applyProtection="0"/>
    <xf numFmtId="0" fontId="62" fillId="4" borderId="0" applyNumberFormat="0" applyBorder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94" fillId="29" borderId="25" applyNumberFormat="0" applyAlignment="0" applyProtection="0"/>
    <xf numFmtId="0" fontId="94" fillId="29" borderId="25" applyNumberFormat="0" applyAlignment="0" applyProtection="0"/>
    <xf numFmtId="0" fontId="94" fillId="29" borderId="25" applyNumberFormat="0" applyAlignment="0" applyProtection="0"/>
    <xf numFmtId="0" fontId="70" fillId="7" borderId="10" applyNumberFormat="0" applyAlignment="0" applyProtection="0"/>
    <xf numFmtId="0" fontId="94" fillId="29" borderId="25" applyNumberFormat="0" applyAlignment="0" applyProtection="0"/>
    <xf numFmtId="0" fontId="70" fillId="7" borderId="10" applyNumberFormat="0" applyAlignment="0" applyProtection="0"/>
    <xf numFmtId="0" fontId="70" fillId="7" borderId="10" applyNumberFormat="0" applyAlignment="0" applyProtection="0"/>
    <xf numFmtId="0" fontId="95" fillId="0" borderId="26" applyNumberFormat="0" applyFill="0" applyAlignment="0" applyProtection="0"/>
    <xf numFmtId="0" fontId="95" fillId="0" borderId="26" applyNumberFormat="0" applyFill="0" applyAlignment="0" applyProtection="0"/>
    <xf numFmtId="0" fontId="95" fillId="0" borderId="26" applyNumberFormat="0" applyFill="0" applyAlignment="0" applyProtection="0"/>
    <xf numFmtId="0" fontId="72" fillId="0" borderId="15" applyNumberFormat="0" applyFill="0" applyAlignment="0" applyProtection="0"/>
    <xf numFmtId="0" fontId="95" fillId="0" borderId="26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86" fillId="24" borderId="0" applyNumberFormat="0" applyBorder="0" applyAlignment="0" applyProtection="0"/>
    <xf numFmtId="0" fontId="74" fillId="24" borderId="0" applyNumberFormat="0" applyBorder="0" applyAlignment="0" applyProtection="0"/>
    <xf numFmtId="0" fontId="96" fillId="28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" fillId="0" borderId="0"/>
    <xf numFmtId="0" fontId="16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97" fillId="30" borderId="37" applyNumberFormat="0" applyAlignment="0" applyProtection="0"/>
    <xf numFmtId="0" fontId="97" fillId="30" borderId="37" applyNumberFormat="0" applyAlignment="0" applyProtection="0"/>
    <xf numFmtId="0" fontId="97" fillId="30" borderId="37" applyNumberFormat="0" applyAlignment="0" applyProtection="0"/>
    <xf numFmtId="0" fontId="98" fillId="20" borderId="16" applyNumberFormat="0" applyAlignment="0" applyProtection="0"/>
    <xf numFmtId="0" fontId="97" fillId="30" borderId="37" applyNumberFormat="0" applyAlignment="0" applyProtection="0"/>
    <xf numFmtId="0" fontId="98" fillId="20" borderId="16" applyNumberFormat="0" applyAlignment="0" applyProtection="0"/>
    <xf numFmtId="0" fontId="98" fillId="20" borderId="16" applyNumberFormat="0" applyAlignment="0" applyProtection="0"/>
    <xf numFmtId="9" fontId="5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2" fillId="61" borderId="31">
      <alignment horizontal="left" vertical="top" wrapText="1"/>
    </xf>
    <xf numFmtId="0" fontId="82" fillId="61" borderId="31">
      <alignment horizontal="left" vertical="top" wrapText="1"/>
    </xf>
    <xf numFmtId="0" fontId="82" fillId="63" borderId="31">
      <alignment horizontal="left" vertical="top" wrapText="1"/>
    </xf>
    <xf numFmtId="0" fontId="82" fillId="63" borderId="31">
      <alignment horizontal="left" vertical="top" wrapText="1"/>
    </xf>
    <xf numFmtId="0" fontId="82" fillId="63" borderId="31">
      <alignment horizontal="right" vertical="top" wrapText="1"/>
    </xf>
    <xf numFmtId="0" fontId="82" fillId="22" borderId="31">
      <alignment horizontal="right" vertical="top" wrapText="1"/>
    </xf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</cellStyleXfs>
  <cellXfs count="225">
    <xf numFmtId="0" fontId="0" fillId="0" borderId="0" xfId="0"/>
    <xf numFmtId="0" fontId="36" fillId="0" borderId="0" xfId="0" applyFont="1"/>
    <xf numFmtId="0" fontId="36" fillId="0" borderId="4" xfId="0" applyFont="1" applyBorder="1" applyAlignment="1">
      <alignment horizontal="center" wrapText="1"/>
    </xf>
    <xf numFmtId="0" fontId="4" fillId="0" borderId="0" xfId="0" applyFont="1"/>
    <xf numFmtId="0" fontId="102" fillId="0" borderId="0" xfId="0" applyFont="1" applyAlignment="1">
      <alignment horizontal="center"/>
    </xf>
    <xf numFmtId="0" fontId="4" fillId="0" borderId="1" xfId="0" applyFont="1" applyBorder="1"/>
    <xf numFmtId="0" fontId="56" fillId="57" borderId="1" xfId="0" applyFont="1" applyFill="1" applyBorder="1" applyAlignment="1">
      <alignment horizontal="center"/>
    </xf>
    <xf numFmtId="0" fontId="56" fillId="64" borderId="1" xfId="0" applyFont="1" applyFill="1" applyBorder="1" applyAlignment="1">
      <alignment horizontal="center"/>
    </xf>
    <xf numFmtId="0" fontId="4" fillId="64" borderId="1" xfId="0" applyFont="1" applyFill="1" applyBorder="1"/>
    <xf numFmtId="175" fontId="4" fillId="0" borderId="1" xfId="4" applyNumberFormat="1" applyFont="1" applyBorder="1"/>
    <xf numFmtId="175" fontId="4" fillId="0" borderId="1" xfId="0" applyNumberFormat="1" applyFont="1" applyBorder="1"/>
    <xf numFmtId="176" fontId="4" fillId="0" borderId="1" xfId="4" applyNumberFormat="1" applyFont="1" applyBorder="1"/>
    <xf numFmtId="176" fontId="4" fillId="0" borderId="1" xfId="0" applyNumberFormat="1" applyFont="1" applyBorder="1"/>
    <xf numFmtId="0" fontId="4" fillId="66" borderId="1" xfId="0" applyFont="1" applyFill="1" applyBorder="1"/>
    <xf numFmtId="0" fontId="56" fillId="57" borderId="2" xfId="0" applyFont="1" applyFill="1" applyBorder="1" applyAlignment="1">
      <alignment horizontal="center"/>
    </xf>
    <xf numFmtId="0" fontId="56" fillId="64" borderId="2" xfId="0" applyFont="1" applyFill="1" applyBorder="1" applyAlignment="1">
      <alignment horizontal="center"/>
    </xf>
    <xf numFmtId="180" fontId="36" fillId="0" borderId="0" xfId="2" applyNumberFormat="1" applyFont="1"/>
    <xf numFmtId="0" fontId="36" fillId="0" borderId="19" xfId="0" applyFont="1" applyFill="1" applyBorder="1"/>
    <xf numFmtId="17" fontId="36" fillId="0" borderId="20" xfId="0" applyNumberFormat="1" applyFont="1" applyFill="1" applyBorder="1" applyAlignment="1">
      <alignment horizontal="center"/>
    </xf>
    <xf numFmtId="0" fontId="36" fillId="0" borderId="41" xfId="0" applyFont="1" applyFill="1" applyBorder="1" applyAlignment="1">
      <alignment horizontal="center"/>
    </xf>
    <xf numFmtId="0" fontId="36" fillId="68" borderId="19" xfId="0" applyFont="1" applyFill="1" applyBorder="1"/>
    <xf numFmtId="180" fontId="36" fillId="68" borderId="20" xfId="2" applyNumberFormat="1" applyFont="1" applyFill="1" applyBorder="1" applyAlignment="1">
      <alignment horizontal="center"/>
    </xf>
    <xf numFmtId="180" fontId="36" fillId="68" borderId="41" xfId="2" applyNumberFormat="1" applyFont="1" applyFill="1" applyBorder="1" applyAlignment="1">
      <alignment horizontal="center"/>
    </xf>
    <xf numFmtId="0" fontId="36" fillId="0" borderId="5" xfId="0" applyFont="1" applyFill="1" applyBorder="1"/>
    <xf numFmtId="180" fontId="36" fillId="0" borderId="0" xfId="2" applyNumberFormat="1" applyFont="1" applyFill="1" applyBorder="1" applyAlignment="1">
      <alignment horizontal="center"/>
    </xf>
    <xf numFmtId="180" fontId="36" fillId="0" borderId="42" xfId="2" applyNumberFormat="1" applyFont="1" applyFill="1" applyBorder="1" applyAlignment="1">
      <alignment horizontal="center"/>
    </xf>
    <xf numFmtId="0" fontId="36" fillId="69" borderId="3" xfId="0" applyFont="1" applyFill="1" applyBorder="1"/>
    <xf numFmtId="180" fontId="36" fillId="69" borderId="30" xfId="2" applyNumberFormat="1" applyFont="1" applyFill="1" applyBorder="1"/>
    <xf numFmtId="180" fontId="36" fillId="69" borderId="43" xfId="2" applyNumberFormat="1" applyFont="1" applyFill="1" applyBorder="1"/>
    <xf numFmtId="168" fontId="36" fillId="0" borderId="0" xfId="61978" applyNumberFormat="1" applyFont="1"/>
    <xf numFmtId="0" fontId="36" fillId="69" borderId="5" xfId="0" applyFont="1" applyFill="1" applyBorder="1" applyAlignment="1">
      <alignment horizontal="left" indent="2"/>
    </xf>
    <xf numFmtId="180" fontId="36" fillId="69" borderId="0" xfId="2" applyNumberFormat="1" applyFont="1" applyFill="1" applyBorder="1"/>
    <xf numFmtId="180" fontId="36" fillId="69" borderId="42" xfId="2" applyNumberFormat="1" applyFont="1" applyFill="1" applyBorder="1"/>
    <xf numFmtId="0" fontId="36" fillId="69" borderId="7" xfId="0" applyFont="1" applyFill="1" applyBorder="1" applyAlignment="1">
      <alignment horizontal="left" indent="2"/>
    </xf>
    <xf numFmtId="180" fontId="36" fillId="69" borderId="29" xfId="2" applyNumberFormat="1" applyFont="1" applyFill="1" applyBorder="1"/>
    <xf numFmtId="180" fontId="36" fillId="69" borderId="44" xfId="2" applyNumberFormat="1" applyFont="1" applyFill="1" applyBorder="1"/>
    <xf numFmtId="0" fontId="36" fillId="69" borderId="5" xfId="0" applyFont="1" applyFill="1" applyBorder="1"/>
    <xf numFmtId="168" fontId="36" fillId="69" borderId="30" xfId="2" applyNumberFormat="1" applyFont="1" applyFill="1" applyBorder="1"/>
    <xf numFmtId="168" fontId="36" fillId="69" borderId="0" xfId="2" applyNumberFormat="1" applyFont="1" applyFill="1" applyBorder="1"/>
    <xf numFmtId="180" fontId="36" fillId="0" borderId="20" xfId="2" applyNumberFormat="1" applyFont="1" applyFill="1" applyBorder="1"/>
    <xf numFmtId="180" fontId="36" fillId="0" borderId="41" xfId="2" applyNumberFormat="1" applyFont="1" applyFill="1" applyBorder="1"/>
    <xf numFmtId="10" fontId="36" fillId="0" borderId="0" xfId="61979" applyNumberFormat="1" applyFont="1" applyFill="1" applyBorder="1" applyAlignment="1">
      <alignment horizontal="center"/>
    </xf>
    <xf numFmtId="0" fontId="13" fillId="0" borderId="0" xfId="219"/>
    <xf numFmtId="0" fontId="104" fillId="0" borderId="1" xfId="219" applyFont="1" applyBorder="1" applyAlignment="1">
      <alignment vertical="center"/>
    </xf>
    <xf numFmtId="0" fontId="105" fillId="0" borderId="0" xfId="219" applyFont="1"/>
    <xf numFmtId="0" fontId="105" fillId="0" borderId="1" xfId="219" applyFont="1" applyBorder="1" applyAlignment="1">
      <alignment vertical="center"/>
    </xf>
    <xf numFmtId="0" fontId="105" fillId="0" borderId="1" xfId="219" applyNumberFormat="1" applyFont="1" applyBorder="1" applyAlignment="1">
      <alignment horizontal="center" vertical="center"/>
    </xf>
    <xf numFmtId="0" fontId="105" fillId="0" borderId="48" xfId="219" applyNumberFormat="1" applyFont="1" applyBorder="1" applyAlignment="1">
      <alignment horizontal="center" vertical="center"/>
    </xf>
    <xf numFmtId="0" fontId="13" fillId="0" borderId="45" xfId="219" applyBorder="1"/>
    <xf numFmtId="37" fontId="13" fillId="70" borderId="50" xfId="219" applyNumberFormat="1" applyFill="1" applyBorder="1"/>
    <xf numFmtId="181" fontId="13" fillId="70" borderId="45" xfId="219" applyNumberFormat="1" applyFill="1" applyBorder="1"/>
    <xf numFmtId="37" fontId="13" fillId="0" borderId="50" xfId="219" applyNumberFormat="1" applyBorder="1"/>
    <xf numFmtId="182" fontId="13" fillId="70" borderId="45" xfId="219" applyNumberFormat="1" applyFill="1" applyBorder="1"/>
    <xf numFmtId="5" fontId="13" fillId="0" borderId="51" xfId="219" applyNumberFormat="1" applyBorder="1"/>
    <xf numFmtId="0" fontId="13" fillId="0" borderId="49" xfId="219" applyFont="1" applyBorder="1"/>
    <xf numFmtId="37" fontId="13" fillId="70" borderId="0" xfId="219" applyNumberFormat="1" applyFill="1" applyBorder="1"/>
    <xf numFmtId="181" fontId="13" fillId="70" borderId="49" xfId="219" applyNumberFormat="1" applyFill="1" applyBorder="1"/>
    <xf numFmtId="37" fontId="13" fillId="0" borderId="0" xfId="219" applyNumberFormat="1" applyBorder="1"/>
    <xf numFmtId="183" fontId="13" fillId="70" borderId="49" xfId="219" applyNumberFormat="1" applyFill="1" applyBorder="1"/>
    <xf numFmtId="5" fontId="13" fillId="0" borderId="52" xfId="219" applyNumberFormat="1" applyBorder="1"/>
    <xf numFmtId="37" fontId="13" fillId="0" borderId="0" xfId="219" applyNumberFormat="1"/>
    <xf numFmtId="43" fontId="0" fillId="0" borderId="0" xfId="82" applyNumberFormat="1" applyFont="1"/>
    <xf numFmtId="0" fontId="13" fillId="0" borderId="53" xfId="219" applyFont="1" applyBorder="1"/>
    <xf numFmtId="37" fontId="13" fillId="70" borderId="49" xfId="219" applyNumberFormat="1" applyFill="1" applyBorder="1"/>
    <xf numFmtId="0" fontId="13" fillId="0" borderId="49" xfId="219" applyBorder="1"/>
    <xf numFmtId="184" fontId="0" fillId="0" borderId="0" xfId="82" applyNumberFormat="1" applyFont="1"/>
    <xf numFmtId="168" fontId="0" fillId="0" borderId="0" xfId="82" applyNumberFormat="1" applyFont="1"/>
    <xf numFmtId="181" fontId="13" fillId="70" borderId="2" xfId="219" applyNumberFormat="1" applyFill="1" applyBorder="1"/>
    <xf numFmtId="0" fontId="105" fillId="0" borderId="1" xfId="219" applyFont="1" applyBorder="1" applyAlignment="1">
      <alignment horizontal="left" indent="1"/>
    </xf>
    <xf numFmtId="37" fontId="105" fillId="0" borderId="1" xfId="219" applyNumberFormat="1" applyFont="1" applyBorder="1"/>
    <xf numFmtId="0" fontId="105" fillId="0" borderId="2" xfId="219" applyFont="1" applyBorder="1"/>
    <xf numFmtId="185" fontId="13" fillId="0" borderId="1" xfId="219" applyNumberFormat="1" applyBorder="1"/>
    <xf numFmtId="5" fontId="105" fillId="0" borderId="1" xfId="219" applyNumberFormat="1" applyFont="1" applyFill="1" applyBorder="1"/>
    <xf numFmtId="0" fontId="105" fillId="0" borderId="0" xfId="219" applyFont="1" applyBorder="1" applyAlignment="1">
      <alignment horizontal="left" indent="1"/>
    </xf>
    <xf numFmtId="5" fontId="105" fillId="0" borderId="0" xfId="219" applyNumberFormat="1" applyFont="1" applyFill="1" applyBorder="1"/>
    <xf numFmtId="0" fontId="106" fillId="0" borderId="54" xfId="61980" applyFont="1" applyFill="1" applyBorder="1" applyAlignment="1">
      <alignment horizontal="center"/>
    </xf>
    <xf numFmtId="0" fontId="106" fillId="0" borderId="55" xfId="61980" applyFont="1" applyFill="1" applyBorder="1" applyAlignment="1">
      <alignment horizontal="center"/>
    </xf>
    <xf numFmtId="0" fontId="106" fillId="0" borderId="56" xfId="61980" applyFont="1" applyFill="1" applyBorder="1" applyAlignment="1">
      <alignment horizontal="center"/>
    </xf>
    <xf numFmtId="0" fontId="107" fillId="0" borderId="57" xfId="61980" applyFont="1" applyFill="1" applyBorder="1" applyAlignment="1">
      <alignment wrapText="1"/>
    </xf>
    <xf numFmtId="3" fontId="107" fillId="0" borderId="58" xfId="61980" applyNumberFormat="1" applyFont="1" applyFill="1" applyBorder="1" applyAlignment="1">
      <alignment horizontal="right" wrapText="1"/>
    </xf>
    <xf numFmtId="10" fontId="15" fillId="0" borderId="0" xfId="550" applyNumberFormat="1" applyFont="1" applyFill="1" applyBorder="1"/>
    <xf numFmtId="10" fontId="15" fillId="0" borderId="6" xfId="550" applyNumberFormat="1" applyFont="1" applyFill="1" applyBorder="1"/>
    <xf numFmtId="0" fontId="107" fillId="0" borderId="59" xfId="61980" applyFont="1" applyFill="1" applyBorder="1" applyAlignment="1">
      <alignment wrapText="1"/>
    </xf>
    <xf numFmtId="0" fontId="107" fillId="0" borderId="60" xfId="61980" applyFont="1" applyFill="1" applyBorder="1" applyAlignment="1">
      <alignment wrapText="1"/>
    </xf>
    <xf numFmtId="4" fontId="106" fillId="0" borderId="61" xfId="61980" applyNumberFormat="1" applyFont="1" applyFill="1" applyBorder="1" applyAlignment="1">
      <alignment horizontal="left" wrapText="1"/>
    </xf>
    <xf numFmtId="3" fontId="106" fillId="0" borderId="62" xfId="61980" applyNumberFormat="1" applyFont="1" applyFill="1" applyBorder="1" applyAlignment="1">
      <alignment horizontal="right" wrapText="1"/>
    </xf>
    <xf numFmtId="3" fontId="106" fillId="0" borderId="63" xfId="61980" applyNumberFormat="1" applyFont="1" applyFill="1" applyBorder="1" applyAlignment="1">
      <alignment horizontal="right" wrapText="1"/>
    </xf>
    <xf numFmtId="168" fontId="4" fillId="0" borderId="1" xfId="61978" applyNumberFormat="1" applyFont="1" applyBorder="1"/>
    <xf numFmtId="168" fontId="102" fillId="0" borderId="1" xfId="61978" applyNumberFormat="1" applyFont="1" applyBorder="1"/>
    <xf numFmtId="168" fontId="4" fillId="0" borderId="1" xfId="0" applyNumberFormat="1" applyFont="1" applyBorder="1"/>
    <xf numFmtId="186" fontId="4" fillId="0" borderId="1" xfId="4" applyNumberFormat="1" applyFont="1" applyBorder="1"/>
    <xf numFmtId="186" fontId="102" fillId="0" borderId="1" xfId="4" applyNumberFormat="1" applyFont="1" applyBorder="1"/>
    <xf numFmtId="168" fontId="102" fillId="0" borderId="1" xfId="0" applyNumberFormat="1" applyFont="1" applyBorder="1"/>
    <xf numFmtId="0" fontId="4" fillId="57" borderId="1" xfId="0" applyFont="1" applyFill="1" applyBorder="1"/>
    <xf numFmtId="186" fontId="4" fillId="57" borderId="1" xfId="4" applyNumberFormat="1" applyFont="1" applyFill="1" applyBorder="1"/>
    <xf numFmtId="186" fontId="102" fillId="57" borderId="1" xfId="4" applyNumberFormat="1" applyFont="1" applyFill="1" applyBorder="1"/>
    <xf numFmtId="0" fontId="3" fillId="0" borderId="0" xfId="0" applyFont="1"/>
    <xf numFmtId="0" fontId="102" fillId="0" borderId="19" xfId="0" applyFont="1" applyBorder="1"/>
    <xf numFmtId="0" fontId="3" fillId="0" borderId="5" xfId="0" applyFont="1" applyBorder="1"/>
    <xf numFmtId="5" fontId="3" fillId="0" borderId="0" xfId="4" applyNumberFormat="1" applyFont="1" applyBorder="1"/>
    <xf numFmtId="5" fontId="102" fillId="0" borderId="20" xfId="4" applyNumberFormat="1" applyFont="1" applyBorder="1"/>
    <xf numFmtId="187" fontId="3" fillId="0" borderId="6" xfId="61979" applyNumberFormat="1" applyFont="1" applyBorder="1"/>
    <xf numFmtId="187" fontId="102" fillId="0" borderId="21" xfId="61979" applyNumberFormat="1" applyFont="1" applyBorder="1"/>
    <xf numFmtId="0" fontId="15" fillId="0" borderId="0" xfId="219" applyFont="1" applyFill="1" applyAlignment="1"/>
    <xf numFmtId="37" fontId="105" fillId="0" borderId="0" xfId="219" applyNumberFormat="1" applyFont="1" applyFill="1" applyBorder="1"/>
    <xf numFmtId="0" fontId="105" fillId="0" borderId="0" xfId="219" applyFont="1" applyFill="1" applyBorder="1"/>
    <xf numFmtId="185" fontId="13" fillId="0" borderId="0" xfId="219" applyNumberFormat="1" applyFill="1" applyBorder="1"/>
    <xf numFmtId="168" fontId="36" fillId="0" borderId="0" xfId="0" applyNumberFormat="1" applyFont="1"/>
    <xf numFmtId="180" fontId="36" fillId="0" borderId="0" xfId="0" applyNumberFormat="1" applyFont="1"/>
    <xf numFmtId="3" fontId="13" fillId="0" borderId="0" xfId="219" applyNumberFormat="1"/>
    <xf numFmtId="10" fontId="13" fillId="0" borderId="0" xfId="219" applyNumberFormat="1"/>
    <xf numFmtId="168" fontId="4" fillId="0" borderId="0" xfId="0" applyNumberFormat="1" applyFont="1"/>
    <xf numFmtId="189" fontId="4" fillId="65" borderId="1" xfId="0" applyNumberFormat="1" applyFont="1" applyFill="1" applyBorder="1"/>
    <xf numFmtId="188" fontId="3" fillId="0" borderId="0" xfId="4" applyNumberFormat="1" applyFont="1" applyBorder="1"/>
    <xf numFmtId="3" fontId="107" fillId="0" borderId="1" xfId="61980" applyNumberFormat="1" applyFont="1" applyFill="1" applyBorder="1" applyAlignment="1">
      <alignment horizontal="right" wrapText="1"/>
    </xf>
    <xf numFmtId="0" fontId="15" fillId="0" borderId="0" xfId="219" applyFont="1"/>
    <xf numFmtId="3" fontId="107" fillId="0" borderId="2" xfId="61980" applyNumberFormat="1" applyFont="1" applyFill="1" applyBorder="1" applyAlignment="1">
      <alignment horizontal="right" wrapText="1"/>
    </xf>
    <xf numFmtId="0" fontId="76" fillId="57" borderId="64" xfId="61980" applyFont="1" applyFill="1" applyBorder="1" applyAlignment="1">
      <alignment horizontal="center"/>
    </xf>
    <xf numFmtId="3" fontId="107" fillId="0" borderId="67" xfId="61980" applyNumberFormat="1" applyFont="1" applyFill="1" applyBorder="1" applyAlignment="1">
      <alignment horizontal="right" wrapText="1"/>
    </xf>
    <xf numFmtId="3" fontId="107" fillId="0" borderId="46" xfId="61980" applyNumberFormat="1" applyFont="1" applyFill="1" applyBorder="1" applyAlignment="1">
      <alignment horizontal="right" wrapText="1"/>
    </xf>
    <xf numFmtId="0" fontId="107" fillId="0" borderId="71" xfId="61980" applyFont="1" applyFill="1" applyBorder="1" applyAlignment="1">
      <alignment wrapText="1"/>
    </xf>
    <xf numFmtId="0" fontId="107" fillId="0" borderId="72" xfId="61980" applyFont="1" applyFill="1" applyBorder="1" applyAlignment="1">
      <alignment wrapText="1"/>
    </xf>
    <xf numFmtId="4" fontId="106" fillId="0" borderId="73" xfId="61980" applyNumberFormat="1" applyFont="1" applyFill="1" applyBorder="1" applyAlignment="1">
      <alignment horizontal="left" wrapText="1"/>
    </xf>
    <xf numFmtId="3" fontId="106" fillId="0" borderId="74" xfId="61980" applyNumberFormat="1" applyFont="1" applyFill="1" applyBorder="1" applyAlignment="1">
      <alignment horizontal="right" wrapText="1"/>
    </xf>
    <xf numFmtId="0" fontId="76" fillId="57" borderId="76" xfId="61980" applyFont="1" applyFill="1" applyBorder="1" applyAlignment="1">
      <alignment horizontal="center"/>
    </xf>
    <xf numFmtId="3" fontId="106" fillId="0" borderId="77" xfId="61980" applyNumberFormat="1" applyFont="1" applyFill="1" applyBorder="1" applyAlignment="1">
      <alignment horizontal="right" wrapText="1"/>
    </xf>
    <xf numFmtId="0" fontId="76" fillId="57" borderId="78" xfId="219" applyFont="1" applyFill="1" applyBorder="1" applyAlignment="1">
      <alignment horizontal="center"/>
    </xf>
    <xf numFmtId="0" fontId="76" fillId="57" borderId="79" xfId="61980" applyFont="1" applyFill="1" applyBorder="1" applyAlignment="1">
      <alignment horizontal="center"/>
    </xf>
    <xf numFmtId="0" fontId="108" fillId="57" borderId="80" xfId="219" applyFont="1" applyFill="1" applyBorder="1"/>
    <xf numFmtId="0" fontId="13" fillId="57" borderId="80" xfId="219" applyFill="1" applyBorder="1"/>
    <xf numFmtId="0" fontId="76" fillId="57" borderId="81" xfId="219" applyFont="1" applyFill="1" applyBorder="1"/>
    <xf numFmtId="3" fontId="15" fillId="71" borderId="82" xfId="219" applyNumberFormat="1" applyFont="1" applyFill="1" applyBorder="1"/>
    <xf numFmtId="3" fontId="15" fillId="71" borderId="83" xfId="219" applyNumberFormat="1" applyFont="1" applyFill="1" applyBorder="1"/>
    <xf numFmtId="3" fontId="15" fillId="0" borderId="83" xfId="219" applyNumberFormat="1" applyFont="1" applyBorder="1"/>
    <xf numFmtId="0" fontId="13" fillId="57" borderId="84" xfId="219" applyFill="1" applyBorder="1"/>
    <xf numFmtId="3" fontId="14" fillId="0" borderId="85" xfId="219" applyNumberFormat="1" applyFont="1" applyBorder="1"/>
    <xf numFmtId="189" fontId="4" fillId="66" borderId="1" xfId="0" applyNumberFormat="1" applyFont="1" applyFill="1" applyBorder="1"/>
    <xf numFmtId="189" fontId="4" fillId="67" borderId="1" xfId="0" applyNumberFormat="1" applyFont="1" applyFill="1" applyBorder="1"/>
    <xf numFmtId="7" fontId="2" fillId="0" borderId="0" xfId="0" applyNumberFormat="1" applyFont="1"/>
    <xf numFmtId="0" fontId="15" fillId="71" borderId="0" xfId="219" applyFont="1" applyFill="1" applyAlignment="1"/>
    <xf numFmtId="0" fontId="56" fillId="57" borderId="86" xfId="0" applyFont="1" applyFill="1" applyBorder="1" applyAlignment="1">
      <alignment horizontal="center" vertical="center"/>
    </xf>
    <xf numFmtId="0" fontId="56" fillId="57" borderId="87" xfId="0" applyFont="1" applyFill="1" applyBorder="1" applyAlignment="1">
      <alignment horizontal="center" vertical="center" wrapText="1"/>
    </xf>
    <xf numFmtId="0" fontId="56" fillId="57" borderId="87" xfId="0" applyFont="1" applyFill="1" applyBorder="1" applyAlignment="1">
      <alignment horizontal="center" vertical="center"/>
    </xf>
    <xf numFmtId="0" fontId="56" fillId="57" borderId="88" xfId="0" applyFont="1" applyFill="1" applyBorder="1" applyAlignment="1">
      <alignment horizontal="center" vertical="center"/>
    </xf>
    <xf numFmtId="0" fontId="102" fillId="0" borderId="0" xfId="0" applyFont="1"/>
    <xf numFmtId="0" fontId="36" fillId="0" borderId="3" xfId="0" applyFont="1" applyBorder="1"/>
    <xf numFmtId="0" fontId="110" fillId="0" borderId="30" xfId="0" applyFont="1" applyBorder="1"/>
    <xf numFmtId="0" fontId="110" fillId="0" borderId="43" xfId="0" applyFont="1" applyBorder="1" applyAlignment="1">
      <alignment horizontal="center"/>
    </xf>
    <xf numFmtId="0" fontId="110" fillId="0" borderId="4" xfId="0" applyFont="1" applyBorder="1" applyAlignment="1">
      <alignment horizontal="center"/>
    </xf>
    <xf numFmtId="0" fontId="111" fillId="0" borderId="3" xfId="0" applyFont="1" applyBorder="1"/>
    <xf numFmtId="0" fontId="36" fillId="0" borderId="43" xfId="0" applyFont="1" applyBorder="1" applyAlignment="1">
      <alignment horizontal="center" wrapText="1"/>
    </xf>
    <xf numFmtId="0" fontId="111" fillId="0" borderId="19" xfId="0" applyFont="1" applyFill="1" applyBorder="1" applyAlignment="1">
      <alignment wrapText="1"/>
    </xf>
    <xf numFmtId="0" fontId="111" fillId="0" borderId="41" xfId="0" applyFont="1" applyBorder="1" applyAlignment="1">
      <alignment horizontal="center" wrapText="1"/>
    </xf>
    <xf numFmtId="0" fontId="111" fillId="0" borderId="20" xfId="0" applyFont="1" applyBorder="1" applyAlignment="1">
      <alignment horizontal="center" wrapText="1"/>
    </xf>
    <xf numFmtId="0" fontId="36" fillId="0" borderId="7" xfId="0" applyFont="1" applyBorder="1"/>
    <xf numFmtId="0" fontId="36" fillId="0" borderId="44" xfId="0" applyFont="1" applyBorder="1"/>
    <xf numFmtId="0" fontId="36" fillId="0" borderId="8" xfId="0" applyFont="1" applyBorder="1"/>
    <xf numFmtId="0" fontId="0" fillId="0" borderId="89" xfId="0" applyBorder="1"/>
    <xf numFmtId="0" fontId="0" fillId="0" borderId="2" xfId="0" applyBorder="1"/>
    <xf numFmtId="2" fontId="0" fillId="0" borderId="90" xfId="0" applyNumberFormat="1" applyBorder="1"/>
    <xf numFmtId="0" fontId="36" fillId="0" borderId="5" xfId="0" applyFont="1" applyBorder="1"/>
    <xf numFmtId="0" fontId="36" fillId="0" borderId="42" xfId="0" applyFont="1" applyBorder="1"/>
    <xf numFmtId="0" fontId="36" fillId="0" borderId="6" xfId="0" applyFont="1" applyBorder="1"/>
    <xf numFmtId="0" fontId="0" fillId="0" borderId="91" xfId="0" applyBorder="1"/>
    <xf numFmtId="2" fontId="0" fillId="0" borderId="1" xfId="0" applyNumberFormat="1" applyBorder="1"/>
    <xf numFmtId="2" fontId="0" fillId="0" borderId="92" xfId="0" applyNumberFormat="1" applyBorder="1"/>
    <xf numFmtId="0" fontId="36" fillId="0" borderId="5" xfId="0" applyFont="1" applyFill="1" applyBorder="1" applyAlignment="1">
      <alignment horizontal="left" indent="1"/>
    </xf>
    <xf numFmtId="0" fontId="36" fillId="0" borderId="42" xfId="0" applyFont="1" applyFill="1" applyBorder="1"/>
    <xf numFmtId="2" fontId="36" fillId="0" borderId="6" xfId="0" applyNumberFormat="1" applyFont="1" applyFill="1" applyBorder="1"/>
    <xf numFmtId="0" fontId="36" fillId="0" borderId="5" xfId="0" applyFont="1" applyBorder="1" applyAlignment="1">
      <alignment horizontal="left" indent="1"/>
    </xf>
    <xf numFmtId="2" fontId="36" fillId="0" borderId="42" xfId="0" applyNumberFormat="1" applyFont="1" applyBorder="1"/>
    <xf numFmtId="2" fontId="36" fillId="0" borderId="6" xfId="0" applyNumberFormat="1" applyFont="1" applyBorder="1"/>
    <xf numFmtId="0" fontId="0" fillId="0" borderId="93" xfId="0" applyBorder="1"/>
    <xf numFmtId="0" fontId="0" fillId="0" borderId="94" xfId="0" applyBorder="1"/>
    <xf numFmtId="2" fontId="0" fillId="0" borderId="94" xfId="0" applyNumberFormat="1" applyBorder="1"/>
    <xf numFmtId="2" fontId="0" fillId="0" borderId="95" xfId="0" applyNumberFormat="1" applyBorder="1"/>
    <xf numFmtId="0" fontId="111" fillId="0" borderId="65" xfId="0" applyFont="1" applyBorder="1"/>
    <xf numFmtId="2" fontId="111" fillId="0" borderId="96" xfId="0" applyNumberFormat="1" applyFont="1" applyBorder="1"/>
    <xf numFmtId="0" fontId="111" fillId="0" borderId="96" xfId="0" applyFont="1" applyBorder="1"/>
    <xf numFmtId="2" fontId="111" fillId="0" borderId="66" xfId="0" applyNumberFormat="1" applyFont="1" applyBorder="1"/>
    <xf numFmtId="0" fontId="112" fillId="0" borderId="0" xfId="0" applyFont="1"/>
    <xf numFmtId="0" fontId="36" fillId="0" borderId="0" xfId="0" applyFont="1" applyBorder="1" applyAlignment="1">
      <alignment horizontal="center"/>
    </xf>
    <xf numFmtId="0" fontId="36" fillId="0" borderId="0" xfId="0" applyFont="1" applyAlignment="1">
      <alignment horizontal="center" wrapText="1"/>
    </xf>
    <xf numFmtId="17" fontId="0" fillId="0" borderId="0" xfId="0" applyNumberFormat="1"/>
    <xf numFmtId="0" fontId="111" fillId="0" borderId="3" xfId="0" applyFont="1" applyBorder="1" applyAlignment="1"/>
    <xf numFmtId="0" fontId="36" fillId="0" borderId="39" xfId="0" applyFont="1" applyBorder="1" applyAlignment="1">
      <alignment horizontal="center"/>
    </xf>
    <xf numFmtId="0" fontId="36" fillId="0" borderId="97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36" fillId="0" borderId="5" xfId="0" applyFont="1" applyBorder="1" applyAlignment="1">
      <alignment horizontal="left" indent="2"/>
    </xf>
    <xf numFmtId="0" fontId="36" fillId="0" borderId="0" xfId="0" applyFont="1" applyBorder="1"/>
    <xf numFmtId="0" fontId="36" fillId="0" borderId="7" xfId="0" applyFont="1" applyBorder="1" applyAlignment="1">
      <alignment horizontal="left" indent="2"/>
    </xf>
    <xf numFmtId="0" fontId="36" fillId="0" borderId="29" xfId="0" applyFont="1" applyBorder="1"/>
    <xf numFmtId="0" fontId="111" fillId="66" borderId="8" xfId="0" applyFont="1" applyFill="1" applyBorder="1"/>
    <xf numFmtId="0" fontId="111" fillId="65" borderId="19" xfId="0" applyFont="1" applyFill="1" applyBorder="1" applyAlignment="1">
      <alignment horizontal="left" indent="2"/>
    </xf>
    <xf numFmtId="190" fontId="109" fillId="65" borderId="21" xfId="0" applyNumberFormat="1" applyFont="1" applyFill="1" applyBorder="1"/>
    <xf numFmtId="5" fontId="3" fillId="0" borderId="0" xfId="0" applyNumberFormat="1" applyFont="1"/>
    <xf numFmtId="174" fontId="1" fillId="0" borderId="1" xfId="0" applyNumberFormat="1" applyFont="1" applyBorder="1"/>
    <xf numFmtId="166" fontId="4" fillId="0" borderId="1" xfId="4" applyNumberFormat="1" applyFont="1" applyBorder="1"/>
    <xf numFmtId="0" fontId="102" fillId="0" borderId="0" xfId="0" applyFont="1" applyAlignment="1">
      <alignment horizontal="center"/>
    </xf>
    <xf numFmtId="0" fontId="103" fillId="0" borderId="3" xfId="0" applyFont="1" applyBorder="1" applyAlignment="1">
      <alignment horizontal="center" vertical="center" wrapText="1"/>
    </xf>
    <xf numFmtId="0" fontId="103" fillId="0" borderId="30" xfId="0" applyFont="1" applyBorder="1" applyAlignment="1">
      <alignment horizontal="center" vertical="center" wrapText="1"/>
    </xf>
    <xf numFmtId="0" fontId="103" fillId="0" borderId="4" xfId="0" applyFont="1" applyBorder="1" applyAlignment="1">
      <alignment horizontal="center" vertical="center" wrapText="1"/>
    </xf>
    <xf numFmtId="0" fontId="103" fillId="0" borderId="5" xfId="0" applyFont="1" applyBorder="1" applyAlignment="1">
      <alignment horizontal="center" vertical="center" wrapText="1"/>
    </xf>
    <xf numFmtId="0" fontId="103" fillId="0" borderId="0" xfId="0" applyFont="1" applyBorder="1" applyAlignment="1">
      <alignment horizontal="center" vertical="center" wrapText="1"/>
    </xf>
    <xf numFmtId="0" fontId="103" fillId="0" borderId="6" xfId="0" applyFont="1" applyBorder="1" applyAlignment="1">
      <alignment horizontal="center" vertical="center" wrapText="1"/>
    </xf>
    <xf numFmtId="0" fontId="103" fillId="0" borderId="7" xfId="0" applyFont="1" applyBorder="1" applyAlignment="1">
      <alignment horizontal="center" vertical="center" wrapText="1"/>
    </xf>
    <xf numFmtId="0" fontId="103" fillId="0" borderId="29" xfId="0" applyFont="1" applyBorder="1" applyAlignment="1">
      <alignment horizontal="center" vertical="center" wrapText="1"/>
    </xf>
    <xf numFmtId="0" fontId="103" fillId="0" borderId="8" xfId="0" applyFont="1" applyBorder="1" applyAlignment="1">
      <alignment horizontal="center" vertical="center" wrapText="1"/>
    </xf>
    <xf numFmtId="0" fontId="56" fillId="57" borderId="1" xfId="0" applyFont="1" applyFill="1" applyBorder="1" applyAlignment="1">
      <alignment horizontal="center"/>
    </xf>
    <xf numFmtId="0" fontId="56" fillId="57" borderId="2" xfId="0" applyFont="1" applyFill="1" applyBorder="1" applyAlignment="1">
      <alignment horizontal="center"/>
    </xf>
    <xf numFmtId="0" fontId="56" fillId="57" borderId="38" xfId="0" applyFont="1" applyFill="1" applyBorder="1" applyAlignment="1">
      <alignment horizontal="center" wrapText="1"/>
    </xf>
    <xf numFmtId="0" fontId="56" fillId="57" borderId="39" xfId="0" applyFont="1" applyFill="1" applyBorder="1" applyAlignment="1">
      <alignment horizontal="center" wrapText="1"/>
    </xf>
    <xf numFmtId="0" fontId="56" fillId="57" borderId="40" xfId="0" applyFont="1" applyFill="1" applyBorder="1" applyAlignment="1">
      <alignment horizontal="center" wrapText="1"/>
    </xf>
    <xf numFmtId="0" fontId="14" fillId="0" borderId="0" xfId="219" applyFont="1" applyAlignment="1">
      <alignment horizontal="center"/>
    </xf>
    <xf numFmtId="0" fontId="105" fillId="0" borderId="45" xfId="219" applyNumberFormat="1" applyFont="1" applyBorder="1" applyAlignment="1">
      <alignment horizontal="center" vertical="center" wrapText="1"/>
    </xf>
    <xf numFmtId="0" fontId="105" fillId="0" borderId="2" xfId="219" applyNumberFormat="1" applyFont="1" applyBorder="1" applyAlignment="1">
      <alignment horizontal="center" vertical="center" wrapText="1"/>
    </xf>
    <xf numFmtId="0" fontId="105" fillId="0" borderId="45" xfId="219" applyFont="1" applyBorder="1" applyAlignment="1">
      <alignment horizontal="center" vertical="center" wrapText="1"/>
    </xf>
    <xf numFmtId="0" fontId="105" fillId="0" borderId="49" xfId="219" applyFont="1" applyBorder="1" applyAlignment="1">
      <alignment horizontal="center" vertical="center" wrapText="1"/>
    </xf>
    <xf numFmtId="0" fontId="105" fillId="0" borderId="46" xfId="219" applyNumberFormat="1" applyFont="1" applyBorder="1" applyAlignment="1">
      <alignment horizontal="center" vertical="center"/>
    </xf>
    <xf numFmtId="0" fontId="105" fillId="0" borderId="47" xfId="219" applyNumberFormat="1" applyFont="1" applyBorder="1" applyAlignment="1">
      <alignment horizontal="center" vertical="center"/>
    </xf>
    <xf numFmtId="0" fontId="105" fillId="0" borderId="48" xfId="219" applyNumberFormat="1" applyFont="1" applyBorder="1" applyAlignment="1">
      <alignment horizontal="center" vertical="center"/>
    </xf>
    <xf numFmtId="0" fontId="76" fillId="57" borderId="69" xfId="219" applyFont="1" applyFill="1" applyBorder="1" applyAlignment="1">
      <alignment horizontal="center"/>
    </xf>
    <xf numFmtId="0" fontId="76" fillId="57" borderId="75" xfId="219" applyFont="1" applyFill="1" applyBorder="1" applyAlignment="1">
      <alignment horizontal="center"/>
    </xf>
    <xf numFmtId="0" fontId="76" fillId="57" borderId="68" xfId="61980" applyFont="1" applyFill="1" applyBorder="1" applyAlignment="1">
      <alignment horizontal="center" vertical="center"/>
    </xf>
    <xf numFmtId="0" fontId="76" fillId="57" borderId="70" xfId="61980" applyFont="1" applyFill="1" applyBorder="1" applyAlignment="1">
      <alignment horizontal="center" vertical="center"/>
    </xf>
  </cellXfs>
  <cellStyles count="61981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rmal_Inputs" xfId="61980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calcChain" Target="calcChain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customXml" Target="../customXml/item2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6%20Rates%20Analysts/OEB%20RRR%20Filings%20-%202016/5.%20Q4%202016%20Results/RRR%202.1.2/2.1.2%20-%20Dec%2031,%20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OEB%20Applications%20-%20Horizon/2015%20Cost%20of%20Service/MODELS/Load%20Forecast%20Itron%20Output%20-%20v14%20-%20Settlement%20Proposa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OEB%20Applications%20-%20Horizon/2015%20Cost%20of%20Service/Load%20Forecast%20Project/Itron%20Scenarios/Old%20Load%20Forecast%20Models/Large%20User%20Scenarios_12_31_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OEB%20Applications%20-%20Horizon/2018%20Distribution%20Rates/DVA%20Calculation/2018%20Deferral%20and%20Variance%20Accounts%20Tables%20-%20ActualV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Sheet (2)"/>
      <sheetName val="Input Sheet"/>
      <sheetName val="Customers with Retailers"/>
      <sheetName val="RRR 2.1.2"/>
    </sheetNames>
    <sheetDataSet>
      <sheetData sheetId="0" refreshError="1"/>
      <sheetData sheetId="1" refreshError="1"/>
      <sheetData sheetId="2" refreshError="1"/>
      <sheetData sheetId="3">
        <row r="54">
          <cell r="F54">
            <v>223311</v>
          </cell>
        </row>
        <row r="55">
          <cell r="F55">
            <v>18774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BillingDeterminant"/>
      <sheetName val="TRANSPOSE"/>
      <sheetName val="aForecast2 &amp; Transpose"/>
      <sheetName val="Summary"/>
      <sheetName val="Comparison To Prior Iteration"/>
    </sheetNames>
    <sheetDataSet>
      <sheetData sheetId="0"/>
      <sheetData sheetId="1">
        <row r="4">
          <cell r="DG4">
            <v>144196626.26618499</v>
          </cell>
          <cell r="EE4">
            <v>145103554.21956399</v>
          </cell>
          <cell r="EF4">
            <v>129851912.72786701</v>
          </cell>
          <cell r="EG4">
            <v>131739819.93871801</v>
          </cell>
          <cell r="EH4">
            <v>118880614.352108</v>
          </cell>
          <cell r="EI4">
            <v>119580750.871777</v>
          </cell>
          <cell r="EJ4">
            <v>138454667.217895</v>
          </cell>
          <cell r="EK4">
            <v>166917211.16563401</v>
          </cell>
          <cell r="EL4">
            <v>158002954.398027</v>
          </cell>
          <cell r="EM4">
            <v>130568791.67900001</v>
          </cell>
          <cell r="EN4">
            <v>129557311.090588</v>
          </cell>
          <cell r="EO4">
            <v>133801573.282932</v>
          </cell>
          <cell r="EP4">
            <v>144203896.26702601</v>
          </cell>
        </row>
        <row r="6">
          <cell r="EE6">
            <v>53455304.790420003</v>
          </cell>
          <cell r="EF6">
            <v>47509840.250182703</v>
          </cell>
          <cell r="EG6">
            <v>50175720.279608101</v>
          </cell>
          <cell r="EH6">
            <v>44507034.649748698</v>
          </cell>
          <cell r="EI6">
            <v>46769029.772811502</v>
          </cell>
          <cell r="EJ6">
            <v>52252221.088999197</v>
          </cell>
          <cell r="EK6">
            <v>58675279.417845801</v>
          </cell>
          <cell r="EL6">
            <v>51974444.556190103</v>
          </cell>
          <cell r="EM6">
            <v>47659357.721344598</v>
          </cell>
          <cell r="EN6">
            <v>39444703.6049404</v>
          </cell>
          <cell r="EO6">
            <v>48660536.680630498</v>
          </cell>
          <cell r="EP6">
            <v>52159397.008111902</v>
          </cell>
        </row>
        <row r="8">
          <cell r="EE8">
            <v>163332703.101486</v>
          </cell>
          <cell r="EF8">
            <v>149889629.95050699</v>
          </cell>
          <cell r="EG8">
            <v>155380506.46865299</v>
          </cell>
          <cell r="EH8">
            <v>143379358.85481101</v>
          </cell>
          <cell r="EI8">
            <v>146541340.06069401</v>
          </cell>
          <cell r="EJ8">
            <v>157161967.78282499</v>
          </cell>
          <cell r="EK8">
            <v>171989166.976798</v>
          </cell>
          <cell r="EL8">
            <v>167294960.59534401</v>
          </cell>
          <cell r="EM8">
            <v>147896124.251973</v>
          </cell>
          <cell r="EN8">
            <v>138991387.33596</v>
          </cell>
          <cell r="EO8">
            <v>145795558.93900701</v>
          </cell>
          <cell r="EP8">
            <v>157704166.91324899</v>
          </cell>
        </row>
        <row r="9">
          <cell r="EE9">
            <v>390392.04396068002</v>
          </cell>
          <cell r="EF9">
            <v>408255.42620497401</v>
          </cell>
          <cell r="EG9">
            <v>406893.21674387198</v>
          </cell>
          <cell r="EH9">
            <v>403219.63941027399</v>
          </cell>
          <cell r="EI9">
            <v>407189.19050985097</v>
          </cell>
          <cell r="EJ9">
            <v>477841.12726136198</v>
          </cell>
          <cell r="EK9">
            <v>473987.26243184</v>
          </cell>
          <cell r="EL9">
            <v>435165.86438498797</v>
          </cell>
          <cell r="EM9">
            <v>424010.30380349699</v>
          </cell>
          <cell r="EN9">
            <v>429966.88196202501</v>
          </cell>
          <cell r="EO9">
            <v>404723.44192085299</v>
          </cell>
          <cell r="EP9">
            <v>418115.65658017498</v>
          </cell>
        </row>
        <row r="11">
          <cell r="EE11">
            <v>898898.80686695303</v>
          </cell>
          <cell r="EF11">
            <v>850570.14020028699</v>
          </cell>
          <cell r="EG11">
            <v>854555.973533615</v>
          </cell>
          <cell r="EH11">
            <v>823820.47353361698</v>
          </cell>
          <cell r="EI11">
            <v>822003.89318072598</v>
          </cell>
          <cell r="EJ11">
            <v>1026201.64020028</v>
          </cell>
          <cell r="EK11">
            <v>1099754.9735336101</v>
          </cell>
          <cell r="EL11">
            <v>875621.14020027895</v>
          </cell>
          <cell r="EM11">
            <v>690978.30686694302</v>
          </cell>
          <cell r="EN11">
            <v>763092.30686694698</v>
          </cell>
          <cell r="EO11">
            <v>959144.97353361198</v>
          </cell>
          <cell r="EP11">
            <v>1063028.8068669499</v>
          </cell>
        </row>
        <row r="14">
          <cell r="EE14">
            <v>38803.536332889198</v>
          </cell>
          <cell r="EF14">
            <v>24111.5355861725</v>
          </cell>
          <cell r="EG14">
            <v>33265.821300458301</v>
          </cell>
          <cell r="EH14">
            <v>22809.083205220199</v>
          </cell>
          <cell r="EI14">
            <v>37150.749871886997</v>
          </cell>
          <cell r="EJ14">
            <v>30254.137378292598</v>
          </cell>
          <cell r="EK14">
            <v>46247.737378292601</v>
          </cell>
          <cell r="EL14">
            <v>27720.821300458301</v>
          </cell>
          <cell r="EM14">
            <v>27492.678443315599</v>
          </cell>
          <cell r="EN14">
            <v>20787.535586172598</v>
          </cell>
          <cell r="EO14">
            <v>40546.821300458301</v>
          </cell>
          <cell r="EP14">
            <v>32956.678443315403</v>
          </cell>
        </row>
        <row r="15">
          <cell r="EE15">
            <v>119.642445599876</v>
          </cell>
          <cell r="EF15">
            <v>67.439608277693694</v>
          </cell>
          <cell r="EG15">
            <v>92.157068112057601</v>
          </cell>
          <cell r="EH15">
            <v>63.416615726086</v>
          </cell>
          <cell r="EI15">
            <v>103.244240994176</v>
          </cell>
          <cell r="EJ15">
            <v>89.9243204179283</v>
          </cell>
          <cell r="EK15">
            <v>130.44055967890401</v>
          </cell>
          <cell r="EL15">
            <v>77.555171592626706</v>
          </cell>
          <cell r="EM15">
            <v>76.834838361252295</v>
          </cell>
          <cell r="EN15">
            <v>76.283745421008007</v>
          </cell>
          <cell r="EO15">
            <v>92.828005029349896</v>
          </cell>
          <cell r="EP15">
            <v>92.779019098443399</v>
          </cell>
        </row>
        <row r="18">
          <cell r="EE18">
            <v>3919121.3548440901</v>
          </cell>
          <cell r="EF18">
            <v>3898054.9199755499</v>
          </cell>
          <cell r="EG18">
            <v>3306476.7250337698</v>
          </cell>
          <cell r="EH18">
            <v>3054589.9364344901</v>
          </cell>
          <cell r="EI18">
            <v>2644409.5187198501</v>
          </cell>
          <cell r="EJ18">
            <v>2352950.3359568398</v>
          </cell>
          <cell r="EK18">
            <v>2564826.8795568598</v>
          </cell>
          <cell r="EL18">
            <v>2832172.3441914599</v>
          </cell>
          <cell r="EM18">
            <v>3272231.4612267599</v>
          </cell>
          <cell r="EN18">
            <v>3528619.4624808501</v>
          </cell>
          <cell r="EO18">
            <v>3918565.17845893</v>
          </cell>
          <cell r="EP18">
            <v>4337651.6716060201</v>
          </cell>
        </row>
        <row r="19">
          <cell r="EE19">
            <v>9154.8200132374604</v>
          </cell>
          <cell r="EF19">
            <v>9154.4139562752607</v>
          </cell>
          <cell r="EG19">
            <v>9154.0078993130701</v>
          </cell>
          <cell r="EH19">
            <v>9153.6018423508795</v>
          </cell>
          <cell r="EI19">
            <v>9153.1957853886906</v>
          </cell>
          <cell r="EJ19">
            <v>9152.7897284264891</v>
          </cell>
          <cell r="EK19">
            <v>9152.3836714643003</v>
          </cell>
          <cell r="EL19">
            <v>9151.9776145021096</v>
          </cell>
          <cell r="EM19">
            <v>9151.5715575399208</v>
          </cell>
          <cell r="EN19">
            <v>9151.1655005777193</v>
          </cell>
          <cell r="EO19">
            <v>9150.7594436155305</v>
          </cell>
          <cell r="EP19">
            <v>9150.3533866533398</v>
          </cell>
        </row>
        <row r="21">
          <cell r="EE21">
            <v>26188.4463495048</v>
          </cell>
          <cell r="EF21">
            <v>26252.067694069901</v>
          </cell>
          <cell r="EG21">
            <v>26315.689038634999</v>
          </cell>
          <cell r="EH21">
            <v>26379.3103832001</v>
          </cell>
          <cell r="EI21">
            <v>26442.931727765201</v>
          </cell>
          <cell r="EJ21">
            <v>26506.5530723304</v>
          </cell>
          <cell r="EK21">
            <v>26570.174416895501</v>
          </cell>
          <cell r="EL21">
            <v>26633.795761460598</v>
          </cell>
          <cell r="EM21">
            <v>26697.417106025699</v>
          </cell>
          <cell r="EN21">
            <v>26761.0384505908</v>
          </cell>
          <cell r="EO21">
            <v>26824.659795155902</v>
          </cell>
          <cell r="EP21">
            <v>26888.281139720999</v>
          </cell>
        </row>
      </sheetData>
      <sheetData sheetId="2"/>
      <sheetData sheetId="3">
        <row r="16">
          <cell r="I16">
            <v>39744804.13125179</v>
          </cell>
        </row>
      </sheetData>
      <sheetData sheetId="4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Data Inputs"/>
      <sheetName val="kWs"/>
      <sheetName val="kWhs"/>
      <sheetName val="2. Output"/>
      <sheetName val="GDP 2016-2020 Budget"/>
      <sheetName val="LF 2016-2020 Budget"/>
      <sheetName val="Customer Yearly Analysis"/>
      <sheetName val="2015-2019 COS Results"/>
      <sheetName val="GDP Settlement Amount"/>
      <sheetName val="LF Settlement Amount"/>
    </sheetNames>
    <sheetDataSet>
      <sheetData sheetId="0"/>
      <sheetData sheetId="1">
        <row r="3">
          <cell r="N3">
            <v>280002.8088</v>
          </cell>
        </row>
      </sheetData>
      <sheetData sheetId="2">
        <row r="5">
          <cell r="N5">
            <v>179725047.30099997</v>
          </cell>
        </row>
      </sheetData>
      <sheetData sheetId="3"/>
      <sheetData sheetId="4"/>
      <sheetData sheetId="5">
        <row r="3">
          <cell r="AR3">
            <v>278430.29563794122</v>
          </cell>
        </row>
      </sheetData>
      <sheetData sheetId="6"/>
      <sheetData sheetId="7"/>
      <sheetData sheetId="8"/>
      <sheetData sheetId="9">
        <row r="3">
          <cell r="AF3">
            <v>20183.101831338969</v>
          </cell>
          <cell r="BJ3">
            <v>20963.135893040318</v>
          </cell>
          <cell r="BK3">
            <v>21030.844269291229</v>
          </cell>
          <cell r="BL3">
            <v>21578.737336884795</v>
          </cell>
          <cell r="BM3">
            <v>22038.687341072015</v>
          </cell>
          <cell r="BN3">
            <v>24149.320862824508</v>
          </cell>
          <cell r="BO3">
            <v>25607.774852413077</v>
          </cell>
          <cell r="BP3">
            <v>27418.779352825342</v>
          </cell>
          <cell r="BQ3">
            <v>26522.227060399506</v>
          </cell>
          <cell r="BR3">
            <v>26491.875029666338</v>
          </cell>
          <cell r="BS3">
            <v>24937.695404688551</v>
          </cell>
          <cell r="BT3">
            <v>24020.130167908985</v>
          </cell>
          <cell r="BU3">
            <v>24431.828225802445</v>
          </cell>
        </row>
        <row r="4">
          <cell r="BJ4">
            <v>7496.9515910921209</v>
          </cell>
          <cell r="BK4">
            <v>7437.8040440223604</v>
          </cell>
          <cell r="BL4">
            <v>7394.2216409183275</v>
          </cell>
          <cell r="BM4">
            <v>7323.4002358742719</v>
          </cell>
          <cell r="BN4">
            <v>7368.539153374878</v>
          </cell>
          <cell r="BO4">
            <v>7349.0827234177204</v>
          </cell>
          <cell r="BP4">
            <v>7447.9213876000831</v>
          </cell>
          <cell r="BQ4">
            <v>7340.52189423657</v>
          </cell>
          <cell r="BR4">
            <v>7188.7617405707388</v>
          </cell>
          <cell r="BS4">
            <v>7479.0516755315348</v>
          </cell>
          <cell r="BT4">
            <v>7333.5175794519946</v>
          </cell>
          <cell r="BU4">
            <v>7329.6262934605629</v>
          </cell>
        </row>
        <row r="5">
          <cell r="BJ5">
            <v>7653.5542339917356</v>
          </cell>
          <cell r="BK5">
            <v>7946.5248326355195</v>
          </cell>
          <cell r="BL5">
            <v>7927.7601868546153</v>
          </cell>
          <cell r="BM5">
            <v>8074.8507973307305</v>
          </cell>
          <cell r="BN5">
            <v>7404.1660384519855</v>
          </cell>
          <cell r="BO5">
            <v>7636.6055216735003</v>
          </cell>
          <cell r="BP5">
            <v>6874.5187785071294</v>
          </cell>
          <cell r="BQ5">
            <v>6885.4143792831383</v>
          </cell>
          <cell r="BR5">
            <v>7995.5550361275573</v>
          </cell>
          <cell r="BS5">
            <v>7717.1119051851183</v>
          </cell>
          <cell r="BT5">
            <v>7276.4453849109977</v>
          </cell>
          <cell r="BU5">
            <v>7530.6760696845286</v>
          </cell>
        </row>
        <row r="6">
          <cell r="BJ6">
            <v>13508.08048112261</v>
          </cell>
          <cell r="BK6">
            <v>12634.865095517604</v>
          </cell>
          <cell r="BL6">
            <v>11329.695346608183</v>
          </cell>
          <cell r="BM6">
            <v>12498.237720707339</v>
          </cell>
          <cell r="BN6">
            <v>12314.796013594601</v>
          </cell>
          <cell r="BO6">
            <v>10671.632406207758</v>
          </cell>
          <cell r="BP6">
            <v>10831.167565467027</v>
          </cell>
          <cell r="BQ6">
            <v>11654.920382469832</v>
          </cell>
          <cell r="BR6">
            <v>11534.376989757486</v>
          </cell>
          <cell r="BS6">
            <v>10721.494912536853</v>
          </cell>
          <cell r="BT6">
            <v>10700.809484754069</v>
          </cell>
          <cell r="BU6">
            <v>12179.109032898932</v>
          </cell>
        </row>
        <row r="7">
          <cell r="BJ7">
            <v>53543.803395649469</v>
          </cell>
          <cell r="BK7">
            <v>55448.371705900157</v>
          </cell>
          <cell r="BL7">
            <v>54338.717459804662</v>
          </cell>
          <cell r="BM7">
            <v>52802.567459920509</v>
          </cell>
          <cell r="BN7">
            <v>54363.924345726933</v>
          </cell>
          <cell r="BO7">
            <v>66158.606750055682</v>
          </cell>
          <cell r="BP7">
            <v>59987.989180015269</v>
          </cell>
          <cell r="BQ7">
            <v>55445.874797388977</v>
          </cell>
          <cell r="BR7">
            <v>60853.195001954591</v>
          </cell>
          <cell r="BS7">
            <v>53114.118949173389</v>
          </cell>
          <cell r="BT7">
            <v>52952.544107506939</v>
          </cell>
          <cell r="BU7">
            <v>54251.563462724356</v>
          </cell>
        </row>
        <row r="8">
          <cell r="BJ8">
            <v>52613.667143292027</v>
          </cell>
          <cell r="BK8">
            <v>52359.728304967844</v>
          </cell>
          <cell r="BL8">
            <v>50152.363898945012</v>
          </cell>
          <cell r="BM8">
            <v>48899.564374003603</v>
          </cell>
          <cell r="BN8">
            <v>45781.098589598078</v>
          </cell>
          <cell r="BO8">
            <v>47778.344361211362</v>
          </cell>
          <cell r="BP8">
            <v>46709.786418836484</v>
          </cell>
          <cell r="BQ8">
            <v>46273.378694897438</v>
          </cell>
          <cell r="BR8">
            <v>47517.163407292021</v>
          </cell>
          <cell r="BS8">
            <v>48629.725308753332</v>
          </cell>
          <cell r="BT8">
            <v>47811.236536966702</v>
          </cell>
          <cell r="BU8">
            <v>50617.750894392469</v>
          </cell>
        </row>
        <row r="9">
          <cell r="BJ9">
            <v>9582.9835380765689</v>
          </cell>
          <cell r="BK9">
            <v>9230.991859157748</v>
          </cell>
          <cell r="BL9">
            <v>9629.3395633622749</v>
          </cell>
          <cell r="BM9">
            <v>9251.1833098021762</v>
          </cell>
          <cell r="BN9">
            <v>9296.3243891283346</v>
          </cell>
          <cell r="BO9">
            <v>9203.49127632608</v>
          </cell>
          <cell r="BP9">
            <v>8524.3116239454866</v>
          </cell>
          <cell r="BQ9">
            <v>9350.7991502700497</v>
          </cell>
          <cell r="BR9">
            <v>8966.6859864047365</v>
          </cell>
          <cell r="BS9">
            <v>9051.1809380575723</v>
          </cell>
          <cell r="BT9">
            <v>9404.571318107759</v>
          </cell>
          <cell r="BU9">
            <v>9392.0402963025736</v>
          </cell>
        </row>
        <row r="10">
          <cell r="BJ10">
            <v>6681.0786282219615</v>
          </cell>
          <cell r="BK10">
            <v>6538.657560935565</v>
          </cell>
          <cell r="BL10">
            <v>6755.2724811252592</v>
          </cell>
          <cell r="BM10">
            <v>6562.005276884157</v>
          </cell>
          <cell r="BN10">
            <v>6546.4401329184293</v>
          </cell>
          <cell r="BO10">
            <v>6496.891091294201</v>
          </cell>
          <cell r="BP10">
            <v>6593.9138220138948</v>
          </cell>
          <cell r="BQ10">
            <v>6544.883618521857</v>
          </cell>
          <cell r="BR10">
            <v>6280.5355901706025</v>
          </cell>
          <cell r="BS10">
            <v>6295.3224769380431</v>
          </cell>
          <cell r="BT10">
            <v>6551.3690951742419</v>
          </cell>
          <cell r="BU10">
            <v>6588.9848597580822</v>
          </cell>
        </row>
        <row r="11">
          <cell r="BJ11">
            <v>9059.6920452510531</v>
          </cell>
          <cell r="BK11">
            <v>8833.2192005497327</v>
          </cell>
          <cell r="BL11">
            <v>7665.833403120253</v>
          </cell>
          <cell r="BM11">
            <v>9291.6126903403765</v>
          </cell>
          <cell r="BN11">
            <v>9279.9388323660824</v>
          </cell>
          <cell r="BO11">
            <v>9124.2873927088167</v>
          </cell>
          <cell r="BP11">
            <v>8560.0509239512357</v>
          </cell>
          <cell r="BQ11">
            <v>8314.899906491044</v>
          </cell>
          <cell r="BR11">
            <v>7935.8886509256063</v>
          </cell>
          <cell r="BS11">
            <v>8365.486624379655</v>
          </cell>
          <cell r="BT11">
            <v>8647.2157301593015</v>
          </cell>
          <cell r="BU11">
            <v>8771.7368818851137</v>
          </cell>
        </row>
        <row r="12">
          <cell r="BJ12">
            <v>43191.890936538257</v>
          </cell>
          <cell r="BK12">
            <v>42722.234335627974</v>
          </cell>
          <cell r="BL12">
            <v>41923.764068441706</v>
          </cell>
          <cell r="BM12">
            <v>39754.923393734047</v>
          </cell>
          <cell r="BN12">
            <v>30452.436720873171</v>
          </cell>
          <cell r="BO12">
            <v>34918.098142895586</v>
          </cell>
          <cell r="BP12">
            <v>35516.848156571614</v>
          </cell>
          <cell r="BQ12">
            <v>35708.634510310425</v>
          </cell>
          <cell r="BR12">
            <v>33827.122069558965</v>
          </cell>
          <cell r="BS12">
            <v>35512.211040765163</v>
          </cell>
          <cell r="BT12">
            <v>36245.286085039857</v>
          </cell>
          <cell r="BU12">
            <v>38057.447162121804</v>
          </cell>
        </row>
        <row r="13">
          <cell r="BJ13">
            <v>2889.3544316194657</v>
          </cell>
          <cell r="BK13">
            <v>2976.5095096125547</v>
          </cell>
          <cell r="BL13">
            <v>3372.551626867159</v>
          </cell>
          <cell r="BM13">
            <v>4289.8152889823941</v>
          </cell>
          <cell r="BN13">
            <v>4670.5214157796545</v>
          </cell>
          <cell r="BO13">
            <v>4918.5584703501581</v>
          </cell>
          <cell r="BP13">
            <v>5359.3298391634926</v>
          </cell>
          <cell r="BQ13">
            <v>5035.3802803768122</v>
          </cell>
          <cell r="BR13">
            <v>5080.2046522597775</v>
          </cell>
          <cell r="BS13">
            <v>4512.8443455812958</v>
          </cell>
          <cell r="BT13">
            <v>3530.7226742038747</v>
          </cell>
          <cell r="BU13">
            <v>3532.5991387819649</v>
          </cell>
        </row>
        <row r="18">
          <cell r="BJ18">
            <v>13013734.362380866</v>
          </cell>
          <cell r="BK18">
            <v>11934779.595621068</v>
          </cell>
          <cell r="BL18">
            <v>11819243.424330384</v>
          </cell>
          <cell r="BM18">
            <v>12410185.788847161</v>
          </cell>
          <cell r="BN18">
            <v>12622496.68623035</v>
          </cell>
          <cell r="BO18">
            <v>12714780.872612398</v>
          </cell>
          <cell r="BP18">
            <v>12223226.634830926</v>
          </cell>
          <cell r="BQ18">
            <v>14919054.303705445</v>
          </cell>
          <cell r="BR18">
            <v>14257808.071938735</v>
          </cell>
          <cell r="BS18">
            <v>14105351.37916135</v>
          </cell>
          <cell r="BT18">
            <v>14376686.080719773</v>
          </cell>
          <cell r="BU18">
            <v>10746597.212581718</v>
          </cell>
        </row>
        <row r="19">
          <cell r="BJ19">
            <v>5062750.6348372987</v>
          </cell>
          <cell r="BK19">
            <v>4535267.3622687878</v>
          </cell>
          <cell r="BL19">
            <v>4855106.1665341211</v>
          </cell>
          <cell r="BM19">
            <v>4843721.0419803895</v>
          </cell>
          <cell r="BN19">
            <v>4890390.0131328283</v>
          </cell>
          <cell r="BO19">
            <v>3696022.0386387608</v>
          </cell>
          <cell r="BP19">
            <v>4747251.3927096119</v>
          </cell>
          <cell r="BQ19">
            <v>4667073.7796277571</v>
          </cell>
          <cell r="BR19">
            <v>4588057.3262857478</v>
          </cell>
          <cell r="BS19">
            <v>4871641.7972261105</v>
          </cell>
          <cell r="BT19">
            <v>4621006.4012895962</v>
          </cell>
          <cell r="BU19">
            <v>4627248.0240198532</v>
          </cell>
        </row>
        <row r="20">
          <cell r="BJ20">
            <v>2981917.7053564684</v>
          </cell>
          <cell r="BK20">
            <v>2862609.0609257128</v>
          </cell>
          <cell r="BL20">
            <v>3066519.0188264032</v>
          </cell>
          <cell r="BM20">
            <v>3125415.7941322713</v>
          </cell>
          <cell r="BN20">
            <v>2815987.9958274812</v>
          </cell>
          <cell r="BO20">
            <v>2826988.9207443241</v>
          </cell>
          <cell r="BP20">
            <v>2740128.5860468303</v>
          </cell>
          <cell r="BQ20">
            <v>2923720.0644337283</v>
          </cell>
          <cell r="BR20">
            <v>3099243.3504459909</v>
          </cell>
          <cell r="BS20">
            <v>3236684.0905014868</v>
          </cell>
          <cell r="BT20">
            <v>3029478.8186772089</v>
          </cell>
          <cell r="BU20">
            <v>2469978.2179172426</v>
          </cell>
        </row>
        <row r="21">
          <cell r="BJ21">
            <v>6168710.4259150187</v>
          </cell>
          <cell r="BK21">
            <v>5715638.3626761585</v>
          </cell>
          <cell r="BL21">
            <v>6333777.6740596052</v>
          </cell>
          <cell r="BM21">
            <v>5878853.8623941755</v>
          </cell>
          <cell r="BN21">
            <v>5885890.9396449747</v>
          </cell>
          <cell r="BO21">
            <v>5708084.0967660639</v>
          </cell>
          <cell r="BP21">
            <v>5831459.6095785741</v>
          </cell>
          <cell r="BQ21">
            <v>5777481.8510500733</v>
          </cell>
          <cell r="BR21">
            <v>5385199.6024116687</v>
          </cell>
          <cell r="BS21">
            <v>5678205.7976749707</v>
          </cell>
          <cell r="BT21">
            <v>5539625.127006541</v>
          </cell>
          <cell r="BU21">
            <v>5851856.917899251</v>
          </cell>
        </row>
        <row r="25">
          <cell r="BJ25">
            <v>4564425.5464597838</v>
          </cell>
          <cell r="BK25">
            <v>4051750.9518602658</v>
          </cell>
          <cell r="BL25">
            <v>4497638.8861507103</v>
          </cell>
          <cell r="BM25">
            <v>4312679.0586631829</v>
          </cell>
          <cell r="BN25">
            <v>4454074.9018003708</v>
          </cell>
          <cell r="BO25">
            <v>1702661.7593244317</v>
          </cell>
          <cell r="BP25">
            <v>4332359.3672743812</v>
          </cell>
          <cell r="BQ25">
            <v>4328321.7689296706</v>
          </cell>
          <cell r="BR25">
            <v>3666553.0704065831</v>
          </cell>
          <cell r="BS25">
            <v>4211575.1471956745</v>
          </cell>
          <cell r="BT25">
            <v>4256041.1316388296</v>
          </cell>
          <cell r="BU25">
            <v>4467014.9842362767</v>
          </cell>
        </row>
        <row r="26">
          <cell r="BJ26">
            <v>4537423.1368698683</v>
          </cell>
          <cell r="BK26">
            <v>3830110.3071840187</v>
          </cell>
          <cell r="BL26">
            <v>3530478.9499912784</v>
          </cell>
          <cell r="BM26">
            <v>4306302.5380185563</v>
          </cell>
          <cell r="BN26">
            <v>4305198.1910541877</v>
          </cell>
          <cell r="BO26">
            <v>4125235.5562795945</v>
          </cell>
          <cell r="BP26">
            <v>3211957.7351626442</v>
          </cell>
          <cell r="BQ26">
            <v>4032149.7660642257</v>
          </cell>
          <cell r="BR26">
            <v>3487070.8764996598</v>
          </cell>
          <cell r="BS26">
            <v>4300453.1569162374</v>
          </cell>
          <cell r="BT26">
            <v>4401281.0464974185</v>
          </cell>
          <cell r="BU26">
            <v>3906712.6056160317</v>
          </cell>
        </row>
        <row r="27">
          <cell r="BJ27">
            <v>20357786.582596652</v>
          </cell>
          <cell r="BK27">
            <v>19045269.231814317</v>
          </cell>
          <cell r="BL27">
            <v>19523747.853668801</v>
          </cell>
          <cell r="BM27">
            <v>18257917.568518765</v>
          </cell>
          <cell r="BN27">
            <v>12630549.432361426</v>
          </cell>
          <cell r="BO27">
            <v>13983342.25251187</v>
          </cell>
          <cell r="BP27">
            <v>14845907.112694435</v>
          </cell>
          <cell r="BQ27">
            <v>13577798.490405537</v>
          </cell>
          <cell r="BR27">
            <v>12282620.180353764</v>
          </cell>
          <cell r="BS27">
            <v>15582075.296967208</v>
          </cell>
          <cell r="BT27">
            <v>16683385.653075572</v>
          </cell>
          <cell r="BU27">
            <v>16768461.66019995</v>
          </cell>
        </row>
        <row r="28">
          <cell r="BJ28">
            <v>1866250.3468960046</v>
          </cell>
          <cell r="BK28">
            <v>1762804.4790064192</v>
          </cell>
          <cell r="BL28">
            <v>2030990.9053679169</v>
          </cell>
          <cell r="BM28">
            <v>2207646.9079812509</v>
          </cell>
          <cell r="BN28">
            <v>2497496.2704611863</v>
          </cell>
          <cell r="BO28">
            <v>2609199.7152909571</v>
          </cell>
          <cell r="BP28">
            <v>2965098.927401138</v>
          </cell>
          <cell r="BQ28">
            <v>2791613.5381281455</v>
          </cell>
          <cell r="BR28">
            <v>2525539.6033774619</v>
          </cell>
          <cell r="BS28">
            <v>2395334.6717910855</v>
          </cell>
          <cell r="BT28">
            <v>2146845.89836718</v>
          </cell>
          <cell r="BU28">
            <v>2201401.9700915134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Class A &amp; WMP"/>
      <sheetName val="Class A &amp; WMP Customers"/>
      <sheetName val="ICI Expansion"/>
      <sheetName val="Summary Riders by Group"/>
      <sheetName val="Balance Summary "/>
      <sheetName val="Balance 2017 vs 2016"/>
      <sheetName val="Rate Rider Summary"/>
      <sheetName val="Table - Prop Rate Rider"/>
      <sheetName val="Rate Rider Check"/>
      <sheetName val="Table - Def &amp; Var Acct "/>
      <sheetName val="Table - Bill Determinants "/>
      <sheetName val="Table - Bill Det. Excl. WMP"/>
      <sheetName val="Table - Bill Det. GA Rider"/>
      <sheetName val="Table - Bill Det. CBR"/>
      <sheetName val="Table - Bill Determinants Total"/>
      <sheetName val="Table - Calc of Rate Rider"/>
      <sheetName val="Table - Rate Rider Excl WMP"/>
      <sheetName val="Table - Rate Rider GA"/>
      <sheetName val="Table - Rate Rider CBR"/>
      <sheetName val="2016 GS&gt;50kW &amp; LU"/>
      <sheetName val="LU1"/>
      <sheetName val="Unibilled kwH for GS&gt;50"/>
      <sheetName val="Bill Adj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G7">
            <v>-1.8E-3</v>
          </cell>
        </row>
      </sheetData>
      <sheetData sheetId="8"/>
      <sheetData sheetId="9"/>
      <sheetData sheetId="10">
        <row r="30">
          <cell r="D30">
            <v>1647803823.1021173</v>
          </cell>
          <cell r="E30">
            <v>90346673</v>
          </cell>
        </row>
        <row r="31">
          <cell r="D31">
            <v>595148676.14955509</v>
          </cell>
          <cell r="E31">
            <v>103898341</v>
          </cell>
        </row>
        <row r="32">
          <cell r="D32">
            <v>1811883808.7715611</v>
          </cell>
          <cell r="E32">
            <v>1611281237</v>
          </cell>
        </row>
        <row r="33">
          <cell r="D33">
            <v>248933055.62203574</v>
          </cell>
          <cell r="E33">
            <v>248933055.62203574</v>
          </cell>
        </row>
        <row r="34">
          <cell r="D34">
            <v>1065021673.1280894</v>
          </cell>
          <cell r="E34">
            <v>1065021673.1280894</v>
          </cell>
        </row>
        <row r="35">
          <cell r="D35">
            <v>11571071.95690605</v>
          </cell>
          <cell r="E35">
            <v>388224</v>
          </cell>
        </row>
        <row r="36">
          <cell r="D36">
            <v>438984.64842993952</v>
          </cell>
          <cell r="E36">
            <v>4428</v>
          </cell>
        </row>
        <row r="37">
          <cell r="D37">
            <v>31864627.859138645</v>
          </cell>
          <cell r="E37">
            <v>31636372.863474324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6"/>
  <sheetViews>
    <sheetView showGridLines="0" tabSelected="1" zoomScale="90" zoomScaleNormal="90" workbookViewId="0">
      <selection activeCell="F16" sqref="F16"/>
    </sheetView>
  </sheetViews>
  <sheetFormatPr defaultColWidth="9.140625" defaultRowHeight="14.25" x14ac:dyDescent="0.2"/>
  <cols>
    <col min="1" max="1" width="35.5703125" style="96" bestFit="1" customWidth="1"/>
    <col min="2" max="5" width="16.85546875" style="96" customWidth="1"/>
    <col min="6" max="6" width="89.140625" style="96" bestFit="1" customWidth="1"/>
    <col min="7" max="16384" width="9.140625" style="96"/>
  </cols>
  <sheetData>
    <row r="2" spans="1:6" ht="15" x14ac:dyDescent="0.25">
      <c r="A2" s="198" t="s">
        <v>76</v>
      </c>
      <c r="B2" s="198"/>
      <c r="C2" s="198"/>
      <c r="D2" s="198"/>
      <c r="E2" s="198"/>
    </row>
    <row r="3" spans="1:6" ht="15" thickBot="1" x14ac:dyDescent="0.25"/>
    <row r="4" spans="1:6" ht="27.6" x14ac:dyDescent="0.25">
      <c r="A4" s="140" t="s">
        <v>67</v>
      </c>
      <c r="B4" s="141" t="s">
        <v>120</v>
      </c>
      <c r="C4" s="141" t="s">
        <v>75</v>
      </c>
      <c r="D4" s="142" t="s">
        <v>68</v>
      </c>
      <c r="E4" s="143" t="s">
        <v>69</v>
      </c>
    </row>
    <row r="5" spans="1:6" x14ac:dyDescent="0.2">
      <c r="A5" s="98" t="s">
        <v>65</v>
      </c>
      <c r="B5" s="99">
        <f>+'2018 Cost of Power Expense'!AN14+'2018 Cost of Power Expense'!AN25</f>
        <v>248356617.62148637</v>
      </c>
      <c r="C5" s="113">
        <v>295596547.65990973</v>
      </c>
      <c r="D5" s="99">
        <f>+B5-C5</f>
        <v>-47239930.038423359</v>
      </c>
      <c r="E5" s="101">
        <f>+(B5/C5)-1</f>
        <v>-0.15981218458875213</v>
      </c>
      <c r="F5" s="138"/>
    </row>
    <row r="6" spans="1:6" x14ac:dyDescent="0.2">
      <c r="A6" s="98" t="s">
        <v>21</v>
      </c>
      <c r="B6" s="99">
        <f>+'2018 Cost of Power Expense'!AN36</f>
        <v>222871782.3894791</v>
      </c>
      <c r="C6" s="113">
        <v>190626638.59261364</v>
      </c>
      <c r="D6" s="99">
        <f t="shared" ref="D6:D11" si="0">+B6-C6</f>
        <v>32245143.796865463</v>
      </c>
      <c r="E6" s="101">
        <f t="shared" ref="E6:E11" si="1">+(B6/C6)-1</f>
        <v>0.16915339867989942</v>
      </c>
      <c r="F6" s="138"/>
    </row>
    <row r="7" spans="1:6" x14ac:dyDescent="0.2">
      <c r="A7" s="98" t="s">
        <v>27</v>
      </c>
      <c r="B7" s="99">
        <f>+'2018 Cost of Power Expense'!AN47</f>
        <v>19230919.162672505</v>
      </c>
      <c r="C7" s="113">
        <v>28106728.0069829</v>
      </c>
      <c r="D7" s="99">
        <f t="shared" si="0"/>
        <v>-8875808.8443103954</v>
      </c>
      <c r="E7" s="101">
        <f t="shared" si="1"/>
        <v>-0.31578947368421073</v>
      </c>
      <c r="F7" s="138"/>
    </row>
    <row r="8" spans="1:6" x14ac:dyDescent="0.2">
      <c r="A8" s="98" t="s">
        <v>28</v>
      </c>
      <c r="B8" s="99">
        <f>+'2018 Cost of Power Expense'!AN58</f>
        <v>37946548.822250515</v>
      </c>
      <c r="C8" s="113">
        <v>40891141.206121385</v>
      </c>
      <c r="D8" s="99">
        <f t="shared" si="0"/>
        <v>-2944592.3838708699</v>
      </c>
      <c r="E8" s="101">
        <f t="shared" si="1"/>
        <v>-7.2010521032610963E-2</v>
      </c>
      <c r="F8" s="138"/>
    </row>
    <row r="9" spans="1:6" x14ac:dyDescent="0.2">
      <c r="A9" s="98" t="s">
        <v>29</v>
      </c>
      <c r="B9" s="99">
        <f>+'2018 Cost of Power Expense'!AN69</f>
        <v>35620266.159562856</v>
      </c>
      <c r="C9" s="113">
        <v>30814905.954577077</v>
      </c>
      <c r="D9" s="99">
        <f t="shared" si="0"/>
        <v>4805360.2049857788</v>
      </c>
      <c r="E9" s="101">
        <f t="shared" si="1"/>
        <v>0.15594271850347852</v>
      </c>
      <c r="F9" s="138"/>
    </row>
    <row r="10" spans="1:6" x14ac:dyDescent="0.2">
      <c r="A10" s="98" t="s">
        <v>18</v>
      </c>
      <c r="B10" s="99">
        <f>+'2018 Cost of Power Expense'!AN80</f>
        <v>313362.43490466953</v>
      </c>
      <c r="C10" s="113">
        <v>313362.43316403776</v>
      </c>
      <c r="D10" s="99">
        <f t="shared" si="0"/>
        <v>1.7406317638233304E-3</v>
      </c>
      <c r="E10" s="101">
        <f t="shared" si="1"/>
        <v>5.5546918176219151E-9</v>
      </c>
      <c r="F10" s="138"/>
    </row>
    <row r="11" spans="1:6" ht="15" thickBot="1" x14ac:dyDescent="0.25">
      <c r="A11" s="98" t="s">
        <v>66</v>
      </c>
      <c r="B11" s="99">
        <f>+'2018 Cost of Power Expense'!AN91</f>
        <v>1655861.4</v>
      </c>
      <c r="C11" s="113">
        <v>1904499.081082389</v>
      </c>
      <c r="D11" s="99">
        <f t="shared" si="0"/>
        <v>-248637.68108238908</v>
      </c>
      <c r="E11" s="101">
        <f t="shared" si="1"/>
        <v>-0.13055279656059493</v>
      </c>
      <c r="F11" s="138"/>
    </row>
    <row r="12" spans="1:6" ht="15.75" thickBot="1" x14ac:dyDescent="0.3">
      <c r="A12" s="97" t="s">
        <v>52</v>
      </c>
      <c r="B12" s="100">
        <f>SUM(B5:B11)</f>
        <v>565995357.99035597</v>
      </c>
      <c r="C12" s="100">
        <f>SUM(C5:C11)</f>
        <v>588253822.9344511</v>
      </c>
      <c r="D12" s="100">
        <f>SUM(D5:D11)</f>
        <v>-22258464.944095142</v>
      </c>
      <c r="E12" s="102">
        <f>+(B12/C12)-1</f>
        <v>-3.7838198539978496E-2</v>
      </c>
      <c r="F12" s="138"/>
    </row>
    <row r="16" spans="1:6" ht="13.9" x14ac:dyDescent="0.25">
      <c r="B16" s="195"/>
      <c r="C16" s="195"/>
      <c r="D16" s="195"/>
    </row>
  </sheetData>
  <mergeCells count="1">
    <mergeCell ref="A2:E2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topLeftCell="A57" zoomScale="90" zoomScaleNormal="90" workbookViewId="0">
      <pane xSplit="1" topLeftCell="AH1" activePane="topRight" state="frozen"/>
      <selection pane="topRight" sqref="A1:AN91"/>
    </sheetView>
  </sheetViews>
  <sheetFormatPr defaultColWidth="9.140625" defaultRowHeight="14.25" x14ac:dyDescent="0.2"/>
  <cols>
    <col min="1" max="1" width="32.5703125" style="3" bestFit="1" customWidth="1"/>
    <col min="2" max="13" width="12.7109375" style="3" customWidth="1"/>
    <col min="14" max="14" width="2.28515625" style="3" customWidth="1"/>
    <col min="15" max="16" width="17.28515625" style="3" bestFit="1" customWidth="1"/>
    <col min="17" max="18" width="17.7109375" style="3" bestFit="1" customWidth="1"/>
    <col min="19" max="20" width="17.28515625" style="3" bestFit="1" customWidth="1"/>
    <col min="21" max="23" width="17.7109375" style="3" bestFit="1" customWidth="1"/>
    <col min="24" max="24" width="17.28515625" style="3" bestFit="1" customWidth="1"/>
    <col min="25" max="26" width="17.7109375" style="3" bestFit="1" customWidth="1"/>
    <col min="27" max="27" width="2.28515625" style="3" customWidth="1"/>
    <col min="28" max="28" width="18.140625" style="3" bestFit="1" customWidth="1"/>
    <col min="29" max="31" width="18.5703125" style="3" bestFit="1" customWidth="1"/>
    <col min="32" max="33" width="18.140625" style="3" bestFit="1" customWidth="1"/>
    <col min="34" max="34" width="18.85546875" style="3" bestFit="1" customWidth="1"/>
    <col min="35" max="35" width="18.140625" style="3" bestFit="1" customWidth="1"/>
    <col min="36" max="38" width="18.5703125" style="3" bestFit="1" customWidth="1"/>
    <col min="39" max="39" width="18.85546875" style="3" bestFit="1" customWidth="1"/>
    <col min="40" max="40" width="20" style="3" bestFit="1" customWidth="1"/>
    <col min="41" max="41" width="9.140625" style="3"/>
    <col min="42" max="42" width="14.7109375" style="3" bestFit="1" customWidth="1"/>
    <col min="43" max="16384" width="9.140625" style="3"/>
  </cols>
  <sheetData>
    <row r="1" spans="1:40" ht="14.25" customHeight="1" x14ac:dyDescent="0.2">
      <c r="A1" s="199" t="s">
        <v>77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1"/>
      <c r="O1" s="199" t="s">
        <v>77</v>
      </c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1"/>
      <c r="AB1" s="199" t="s">
        <v>77</v>
      </c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1"/>
    </row>
    <row r="2" spans="1:40" ht="14.25" customHeight="1" x14ac:dyDescent="0.2">
      <c r="A2" s="202"/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4"/>
      <c r="O2" s="202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4"/>
      <c r="AB2" s="202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4"/>
    </row>
    <row r="3" spans="1:40" ht="14.25" customHeight="1" thickBot="1" x14ac:dyDescent="0.25">
      <c r="A3" s="205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  <c r="O3" s="205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7"/>
      <c r="AB3" s="205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7"/>
    </row>
    <row r="4" spans="1:40" s="4" customFormat="1" ht="15" x14ac:dyDescent="0.25">
      <c r="A4" s="14"/>
      <c r="B4" s="209" t="s">
        <v>20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15"/>
      <c r="O4" s="210" t="s">
        <v>24</v>
      </c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2"/>
      <c r="AB4" s="209" t="s">
        <v>31</v>
      </c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14"/>
    </row>
    <row r="5" spans="1:40" s="4" customFormat="1" ht="15" x14ac:dyDescent="0.25">
      <c r="A5" s="6" t="s">
        <v>25</v>
      </c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  <c r="I5" s="6" t="s">
        <v>13</v>
      </c>
      <c r="J5" s="6" t="s">
        <v>14</v>
      </c>
      <c r="K5" s="6" t="s">
        <v>15</v>
      </c>
      <c r="L5" s="6" t="s">
        <v>16</v>
      </c>
      <c r="M5" s="6" t="s">
        <v>17</v>
      </c>
      <c r="N5" s="7"/>
      <c r="O5" s="6" t="s">
        <v>6</v>
      </c>
      <c r="P5" s="6" t="s">
        <v>7</v>
      </c>
      <c r="Q5" s="6" t="s">
        <v>8</v>
      </c>
      <c r="R5" s="6" t="s">
        <v>9</v>
      </c>
      <c r="S5" s="6" t="s">
        <v>10</v>
      </c>
      <c r="T5" s="6" t="s">
        <v>11</v>
      </c>
      <c r="U5" s="6" t="s">
        <v>12</v>
      </c>
      <c r="V5" s="6" t="s">
        <v>13</v>
      </c>
      <c r="W5" s="6" t="s">
        <v>14</v>
      </c>
      <c r="X5" s="6" t="s">
        <v>15</v>
      </c>
      <c r="Y5" s="6" t="s">
        <v>16</v>
      </c>
      <c r="Z5" s="6" t="s">
        <v>17</v>
      </c>
      <c r="AA5" s="7"/>
      <c r="AB5" s="6" t="s">
        <v>6</v>
      </c>
      <c r="AC5" s="6" t="s">
        <v>7</v>
      </c>
      <c r="AD5" s="6" t="s">
        <v>8</v>
      </c>
      <c r="AE5" s="6" t="s">
        <v>9</v>
      </c>
      <c r="AF5" s="6" t="s">
        <v>10</v>
      </c>
      <c r="AG5" s="6" t="s">
        <v>11</v>
      </c>
      <c r="AH5" s="6" t="s">
        <v>12</v>
      </c>
      <c r="AI5" s="6" t="s">
        <v>13</v>
      </c>
      <c r="AJ5" s="6" t="s">
        <v>14</v>
      </c>
      <c r="AK5" s="6" t="s">
        <v>15</v>
      </c>
      <c r="AL5" s="6" t="s">
        <v>16</v>
      </c>
      <c r="AM5" s="6" t="s">
        <v>17</v>
      </c>
      <c r="AN5" s="6" t="s">
        <v>19</v>
      </c>
    </row>
    <row r="6" spans="1:40" ht="15" x14ac:dyDescent="0.25">
      <c r="A6" s="5" t="s">
        <v>0</v>
      </c>
      <c r="B6" s="112">
        <f>'COP Rates'!I6/1000</f>
        <v>8.2159999999999997E-2</v>
      </c>
      <c r="C6" s="112">
        <f>B6</f>
        <v>8.2159999999999997E-2</v>
      </c>
      <c r="D6" s="112">
        <f t="shared" ref="D6:E6" si="0">C6</f>
        <v>8.2159999999999997E-2</v>
      </c>
      <c r="E6" s="112">
        <f t="shared" si="0"/>
        <v>8.2159999999999997E-2</v>
      </c>
      <c r="F6" s="136">
        <f>'COP Rates'!J6/1000</f>
        <v>8.3474560000000003E-2</v>
      </c>
      <c r="G6" s="136">
        <f>F6</f>
        <v>8.3474560000000003E-2</v>
      </c>
      <c r="H6" s="136">
        <f t="shared" ref="H6:K6" si="1">G6</f>
        <v>8.3474560000000003E-2</v>
      </c>
      <c r="I6" s="136">
        <f t="shared" si="1"/>
        <v>8.3474560000000003E-2</v>
      </c>
      <c r="J6" s="136">
        <f t="shared" si="1"/>
        <v>8.3474560000000003E-2</v>
      </c>
      <c r="K6" s="136">
        <f t="shared" si="1"/>
        <v>8.3474560000000003E-2</v>
      </c>
      <c r="L6" s="137">
        <f>'COP Rates'!K6/1000</f>
        <v>8.4810152959999996E-2</v>
      </c>
      <c r="M6" s="137">
        <f>L6</f>
        <v>8.4810152959999996E-2</v>
      </c>
      <c r="N6" s="8"/>
      <c r="O6" s="87">
        <f>+'2018 Load Forecast Output'!C6</f>
        <v>142349935.67942369</v>
      </c>
      <c r="P6" s="87">
        <f>+'2018 Load Forecast Output'!D6</f>
        <v>127387723.3681833</v>
      </c>
      <c r="Q6" s="87">
        <f>+'2018 Load Forecast Output'!E6</f>
        <v>129239803.91492654</v>
      </c>
      <c r="R6" s="87">
        <f>+'2018 Load Forecast Output'!F6</f>
        <v>116624626.44399722</v>
      </c>
      <c r="S6" s="87">
        <f>+'2018 Load Forecast Output'!G6</f>
        <v>117311476.52894337</v>
      </c>
      <c r="T6" s="87">
        <f>+'2018 Load Forecast Output'!H6</f>
        <v>135827224.07447439</v>
      </c>
      <c r="U6" s="87">
        <f>+'2018 Load Forecast Output'!I6</f>
        <v>163749636.60272068</v>
      </c>
      <c r="V6" s="87">
        <f>+'2018 Load Forecast Output'!J6</f>
        <v>155004544.97265202</v>
      </c>
      <c r="W6" s="87">
        <f>+'2018 Load Forecast Output'!K6</f>
        <v>128090998.16481097</v>
      </c>
      <c r="X6" s="87">
        <f>+'2018 Load Forecast Output'!L6</f>
        <v>127098712.36260681</v>
      </c>
      <c r="Y6" s="87">
        <f>+'2018 Load Forecast Output'!M6</f>
        <v>131262431.53086767</v>
      </c>
      <c r="Z6" s="87">
        <f>+'2018 Load Forecast Output'!N6</f>
        <v>141467350.46387836</v>
      </c>
      <c r="AA6" s="8"/>
      <c r="AB6" s="90">
        <f>+B6*O6</f>
        <v>11695470.715421449</v>
      </c>
      <c r="AC6" s="90">
        <f t="shared" ref="AC6:AM13" si="2">+C6*P6</f>
        <v>10466175.35192994</v>
      </c>
      <c r="AD6" s="90">
        <f t="shared" si="2"/>
        <v>10618342.289650364</v>
      </c>
      <c r="AE6" s="90">
        <f t="shared" si="2"/>
        <v>9581879.3086388111</v>
      </c>
      <c r="AF6" s="90">
        <f t="shared" si="2"/>
        <v>9792523.8862038758</v>
      </c>
      <c r="AG6" s="90">
        <f t="shared" si="2"/>
        <v>11338117.765638158</v>
      </c>
      <c r="AH6" s="90">
        <f t="shared" si="2"/>
        <v>13668928.865572004</v>
      </c>
      <c r="AI6" s="90">
        <f t="shared" si="2"/>
        <v>12938936.189592339</v>
      </c>
      <c r="AJ6" s="90">
        <f t="shared" si="2"/>
        <v>10692339.711768404</v>
      </c>
      <c r="AK6" s="90">
        <f t="shared" si="2"/>
        <v>10609509.091035165</v>
      </c>
      <c r="AL6" s="90">
        <f t="shared" si="2"/>
        <v>11132386.896034414</v>
      </c>
      <c r="AM6" s="90">
        <f t="shared" si="2"/>
        <v>11997867.631687451</v>
      </c>
      <c r="AN6" s="91">
        <f>SUM(AB6:AM6)</f>
        <v>134532477.70317239</v>
      </c>
    </row>
    <row r="7" spans="1:40" ht="15" x14ac:dyDescent="0.25">
      <c r="A7" s="5" t="s">
        <v>1</v>
      </c>
      <c r="B7" s="112">
        <f>B6</f>
        <v>8.2159999999999997E-2</v>
      </c>
      <c r="C7" s="112">
        <f t="shared" ref="C7:C13" si="3">C6</f>
        <v>8.2159999999999997E-2</v>
      </c>
      <c r="D7" s="112">
        <f t="shared" ref="D7:D13" si="4">D6</f>
        <v>8.2159999999999997E-2</v>
      </c>
      <c r="E7" s="112">
        <f t="shared" ref="E7:E13" si="5">E6</f>
        <v>8.2159999999999997E-2</v>
      </c>
      <c r="F7" s="112">
        <f t="shared" ref="F7:F13" si="6">F6</f>
        <v>8.3474560000000003E-2</v>
      </c>
      <c r="G7" s="112">
        <f t="shared" ref="G7:G13" si="7">G6</f>
        <v>8.3474560000000003E-2</v>
      </c>
      <c r="H7" s="112">
        <f t="shared" ref="H7:H13" si="8">H6</f>
        <v>8.3474560000000003E-2</v>
      </c>
      <c r="I7" s="112">
        <f t="shared" ref="I7:I13" si="9">I6</f>
        <v>8.3474560000000003E-2</v>
      </c>
      <c r="J7" s="112">
        <f t="shared" ref="J7:J13" si="10">J6</f>
        <v>8.3474560000000003E-2</v>
      </c>
      <c r="K7" s="112">
        <f t="shared" ref="K7:K13" si="11">K6</f>
        <v>8.3474560000000003E-2</v>
      </c>
      <c r="L7" s="112">
        <f t="shared" ref="L7:L13" si="12">L6</f>
        <v>8.4810152959999996E-2</v>
      </c>
      <c r="M7" s="112">
        <f t="shared" ref="M7:M13" si="13">M6</f>
        <v>8.4810152959999996E-2</v>
      </c>
      <c r="N7" s="8"/>
      <c r="O7" s="87">
        <f>+'2018 Load Forecast Output'!C9</f>
        <v>45794232.698967755</v>
      </c>
      <c r="P7" s="87">
        <f>+'2018 Load Forecast Output'!D9</f>
        <v>40700856.321701586</v>
      </c>
      <c r="Q7" s="87">
        <f>+'2018 Load Forecast Output'!E9</f>
        <v>42984669.516550615</v>
      </c>
      <c r="R7" s="87">
        <f>+'2018 Load Forecast Output'!F9</f>
        <v>38128404.832458884</v>
      </c>
      <c r="S7" s="87">
        <f>+'2018 Load Forecast Output'!G9</f>
        <v>40066216.831391357</v>
      </c>
      <c r="T7" s="87">
        <f>+'2018 Load Forecast Output'!H9</f>
        <v>44763571.753431931</v>
      </c>
      <c r="U7" s="87">
        <f>+'2018 Load Forecast Output'!I9</f>
        <v>50266094.4479234</v>
      </c>
      <c r="V7" s="87">
        <f>+'2018 Load Forecast Output'!J9</f>
        <v>44525605.414419457</v>
      </c>
      <c r="W7" s="87">
        <f>+'2018 Load Forecast Output'!K9</f>
        <v>40828945.346613027</v>
      </c>
      <c r="X7" s="87">
        <f>+'2018 Load Forecast Output'!L9</f>
        <v>33791593.607191935</v>
      </c>
      <c r="Y7" s="87">
        <f>+'2018 Load Forecast Output'!M9</f>
        <v>41686638.000590108</v>
      </c>
      <c r="Z7" s="87">
        <f>+'2018 Load Forecast Output'!N9</f>
        <v>44684050.972905345</v>
      </c>
      <c r="AA7" s="8"/>
      <c r="AB7" s="90">
        <f t="shared" ref="AB7:AB13" si="14">+B7*O7</f>
        <v>3762454.1585471905</v>
      </c>
      <c r="AC7" s="90">
        <f t="shared" si="2"/>
        <v>3343982.3553910023</v>
      </c>
      <c r="AD7" s="90">
        <f t="shared" si="2"/>
        <v>3531620.4474797985</v>
      </c>
      <c r="AE7" s="90">
        <f t="shared" si="2"/>
        <v>3132629.7410348216</v>
      </c>
      <c r="AF7" s="90">
        <f t="shared" si="2"/>
        <v>3344509.820864988</v>
      </c>
      <c r="AG7" s="90">
        <f t="shared" si="2"/>
        <v>3736619.4561461592</v>
      </c>
      <c r="AH7" s="90">
        <f t="shared" si="2"/>
        <v>4195940.1169588491</v>
      </c>
      <c r="AI7" s="90">
        <f t="shared" si="2"/>
        <v>3716755.3207022818</v>
      </c>
      <c r="AJ7" s="90">
        <f t="shared" si="2"/>
        <v>3408178.2480725702</v>
      </c>
      <c r="AK7" s="90">
        <f t="shared" si="2"/>
        <v>2820738.4080591598</v>
      </c>
      <c r="AL7" s="90">
        <f t="shared" si="2"/>
        <v>3535450.1452181954</v>
      </c>
      <c r="AM7" s="90">
        <f t="shared" si="2"/>
        <v>3789661.1978845391</v>
      </c>
      <c r="AN7" s="91">
        <f t="shared" ref="AN7:AN13" si="15">SUM(AB7:AM7)</f>
        <v>42318539.416359544</v>
      </c>
    </row>
    <row r="8" spans="1:40" ht="15" x14ac:dyDescent="0.25">
      <c r="A8" s="5" t="s">
        <v>2</v>
      </c>
      <c r="B8" s="112">
        <f t="shared" ref="B8:B13" si="16">B7</f>
        <v>8.2159999999999997E-2</v>
      </c>
      <c r="C8" s="112">
        <f t="shared" si="3"/>
        <v>8.2159999999999997E-2</v>
      </c>
      <c r="D8" s="112">
        <f t="shared" si="4"/>
        <v>8.2159999999999997E-2</v>
      </c>
      <c r="E8" s="112">
        <f t="shared" si="5"/>
        <v>8.2159999999999997E-2</v>
      </c>
      <c r="F8" s="112">
        <f t="shared" si="6"/>
        <v>8.3474560000000003E-2</v>
      </c>
      <c r="G8" s="112">
        <f t="shared" si="7"/>
        <v>8.3474560000000003E-2</v>
      </c>
      <c r="H8" s="112">
        <f t="shared" si="8"/>
        <v>8.3474560000000003E-2</v>
      </c>
      <c r="I8" s="112">
        <f t="shared" si="9"/>
        <v>8.3474560000000003E-2</v>
      </c>
      <c r="J8" s="112">
        <f t="shared" si="10"/>
        <v>8.3474560000000003E-2</v>
      </c>
      <c r="K8" s="112">
        <f t="shared" si="11"/>
        <v>8.3474560000000003E-2</v>
      </c>
      <c r="L8" s="112">
        <f t="shared" si="12"/>
        <v>8.4810152959999996E-2</v>
      </c>
      <c r="M8" s="112">
        <f t="shared" si="13"/>
        <v>8.4810152959999996E-2</v>
      </c>
      <c r="N8" s="8"/>
      <c r="O8" s="87">
        <f>+'2018 Load Forecast Output'!C12</f>
        <v>18766197.489177879</v>
      </c>
      <c r="P8" s="87">
        <f>+'2018 Load Forecast Output'!D12</f>
        <v>17221648.474667374</v>
      </c>
      <c r="Q8" s="87">
        <f>+'2018 Load Forecast Output'!E12</f>
        <v>17852525.642384317</v>
      </c>
      <c r="R8" s="87">
        <f>+'2018 Load Forecast Output'!F12</f>
        <v>16473647.426683707</v>
      </c>
      <c r="S8" s="87">
        <f>+'2018 Load Forecast Output'!G12</f>
        <v>16836944.93318367</v>
      </c>
      <c r="T8" s="87">
        <f>+'2018 Load Forecast Output'!H12</f>
        <v>18057207.584250603</v>
      </c>
      <c r="U8" s="87">
        <f>+'2018 Load Forecast Output'!I12</f>
        <v>19760786.494057707</v>
      </c>
      <c r="V8" s="87">
        <f>+'2018 Load Forecast Output'!J12</f>
        <v>19221443.163931169</v>
      </c>
      <c r="W8" s="87">
        <f>+'2018 Load Forecast Output'!K12</f>
        <v>16992603.580876295</v>
      </c>
      <c r="X8" s="87">
        <f>+'2018 Load Forecast Output'!L12</f>
        <v>15969489.113400413</v>
      </c>
      <c r="Y8" s="87">
        <f>+'2018 Load Forecast Output'!M12</f>
        <v>16751258.015943449</v>
      </c>
      <c r="Z8" s="87">
        <f>+'2018 Load Forecast Output'!N12</f>
        <v>18119503.840706211</v>
      </c>
      <c r="AA8" s="8"/>
      <c r="AB8" s="90">
        <f t="shared" si="14"/>
        <v>1541830.7857108545</v>
      </c>
      <c r="AC8" s="90">
        <f t="shared" si="2"/>
        <v>1414930.6386786713</v>
      </c>
      <c r="AD8" s="90">
        <f t="shared" si="2"/>
        <v>1466763.5067782954</v>
      </c>
      <c r="AE8" s="90">
        <f t="shared" si="2"/>
        <v>1353474.8725763333</v>
      </c>
      <c r="AF8" s="90">
        <f t="shared" si="2"/>
        <v>1405456.5700417364</v>
      </c>
      <c r="AG8" s="90">
        <f t="shared" si="2"/>
        <v>1507317.4579239821</v>
      </c>
      <c r="AH8" s="90">
        <f t="shared" si="2"/>
        <v>1649522.9578454099</v>
      </c>
      <c r="AI8" s="90">
        <f t="shared" si="2"/>
        <v>1604501.5106741623</v>
      </c>
      <c r="AJ8" s="90">
        <f t="shared" si="2"/>
        <v>1418450.1071680731</v>
      </c>
      <c r="AK8" s="90">
        <f t="shared" si="2"/>
        <v>1333046.0771658896</v>
      </c>
      <c r="AL8" s="90">
        <f t="shared" si="2"/>
        <v>1420676.7546045899</v>
      </c>
      <c r="AM8" s="90">
        <f t="shared" si="2"/>
        <v>1536717.892289601</v>
      </c>
      <c r="AN8" s="91">
        <f t="shared" si="15"/>
        <v>17652689.131457597</v>
      </c>
    </row>
    <row r="9" spans="1:40" ht="15" x14ac:dyDescent="0.25">
      <c r="A9" s="5" t="s">
        <v>22</v>
      </c>
      <c r="B9" s="112">
        <f t="shared" si="16"/>
        <v>8.2159999999999997E-2</v>
      </c>
      <c r="C9" s="112">
        <f t="shared" si="3"/>
        <v>8.2159999999999997E-2</v>
      </c>
      <c r="D9" s="112">
        <f t="shared" si="4"/>
        <v>8.2159999999999997E-2</v>
      </c>
      <c r="E9" s="112">
        <f t="shared" si="5"/>
        <v>8.2159999999999997E-2</v>
      </c>
      <c r="F9" s="112">
        <f t="shared" si="6"/>
        <v>8.3474560000000003E-2</v>
      </c>
      <c r="G9" s="112">
        <f t="shared" si="7"/>
        <v>8.3474560000000003E-2</v>
      </c>
      <c r="H9" s="112">
        <f t="shared" si="8"/>
        <v>8.3474560000000003E-2</v>
      </c>
      <c r="I9" s="112">
        <f t="shared" si="9"/>
        <v>8.3474560000000003E-2</v>
      </c>
      <c r="J9" s="112">
        <f t="shared" si="10"/>
        <v>8.3474560000000003E-2</v>
      </c>
      <c r="K9" s="112">
        <f t="shared" si="11"/>
        <v>8.3474560000000003E-2</v>
      </c>
      <c r="L9" s="112">
        <f t="shared" si="12"/>
        <v>8.4810152959999996E-2</v>
      </c>
      <c r="M9" s="112">
        <f t="shared" si="13"/>
        <v>8.4810152959999996E-2</v>
      </c>
      <c r="N9" s="8"/>
      <c r="O9" s="87">
        <f>+'2018 Load Forecast Output'!C27</f>
        <v>0</v>
      </c>
      <c r="P9" s="87">
        <f>+'2018 Load Forecast Output'!D27</f>
        <v>0</v>
      </c>
      <c r="Q9" s="87">
        <f>+'2018 Load Forecast Output'!E27</f>
        <v>0</v>
      </c>
      <c r="R9" s="87">
        <f>+'2018 Load Forecast Output'!F27</f>
        <v>0</v>
      </c>
      <c r="S9" s="87">
        <f>+'2018 Load Forecast Output'!G27</f>
        <v>0</v>
      </c>
      <c r="T9" s="87">
        <f>+'2018 Load Forecast Output'!H27</f>
        <v>0</v>
      </c>
      <c r="U9" s="87">
        <f>+'2018 Load Forecast Output'!I27</f>
        <v>0</v>
      </c>
      <c r="V9" s="87">
        <f>+'2018 Load Forecast Output'!J27</f>
        <v>0</v>
      </c>
      <c r="W9" s="87">
        <f>+'2018 Load Forecast Output'!K27</f>
        <v>0</v>
      </c>
      <c r="X9" s="87">
        <f>+'2018 Load Forecast Output'!L27</f>
        <v>0</v>
      </c>
      <c r="Y9" s="87">
        <f>+'2018 Load Forecast Output'!M27</f>
        <v>0</v>
      </c>
      <c r="Z9" s="87">
        <f>+'2018 Load Forecast Output'!N27</f>
        <v>0</v>
      </c>
      <c r="AA9" s="8"/>
      <c r="AB9" s="90">
        <f t="shared" si="14"/>
        <v>0</v>
      </c>
      <c r="AC9" s="90">
        <f t="shared" si="2"/>
        <v>0</v>
      </c>
      <c r="AD9" s="90">
        <f t="shared" si="2"/>
        <v>0</v>
      </c>
      <c r="AE9" s="90">
        <f t="shared" si="2"/>
        <v>0</v>
      </c>
      <c r="AF9" s="90">
        <f t="shared" si="2"/>
        <v>0</v>
      </c>
      <c r="AG9" s="90">
        <f t="shared" si="2"/>
        <v>0</v>
      </c>
      <c r="AH9" s="90">
        <f t="shared" si="2"/>
        <v>0</v>
      </c>
      <c r="AI9" s="90">
        <f t="shared" si="2"/>
        <v>0</v>
      </c>
      <c r="AJ9" s="90">
        <f t="shared" si="2"/>
        <v>0</v>
      </c>
      <c r="AK9" s="90">
        <f t="shared" si="2"/>
        <v>0</v>
      </c>
      <c r="AL9" s="90">
        <f t="shared" si="2"/>
        <v>0</v>
      </c>
      <c r="AM9" s="90">
        <f t="shared" si="2"/>
        <v>0</v>
      </c>
      <c r="AN9" s="91">
        <f t="shared" si="15"/>
        <v>0</v>
      </c>
    </row>
    <row r="10" spans="1:40" ht="15" x14ac:dyDescent="0.25">
      <c r="A10" s="5" t="s">
        <v>23</v>
      </c>
      <c r="B10" s="112">
        <f t="shared" si="16"/>
        <v>8.2159999999999997E-2</v>
      </c>
      <c r="C10" s="112">
        <f t="shared" si="3"/>
        <v>8.2159999999999997E-2</v>
      </c>
      <c r="D10" s="112">
        <f t="shared" si="4"/>
        <v>8.2159999999999997E-2</v>
      </c>
      <c r="E10" s="112">
        <f t="shared" si="5"/>
        <v>8.2159999999999997E-2</v>
      </c>
      <c r="F10" s="112">
        <f t="shared" si="6"/>
        <v>8.3474560000000003E-2</v>
      </c>
      <c r="G10" s="112">
        <f t="shared" si="7"/>
        <v>8.3474560000000003E-2</v>
      </c>
      <c r="H10" s="112">
        <f t="shared" si="8"/>
        <v>8.3474560000000003E-2</v>
      </c>
      <c r="I10" s="112">
        <f t="shared" si="9"/>
        <v>8.3474560000000003E-2</v>
      </c>
      <c r="J10" s="112">
        <f t="shared" si="10"/>
        <v>8.3474560000000003E-2</v>
      </c>
      <c r="K10" s="112">
        <f t="shared" si="11"/>
        <v>8.3474560000000003E-2</v>
      </c>
      <c r="L10" s="112">
        <f t="shared" si="12"/>
        <v>8.4810152959999996E-2</v>
      </c>
      <c r="M10" s="112">
        <f t="shared" si="13"/>
        <v>8.4810152959999996E-2</v>
      </c>
      <c r="N10" s="8"/>
      <c r="O10" s="87">
        <f>+'2018 Load Forecast Output'!C30</f>
        <v>0</v>
      </c>
      <c r="P10" s="87">
        <f>+'2018 Load Forecast Output'!D30</f>
        <v>0</v>
      </c>
      <c r="Q10" s="87">
        <f>+'2018 Load Forecast Output'!E30</f>
        <v>0</v>
      </c>
      <c r="R10" s="87">
        <f>+'2018 Load Forecast Output'!F30</f>
        <v>0</v>
      </c>
      <c r="S10" s="87">
        <f>+'2018 Load Forecast Output'!G30</f>
        <v>0</v>
      </c>
      <c r="T10" s="87">
        <f>+'2018 Load Forecast Output'!H30</f>
        <v>0</v>
      </c>
      <c r="U10" s="87">
        <f>+'2018 Load Forecast Output'!I30</f>
        <v>0</v>
      </c>
      <c r="V10" s="87">
        <f>+'2018 Load Forecast Output'!J30</f>
        <v>0</v>
      </c>
      <c r="W10" s="87">
        <f>+'2018 Load Forecast Output'!K30</f>
        <v>0</v>
      </c>
      <c r="X10" s="87">
        <f>+'2018 Load Forecast Output'!L30</f>
        <v>0</v>
      </c>
      <c r="Y10" s="87">
        <f>+'2018 Load Forecast Output'!M30</f>
        <v>0</v>
      </c>
      <c r="Z10" s="87">
        <f>+'2018 Load Forecast Output'!N30</f>
        <v>0</v>
      </c>
      <c r="AA10" s="8"/>
      <c r="AB10" s="90">
        <f t="shared" si="14"/>
        <v>0</v>
      </c>
      <c r="AC10" s="90">
        <f t="shared" si="2"/>
        <v>0</v>
      </c>
      <c r="AD10" s="90">
        <f t="shared" si="2"/>
        <v>0</v>
      </c>
      <c r="AE10" s="90">
        <f t="shared" si="2"/>
        <v>0</v>
      </c>
      <c r="AF10" s="90">
        <f t="shared" si="2"/>
        <v>0</v>
      </c>
      <c r="AG10" s="90">
        <f t="shared" si="2"/>
        <v>0</v>
      </c>
      <c r="AH10" s="90">
        <f t="shared" si="2"/>
        <v>0</v>
      </c>
      <c r="AI10" s="90">
        <f t="shared" si="2"/>
        <v>0</v>
      </c>
      <c r="AJ10" s="90">
        <f t="shared" si="2"/>
        <v>0</v>
      </c>
      <c r="AK10" s="90">
        <f t="shared" si="2"/>
        <v>0</v>
      </c>
      <c r="AL10" s="90">
        <f t="shared" si="2"/>
        <v>0</v>
      </c>
      <c r="AM10" s="90">
        <f t="shared" si="2"/>
        <v>0</v>
      </c>
      <c r="AN10" s="91">
        <f t="shared" si="15"/>
        <v>0</v>
      </c>
    </row>
    <row r="11" spans="1:40" ht="15" x14ac:dyDescent="0.25">
      <c r="A11" s="5" t="s">
        <v>3</v>
      </c>
      <c r="B11" s="112">
        <f t="shared" si="16"/>
        <v>8.2159999999999997E-2</v>
      </c>
      <c r="C11" s="112">
        <f t="shared" si="3"/>
        <v>8.2159999999999997E-2</v>
      </c>
      <c r="D11" s="112">
        <f t="shared" si="4"/>
        <v>8.2159999999999997E-2</v>
      </c>
      <c r="E11" s="112">
        <f t="shared" si="5"/>
        <v>8.2159999999999997E-2</v>
      </c>
      <c r="F11" s="112">
        <f t="shared" si="6"/>
        <v>8.3474560000000003E-2</v>
      </c>
      <c r="G11" s="112">
        <f t="shared" si="7"/>
        <v>8.3474560000000003E-2</v>
      </c>
      <c r="H11" s="112">
        <f t="shared" si="8"/>
        <v>8.3474560000000003E-2</v>
      </c>
      <c r="I11" s="112">
        <f t="shared" si="9"/>
        <v>8.3474560000000003E-2</v>
      </c>
      <c r="J11" s="112">
        <f t="shared" si="10"/>
        <v>8.3474560000000003E-2</v>
      </c>
      <c r="K11" s="112">
        <f t="shared" si="11"/>
        <v>8.3474560000000003E-2</v>
      </c>
      <c r="L11" s="112">
        <f t="shared" si="12"/>
        <v>8.4810152959999996E-2</v>
      </c>
      <c r="M11" s="112">
        <f t="shared" si="13"/>
        <v>8.4810152959999996E-2</v>
      </c>
      <c r="N11" s="8"/>
      <c r="O11" s="87">
        <f>+'2018 Load Forecast Output'!C15</f>
        <v>901619.37803986436</v>
      </c>
      <c r="P11" s="87">
        <f>+'2018 Load Forecast Output'!D15</f>
        <v>853144.44176381163</v>
      </c>
      <c r="Q11" s="87">
        <f>+'2018 Load Forecast Output'!E15</f>
        <v>857142.338460873</v>
      </c>
      <c r="R11" s="87">
        <f>+'2018 Load Forecast Output'!F15</f>
        <v>826313.81562599493</v>
      </c>
      <c r="S11" s="87">
        <f>+'2018 Load Forecast Output'!G15</f>
        <v>824491.73728367104</v>
      </c>
      <c r="T11" s="87">
        <f>+'2018 Load Forecast Output'!H15</f>
        <v>1029307.5010364446</v>
      </c>
      <c r="U11" s="87">
        <f>+'2018 Load Forecast Output'!I15</f>
        <v>1103083.4479463082</v>
      </c>
      <c r="V11" s="87">
        <f>+'2018 Load Forecast Output'!J15</f>
        <v>878271.26011836366</v>
      </c>
      <c r="W11" s="87">
        <f>+'2018 Load Forecast Output'!K15</f>
        <v>693069.59417137422</v>
      </c>
      <c r="X11" s="87">
        <f>+'2018 Load Forecast Output'!L15</f>
        <v>765401.85151921818</v>
      </c>
      <c r="Y11" s="87">
        <f>+'2018 Load Forecast Output'!M15</f>
        <v>962047.88334470999</v>
      </c>
      <c r="Z11" s="87">
        <f>+'2018 Load Forecast Output'!N15</f>
        <v>1066246.1273326611</v>
      </c>
      <c r="AA11" s="8"/>
      <c r="AB11" s="90">
        <f t="shared" si="14"/>
        <v>74077.048099755251</v>
      </c>
      <c r="AC11" s="90">
        <f t="shared" si="2"/>
        <v>70094.347335314756</v>
      </c>
      <c r="AD11" s="90">
        <f t="shared" si="2"/>
        <v>70422.814527945317</v>
      </c>
      <c r="AE11" s="90">
        <f t="shared" si="2"/>
        <v>67889.943091831738</v>
      </c>
      <c r="AF11" s="90">
        <f t="shared" si="2"/>
        <v>68824.084993390032</v>
      </c>
      <c r="AG11" s="90">
        <f t="shared" si="2"/>
        <v>85920.99075371676</v>
      </c>
      <c r="AH11" s="90">
        <f t="shared" si="2"/>
        <v>92079.405460600989</v>
      </c>
      <c r="AI11" s="90">
        <f t="shared" si="2"/>
        <v>73313.306999025954</v>
      </c>
      <c r="AJ11" s="90">
        <f t="shared" si="2"/>
        <v>57853.67942283403</v>
      </c>
      <c r="AK11" s="90">
        <f t="shared" si="2"/>
        <v>63891.582778752068</v>
      </c>
      <c r="AL11" s="90">
        <f t="shared" si="2"/>
        <v>81591.428141309094</v>
      </c>
      <c r="AM11" s="90">
        <f t="shared" si="2"/>
        <v>90428.497152090611</v>
      </c>
      <c r="AN11" s="91">
        <f t="shared" si="15"/>
        <v>896387.12875656667</v>
      </c>
    </row>
    <row r="12" spans="1:40" ht="15" x14ac:dyDescent="0.25">
      <c r="A12" s="5" t="s">
        <v>4</v>
      </c>
      <c r="B12" s="112">
        <f t="shared" si="16"/>
        <v>8.2159999999999997E-2</v>
      </c>
      <c r="C12" s="112">
        <f t="shared" si="3"/>
        <v>8.2159999999999997E-2</v>
      </c>
      <c r="D12" s="112">
        <f t="shared" si="4"/>
        <v>8.2159999999999997E-2</v>
      </c>
      <c r="E12" s="112">
        <f t="shared" si="5"/>
        <v>8.2159999999999997E-2</v>
      </c>
      <c r="F12" s="112">
        <f t="shared" si="6"/>
        <v>8.3474560000000003E-2</v>
      </c>
      <c r="G12" s="112">
        <f t="shared" si="7"/>
        <v>8.3474560000000003E-2</v>
      </c>
      <c r="H12" s="112">
        <f t="shared" si="8"/>
        <v>8.3474560000000003E-2</v>
      </c>
      <c r="I12" s="112">
        <f t="shared" si="9"/>
        <v>8.3474560000000003E-2</v>
      </c>
      <c r="J12" s="112">
        <f t="shared" si="10"/>
        <v>8.3474560000000003E-2</v>
      </c>
      <c r="K12" s="112">
        <f t="shared" si="11"/>
        <v>8.3474560000000003E-2</v>
      </c>
      <c r="L12" s="112">
        <f t="shared" si="12"/>
        <v>8.4810152959999996E-2</v>
      </c>
      <c r="M12" s="112">
        <f t="shared" si="13"/>
        <v>8.4810152959999996E-2</v>
      </c>
      <c r="N12" s="8"/>
      <c r="O12" s="87">
        <f>+'2018 Load Forecast Output'!C18</f>
        <v>39867.421037270651</v>
      </c>
      <c r="P12" s="87">
        <f>+'2018 Load Forecast Output'!D18</f>
        <v>24772.606620761067</v>
      </c>
      <c r="Q12" s="87">
        <f>+'2018 Load Forecast Output'!E18</f>
        <v>34177.877308875439</v>
      </c>
      <c r="R12" s="87">
        <f>+'2018 Load Forecast Output'!F18</f>
        <v>23434.444629365196</v>
      </c>
      <c r="S12" s="87">
        <f>+'2018 Load Forecast Output'!G18</f>
        <v>38169.319782781997</v>
      </c>
      <c r="T12" s="87">
        <f>+'2018 Load Forecast Output'!H18</f>
        <v>31083.621416162099</v>
      </c>
      <c r="U12" s="87">
        <f>+'2018 Load Forecast Output'!I18</f>
        <v>47515.721306018102</v>
      </c>
      <c r="V12" s="87">
        <f>+'2018 Load Forecast Output'!J18</f>
        <v>28480.848879425441</v>
      </c>
      <c r="W12" s="87">
        <f>+'2018 Load Forecast Output'!K18</f>
        <v>28246.450981658458</v>
      </c>
      <c r="X12" s="87">
        <f>+'2018 Load Forecast Output'!L18</f>
        <v>21357.471814721168</v>
      </c>
      <c r="Y12" s="87">
        <f>+'2018 Load Forecast Output'!M18</f>
        <v>41658.502014885438</v>
      </c>
      <c r="Z12" s="87">
        <f>+'2018 Load Forecast Output'!N18</f>
        <v>33860.258617098261</v>
      </c>
      <c r="AA12" s="8"/>
      <c r="AB12" s="90">
        <f t="shared" si="14"/>
        <v>3275.5073124221567</v>
      </c>
      <c r="AC12" s="90">
        <f t="shared" si="2"/>
        <v>2035.3173599617292</v>
      </c>
      <c r="AD12" s="90">
        <f t="shared" si="2"/>
        <v>2808.054399697206</v>
      </c>
      <c r="AE12" s="90">
        <f t="shared" si="2"/>
        <v>1925.3739707486445</v>
      </c>
      <c r="AF12" s="90">
        <f t="shared" si="2"/>
        <v>3186.1671743670227</v>
      </c>
      <c r="AG12" s="90">
        <f t="shared" si="2"/>
        <v>2594.6916209207084</v>
      </c>
      <c r="AH12" s="90">
        <f t="shared" si="2"/>
        <v>3966.3539291024867</v>
      </c>
      <c r="AI12" s="90">
        <f t="shared" si="2"/>
        <v>2377.4263286365317</v>
      </c>
      <c r="AJ12" s="90">
        <f t="shared" si="2"/>
        <v>2357.8600672555081</v>
      </c>
      <c r="AK12" s="90">
        <f t="shared" si="2"/>
        <v>1782.8055624462511</v>
      </c>
      <c r="AL12" s="90">
        <f t="shared" si="2"/>
        <v>3533.0639279669022</v>
      </c>
      <c r="AM12" s="90">
        <f t="shared" si="2"/>
        <v>2871.6937125812615</v>
      </c>
      <c r="AN12" s="91">
        <f t="shared" si="15"/>
        <v>32714.315366106406</v>
      </c>
    </row>
    <row r="13" spans="1:40" ht="15" x14ac:dyDescent="0.25">
      <c r="A13" s="5" t="s">
        <v>5</v>
      </c>
      <c r="B13" s="112">
        <f t="shared" si="16"/>
        <v>8.2159999999999997E-2</v>
      </c>
      <c r="C13" s="112">
        <f t="shared" si="3"/>
        <v>8.2159999999999997E-2</v>
      </c>
      <c r="D13" s="112">
        <f t="shared" si="4"/>
        <v>8.2159999999999997E-2</v>
      </c>
      <c r="E13" s="112">
        <f t="shared" si="5"/>
        <v>8.2159999999999997E-2</v>
      </c>
      <c r="F13" s="112">
        <f t="shared" si="6"/>
        <v>8.3474560000000003E-2</v>
      </c>
      <c r="G13" s="112">
        <f t="shared" si="7"/>
        <v>8.3474560000000003E-2</v>
      </c>
      <c r="H13" s="112">
        <f t="shared" si="8"/>
        <v>8.3474560000000003E-2</v>
      </c>
      <c r="I13" s="112">
        <f t="shared" si="9"/>
        <v>8.3474560000000003E-2</v>
      </c>
      <c r="J13" s="112">
        <f t="shared" si="10"/>
        <v>8.3474560000000003E-2</v>
      </c>
      <c r="K13" s="112">
        <f t="shared" si="11"/>
        <v>8.3474560000000003E-2</v>
      </c>
      <c r="L13" s="112">
        <f t="shared" si="12"/>
        <v>8.4810152959999996E-2</v>
      </c>
      <c r="M13" s="112">
        <f t="shared" si="13"/>
        <v>8.4810152959999996E-2</v>
      </c>
      <c r="N13" s="8"/>
      <c r="O13" s="87">
        <f>+'2018 Load Forecast Output'!C21</f>
        <v>29287.123590187304</v>
      </c>
      <c r="P13" s="87">
        <f>+'2018 Load Forecast Output'!D21</f>
        <v>29129.69665038689</v>
      </c>
      <c r="Q13" s="87">
        <f>+'2018 Load Forecast Output'!E21</f>
        <v>24708.903788970358</v>
      </c>
      <c r="R13" s="87">
        <f>+'2018 Load Forecast Output'!F21</f>
        <v>22826.584044182575</v>
      </c>
      <c r="S13" s="87">
        <f>+'2018 Load Forecast Output'!G21</f>
        <v>19761.355004251192</v>
      </c>
      <c r="T13" s="87">
        <f>+'2018 Load Forecast Output'!H21</f>
        <v>17583.315506565152</v>
      </c>
      <c r="U13" s="87">
        <f>+'2018 Load Forecast Output'!I21</f>
        <v>19166.643491702867</v>
      </c>
      <c r="V13" s="87">
        <f>+'2018 Load Forecast Output'!J21</f>
        <v>21164.484067461479</v>
      </c>
      <c r="W13" s="87">
        <f>+'2018 Load Forecast Output'!K21</f>
        <v>24452.99304197223</v>
      </c>
      <c r="X13" s="87">
        <f>+'2018 Load Forecast Output'!L21</f>
        <v>26368.949808783895</v>
      </c>
      <c r="Y13" s="87">
        <f>+'2018 Load Forecast Output'!M21</f>
        <v>29282.96735080217</v>
      </c>
      <c r="Z13" s="87">
        <f>+'2018 Load Forecast Output'!N21</f>
        <v>32414.750423711197</v>
      </c>
      <c r="AA13" s="8"/>
      <c r="AB13" s="90">
        <f t="shared" si="14"/>
        <v>2406.2300741697886</v>
      </c>
      <c r="AC13" s="90">
        <f t="shared" si="2"/>
        <v>2393.2958767957866</v>
      </c>
      <c r="AD13" s="90">
        <f t="shared" si="2"/>
        <v>2030.0835353018044</v>
      </c>
      <c r="AE13" s="90">
        <f t="shared" si="2"/>
        <v>1875.4321450700402</v>
      </c>
      <c r="AF13" s="90">
        <f t="shared" si="2"/>
        <v>1649.5704139836664</v>
      </c>
      <c r="AG13" s="90">
        <f t="shared" si="2"/>
        <v>1467.7595252517033</v>
      </c>
      <c r="AH13" s="90">
        <f t="shared" si="2"/>
        <v>1599.9271321467606</v>
      </c>
      <c r="AI13" s="90">
        <f t="shared" si="2"/>
        <v>1766.6959951583574</v>
      </c>
      <c r="AJ13" s="90">
        <f t="shared" si="2"/>
        <v>2041.2028348616934</v>
      </c>
      <c r="AK13" s="90">
        <f t="shared" si="2"/>
        <v>2201.13648295032</v>
      </c>
      <c r="AL13" s="90">
        <f t="shared" si="2"/>
        <v>2483.4929401442178</v>
      </c>
      <c r="AM13" s="90">
        <f t="shared" si="2"/>
        <v>2749.0999415951715</v>
      </c>
      <c r="AN13" s="91">
        <f t="shared" si="15"/>
        <v>24663.926897429308</v>
      </c>
    </row>
    <row r="14" spans="1:40" ht="1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8">
        <f>SUM(O6:O13)</f>
        <v>207881139.79023665</v>
      </c>
      <c r="P14" s="88">
        <f t="shared" ref="P14:Z14" si="17">SUM(P6:P13)</f>
        <v>186217274.90958723</v>
      </c>
      <c r="Q14" s="88">
        <f t="shared" si="17"/>
        <v>190993028.1934202</v>
      </c>
      <c r="R14" s="88">
        <f t="shared" si="17"/>
        <v>172099253.54743937</v>
      </c>
      <c r="S14" s="88">
        <f t="shared" si="17"/>
        <v>175097060.70558912</v>
      </c>
      <c r="T14" s="88">
        <f t="shared" si="17"/>
        <v>199725977.85011607</v>
      </c>
      <c r="U14" s="88">
        <f t="shared" si="17"/>
        <v>234946283.35744584</v>
      </c>
      <c r="V14" s="88">
        <f t="shared" si="17"/>
        <v>219679510.14406791</v>
      </c>
      <c r="W14" s="88">
        <f t="shared" si="17"/>
        <v>186658316.13049528</v>
      </c>
      <c r="X14" s="88">
        <f t="shared" si="17"/>
        <v>177672923.35634187</v>
      </c>
      <c r="Y14" s="88">
        <f t="shared" si="17"/>
        <v>190733316.90011162</v>
      </c>
      <c r="Z14" s="88">
        <f t="shared" si="17"/>
        <v>205403426.41386336</v>
      </c>
      <c r="AA14" s="8"/>
      <c r="AB14" s="91">
        <f>SUM(AB6:AB13)</f>
        <v>17079514.445165843</v>
      </c>
      <c r="AC14" s="91">
        <f t="shared" ref="AC14:AN14" si="18">SUM(AC6:AC13)</f>
        <v>15299611.306571687</v>
      </c>
      <c r="AD14" s="91">
        <f t="shared" si="18"/>
        <v>15691987.196371403</v>
      </c>
      <c r="AE14" s="91">
        <f t="shared" si="18"/>
        <v>14139674.671457617</v>
      </c>
      <c r="AF14" s="91">
        <f t="shared" si="18"/>
        <v>14616150.099692343</v>
      </c>
      <c r="AG14" s="91">
        <f t="shared" si="18"/>
        <v>16672038.121608187</v>
      </c>
      <c r="AH14" s="91">
        <f t="shared" si="18"/>
        <v>19612037.626898114</v>
      </c>
      <c r="AI14" s="91">
        <f t="shared" si="18"/>
        <v>18337650.450291608</v>
      </c>
      <c r="AJ14" s="91">
        <f t="shared" si="18"/>
        <v>15581220.809333999</v>
      </c>
      <c r="AK14" s="91">
        <f t="shared" si="18"/>
        <v>14831169.101084361</v>
      </c>
      <c r="AL14" s="91">
        <f t="shared" si="18"/>
        <v>16176121.780866619</v>
      </c>
      <c r="AM14" s="91">
        <f t="shared" si="18"/>
        <v>17420296.012667857</v>
      </c>
      <c r="AN14" s="91">
        <f t="shared" si="18"/>
        <v>195457471.62200963</v>
      </c>
    </row>
    <row r="15" spans="1:40" ht="15" x14ac:dyDescent="0.25">
      <c r="A15" s="6"/>
      <c r="B15" s="208" t="s">
        <v>20</v>
      </c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7"/>
      <c r="O15" s="208" t="s">
        <v>24</v>
      </c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7"/>
      <c r="AB15" s="208" t="s">
        <v>31</v>
      </c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6"/>
    </row>
    <row r="16" spans="1:40" ht="15" x14ac:dyDescent="0.25">
      <c r="A16" s="6" t="s">
        <v>26</v>
      </c>
      <c r="B16" s="6" t="s">
        <v>6</v>
      </c>
      <c r="C16" s="6" t="s">
        <v>7</v>
      </c>
      <c r="D16" s="6" t="s">
        <v>8</v>
      </c>
      <c r="E16" s="6" t="s">
        <v>9</v>
      </c>
      <c r="F16" s="6" t="s">
        <v>10</v>
      </c>
      <c r="G16" s="6" t="s">
        <v>11</v>
      </c>
      <c r="H16" s="6" t="s">
        <v>12</v>
      </c>
      <c r="I16" s="6" t="s">
        <v>13</v>
      </c>
      <c r="J16" s="6" t="s">
        <v>14</v>
      </c>
      <c r="K16" s="6" t="s">
        <v>15</v>
      </c>
      <c r="L16" s="6" t="s">
        <v>16</v>
      </c>
      <c r="M16" s="6" t="s">
        <v>17</v>
      </c>
      <c r="N16" s="7"/>
      <c r="O16" s="6" t="s">
        <v>6</v>
      </c>
      <c r="P16" s="6" t="s">
        <v>7</v>
      </c>
      <c r="Q16" s="6" t="s">
        <v>8</v>
      </c>
      <c r="R16" s="6" t="s">
        <v>9</v>
      </c>
      <c r="S16" s="6" t="s">
        <v>10</v>
      </c>
      <c r="T16" s="6" t="s">
        <v>11</v>
      </c>
      <c r="U16" s="6" t="s">
        <v>12</v>
      </c>
      <c r="V16" s="6" t="s">
        <v>13</v>
      </c>
      <c r="W16" s="6" t="s">
        <v>14</v>
      </c>
      <c r="X16" s="6" t="s">
        <v>15</v>
      </c>
      <c r="Y16" s="6" t="s">
        <v>16</v>
      </c>
      <c r="Z16" s="6" t="s">
        <v>17</v>
      </c>
      <c r="AA16" s="7"/>
      <c r="AB16" s="6" t="s">
        <v>6</v>
      </c>
      <c r="AC16" s="6" t="s">
        <v>7</v>
      </c>
      <c r="AD16" s="6" t="s">
        <v>8</v>
      </c>
      <c r="AE16" s="6" t="s">
        <v>9</v>
      </c>
      <c r="AF16" s="6" t="s">
        <v>10</v>
      </c>
      <c r="AG16" s="6" t="s">
        <v>11</v>
      </c>
      <c r="AH16" s="6" t="s">
        <v>12</v>
      </c>
      <c r="AI16" s="6" t="s">
        <v>13</v>
      </c>
      <c r="AJ16" s="6" t="s">
        <v>14</v>
      </c>
      <c r="AK16" s="6" t="s">
        <v>15</v>
      </c>
      <c r="AL16" s="6" t="s">
        <v>16</v>
      </c>
      <c r="AM16" s="6" t="s">
        <v>17</v>
      </c>
      <c r="AN16" s="6" t="s">
        <v>19</v>
      </c>
    </row>
    <row r="17" spans="1:40" ht="15" x14ac:dyDescent="0.25">
      <c r="A17" s="5" t="s">
        <v>0</v>
      </c>
      <c r="B17" s="112">
        <f>'COP Rates'!I5/1000</f>
        <v>2.281E-2</v>
      </c>
      <c r="C17" s="112">
        <f>B17</f>
        <v>2.281E-2</v>
      </c>
      <c r="D17" s="112">
        <f t="shared" ref="D17:E17" si="19">C17</f>
        <v>2.281E-2</v>
      </c>
      <c r="E17" s="112">
        <f t="shared" si="19"/>
        <v>2.281E-2</v>
      </c>
      <c r="F17" s="13">
        <f>'COP Rates'!J5/1000</f>
        <v>1.9210000000000001E-2</v>
      </c>
      <c r="G17" s="13">
        <f>F17</f>
        <v>1.9210000000000001E-2</v>
      </c>
      <c r="H17" s="13">
        <f t="shared" ref="H17:K17" si="20">G17</f>
        <v>1.9210000000000001E-2</v>
      </c>
      <c r="I17" s="13">
        <f t="shared" si="20"/>
        <v>1.9210000000000001E-2</v>
      </c>
      <c r="J17" s="13">
        <f t="shared" si="20"/>
        <v>1.9210000000000001E-2</v>
      </c>
      <c r="K17" s="13">
        <f t="shared" si="20"/>
        <v>1.9210000000000001E-2</v>
      </c>
      <c r="L17" s="137">
        <f>'COP Rates'!K5/1000</f>
        <v>1.9517360000000001E-2</v>
      </c>
      <c r="M17" s="137">
        <f>L17</f>
        <v>1.9517360000000001E-2</v>
      </c>
      <c r="N17" s="8"/>
      <c r="O17" s="87">
        <f>+'2018 Load Forecast Output'!C7</f>
        <v>8253043.245061785</v>
      </c>
      <c r="P17" s="87">
        <f>+'2018 Load Forecast Output'!D7</f>
        <v>7385576.8520698696</v>
      </c>
      <c r="Q17" s="87">
        <f>+'2018 Load Forecast Output'!E7</f>
        <v>7492955.199468866</v>
      </c>
      <c r="R17" s="87">
        <f>+'2018 Load Forecast Output'!F7</f>
        <v>6761563.1920556873</v>
      </c>
      <c r="S17" s="87">
        <f>+'2018 Load Forecast Output'!G7</f>
        <v>6801384.8008739799</v>
      </c>
      <c r="T17" s="87">
        <f>+'2018 Load Forecast Output'!H7</f>
        <v>7874875.0309788287</v>
      </c>
      <c r="U17" s="87">
        <f>+'2018 Load Forecast Output'!I7</f>
        <v>9493736.8660908639</v>
      </c>
      <c r="V17" s="87">
        <f>+'2018 Load Forecast Output'!J7</f>
        <v>8986721.3970602155</v>
      </c>
      <c r="W17" s="87">
        <f>+'2018 Load Forecast Output'!K7</f>
        <v>7426350.7188231498</v>
      </c>
      <c r="X17" s="87">
        <f>+'2018 Load Forecast Output'!L7</f>
        <v>7368820.8183144778</v>
      </c>
      <c r="Y17" s="87">
        <f>+'2018 Load Forecast Output'!M7</f>
        <v>7610221.3794874549</v>
      </c>
      <c r="Z17" s="87">
        <f>+'2018 Load Forecast Output'!N7</f>
        <v>8201873.4716679454</v>
      </c>
      <c r="AA17" s="8"/>
      <c r="AB17" s="90">
        <f>+B17*O17</f>
        <v>188251.91641985931</v>
      </c>
      <c r="AC17" s="90">
        <f t="shared" ref="AC17:AC24" si="21">+C17*P17</f>
        <v>168465.00799571373</v>
      </c>
      <c r="AD17" s="90">
        <f t="shared" ref="AD17:AD24" si="22">+D17*Q17</f>
        <v>170914.30809988483</v>
      </c>
      <c r="AE17" s="90">
        <f t="shared" ref="AE17:AE24" si="23">+E17*R17</f>
        <v>154231.25641079023</v>
      </c>
      <c r="AF17" s="90">
        <f t="shared" ref="AF17:AF24" si="24">+F17*S17</f>
        <v>130654.60202478916</v>
      </c>
      <c r="AG17" s="90">
        <f t="shared" ref="AG17:AG24" si="25">+G17*T17</f>
        <v>151276.34934510331</v>
      </c>
      <c r="AH17" s="90">
        <f t="shared" ref="AH17:AH24" si="26">+H17*U17</f>
        <v>182374.68519760552</v>
      </c>
      <c r="AI17" s="90">
        <f t="shared" ref="AI17:AI24" si="27">+I17*V17</f>
        <v>172634.91803752675</v>
      </c>
      <c r="AJ17" s="90">
        <f t="shared" ref="AJ17:AJ24" si="28">+J17*W17</f>
        <v>142660.19730859273</v>
      </c>
      <c r="AK17" s="90">
        <f t="shared" ref="AK17:AK24" si="29">+K17*X17</f>
        <v>141555.04791982114</v>
      </c>
      <c r="AL17" s="90">
        <f t="shared" ref="AL17:AL24" si="30">+L17*Y17</f>
        <v>148531.43034315328</v>
      </c>
      <c r="AM17" s="90">
        <f t="shared" ref="AM17:AM24" si="31">+M17*Z17</f>
        <v>160078.91722099308</v>
      </c>
      <c r="AN17" s="91">
        <f>SUM(AB17:AM17)</f>
        <v>1911628.6363238329</v>
      </c>
    </row>
    <row r="18" spans="1:40" ht="15" x14ac:dyDescent="0.25">
      <c r="A18" s="5" t="s">
        <v>1</v>
      </c>
      <c r="B18" s="112">
        <f>B17</f>
        <v>2.281E-2</v>
      </c>
      <c r="C18" s="112">
        <f t="shared" ref="C18:C24" si="32">C17</f>
        <v>2.281E-2</v>
      </c>
      <c r="D18" s="112">
        <f t="shared" ref="D18:D24" si="33">D17</f>
        <v>2.281E-2</v>
      </c>
      <c r="E18" s="112">
        <f t="shared" ref="E18:E24" si="34">E17</f>
        <v>2.281E-2</v>
      </c>
      <c r="F18" s="112">
        <f t="shared" ref="F18:F24" si="35">F17</f>
        <v>1.9210000000000001E-2</v>
      </c>
      <c r="G18" s="112">
        <f t="shared" ref="G18:G24" si="36">G17</f>
        <v>1.9210000000000001E-2</v>
      </c>
      <c r="H18" s="112">
        <f t="shared" ref="H18:H24" si="37">H17</f>
        <v>1.9210000000000001E-2</v>
      </c>
      <c r="I18" s="112">
        <f t="shared" ref="I18:I24" si="38">I17</f>
        <v>1.9210000000000001E-2</v>
      </c>
      <c r="J18" s="112">
        <f t="shared" ref="J18:J24" si="39">J17</f>
        <v>1.9210000000000001E-2</v>
      </c>
      <c r="K18" s="112">
        <f t="shared" ref="K18:K24" si="40">K17</f>
        <v>1.9210000000000001E-2</v>
      </c>
      <c r="L18" s="112">
        <f t="shared" ref="L18:L24" si="41">L17</f>
        <v>1.9517360000000001E-2</v>
      </c>
      <c r="M18" s="112">
        <f t="shared" ref="M18:M24" si="42">M17</f>
        <v>1.9517360000000001E-2</v>
      </c>
      <c r="N18" s="8"/>
      <c r="O18" s="87">
        <f>+'2018 Load Forecast Output'!C10</f>
        <v>9687028.1430091709</v>
      </c>
      <c r="P18" s="87">
        <f>+'2018 Load Forecast Output'!D10</f>
        <v>8609606.8739630431</v>
      </c>
      <c r="Q18" s="87">
        <f>+'2018 Load Forecast Output'!E10</f>
        <v>9092710.5616546348</v>
      </c>
      <c r="R18" s="87">
        <f>+'2018 Load Forecast Output'!F10</f>
        <v>8065446.4305152893</v>
      </c>
      <c r="S18" s="87">
        <f>+'2018 Load Forecast Output'!G10</f>
        <v>8475359.1698097065</v>
      </c>
      <c r="T18" s="87">
        <f>+'2018 Load Forecast Output'!H10</f>
        <v>9469008.5148403347</v>
      </c>
      <c r="U18" s="87">
        <f>+'2018 Load Forecast Output'!I10</f>
        <v>10632978.059858762</v>
      </c>
      <c r="V18" s="87">
        <f>+'2018 Load Forecast Output'!J10</f>
        <v>9418670.5904502496</v>
      </c>
      <c r="W18" s="87">
        <f>+'2018 Load Forecast Output'!K10</f>
        <v>8636702.0323705301</v>
      </c>
      <c r="X18" s="87">
        <f>+'2018 Load Forecast Output'!L10</f>
        <v>7148064.264375709</v>
      </c>
      <c r="Y18" s="87">
        <f>+'2018 Load Forecast Output'!M10</f>
        <v>8818133.020236291</v>
      </c>
      <c r="Z18" s="87">
        <f>+'2018 Load Forecast Output'!N10</f>
        <v>9452187.181814</v>
      </c>
      <c r="AA18" s="8"/>
      <c r="AB18" s="90">
        <f t="shared" ref="AB18:AB24" si="43">+B18*O18</f>
        <v>220961.11194203919</v>
      </c>
      <c r="AC18" s="90">
        <f t="shared" si="21"/>
        <v>196385.13279509702</v>
      </c>
      <c r="AD18" s="90">
        <f t="shared" si="22"/>
        <v>207404.72791134223</v>
      </c>
      <c r="AE18" s="90">
        <f t="shared" si="23"/>
        <v>183972.83308005377</v>
      </c>
      <c r="AF18" s="90">
        <f t="shared" si="24"/>
        <v>162811.64965204446</v>
      </c>
      <c r="AG18" s="90">
        <f t="shared" si="25"/>
        <v>181899.65357008285</v>
      </c>
      <c r="AH18" s="90">
        <f t="shared" si="26"/>
        <v>204259.50852988684</v>
      </c>
      <c r="AI18" s="90">
        <f t="shared" si="27"/>
        <v>180932.66204254932</v>
      </c>
      <c r="AJ18" s="90">
        <f t="shared" si="28"/>
        <v>165911.04604183789</v>
      </c>
      <c r="AK18" s="90">
        <f t="shared" si="29"/>
        <v>137314.31451865737</v>
      </c>
      <c r="AL18" s="90">
        <f t="shared" si="30"/>
        <v>172106.67668383897</v>
      </c>
      <c r="AM18" s="90">
        <f t="shared" si="31"/>
        <v>184481.74001484929</v>
      </c>
      <c r="AN18" s="91">
        <f t="shared" ref="AN18:AN24" si="44">SUM(AB18:AM18)</f>
        <v>2198441.0567822792</v>
      </c>
    </row>
    <row r="19" spans="1:40" ht="15" x14ac:dyDescent="0.25">
      <c r="A19" s="5" t="s">
        <v>2</v>
      </c>
      <c r="B19" s="112">
        <f t="shared" ref="B19:B24" si="45">B18</f>
        <v>2.281E-2</v>
      </c>
      <c r="C19" s="112">
        <f t="shared" si="32"/>
        <v>2.281E-2</v>
      </c>
      <c r="D19" s="112">
        <f t="shared" si="33"/>
        <v>2.281E-2</v>
      </c>
      <c r="E19" s="112">
        <f t="shared" si="34"/>
        <v>2.281E-2</v>
      </c>
      <c r="F19" s="112">
        <f t="shared" si="35"/>
        <v>1.9210000000000001E-2</v>
      </c>
      <c r="G19" s="112">
        <f t="shared" si="36"/>
        <v>1.9210000000000001E-2</v>
      </c>
      <c r="H19" s="112">
        <f t="shared" si="37"/>
        <v>1.9210000000000001E-2</v>
      </c>
      <c r="I19" s="112">
        <f t="shared" si="38"/>
        <v>1.9210000000000001E-2</v>
      </c>
      <c r="J19" s="112">
        <f t="shared" si="39"/>
        <v>1.9210000000000001E-2</v>
      </c>
      <c r="K19" s="112">
        <f t="shared" si="40"/>
        <v>1.9210000000000001E-2</v>
      </c>
      <c r="L19" s="112">
        <f t="shared" si="41"/>
        <v>1.9517360000000001E-2</v>
      </c>
      <c r="M19" s="112">
        <f t="shared" si="42"/>
        <v>1.9517360000000001E-2</v>
      </c>
      <c r="N19" s="8"/>
      <c r="O19" s="87">
        <f>+'2018 Load Forecast Output'!C13</f>
        <v>150756815.05985445</v>
      </c>
      <c r="P19" s="87">
        <f>+'2018 Load Forecast Output'!D13</f>
        <v>138348798.45096382</v>
      </c>
      <c r="Q19" s="87">
        <f>+'2018 Load Forecast Output'!E13</f>
        <v>143416902.02143064</v>
      </c>
      <c r="R19" s="87">
        <f>+'2018 Load Forecast Output'!F13</f>
        <v>132339789.12872465</v>
      </c>
      <c r="S19" s="87">
        <f>+'2018 Load Forecast Output'!G13</f>
        <v>135258311.91581064</v>
      </c>
      <c r="T19" s="87">
        <f>+'2018 Load Forecast Output'!H13</f>
        <v>145061198.77754346</v>
      </c>
      <c r="U19" s="87">
        <f>+'2018 Load Forecast Output'!I13</f>
        <v>158746769.91116095</v>
      </c>
      <c r="V19" s="87">
        <f>+'2018 Load Forecast Output'!J13</f>
        <v>154413996.43797639</v>
      </c>
      <c r="W19" s="87">
        <f>+'2018 Load Forecast Output'!K13</f>
        <v>136508783.7802465</v>
      </c>
      <c r="X19" s="87">
        <f>+'2018 Load Forecast Output'!L13</f>
        <v>128289671.80259247</v>
      </c>
      <c r="Y19" s="87">
        <f>+'2018 Load Forecast Output'!M13</f>
        <v>134569952.60685194</v>
      </c>
      <c r="Z19" s="87">
        <f>+'2018 Load Forecast Output'!N13</f>
        <v>145561650.99855494</v>
      </c>
      <c r="AA19" s="8"/>
      <c r="AB19" s="90">
        <f t="shared" si="43"/>
        <v>3438762.9515152802</v>
      </c>
      <c r="AC19" s="90">
        <f t="shared" si="21"/>
        <v>3155736.0926664849</v>
      </c>
      <c r="AD19" s="90">
        <f t="shared" si="22"/>
        <v>3271339.5351088331</v>
      </c>
      <c r="AE19" s="90">
        <f t="shared" si="23"/>
        <v>3018670.5900262091</v>
      </c>
      <c r="AF19" s="90">
        <f t="shared" si="24"/>
        <v>2598312.1719027227</v>
      </c>
      <c r="AG19" s="90">
        <f t="shared" si="25"/>
        <v>2786625.6285166098</v>
      </c>
      <c r="AH19" s="90">
        <f t="shared" si="26"/>
        <v>3049525.4499934018</v>
      </c>
      <c r="AI19" s="90">
        <f t="shared" si="27"/>
        <v>2966292.8715735269</v>
      </c>
      <c r="AJ19" s="90">
        <f t="shared" si="28"/>
        <v>2622333.7364185355</v>
      </c>
      <c r="AK19" s="90">
        <f t="shared" si="29"/>
        <v>2464444.5953278015</v>
      </c>
      <c r="AL19" s="90">
        <f t="shared" si="30"/>
        <v>2626450.2102108677</v>
      </c>
      <c r="AM19" s="90">
        <f t="shared" si="31"/>
        <v>2840979.1447331565</v>
      </c>
      <c r="AN19" s="91">
        <f t="shared" si="44"/>
        <v>34839472.977993429</v>
      </c>
    </row>
    <row r="20" spans="1:40" ht="15" x14ac:dyDescent="0.25">
      <c r="A20" s="5" t="s">
        <v>22</v>
      </c>
      <c r="B20" s="112">
        <f t="shared" si="45"/>
        <v>2.281E-2</v>
      </c>
      <c r="C20" s="112">
        <f t="shared" si="32"/>
        <v>2.281E-2</v>
      </c>
      <c r="D20" s="112">
        <f t="shared" si="33"/>
        <v>2.281E-2</v>
      </c>
      <c r="E20" s="112">
        <f t="shared" si="34"/>
        <v>2.281E-2</v>
      </c>
      <c r="F20" s="112">
        <f t="shared" si="35"/>
        <v>1.9210000000000001E-2</v>
      </c>
      <c r="G20" s="112">
        <f t="shared" si="36"/>
        <v>1.9210000000000001E-2</v>
      </c>
      <c r="H20" s="112">
        <f t="shared" si="37"/>
        <v>1.9210000000000001E-2</v>
      </c>
      <c r="I20" s="112">
        <f t="shared" si="38"/>
        <v>1.9210000000000001E-2</v>
      </c>
      <c r="J20" s="112">
        <f t="shared" si="39"/>
        <v>1.9210000000000001E-2</v>
      </c>
      <c r="K20" s="112">
        <f t="shared" si="40"/>
        <v>1.9210000000000001E-2</v>
      </c>
      <c r="L20" s="112">
        <f t="shared" si="41"/>
        <v>1.9517360000000001E-2</v>
      </c>
      <c r="M20" s="112">
        <f t="shared" si="42"/>
        <v>1.9517360000000001E-2</v>
      </c>
      <c r="N20" s="8"/>
      <c r="O20" s="87">
        <f>+'2018 Load Forecast Output'!C28</f>
        <v>20767918.98742136</v>
      </c>
      <c r="P20" s="87">
        <f>+'2018 Load Forecast Output'!D28</f>
        <v>19041638.638037771</v>
      </c>
      <c r="Q20" s="87">
        <f>+'2018 Load Forecast Output'!E28</f>
        <v>20908736.84684439</v>
      </c>
      <c r="R20" s="87">
        <f>+'2018 Load Forecast Output'!F28</f>
        <v>20490526.565142177</v>
      </c>
      <c r="S20" s="87">
        <f>+'2018 Load Forecast Output'!G28</f>
        <v>20667103.161592044</v>
      </c>
      <c r="T20" s="87">
        <f>+'2018 Load Forecast Output'!H28</f>
        <v>16642214.269949127</v>
      </c>
      <c r="U20" s="87">
        <f>+'2018 Load Forecast Output'!I28</f>
        <v>20739995.670308597</v>
      </c>
      <c r="V20" s="87">
        <f>+'2018 Load Forecast Output'!J28</f>
        <v>20611140.268182389</v>
      </c>
      <c r="W20" s="87">
        <f>+'2018 Load Forecast Output'!K28</f>
        <v>19380180.510645017</v>
      </c>
      <c r="X20" s="87">
        <f>+'2018 Load Forecast Output'!L28</f>
        <v>20515802.153415661</v>
      </c>
      <c r="Y20" s="87">
        <f>+'2018 Load Forecast Output'!M28</f>
        <v>19710555.361241233</v>
      </c>
      <c r="Z20" s="87">
        <f>+'2018 Load Forecast Output'!N28</f>
        <v>19735205.11484912</v>
      </c>
      <c r="AA20" s="8"/>
      <c r="AB20" s="90">
        <f t="shared" si="43"/>
        <v>473716.23210308125</v>
      </c>
      <c r="AC20" s="90">
        <f t="shared" si="21"/>
        <v>434339.77733364154</v>
      </c>
      <c r="AD20" s="90">
        <f t="shared" si="22"/>
        <v>476928.28747652052</v>
      </c>
      <c r="AE20" s="90">
        <f t="shared" si="23"/>
        <v>467388.91095089307</v>
      </c>
      <c r="AF20" s="90">
        <f t="shared" si="24"/>
        <v>397015.05173418322</v>
      </c>
      <c r="AG20" s="90">
        <f t="shared" si="25"/>
        <v>319696.93612572277</v>
      </c>
      <c r="AH20" s="90">
        <f t="shared" si="26"/>
        <v>398415.31682662817</v>
      </c>
      <c r="AI20" s="90">
        <f t="shared" si="27"/>
        <v>395940.00455178373</v>
      </c>
      <c r="AJ20" s="90">
        <f t="shared" si="28"/>
        <v>372293.26760949078</v>
      </c>
      <c r="AK20" s="90">
        <f t="shared" si="29"/>
        <v>394108.55936711491</v>
      </c>
      <c r="AL20" s="90">
        <f t="shared" si="30"/>
        <v>384698.0047852752</v>
      </c>
      <c r="AM20" s="90">
        <f t="shared" si="31"/>
        <v>385179.10290035163</v>
      </c>
      <c r="AN20" s="91">
        <f t="shared" si="44"/>
        <v>4899719.451764686</v>
      </c>
    </row>
    <row r="21" spans="1:40" ht="15" x14ac:dyDescent="0.25">
      <c r="A21" s="5" t="s">
        <v>23</v>
      </c>
      <c r="B21" s="112">
        <f t="shared" si="45"/>
        <v>2.281E-2</v>
      </c>
      <c r="C21" s="112">
        <f t="shared" si="32"/>
        <v>2.281E-2</v>
      </c>
      <c r="D21" s="112">
        <f t="shared" si="33"/>
        <v>2.281E-2</v>
      </c>
      <c r="E21" s="112">
        <f t="shared" si="34"/>
        <v>2.281E-2</v>
      </c>
      <c r="F21" s="112">
        <f t="shared" si="35"/>
        <v>1.9210000000000001E-2</v>
      </c>
      <c r="G21" s="112">
        <f t="shared" si="36"/>
        <v>1.9210000000000001E-2</v>
      </c>
      <c r="H21" s="112">
        <f t="shared" si="37"/>
        <v>1.9210000000000001E-2</v>
      </c>
      <c r="I21" s="112">
        <f t="shared" si="38"/>
        <v>1.9210000000000001E-2</v>
      </c>
      <c r="J21" s="112">
        <f t="shared" si="39"/>
        <v>1.9210000000000001E-2</v>
      </c>
      <c r="K21" s="112">
        <f t="shared" si="40"/>
        <v>1.9210000000000001E-2</v>
      </c>
      <c r="L21" s="112">
        <f t="shared" si="41"/>
        <v>1.9517360000000001E-2</v>
      </c>
      <c r="M21" s="112">
        <f t="shared" si="42"/>
        <v>1.9517360000000001E-2</v>
      </c>
      <c r="N21" s="8"/>
      <c r="O21" s="87">
        <f>+'2018 Load Forecast Output'!C31</f>
        <v>38136397.746338472</v>
      </c>
      <c r="P21" s="87">
        <f>+'2018 Load Forecast Output'!D31</f>
        <v>35019020.089427114</v>
      </c>
      <c r="Q21" s="87">
        <f>+'2018 Load Forecast Output'!E31</f>
        <v>35082711.049358405</v>
      </c>
      <c r="R21" s="87">
        <f>+'2018 Load Forecast Output'!F31</f>
        <v>35184252.330756791</v>
      </c>
      <c r="S21" s="87">
        <f>+'2018 Load Forecast Output'!G31</f>
        <v>29735593.775503837</v>
      </c>
      <c r="T21" s="87">
        <f>+'2018 Load Forecast Output'!H31</f>
        <v>31008298.833492287</v>
      </c>
      <c r="U21" s="87">
        <f>+'2018 Load Forecast Output'!I31</f>
        <v>30462778.031584132</v>
      </c>
      <c r="V21" s="87">
        <f>+'2018 Load Forecast Output'!J31</f>
        <v>32724176.575536262</v>
      </c>
      <c r="W21" s="87">
        <f>+'2018 Load Forecast Output'!K31</f>
        <v>30207664.123564914</v>
      </c>
      <c r="X21" s="87">
        <f>+'2018 Load Forecast Output'!L31</f>
        <v>34191807.112043068</v>
      </c>
      <c r="Y21" s="87">
        <f>+'2018 Load Forecast Output'!M31</f>
        <v>35674120.896974519</v>
      </c>
      <c r="Z21" s="87">
        <f>+'2018 Load Forecast Output'!N31</f>
        <v>31610302.107268084</v>
      </c>
      <c r="AA21" s="8"/>
      <c r="AB21" s="90">
        <f t="shared" si="43"/>
        <v>869891.2325939805</v>
      </c>
      <c r="AC21" s="90">
        <f t="shared" si="21"/>
        <v>798783.84823983244</v>
      </c>
      <c r="AD21" s="90">
        <f t="shared" si="22"/>
        <v>800236.6390358652</v>
      </c>
      <c r="AE21" s="90">
        <f t="shared" si="23"/>
        <v>802552.79566456238</v>
      </c>
      <c r="AF21" s="90">
        <f t="shared" si="24"/>
        <v>571220.75642742869</v>
      </c>
      <c r="AG21" s="90">
        <f t="shared" si="25"/>
        <v>595669.42059138685</v>
      </c>
      <c r="AH21" s="90">
        <f t="shared" si="26"/>
        <v>585189.96598673123</v>
      </c>
      <c r="AI21" s="90">
        <f t="shared" si="27"/>
        <v>628631.43201605161</v>
      </c>
      <c r="AJ21" s="90">
        <f t="shared" si="28"/>
        <v>580289.22781368205</v>
      </c>
      <c r="AK21" s="90">
        <f t="shared" si="29"/>
        <v>656824.61462234741</v>
      </c>
      <c r="AL21" s="90">
        <f t="shared" si="30"/>
        <v>696264.66022977466</v>
      </c>
      <c r="AM21" s="90">
        <f t="shared" si="31"/>
        <v>616949.64593630983</v>
      </c>
      <c r="AN21" s="91">
        <f t="shared" si="44"/>
        <v>8202504.2391579524</v>
      </c>
    </row>
    <row r="22" spans="1:40" ht="15" x14ac:dyDescent="0.25">
      <c r="A22" s="5" t="s">
        <v>3</v>
      </c>
      <c r="B22" s="112">
        <f t="shared" si="45"/>
        <v>2.281E-2</v>
      </c>
      <c r="C22" s="112">
        <f t="shared" si="32"/>
        <v>2.281E-2</v>
      </c>
      <c r="D22" s="112">
        <f t="shared" si="33"/>
        <v>2.281E-2</v>
      </c>
      <c r="E22" s="112">
        <f t="shared" si="34"/>
        <v>2.281E-2</v>
      </c>
      <c r="F22" s="112">
        <f t="shared" si="35"/>
        <v>1.9210000000000001E-2</v>
      </c>
      <c r="G22" s="112">
        <f t="shared" si="36"/>
        <v>1.9210000000000001E-2</v>
      </c>
      <c r="H22" s="112">
        <f t="shared" si="37"/>
        <v>1.9210000000000001E-2</v>
      </c>
      <c r="I22" s="112">
        <f t="shared" si="38"/>
        <v>1.9210000000000001E-2</v>
      </c>
      <c r="J22" s="112">
        <f t="shared" si="39"/>
        <v>1.9210000000000001E-2</v>
      </c>
      <c r="K22" s="112">
        <f t="shared" si="40"/>
        <v>1.9210000000000001E-2</v>
      </c>
      <c r="L22" s="112">
        <f t="shared" si="41"/>
        <v>1.9517360000000001E-2</v>
      </c>
      <c r="M22" s="112">
        <f t="shared" si="42"/>
        <v>1.9517360000000001E-2</v>
      </c>
      <c r="N22" s="8"/>
      <c r="O22" s="87">
        <f>+'2018 Load Forecast Output'!C16</f>
        <v>31347.693607346271</v>
      </c>
      <c r="P22" s="87">
        <f>+'2018 Load Forecast Output'!D16</f>
        <v>29662.306750066229</v>
      </c>
      <c r="Q22" s="87">
        <f>+'2018 Load Forecast Output'!E16</f>
        <v>29801.306469666073</v>
      </c>
      <c r="R22" s="87">
        <f>+'2018 Load Forecast Output'!F16</f>
        <v>28729.453854546184</v>
      </c>
      <c r="S22" s="87">
        <f>+'2018 Load Forecast Output'!G16</f>
        <v>28666.103448604466</v>
      </c>
      <c r="T22" s="87">
        <f>+'2018 Load Forecast Output'!H16</f>
        <v>35787.181327425991</v>
      </c>
      <c r="U22" s="87">
        <f>+'2018 Load Forecast Output'!I16</f>
        <v>38352.239084225846</v>
      </c>
      <c r="V22" s="87">
        <f>+'2018 Load Forecast Output'!J16</f>
        <v>30535.921295505948</v>
      </c>
      <c r="W22" s="87">
        <f>+'2018 Load Forecast Output'!K16</f>
        <v>24096.790525825927</v>
      </c>
      <c r="X22" s="87">
        <f>+'2018 Load Forecast Output'!L16</f>
        <v>26611.653777986066</v>
      </c>
      <c r="Y22" s="87">
        <f>+'2018 Load Forecast Output'!M16</f>
        <v>33448.684685825952</v>
      </c>
      <c r="Z22" s="87">
        <f>+'2018 Load Forecast Output'!N16</f>
        <v>37071.471314546186</v>
      </c>
      <c r="AA22" s="8"/>
      <c r="AB22" s="90">
        <f t="shared" si="43"/>
        <v>715.04089118356842</v>
      </c>
      <c r="AC22" s="90">
        <f t="shared" si="21"/>
        <v>676.59721696901067</v>
      </c>
      <c r="AD22" s="90">
        <f t="shared" si="22"/>
        <v>679.76780057308315</v>
      </c>
      <c r="AE22" s="90">
        <f t="shared" si="23"/>
        <v>655.31884242219849</v>
      </c>
      <c r="AF22" s="90">
        <f t="shared" si="24"/>
        <v>550.67584724769188</v>
      </c>
      <c r="AG22" s="90">
        <f t="shared" si="25"/>
        <v>687.47175329985339</v>
      </c>
      <c r="AH22" s="90">
        <f t="shared" si="26"/>
        <v>736.74651280797855</v>
      </c>
      <c r="AI22" s="90">
        <f t="shared" si="27"/>
        <v>586.59504808666929</v>
      </c>
      <c r="AJ22" s="90">
        <f t="shared" si="28"/>
        <v>462.8993460011161</v>
      </c>
      <c r="AK22" s="90">
        <f t="shared" si="29"/>
        <v>511.20986907511235</v>
      </c>
      <c r="AL22" s="90">
        <f t="shared" si="30"/>
        <v>652.83002053975201</v>
      </c>
      <c r="AM22" s="90">
        <f t="shared" si="31"/>
        <v>723.53725137567119</v>
      </c>
      <c r="AN22" s="91">
        <f t="shared" si="44"/>
        <v>7638.6903995817056</v>
      </c>
    </row>
    <row r="23" spans="1:40" ht="15" x14ac:dyDescent="0.25">
      <c r="A23" s="5" t="s">
        <v>4</v>
      </c>
      <c r="B23" s="112">
        <f t="shared" si="45"/>
        <v>2.281E-2</v>
      </c>
      <c r="C23" s="112">
        <f t="shared" si="32"/>
        <v>2.281E-2</v>
      </c>
      <c r="D23" s="112">
        <f t="shared" si="33"/>
        <v>2.281E-2</v>
      </c>
      <c r="E23" s="112">
        <f t="shared" si="34"/>
        <v>2.281E-2</v>
      </c>
      <c r="F23" s="112">
        <f t="shared" si="35"/>
        <v>1.9210000000000001E-2</v>
      </c>
      <c r="G23" s="112">
        <f t="shared" si="36"/>
        <v>1.9210000000000001E-2</v>
      </c>
      <c r="H23" s="112">
        <f t="shared" si="37"/>
        <v>1.9210000000000001E-2</v>
      </c>
      <c r="I23" s="112">
        <f t="shared" si="38"/>
        <v>1.9210000000000001E-2</v>
      </c>
      <c r="J23" s="112">
        <f t="shared" si="39"/>
        <v>1.9210000000000001E-2</v>
      </c>
      <c r="K23" s="112">
        <f t="shared" si="40"/>
        <v>1.9210000000000001E-2</v>
      </c>
      <c r="L23" s="112">
        <f t="shared" si="41"/>
        <v>1.9517360000000001E-2</v>
      </c>
      <c r="M23" s="112">
        <f t="shared" si="42"/>
        <v>1.9517360000000001E-2</v>
      </c>
      <c r="N23" s="8"/>
      <c r="O23" s="87">
        <f>+'2018 Load Forecast Output'!C19</f>
        <v>406.76932263504568</v>
      </c>
      <c r="P23" s="87">
        <f>+'2018 Load Forecast Output'!D19</f>
        <v>252.75616412737145</v>
      </c>
      <c r="Q23" s="87">
        <f>+'2018 Load Forecast Output'!E19</f>
        <v>348.7186188702326</v>
      </c>
      <c r="R23" s="87">
        <f>+'2018 Load Forecast Output'!F19</f>
        <v>239.10282933284907</v>
      </c>
      <c r="S23" s="87">
        <f>+'2018 Load Forecast Output'!G19</f>
        <v>389.44350924951868</v>
      </c>
      <c r="T23" s="87">
        <f>+'2018 Load Forecast Output'!H19</f>
        <v>317.14776876779069</v>
      </c>
      <c r="U23" s="87">
        <f>+'2018 Load Forecast Output'!I19</f>
        <v>484.80531891179271</v>
      </c>
      <c r="V23" s="87">
        <f>+'2018 Load Forecast Output'!J19</f>
        <v>290.59154832022978</v>
      </c>
      <c r="W23" s="87">
        <f>+'2018 Load Forecast Output'!K19</f>
        <v>288.19997465880442</v>
      </c>
      <c r="X23" s="87">
        <f>+'2018 Load Forecast Output'!L19</f>
        <v>217.91137016737412</v>
      </c>
      <c r="Y23" s="87">
        <f>+'2018 Load Forecast Output'!M19</f>
        <v>425.04381286023272</v>
      </c>
      <c r="Z23" s="87">
        <f>+'2018 Load Forecast Output'!N19</f>
        <v>345.47793921879929</v>
      </c>
      <c r="AA23" s="8"/>
      <c r="AB23" s="90">
        <f t="shared" si="43"/>
        <v>9.278408249305393</v>
      </c>
      <c r="AC23" s="90">
        <f t="shared" si="21"/>
        <v>5.7653681037453426</v>
      </c>
      <c r="AD23" s="90">
        <f t="shared" si="22"/>
        <v>7.9542716964300055</v>
      </c>
      <c r="AE23" s="90">
        <f t="shared" si="23"/>
        <v>5.4539355370822875</v>
      </c>
      <c r="AF23" s="90">
        <f t="shared" si="24"/>
        <v>7.4812098126832547</v>
      </c>
      <c r="AG23" s="90">
        <f t="shared" si="25"/>
        <v>6.0924086380292595</v>
      </c>
      <c r="AH23" s="90">
        <f t="shared" si="26"/>
        <v>9.3131101762955382</v>
      </c>
      <c r="AI23" s="90">
        <f t="shared" si="27"/>
        <v>5.5822636432316148</v>
      </c>
      <c r="AJ23" s="90">
        <f t="shared" si="28"/>
        <v>5.5363215131956336</v>
      </c>
      <c r="AK23" s="90">
        <f t="shared" si="29"/>
        <v>4.1860774209152574</v>
      </c>
      <c r="AL23" s="90">
        <f t="shared" si="30"/>
        <v>8.2957331113657915</v>
      </c>
      <c r="AM23" s="90">
        <f t="shared" si="31"/>
        <v>6.7428173117914252</v>
      </c>
      <c r="AN23" s="91">
        <f t="shared" si="44"/>
        <v>81.681925214070802</v>
      </c>
    </row>
    <row r="24" spans="1:40" ht="15" x14ac:dyDescent="0.25">
      <c r="A24" s="5" t="s">
        <v>5</v>
      </c>
      <c r="B24" s="112">
        <f t="shared" si="45"/>
        <v>2.281E-2</v>
      </c>
      <c r="C24" s="112">
        <f t="shared" si="32"/>
        <v>2.281E-2</v>
      </c>
      <c r="D24" s="112">
        <f t="shared" si="33"/>
        <v>2.281E-2</v>
      </c>
      <c r="E24" s="112">
        <f t="shared" si="34"/>
        <v>2.281E-2</v>
      </c>
      <c r="F24" s="112">
        <f t="shared" si="35"/>
        <v>1.9210000000000001E-2</v>
      </c>
      <c r="G24" s="112">
        <f t="shared" si="36"/>
        <v>1.9210000000000001E-2</v>
      </c>
      <c r="H24" s="112">
        <f t="shared" si="37"/>
        <v>1.9210000000000001E-2</v>
      </c>
      <c r="I24" s="112">
        <f t="shared" si="38"/>
        <v>1.9210000000000001E-2</v>
      </c>
      <c r="J24" s="112">
        <f t="shared" si="39"/>
        <v>1.9210000000000001E-2</v>
      </c>
      <c r="K24" s="112">
        <f t="shared" si="40"/>
        <v>1.9210000000000001E-2</v>
      </c>
      <c r="L24" s="112">
        <f t="shared" si="41"/>
        <v>1.9517360000000001E-2</v>
      </c>
      <c r="M24" s="112">
        <f t="shared" si="42"/>
        <v>1.9517360000000001E-2</v>
      </c>
      <c r="N24" s="8"/>
      <c r="O24" s="87">
        <f>+'2018 Load Forecast Output'!C22</f>
        <v>4038368.9306024942</v>
      </c>
      <c r="P24" s="87">
        <f>+'2018 Load Forecast Output'!D22</f>
        <v>4016661.5047922367</v>
      </c>
      <c r="Q24" s="87">
        <f>+'2018 Load Forecast Output'!E22</f>
        <v>3407083.2891235794</v>
      </c>
      <c r="R24" s="87">
        <f>+'2018 Load Forecast Output'!F22</f>
        <v>3147532.3109811749</v>
      </c>
      <c r="S24" s="87">
        <f>+'2018 Load Forecast Output'!G22</f>
        <v>2724871.2844750816</v>
      </c>
      <c r="T24" s="87">
        <f>+'2018 Load Forecast Output'!H22</f>
        <v>2424543.8381830389</v>
      </c>
      <c r="U24" s="87">
        <f>+'2018 Load Forecast Output'!I22</f>
        <v>2642867.174800362</v>
      </c>
      <c r="V24" s="87">
        <f>+'2018 Load Forecast Output'!J22</f>
        <v>2918347.191968855</v>
      </c>
      <c r="W24" s="87">
        <f>+'2018 Load Forecast Output'!K22</f>
        <v>3371796.0405652821</v>
      </c>
      <c r="X24" s="87">
        <f>+'2018 Load Forecast Output'!L22</f>
        <v>3635985.1903000907</v>
      </c>
      <c r="Y24" s="87">
        <f>+'2018 Load Forecast Output'!M22</f>
        <v>4037795.8313717213</v>
      </c>
      <c r="Z24" s="87">
        <f>+'2018 Load Forecast Output'!N22</f>
        <v>4469633.919536178</v>
      </c>
      <c r="AA24" s="8"/>
      <c r="AB24" s="90">
        <f t="shared" si="43"/>
        <v>92115.195307042886</v>
      </c>
      <c r="AC24" s="90">
        <f t="shared" si="21"/>
        <v>91620.048924310919</v>
      </c>
      <c r="AD24" s="90">
        <f t="shared" si="22"/>
        <v>77715.569824908845</v>
      </c>
      <c r="AE24" s="90">
        <f t="shared" si="23"/>
        <v>71795.212013480603</v>
      </c>
      <c r="AF24" s="90">
        <f t="shared" si="24"/>
        <v>52344.777374766323</v>
      </c>
      <c r="AG24" s="90">
        <f t="shared" si="25"/>
        <v>46575.487131496178</v>
      </c>
      <c r="AH24" s="90">
        <f t="shared" si="26"/>
        <v>50769.478427914953</v>
      </c>
      <c r="AI24" s="90">
        <f t="shared" si="27"/>
        <v>56061.449557721709</v>
      </c>
      <c r="AJ24" s="90">
        <f t="shared" si="28"/>
        <v>64772.201939259074</v>
      </c>
      <c r="AK24" s="90">
        <f t="shared" si="29"/>
        <v>69847.275505664744</v>
      </c>
      <c r="AL24" s="90">
        <f t="shared" si="30"/>
        <v>78807.114847381177</v>
      </c>
      <c r="AM24" s="90">
        <f t="shared" si="31"/>
        <v>87235.45427579862</v>
      </c>
      <c r="AN24" s="91">
        <f t="shared" si="44"/>
        <v>839659.26512974605</v>
      </c>
    </row>
    <row r="25" spans="1:40" ht="1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8">
        <f>SUM(O17:O24)</f>
        <v>231671326.57521769</v>
      </c>
      <c r="P25" s="88">
        <f t="shared" ref="P25:Z25" si="46">SUM(P17:P24)</f>
        <v>212451217.47216806</v>
      </c>
      <c r="Q25" s="88">
        <f t="shared" si="46"/>
        <v>219431248.99296904</v>
      </c>
      <c r="R25" s="88">
        <f t="shared" si="46"/>
        <v>206018078.51485968</v>
      </c>
      <c r="S25" s="88">
        <f t="shared" si="46"/>
        <v>203691679.65502316</v>
      </c>
      <c r="T25" s="88">
        <f t="shared" si="46"/>
        <v>212516243.59408328</v>
      </c>
      <c r="U25" s="88">
        <f t="shared" si="46"/>
        <v>232757962.75820681</v>
      </c>
      <c r="V25" s="88">
        <f t="shared" si="46"/>
        <v>229103878.97401819</v>
      </c>
      <c r="W25" s="88">
        <f t="shared" si="46"/>
        <v>205555862.19671583</v>
      </c>
      <c r="X25" s="88">
        <f t="shared" si="46"/>
        <v>201176980.90618962</v>
      </c>
      <c r="Y25" s="88">
        <f t="shared" si="46"/>
        <v>210454652.82466185</v>
      </c>
      <c r="Z25" s="88">
        <f t="shared" si="46"/>
        <v>219068269.74294406</v>
      </c>
      <c r="AA25" s="8"/>
      <c r="AB25" s="91">
        <f>SUM(AB17:AB24)</f>
        <v>5284422.9591807155</v>
      </c>
      <c r="AC25" s="91">
        <f t="shared" ref="AC25" si="47">SUM(AC17:AC24)</f>
        <v>4846012.2705401536</v>
      </c>
      <c r="AD25" s="91">
        <f t="shared" ref="AD25" si="48">SUM(AD17:AD24)</f>
        <v>5005226.7895296244</v>
      </c>
      <c r="AE25" s="91">
        <f t="shared" ref="AE25" si="49">SUM(AE17:AE24)</f>
        <v>4699272.3709239485</v>
      </c>
      <c r="AF25" s="91">
        <f t="shared" ref="AF25" si="50">SUM(AF17:AF24)</f>
        <v>3912917.1661729952</v>
      </c>
      <c r="AG25" s="91">
        <f t="shared" ref="AG25" si="51">SUM(AG17:AG24)</f>
        <v>4082437.0394423394</v>
      </c>
      <c r="AH25" s="91">
        <f t="shared" ref="AH25" si="52">SUM(AH17:AH24)</f>
        <v>4471280.4645851525</v>
      </c>
      <c r="AI25" s="91">
        <f t="shared" ref="AI25" si="53">SUM(AI17:AI24)</f>
        <v>4401085.5150908893</v>
      </c>
      <c r="AJ25" s="91">
        <f t="shared" ref="AJ25" si="54">SUM(AJ17:AJ24)</f>
        <v>3948728.1127989129</v>
      </c>
      <c r="AK25" s="91">
        <f t="shared" ref="AK25" si="55">SUM(AK17:AK24)</f>
        <v>3864609.8032079036</v>
      </c>
      <c r="AL25" s="91">
        <f t="shared" ref="AL25" si="56">SUM(AL17:AL24)</f>
        <v>4107519.2228539423</v>
      </c>
      <c r="AM25" s="91">
        <f t="shared" ref="AM25" si="57">SUM(AM17:AM24)</f>
        <v>4275634.285150147</v>
      </c>
      <c r="AN25" s="91">
        <f t="shared" ref="AN25" si="58">SUM(AN17:AN24)</f>
        <v>52899145.999476723</v>
      </c>
    </row>
    <row r="26" spans="1:40" ht="15" x14ac:dyDescent="0.25">
      <c r="A26" s="6"/>
      <c r="B26" s="208" t="s">
        <v>20</v>
      </c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7"/>
      <c r="O26" s="208" t="s">
        <v>24</v>
      </c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7"/>
      <c r="AB26" s="208" t="s">
        <v>31</v>
      </c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6"/>
    </row>
    <row r="27" spans="1:40" ht="15" x14ac:dyDescent="0.25">
      <c r="A27" s="6" t="s">
        <v>21</v>
      </c>
      <c r="B27" s="6" t="s">
        <v>6</v>
      </c>
      <c r="C27" s="6" t="s">
        <v>7</v>
      </c>
      <c r="D27" s="6" t="s">
        <v>8</v>
      </c>
      <c r="E27" s="6" t="s">
        <v>9</v>
      </c>
      <c r="F27" s="6" t="s">
        <v>10</v>
      </c>
      <c r="G27" s="6" t="s">
        <v>11</v>
      </c>
      <c r="H27" s="6" t="s">
        <v>12</v>
      </c>
      <c r="I27" s="6" t="s">
        <v>13</v>
      </c>
      <c r="J27" s="6" t="s">
        <v>14</v>
      </c>
      <c r="K27" s="6" t="s">
        <v>15</v>
      </c>
      <c r="L27" s="6" t="s">
        <v>16</v>
      </c>
      <c r="M27" s="6" t="s">
        <v>17</v>
      </c>
      <c r="N27" s="7"/>
      <c r="O27" s="6" t="s">
        <v>6</v>
      </c>
      <c r="P27" s="6" t="s">
        <v>7</v>
      </c>
      <c r="Q27" s="6" t="s">
        <v>8</v>
      </c>
      <c r="R27" s="6" t="s">
        <v>9</v>
      </c>
      <c r="S27" s="6" t="s">
        <v>10</v>
      </c>
      <c r="T27" s="6" t="s">
        <v>11</v>
      </c>
      <c r="U27" s="6" t="s">
        <v>12</v>
      </c>
      <c r="V27" s="6" t="s">
        <v>13</v>
      </c>
      <c r="W27" s="6" t="s">
        <v>14</v>
      </c>
      <c r="X27" s="6" t="s">
        <v>15</v>
      </c>
      <c r="Y27" s="6" t="s">
        <v>16</v>
      </c>
      <c r="Z27" s="6" t="s">
        <v>17</v>
      </c>
      <c r="AA27" s="7"/>
      <c r="AB27" s="6" t="s">
        <v>6</v>
      </c>
      <c r="AC27" s="6" t="s">
        <v>7</v>
      </c>
      <c r="AD27" s="6" t="s">
        <v>8</v>
      </c>
      <c r="AE27" s="6" t="s">
        <v>9</v>
      </c>
      <c r="AF27" s="6" t="s">
        <v>10</v>
      </c>
      <c r="AG27" s="6" t="s">
        <v>11</v>
      </c>
      <c r="AH27" s="6" t="s">
        <v>12</v>
      </c>
      <c r="AI27" s="6" t="s">
        <v>13</v>
      </c>
      <c r="AJ27" s="6" t="s">
        <v>14</v>
      </c>
      <c r="AK27" s="6" t="s">
        <v>15</v>
      </c>
      <c r="AL27" s="6" t="s">
        <v>16</v>
      </c>
      <c r="AM27" s="6" t="s">
        <v>17</v>
      </c>
      <c r="AN27" s="6" t="s">
        <v>19</v>
      </c>
    </row>
    <row r="28" spans="1:40" ht="15" x14ac:dyDescent="0.25">
      <c r="A28" s="5" t="s">
        <v>0</v>
      </c>
      <c r="B28" s="112">
        <f>'COP Rates'!I7/1000</f>
        <v>5.493E-2</v>
      </c>
      <c r="C28" s="112">
        <f>B28</f>
        <v>5.493E-2</v>
      </c>
      <c r="D28" s="112">
        <f t="shared" ref="D28:E28" si="59">C28</f>
        <v>5.493E-2</v>
      </c>
      <c r="E28" s="112">
        <f t="shared" si="59"/>
        <v>5.493E-2</v>
      </c>
      <c r="F28" s="136">
        <f>'COP Rates'!J7/1000</f>
        <v>5.5808880000000005E-2</v>
      </c>
      <c r="G28" s="136">
        <f>F28</f>
        <v>5.5808880000000005E-2</v>
      </c>
      <c r="H28" s="136">
        <f t="shared" ref="H28:K28" si="60">G28</f>
        <v>5.5808880000000005E-2</v>
      </c>
      <c r="I28" s="136">
        <f t="shared" si="60"/>
        <v>5.5808880000000005E-2</v>
      </c>
      <c r="J28" s="136">
        <f t="shared" si="60"/>
        <v>5.5808880000000005E-2</v>
      </c>
      <c r="K28" s="136">
        <f t="shared" si="60"/>
        <v>5.5808880000000005E-2</v>
      </c>
      <c r="L28" s="137">
        <f>'COP Rates'!K7/1000</f>
        <v>5.6701822079999999E-2</v>
      </c>
      <c r="M28" s="137">
        <f>L28</f>
        <v>5.6701822079999999E-2</v>
      </c>
      <c r="N28" s="8"/>
      <c r="O28" s="89">
        <f>+O17</f>
        <v>8253043.245061785</v>
      </c>
      <c r="P28" s="89">
        <f t="shared" ref="P28:Z28" si="61">+P17</f>
        <v>7385576.8520698696</v>
      </c>
      <c r="Q28" s="89">
        <f t="shared" si="61"/>
        <v>7492955.199468866</v>
      </c>
      <c r="R28" s="89">
        <f t="shared" si="61"/>
        <v>6761563.1920556873</v>
      </c>
      <c r="S28" s="89">
        <f t="shared" si="61"/>
        <v>6801384.8008739799</v>
      </c>
      <c r="T28" s="89">
        <f t="shared" si="61"/>
        <v>7874875.0309788287</v>
      </c>
      <c r="U28" s="89">
        <f t="shared" si="61"/>
        <v>9493736.8660908639</v>
      </c>
      <c r="V28" s="89">
        <f t="shared" si="61"/>
        <v>8986721.3970602155</v>
      </c>
      <c r="W28" s="89">
        <f t="shared" si="61"/>
        <v>7426350.7188231498</v>
      </c>
      <c r="X28" s="89">
        <f t="shared" si="61"/>
        <v>7368820.8183144778</v>
      </c>
      <c r="Y28" s="89">
        <f t="shared" si="61"/>
        <v>7610221.3794874549</v>
      </c>
      <c r="Z28" s="89">
        <f t="shared" si="61"/>
        <v>8201873.4716679454</v>
      </c>
      <c r="AA28" s="8"/>
      <c r="AB28" s="90">
        <f>+B28*O28</f>
        <v>453339.66545124387</v>
      </c>
      <c r="AC28" s="90">
        <f t="shared" ref="AC28:AC35" si="62">+C28*P28</f>
        <v>405689.73648419796</v>
      </c>
      <c r="AD28" s="90">
        <f t="shared" ref="AD28:AD35" si="63">+D28*Q28</f>
        <v>411588.02910682483</v>
      </c>
      <c r="AE28" s="90">
        <f t="shared" ref="AE28:AE35" si="64">+E28*R28</f>
        <v>371412.6661396189</v>
      </c>
      <c r="AF28" s="90">
        <f t="shared" ref="AF28:AF35" si="65">+F28*S28</f>
        <v>379577.66818579985</v>
      </c>
      <c r="AG28" s="90">
        <f t="shared" ref="AG28:AG35" si="66">+G28*T28</f>
        <v>439487.95561889379</v>
      </c>
      <c r="AH28" s="90">
        <f t="shared" ref="AH28:AH35" si="67">+H28*U28</f>
        <v>529834.82151124114</v>
      </c>
      <c r="AI28" s="90">
        <f t="shared" ref="AI28:AI35" si="68">+I28*V28</f>
        <v>501538.85604196595</v>
      </c>
      <c r="AJ28" s="90">
        <f t="shared" ref="AJ28:AJ35" si="69">+J28*W28</f>
        <v>414456.31610471493</v>
      </c>
      <c r="AK28" s="90">
        <f t="shared" ref="AK28:AK35" si="70">+K28*X28</f>
        <v>411245.63679081452</v>
      </c>
      <c r="AL28" s="90">
        <f t="shared" ref="AL28:AL35" si="71">+L28*Y28</f>
        <v>431513.41864910984</v>
      </c>
      <c r="AM28" s="90">
        <f t="shared" ref="AM28:AM35" si="72">+M28*Z28</f>
        <v>465061.17031318776</v>
      </c>
      <c r="AN28" s="91">
        <f>SUM(AB28:AM28)</f>
        <v>5214745.9403976137</v>
      </c>
    </row>
    <row r="29" spans="1:40" ht="15" x14ac:dyDescent="0.25">
      <c r="A29" s="5" t="s">
        <v>1</v>
      </c>
      <c r="B29" s="112">
        <f>B28</f>
        <v>5.493E-2</v>
      </c>
      <c r="C29" s="112">
        <f t="shared" ref="C29:M29" si="73">C28</f>
        <v>5.493E-2</v>
      </c>
      <c r="D29" s="112">
        <f t="shared" si="73"/>
        <v>5.493E-2</v>
      </c>
      <c r="E29" s="112">
        <f t="shared" si="73"/>
        <v>5.493E-2</v>
      </c>
      <c r="F29" s="112">
        <f t="shared" si="73"/>
        <v>5.5808880000000005E-2</v>
      </c>
      <c r="G29" s="112">
        <f t="shared" si="73"/>
        <v>5.5808880000000005E-2</v>
      </c>
      <c r="H29" s="112">
        <f t="shared" si="73"/>
        <v>5.5808880000000005E-2</v>
      </c>
      <c r="I29" s="112">
        <f t="shared" si="73"/>
        <v>5.5808880000000005E-2</v>
      </c>
      <c r="J29" s="112">
        <f t="shared" si="73"/>
        <v>5.5808880000000005E-2</v>
      </c>
      <c r="K29" s="112">
        <f t="shared" si="73"/>
        <v>5.5808880000000005E-2</v>
      </c>
      <c r="L29" s="112">
        <f t="shared" si="73"/>
        <v>5.6701822079999999E-2</v>
      </c>
      <c r="M29" s="112">
        <f t="shared" si="73"/>
        <v>5.6701822079999999E-2</v>
      </c>
      <c r="N29" s="8"/>
      <c r="O29" s="89">
        <f t="shared" ref="O29:Z35" si="74">+O18</f>
        <v>9687028.1430091709</v>
      </c>
      <c r="P29" s="89">
        <f t="shared" si="74"/>
        <v>8609606.8739630431</v>
      </c>
      <c r="Q29" s="89">
        <f t="shared" si="74"/>
        <v>9092710.5616546348</v>
      </c>
      <c r="R29" s="89">
        <f t="shared" si="74"/>
        <v>8065446.4305152893</v>
      </c>
      <c r="S29" s="89">
        <f t="shared" si="74"/>
        <v>8475359.1698097065</v>
      </c>
      <c r="T29" s="89">
        <f t="shared" si="74"/>
        <v>9469008.5148403347</v>
      </c>
      <c r="U29" s="89">
        <f t="shared" si="74"/>
        <v>10632978.059858762</v>
      </c>
      <c r="V29" s="89">
        <f t="shared" si="74"/>
        <v>9418670.5904502496</v>
      </c>
      <c r="W29" s="89">
        <f t="shared" si="74"/>
        <v>8636702.0323705301</v>
      </c>
      <c r="X29" s="89">
        <f t="shared" si="74"/>
        <v>7148064.264375709</v>
      </c>
      <c r="Y29" s="89">
        <f t="shared" si="74"/>
        <v>8818133.020236291</v>
      </c>
      <c r="Z29" s="89">
        <f t="shared" si="74"/>
        <v>9452187.181814</v>
      </c>
      <c r="AA29" s="8"/>
      <c r="AB29" s="90">
        <f t="shared" ref="AB29:AB35" si="75">+B29*O29</f>
        <v>532108.45589549374</v>
      </c>
      <c r="AC29" s="90">
        <f t="shared" si="62"/>
        <v>472925.70558678993</v>
      </c>
      <c r="AD29" s="90">
        <f t="shared" si="63"/>
        <v>499462.59115168906</v>
      </c>
      <c r="AE29" s="90">
        <f t="shared" si="64"/>
        <v>443034.97242820484</v>
      </c>
      <c r="AF29" s="90">
        <f t="shared" si="65"/>
        <v>473000.30286480958</v>
      </c>
      <c r="AG29" s="90">
        <f t="shared" si="66"/>
        <v>528454.75992370246</v>
      </c>
      <c r="AH29" s="90">
        <f t="shared" si="67"/>
        <v>593414.59658529051</v>
      </c>
      <c r="AI29" s="90">
        <f t="shared" si="68"/>
        <v>525645.45674196712</v>
      </c>
      <c r="AJ29" s="90">
        <f t="shared" si="69"/>
        <v>482004.66732032306</v>
      </c>
      <c r="AK29" s="90">
        <f t="shared" si="70"/>
        <v>398925.46076283226</v>
      </c>
      <c r="AL29" s="90">
        <f t="shared" si="71"/>
        <v>500004.20959121123</v>
      </c>
      <c r="AM29" s="90">
        <f t="shared" si="72"/>
        <v>535956.23585007398</v>
      </c>
      <c r="AN29" s="91">
        <f t="shared" ref="AN29:AN35" si="76">SUM(AB29:AM29)</f>
        <v>5984937.4147023875</v>
      </c>
    </row>
    <row r="30" spans="1:40" ht="15" x14ac:dyDescent="0.25">
      <c r="A30" s="5" t="s">
        <v>2</v>
      </c>
      <c r="B30" s="112">
        <f>'COP Rates'!I8/1000</f>
        <v>8.7669999999999998E-2</v>
      </c>
      <c r="C30" s="112">
        <f>B30</f>
        <v>8.7669999999999998E-2</v>
      </c>
      <c r="D30" s="112">
        <f t="shared" ref="D30:E30" si="77">C30</f>
        <v>8.7669999999999998E-2</v>
      </c>
      <c r="E30" s="112">
        <f t="shared" si="77"/>
        <v>8.7669999999999998E-2</v>
      </c>
      <c r="F30" s="136">
        <f>'COP Rates'!J8/1000</f>
        <v>8.9072720000000008E-2</v>
      </c>
      <c r="G30" s="136">
        <f>F30</f>
        <v>8.9072720000000008E-2</v>
      </c>
      <c r="H30" s="136">
        <f t="shared" ref="H30:K30" si="78">G30</f>
        <v>8.9072720000000008E-2</v>
      </c>
      <c r="I30" s="136">
        <f t="shared" si="78"/>
        <v>8.9072720000000008E-2</v>
      </c>
      <c r="J30" s="136">
        <f t="shared" si="78"/>
        <v>8.9072720000000008E-2</v>
      </c>
      <c r="K30" s="136">
        <f t="shared" si="78"/>
        <v>8.9072720000000008E-2</v>
      </c>
      <c r="L30" s="137">
        <f>'COP Rates'!K8/1000</f>
        <v>9.0497883520000003E-2</v>
      </c>
      <c r="M30" s="137">
        <f>L30</f>
        <v>9.0497883520000003E-2</v>
      </c>
      <c r="N30" s="8"/>
      <c r="O30" s="89">
        <f t="shared" si="74"/>
        <v>150756815.05985445</v>
      </c>
      <c r="P30" s="89">
        <f t="shared" si="74"/>
        <v>138348798.45096382</v>
      </c>
      <c r="Q30" s="89">
        <f t="shared" si="74"/>
        <v>143416902.02143064</v>
      </c>
      <c r="R30" s="89">
        <f t="shared" si="74"/>
        <v>132339789.12872465</v>
      </c>
      <c r="S30" s="89">
        <f t="shared" si="74"/>
        <v>135258311.91581064</v>
      </c>
      <c r="T30" s="89">
        <f t="shared" si="74"/>
        <v>145061198.77754346</v>
      </c>
      <c r="U30" s="89">
        <f t="shared" si="74"/>
        <v>158746769.91116095</v>
      </c>
      <c r="V30" s="89">
        <f t="shared" si="74"/>
        <v>154413996.43797639</v>
      </c>
      <c r="W30" s="89">
        <f t="shared" si="74"/>
        <v>136508783.7802465</v>
      </c>
      <c r="X30" s="89">
        <f t="shared" si="74"/>
        <v>128289671.80259247</v>
      </c>
      <c r="Y30" s="89">
        <f t="shared" si="74"/>
        <v>134569952.60685194</v>
      </c>
      <c r="Z30" s="89">
        <f t="shared" si="74"/>
        <v>145561650.99855494</v>
      </c>
      <c r="AA30" s="8"/>
      <c r="AB30" s="90">
        <f t="shared" si="75"/>
        <v>13216849.97629744</v>
      </c>
      <c r="AC30" s="90">
        <f t="shared" si="62"/>
        <v>12129039.160195999</v>
      </c>
      <c r="AD30" s="90">
        <f t="shared" si="63"/>
        <v>12573359.800218824</v>
      </c>
      <c r="AE30" s="90">
        <f t="shared" si="64"/>
        <v>11602229.31291529</v>
      </c>
      <c r="AF30" s="90">
        <f t="shared" si="65"/>
        <v>12047825.744949667</v>
      </c>
      <c r="AG30" s="90">
        <f t="shared" si="66"/>
        <v>12920995.541576471</v>
      </c>
      <c r="AH30" s="90">
        <f t="shared" si="67"/>
        <v>14140006.587201266</v>
      </c>
      <c r="AI30" s="90">
        <f t="shared" si="68"/>
        <v>13754074.66880087</v>
      </c>
      <c r="AJ30" s="90">
        <f t="shared" si="69"/>
        <v>12159208.67519844</v>
      </c>
      <c r="AK30" s="90">
        <f t="shared" si="70"/>
        <v>11427110.015364215</v>
      </c>
      <c r="AL30" s="90">
        <f t="shared" si="71"/>
        <v>12178295.896306807</v>
      </c>
      <c r="AM30" s="90">
        <f t="shared" si="72"/>
        <v>13173021.337046117</v>
      </c>
      <c r="AN30" s="91">
        <f t="shared" si="76"/>
        <v>151322016.7160714</v>
      </c>
    </row>
    <row r="31" spans="1:40" ht="15" x14ac:dyDescent="0.25">
      <c r="A31" s="5" t="s">
        <v>22</v>
      </c>
      <c r="B31" s="112">
        <f>B30</f>
        <v>8.7669999999999998E-2</v>
      </c>
      <c r="C31" s="112">
        <f t="shared" ref="C31:C35" si="79">C30</f>
        <v>8.7669999999999998E-2</v>
      </c>
      <c r="D31" s="112">
        <f t="shared" ref="D31:D35" si="80">D30</f>
        <v>8.7669999999999998E-2</v>
      </c>
      <c r="E31" s="112">
        <f t="shared" ref="E31:E35" si="81">E30</f>
        <v>8.7669999999999998E-2</v>
      </c>
      <c r="F31" s="112">
        <f t="shared" ref="F31:F35" si="82">F30</f>
        <v>8.9072720000000008E-2</v>
      </c>
      <c r="G31" s="112">
        <f t="shared" ref="G31:G35" si="83">G30</f>
        <v>8.9072720000000008E-2</v>
      </c>
      <c r="H31" s="112">
        <f t="shared" ref="H31:H35" si="84">H30</f>
        <v>8.9072720000000008E-2</v>
      </c>
      <c r="I31" s="112">
        <f t="shared" ref="I31:I35" si="85">I30</f>
        <v>8.9072720000000008E-2</v>
      </c>
      <c r="J31" s="112">
        <f t="shared" ref="J31:J35" si="86">J30</f>
        <v>8.9072720000000008E-2</v>
      </c>
      <c r="K31" s="112">
        <f t="shared" ref="K31:K35" si="87">K30</f>
        <v>8.9072720000000008E-2</v>
      </c>
      <c r="L31" s="112">
        <f t="shared" ref="L31:L35" si="88">L30</f>
        <v>9.0497883520000003E-2</v>
      </c>
      <c r="M31" s="112">
        <f t="shared" ref="M31:M35" si="89">M30</f>
        <v>9.0497883520000003E-2</v>
      </c>
      <c r="N31" s="8"/>
      <c r="O31" s="89">
        <f t="shared" si="74"/>
        <v>20767918.98742136</v>
      </c>
      <c r="P31" s="89">
        <f t="shared" si="74"/>
        <v>19041638.638037771</v>
      </c>
      <c r="Q31" s="89">
        <f t="shared" si="74"/>
        <v>20908736.84684439</v>
      </c>
      <c r="R31" s="89">
        <f t="shared" si="74"/>
        <v>20490526.565142177</v>
      </c>
      <c r="S31" s="89">
        <f t="shared" si="74"/>
        <v>20667103.161592044</v>
      </c>
      <c r="T31" s="89">
        <f t="shared" si="74"/>
        <v>16642214.269949127</v>
      </c>
      <c r="U31" s="89">
        <f t="shared" si="74"/>
        <v>20739995.670308597</v>
      </c>
      <c r="V31" s="89">
        <f t="shared" si="74"/>
        <v>20611140.268182389</v>
      </c>
      <c r="W31" s="89">
        <f t="shared" si="74"/>
        <v>19380180.510645017</v>
      </c>
      <c r="X31" s="89">
        <f t="shared" si="74"/>
        <v>20515802.153415661</v>
      </c>
      <c r="Y31" s="89">
        <f t="shared" si="74"/>
        <v>19710555.361241233</v>
      </c>
      <c r="Z31" s="89">
        <f t="shared" si="74"/>
        <v>19735205.11484912</v>
      </c>
      <c r="AA31" s="8"/>
      <c r="AB31" s="90">
        <f t="shared" si="75"/>
        <v>1820723.4576272306</v>
      </c>
      <c r="AC31" s="90">
        <f t="shared" si="62"/>
        <v>1669380.4593967714</v>
      </c>
      <c r="AD31" s="90">
        <f t="shared" si="63"/>
        <v>1833068.9593628477</v>
      </c>
      <c r="AE31" s="90">
        <f t="shared" si="64"/>
        <v>1796404.4639660146</v>
      </c>
      <c r="AF31" s="90">
        <f t="shared" si="65"/>
        <v>1840875.0931236031</v>
      </c>
      <c r="AG31" s="90">
        <f t="shared" si="66"/>
        <v>1482367.2918471831</v>
      </c>
      <c r="AH31" s="90">
        <f t="shared" si="67"/>
        <v>1847367.8271426102</v>
      </c>
      <c r="AI31" s="90">
        <f t="shared" si="68"/>
        <v>1835890.3259885351</v>
      </c>
      <c r="AJ31" s="90">
        <f t="shared" si="69"/>
        <v>1726245.3921741408</v>
      </c>
      <c r="AK31" s="90">
        <f t="shared" si="70"/>
        <v>1827398.3007865904</v>
      </c>
      <c r="AL31" s="90">
        <f t="shared" si="71"/>
        <v>1783763.5431961205</v>
      </c>
      <c r="AM31" s="90">
        <f t="shared" si="72"/>
        <v>1785994.2937269239</v>
      </c>
      <c r="AN31" s="91">
        <f t="shared" si="76"/>
        <v>21249479.408338569</v>
      </c>
    </row>
    <row r="32" spans="1:40" ht="15" x14ac:dyDescent="0.25">
      <c r="A32" s="5" t="s">
        <v>23</v>
      </c>
      <c r="B32" s="112">
        <f t="shared" ref="B32:B35" si="90">B31</f>
        <v>8.7669999999999998E-2</v>
      </c>
      <c r="C32" s="112">
        <f t="shared" si="79"/>
        <v>8.7669999999999998E-2</v>
      </c>
      <c r="D32" s="112">
        <f t="shared" si="80"/>
        <v>8.7669999999999998E-2</v>
      </c>
      <c r="E32" s="112">
        <f t="shared" si="81"/>
        <v>8.7669999999999998E-2</v>
      </c>
      <c r="F32" s="112">
        <f t="shared" si="82"/>
        <v>8.9072720000000008E-2</v>
      </c>
      <c r="G32" s="112">
        <f t="shared" si="83"/>
        <v>8.9072720000000008E-2</v>
      </c>
      <c r="H32" s="112">
        <f t="shared" si="84"/>
        <v>8.9072720000000008E-2</v>
      </c>
      <c r="I32" s="112">
        <f t="shared" si="85"/>
        <v>8.9072720000000008E-2</v>
      </c>
      <c r="J32" s="112">
        <f t="shared" si="86"/>
        <v>8.9072720000000008E-2</v>
      </c>
      <c r="K32" s="112">
        <f t="shared" si="87"/>
        <v>8.9072720000000008E-2</v>
      </c>
      <c r="L32" s="112">
        <f t="shared" si="88"/>
        <v>9.0497883520000003E-2</v>
      </c>
      <c r="M32" s="112">
        <f t="shared" si="89"/>
        <v>9.0497883520000003E-2</v>
      </c>
      <c r="N32" s="8"/>
      <c r="O32" s="89">
        <f t="shared" si="74"/>
        <v>38136397.746338472</v>
      </c>
      <c r="P32" s="89">
        <f t="shared" si="74"/>
        <v>35019020.089427114</v>
      </c>
      <c r="Q32" s="89">
        <f t="shared" si="74"/>
        <v>35082711.049358405</v>
      </c>
      <c r="R32" s="89">
        <f t="shared" si="74"/>
        <v>35184252.330756791</v>
      </c>
      <c r="S32" s="89">
        <f t="shared" si="74"/>
        <v>29735593.775503837</v>
      </c>
      <c r="T32" s="89">
        <f t="shared" si="74"/>
        <v>31008298.833492287</v>
      </c>
      <c r="U32" s="89">
        <f t="shared" si="74"/>
        <v>30462778.031584132</v>
      </c>
      <c r="V32" s="89">
        <f t="shared" si="74"/>
        <v>32724176.575536262</v>
      </c>
      <c r="W32" s="89">
        <f t="shared" si="74"/>
        <v>30207664.123564914</v>
      </c>
      <c r="X32" s="89">
        <f t="shared" si="74"/>
        <v>34191807.112043068</v>
      </c>
      <c r="Y32" s="89">
        <f t="shared" si="74"/>
        <v>35674120.896974519</v>
      </c>
      <c r="Z32" s="89">
        <f t="shared" si="74"/>
        <v>31610302.107268084</v>
      </c>
      <c r="AA32" s="8"/>
      <c r="AB32" s="90">
        <f t="shared" si="75"/>
        <v>3343417.9904214935</v>
      </c>
      <c r="AC32" s="90">
        <f t="shared" si="62"/>
        <v>3070117.4912400749</v>
      </c>
      <c r="AD32" s="90">
        <f t="shared" si="63"/>
        <v>3075701.2776972512</v>
      </c>
      <c r="AE32" s="90">
        <f t="shared" si="64"/>
        <v>3084603.4018374477</v>
      </c>
      <c r="AF32" s="90">
        <f t="shared" si="65"/>
        <v>2648630.2183991964</v>
      </c>
      <c r="AG32" s="90">
        <f t="shared" si="66"/>
        <v>2761993.5196719854</v>
      </c>
      <c r="AH32" s="90">
        <f t="shared" si="67"/>
        <v>2713402.4980294448</v>
      </c>
      <c r="AI32" s="90">
        <f t="shared" si="68"/>
        <v>2914831.4173433008</v>
      </c>
      <c r="AJ32" s="90">
        <f t="shared" si="69"/>
        <v>2690678.8083323431</v>
      </c>
      <c r="AK32" s="90">
        <f t="shared" si="70"/>
        <v>3045557.2611850211</v>
      </c>
      <c r="AL32" s="90">
        <f t="shared" si="71"/>
        <v>3228432.4376127981</v>
      </c>
      <c r="AM32" s="90">
        <f t="shared" si="72"/>
        <v>2860665.4381355578</v>
      </c>
      <c r="AN32" s="91">
        <f t="shared" si="76"/>
        <v>35438031.759905912</v>
      </c>
    </row>
    <row r="33" spans="1:42" ht="15" x14ac:dyDescent="0.25">
      <c r="A33" s="5" t="s">
        <v>3</v>
      </c>
      <c r="B33" s="112">
        <f t="shared" si="90"/>
        <v>8.7669999999999998E-2</v>
      </c>
      <c r="C33" s="112">
        <f t="shared" si="79"/>
        <v>8.7669999999999998E-2</v>
      </c>
      <c r="D33" s="112">
        <f t="shared" si="80"/>
        <v>8.7669999999999998E-2</v>
      </c>
      <c r="E33" s="112">
        <f t="shared" si="81"/>
        <v>8.7669999999999998E-2</v>
      </c>
      <c r="F33" s="112">
        <f t="shared" si="82"/>
        <v>8.9072720000000008E-2</v>
      </c>
      <c r="G33" s="112">
        <f t="shared" si="83"/>
        <v>8.9072720000000008E-2</v>
      </c>
      <c r="H33" s="112">
        <f t="shared" si="84"/>
        <v>8.9072720000000008E-2</v>
      </c>
      <c r="I33" s="112">
        <f t="shared" si="85"/>
        <v>8.9072720000000008E-2</v>
      </c>
      <c r="J33" s="112">
        <f t="shared" si="86"/>
        <v>8.9072720000000008E-2</v>
      </c>
      <c r="K33" s="112">
        <f t="shared" si="87"/>
        <v>8.9072720000000008E-2</v>
      </c>
      <c r="L33" s="112">
        <f t="shared" si="88"/>
        <v>9.0497883520000003E-2</v>
      </c>
      <c r="M33" s="112">
        <f t="shared" si="89"/>
        <v>9.0497883520000003E-2</v>
      </c>
      <c r="N33" s="8"/>
      <c r="O33" s="89">
        <f t="shared" si="74"/>
        <v>31347.693607346271</v>
      </c>
      <c r="P33" s="89">
        <f t="shared" si="74"/>
        <v>29662.306750066229</v>
      </c>
      <c r="Q33" s="89">
        <f t="shared" si="74"/>
        <v>29801.306469666073</v>
      </c>
      <c r="R33" s="89">
        <f t="shared" si="74"/>
        <v>28729.453854546184</v>
      </c>
      <c r="S33" s="89">
        <f t="shared" si="74"/>
        <v>28666.103448604466</v>
      </c>
      <c r="T33" s="89">
        <f t="shared" si="74"/>
        <v>35787.181327425991</v>
      </c>
      <c r="U33" s="89">
        <f t="shared" si="74"/>
        <v>38352.239084225846</v>
      </c>
      <c r="V33" s="89">
        <f t="shared" si="74"/>
        <v>30535.921295505948</v>
      </c>
      <c r="W33" s="89">
        <f t="shared" si="74"/>
        <v>24096.790525825927</v>
      </c>
      <c r="X33" s="89">
        <f t="shared" si="74"/>
        <v>26611.653777986066</v>
      </c>
      <c r="Y33" s="89">
        <f t="shared" si="74"/>
        <v>33448.684685825952</v>
      </c>
      <c r="Z33" s="89">
        <f t="shared" si="74"/>
        <v>37071.471314546186</v>
      </c>
      <c r="AA33" s="8"/>
      <c r="AB33" s="90">
        <f t="shared" si="75"/>
        <v>2748.2522985560477</v>
      </c>
      <c r="AC33" s="90">
        <f t="shared" si="62"/>
        <v>2600.4944327783064</v>
      </c>
      <c r="AD33" s="90">
        <f t="shared" si="63"/>
        <v>2612.6805381956246</v>
      </c>
      <c r="AE33" s="90">
        <f t="shared" si="64"/>
        <v>2518.7112194280639</v>
      </c>
      <c r="AF33" s="90">
        <f t="shared" si="65"/>
        <v>2553.3678059685803</v>
      </c>
      <c r="AG33" s="90">
        <f t="shared" si="66"/>
        <v>3187.6615819670437</v>
      </c>
      <c r="AH33" s="90">
        <f t="shared" si="67"/>
        <v>3416.1382533223054</v>
      </c>
      <c r="AI33" s="90">
        <f t="shared" si="68"/>
        <v>2719.9175674966386</v>
      </c>
      <c r="AJ33" s="90">
        <f t="shared" si="69"/>
        <v>2146.3666754055457</v>
      </c>
      <c r="AK33" s="90">
        <f t="shared" si="70"/>
        <v>2370.3723857034952</v>
      </c>
      <c r="AL33" s="90">
        <f t="shared" si="71"/>
        <v>3027.0351705950848</v>
      </c>
      <c r="AM33" s="90">
        <f t="shared" si="72"/>
        <v>3354.889692938822</v>
      </c>
      <c r="AN33" s="91">
        <f t="shared" si="76"/>
        <v>33255.887622355564</v>
      </c>
    </row>
    <row r="34" spans="1:42" ht="15" x14ac:dyDescent="0.25">
      <c r="A34" s="5" t="s">
        <v>4</v>
      </c>
      <c r="B34" s="112">
        <f t="shared" si="90"/>
        <v>8.7669999999999998E-2</v>
      </c>
      <c r="C34" s="112">
        <f t="shared" si="79"/>
        <v>8.7669999999999998E-2</v>
      </c>
      <c r="D34" s="112">
        <f t="shared" si="80"/>
        <v>8.7669999999999998E-2</v>
      </c>
      <c r="E34" s="112">
        <f t="shared" si="81"/>
        <v>8.7669999999999998E-2</v>
      </c>
      <c r="F34" s="112">
        <f t="shared" si="82"/>
        <v>8.9072720000000008E-2</v>
      </c>
      <c r="G34" s="112">
        <f t="shared" si="83"/>
        <v>8.9072720000000008E-2</v>
      </c>
      <c r="H34" s="112">
        <f t="shared" si="84"/>
        <v>8.9072720000000008E-2</v>
      </c>
      <c r="I34" s="112">
        <f t="shared" si="85"/>
        <v>8.9072720000000008E-2</v>
      </c>
      <c r="J34" s="112">
        <f t="shared" si="86"/>
        <v>8.9072720000000008E-2</v>
      </c>
      <c r="K34" s="112">
        <f t="shared" si="87"/>
        <v>8.9072720000000008E-2</v>
      </c>
      <c r="L34" s="112">
        <f t="shared" si="88"/>
        <v>9.0497883520000003E-2</v>
      </c>
      <c r="M34" s="112">
        <f t="shared" si="89"/>
        <v>9.0497883520000003E-2</v>
      </c>
      <c r="N34" s="8"/>
      <c r="O34" s="89">
        <f t="shared" si="74"/>
        <v>406.76932263504568</v>
      </c>
      <c r="P34" s="89">
        <f t="shared" si="74"/>
        <v>252.75616412737145</v>
      </c>
      <c r="Q34" s="89">
        <f t="shared" si="74"/>
        <v>348.7186188702326</v>
      </c>
      <c r="R34" s="89">
        <f t="shared" si="74"/>
        <v>239.10282933284907</v>
      </c>
      <c r="S34" s="89">
        <f t="shared" si="74"/>
        <v>389.44350924951868</v>
      </c>
      <c r="T34" s="89">
        <f t="shared" si="74"/>
        <v>317.14776876779069</v>
      </c>
      <c r="U34" s="89">
        <f t="shared" si="74"/>
        <v>484.80531891179271</v>
      </c>
      <c r="V34" s="89">
        <f t="shared" si="74"/>
        <v>290.59154832022978</v>
      </c>
      <c r="W34" s="89">
        <f t="shared" si="74"/>
        <v>288.19997465880442</v>
      </c>
      <c r="X34" s="89">
        <f t="shared" si="74"/>
        <v>217.91137016737412</v>
      </c>
      <c r="Y34" s="89">
        <f t="shared" si="74"/>
        <v>425.04381286023272</v>
      </c>
      <c r="Z34" s="89">
        <f t="shared" si="74"/>
        <v>345.47793921879929</v>
      </c>
      <c r="AA34" s="8"/>
      <c r="AB34" s="90">
        <f t="shared" si="75"/>
        <v>35.661466515414453</v>
      </c>
      <c r="AC34" s="90">
        <f t="shared" si="62"/>
        <v>22.159132909046654</v>
      </c>
      <c r="AD34" s="90">
        <f t="shared" si="63"/>
        <v>30.572161316353291</v>
      </c>
      <c r="AE34" s="90">
        <f t="shared" si="64"/>
        <v>20.962145047610878</v>
      </c>
      <c r="AF34" s="90">
        <f t="shared" si="65"/>
        <v>34.688792655199791</v>
      </c>
      <c r="AG34" s="90">
        <f t="shared" si="66"/>
        <v>28.249214406078167</v>
      </c>
      <c r="AH34" s="90">
        <f t="shared" si="67"/>
        <v>43.182928425940823</v>
      </c>
      <c r="AI34" s="90">
        <f t="shared" si="68"/>
        <v>25.883779617894298</v>
      </c>
      <c r="AJ34" s="90">
        <f t="shared" si="69"/>
        <v>25.670755646790784</v>
      </c>
      <c r="AK34" s="90">
        <f t="shared" si="70"/>
        <v>19.40995845973487</v>
      </c>
      <c r="AL34" s="90">
        <f t="shared" si="71"/>
        <v>38.465565467122019</v>
      </c>
      <c r="AM34" s="90">
        <f t="shared" si="72"/>
        <v>31.265022302152538</v>
      </c>
      <c r="AN34" s="91">
        <f t="shared" si="76"/>
        <v>356.17092276933857</v>
      </c>
    </row>
    <row r="35" spans="1:42" ht="15" x14ac:dyDescent="0.25">
      <c r="A35" s="5" t="s">
        <v>5</v>
      </c>
      <c r="B35" s="112">
        <f t="shared" si="90"/>
        <v>8.7669999999999998E-2</v>
      </c>
      <c r="C35" s="112">
        <f t="shared" si="79"/>
        <v>8.7669999999999998E-2</v>
      </c>
      <c r="D35" s="112">
        <f t="shared" si="80"/>
        <v>8.7669999999999998E-2</v>
      </c>
      <c r="E35" s="112">
        <f t="shared" si="81"/>
        <v>8.7669999999999998E-2</v>
      </c>
      <c r="F35" s="112">
        <f t="shared" si="82"/>
        <v>8.9072720000000008E-2</v>
      </c>
      <c r="G35" s="112">
        <f t="shared" si="83"/>
        <v>8.9072720000000008E-2</v>
      </c>
      <c r="H35" s="112">
        <f t="shared" si="84"/>
        <v>8.9072720000000008E-2</v>
      </c>
      <c r="I35" s="112">
        <f t="shared" si="85"/>
        <v>8.9072720000000008E-2</v>
      </c>
      <c r="J35" s="112">
        <f t="shared" si="86"/>
        <v>8.9072720000000008E-2</v>
      </c>
      <c r="K35" s="112">
        <f t="shared" si="87"/>
        <v>8.9072720000000008E-2</v>
      </c>
      <c r="L35" s="112">
        <f t="shared" si="88"/>
        <v>9.0497883520000003E-2</v>
      </c>
      <c r="M35" s="112">
        <f t="shared" si="89"/>
        <v>9.0497883520000003E-2</v>
      </c>
      <c r="N35" s="8"/>
      <c r="O35" s="89">
        <f t="shared" si="74"/>
        <v>4038368.9306024942</v>
      </c>
      <c r="P35" s="89">
        <f t="shared" si="74"/>
        <v>4016661.5047922367</v>
      </c>
      <c r="Q35" s="89">
        <f t="shared" si="74"/>
        <v>3407083.2891235794</v>
      </c>
      <c r="R35" s="89">
        <f t="shared" si="74"/>
        <v>3147532.3109811749</v>
      </c>
      <c r="S35" s="89">
        <f t="shared" si="74"/>
        <v>2724871.2844750816</v>
      </c>
      <c r="T35" s="89">
        <f t="shared" si="74"/>
        <v>2424543.8381830389</v>
      </c>
      <c r="U35" s="89">
        <f t="shared" si="74"/>
        <v>2642867.174800362</v>
      </c>
      <c r="V35" s="89">
        <f t="shared" si="74"/>
        <v>2918347.191968855</v>
      </c>
      <c r="W35" s="89">
        <f t="shared" si="74"/>
        <v>3371796.0405652821</v>
      </c>
      <c r="X35" s="89">
        <f t="shared" si="74"/>
        <v>3635985.1903000907</v>
      </c>
      <c r="Y35" s="89">
        <f t="shared" si="74"/>
        <v>4037795.8313717213</v>
      </c>
      <c r="Z35" s="89">
        <f t="shared" si="74"/>
        <v>4469633.919536178</v>
      </c>
      <c r="AA35" s="8"/>
      <c r="AB35" s="90">
        <f t="shared" si="75"/>
        <v>354043.80414592067</v>
      </c>
      <c r="AC35" s="90">
        <f t="shared" si="62"/>
        <v>352140.71412513539</v>
      </c>
      <c r="AD35" s="90">
        <f t="shared" si="63"/>
        <v>298698.9919574642</v>
      </c>
      <c r="AE35" s="90">
        <f t="shared" si="64"/>
        <v>275944.15770371963</v>
      </c>
      <c r="AF35" s="90">
        <f t="shared" si="65"/>
        <v>242711.69695808931</v>
      </c>
      <c r="AG35" s="90">
        <f t="shared" si="66"/>
        <v>215960.71442620314</v>
      </c>
      <c r="AH35" s="90">
        <f t="shared" si="67"/>
        <v>235407.36785818372</v>
      </c>
      <c r="AI35" s="90">
        <f t="shared" si="68"/>
        <v>259945.12229302808</v>
      </c>
      <c r="AJ35" s="90">
        <f t="shared" si="69"/>
        <v>300335.04461838002</v>
      </c>
      <c r="AK35" s="90">
        <f t="shared" si="70"/>
        <v>323867.09077974671</v>
      </c>
      <c r="AL35" s="90">
        <f t="shared" si="71"/>
        <v>365411.97682501964</v>
      </c>
      <c r="AM35" s="90">
        <f t="shared" si="72"/>
        <v>404492.40982722607</v>
      </c>
      <c r="AN35" s="91">
        <f t="shared" si="76"/>
        <v>3628959.0915181171</v>
      </c>
    </row>
    <row r="36" spans="1:42" ht="1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8">
        <f>SUM(O28:O35)</f>
        <v>231671326.57521769</v>
      </c>
      <c r="P36" s="88">
        <f t="shared" ref="P36" si="91">SUM(P28:P35)</f>
        <v>212451217.47216806</v>
      </c>
      <c r="Q36" s="88">
        <f t="shared" ref="Q36" si="92">SUM(Q28:Q35)</f>
        <v>219431248.99296904</v>
      </c>
      <c r="R36" s="88">
        <f t="shared" ref="R36" si="93">SUM(R28:R35)</f>
        <v>206018078.51485968</v>
      </c>
      <c r="S36" s="88">
        <f t="shared" ref="S36" si="94">SUM(S28:S35)</f>
        <v>203691679.65502316</v>
      </c>
      <c r="T36" s="88">
        <f t="shared" ref="T36" si="95">SUM(T28:T35)</f>
        <v>212516243.59408328</v>
      </c>
      <c r="U36" s="88">
        <f t="shared" ref="U36" si="96">SUM(U28:U35)</f>
        <v>232757962.75820681</v>
      </c>
      <c r="V36" s="88">
        <f t="shared" ref="V36" si="97">SUM(V28:V35)</f>
        <v>229103878.97401819</v>
      </c>
      <c r="W36" s="88">
        <f t="shared" ref="W36" si="98">SUM(W28:W35)</f>
        <v>205555862.19671583</v>
      </c>
      <c r="X36" s="88">
        <f t="shared" ref="X36" si="99">SUM(X28:X35)</f>
        <v>201176980.90618962</v>
      </c>
      <c r="Y36" s="88">
        <f t="shared" ref="Y36" si="100">SUM(Y28:Y35)</f>
        <v>210454652.82466185</v>
      </c>
      <c r="Z36" s="88">
        <f t="shared" ref="Z36" si="101">SUM(Z28:Z35)</f>
        <v>219068269.74294406</v>
      </c>
      <c r="AA36" s="8"/>
      <c r="AB36" s="91">
        <f>SUM(AB28:AB35)</f>
        <v>19723267.263603896</v>
      </c>
      <c r="AC36" s="91">
        <f t="shared" ref="AC36" si="102">SUM(AC28:AC35)</f>
        <v>18101915.920594651</v>
      </c>
      <c r="AD36" s="91">
        <f t="shared" ref="AD36" si="103">SUM(AD28:AD35)</f>
        <v>18694522.902194414</v>
      </c>
      <c r="AE36" s="91">
        <f t="shared" ref="AE36" si="104">SUM(AE28:AE35)</f>
        <v>17576168.648354769</v>
      </c>
      <c r="AF36" s="91">
        <f t="shared" ref="AF36" si="105">SUM(AF28:AF35)</f>
        <v>17635208.781079788</v>
      </c>
      <c r="AG36" s="91">
        <f t="shared" ref="AG36" si="106">SUM(AG28:AG35)</f>
        <v>18352475.693860814</v>
      </c>
      <c r="AH36" s="91">
        <f t="shared" ref="AH36" si="107">SUM(AH28:AH35)</f>
        <v>20062893.019509781</v>
      </c>
      <c r="AI36" s="91">
        <f t="shared" ref="AI36" si="108">SUM(AI28:AI35)</f>
        <v>19794671.64855678</v>
      </c>
      <c r="AJ36" s="91">
        <f t="shared" ref="AJ36" si="109">SUM(AJ28:AJ35)</f>
        <v>17775100.941179395</v>
      </c>
      <c r="AK36" s="91">
        <f t="shared" ref="AK36" si="110">SUM(AK28:AK35)</f>
        <v>17436493.548013382</v>
      </c>
      <c r="AL36" s="91">
        <f t="shared" ref="AL36" si="111">SUM(AL28:AL35)</f>
        <v>18490486.98291713</v>
      </c>
      <c r="AM36" s="91">
        <f t="shared" ref="AM36" si="112">SUM(AM28:AM35)</f>
        <v>19228577.039614327</v>
      </c>
      <c r="AN36" s="91">
        <f t="shared" ref="AN36" si="113">SUM(AN28:AN35)</f>
        <v>222871782.3894791</v>
      </c>
    </row>
    <row r="37" spans="1:42" ht="15" x14ac:dyDescent="0.25">
      <c r="A37" s="6"/>
      <c r="B37" s="208" t="s">
        <v>20</v>
      </c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7"/>
      <c r="O37" s="208" t="s">
        <v>24</v>
      </c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7"/>
      <c r="AB37" s="208" t="s">
        <v>31</v>
      </c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6"/>
    </row>
    <row r="38" spans="1:42" ht="15" x14ac:dyDescent="0.25">
      <c r="A38" s="6" t="s">
        <v>27</v>
      </c>
      <c r="B38" s="6" t="s">
        <v>6</v>
      </c>
      <c r="C38" s="6" t="s">
        <v>7</v>
      </c>
      <c r="D38" s="6" t="s">
        <v>8</v>
      </c>
      <c r="E38" s="6" t="s">
        <v>9</v>
      </c>
      <c r="F38" s="6" t="s">
        <v>10</v>
      </c>
      <c r="G38" s="6" t="s">
        <v>11</v>
      </c>
      <c r="H38" s="6" t="s">
        <v>12</v>
      </c>
      <c r="I38" s="6" t="s">
        <v>13</v>
      </c>
      <c r="J38" s="6" t="s">
        <v>14</v>
      </c>
      <c r="K38" s="6" t="s">
        <v>15</v>
      </c>
      <c r="L38" s="6" t="s">
        <v>16</v>
      </c>
      <c r="M38" s="6" t="s">
        <v>17</v>
      </c>
      <c r="N38" s="7"/>
      <c r="O38" s="6" t="s">
        <v>6</v>
      </c>
      <c r="P38" s="6" t="s">
        <v>7</v>
      </c>
      <c r="Q38" s="6" t="s">
        <v>8</v>
      </c>
      <c r="R38" s="6" t="s">
        <v>9</v>
      </c>
      <c r="S38" s="6" t="s">
        <v>10</v>
      </c>
      <c r="T38" s="6" t="s">
        <v>11</v>
      </c>
      <c r="U38" s="6" t="s">
        <v>12</v>
      </c>
      <c r="V38" s="6" t="s">
        <v>13</v>
      </c>
      <c r="W38" s="6" t="s">
        <v>14</v>
      </c>
      <c r="X38" s="6" t="s">
        <v>15</v>
      </c>
      <c r="Y38" s="6" t="s">
        <v>16</v>
      </c>
      <c r="Z38" s="6" t="s">
        <v>17</v>
      </c>
      <c r="AA38" s="7"/>
      <c r="AB38" s="6" t="s">
        <v>6</v>
      </c>
      <c r="AC38" s="6" t="s">
        <v>7</v>
      </c>
      <c r="AD38" s="6" t="s">
        <v>8</v>
      </c>
      <c r="AE38" s="6" t="s">
        <v>9</v>
      </c>
      <c r="AF38" s="6" t="s">
        <v>10</v>
      </c>
      <c r="AG38" s="6" t="s">
        <v>11</v>
      </c>
      <c r="AH38" s="6" t="s">
        <v>12</v>
      </c>
      <c r="AI38" s="6" t="s">
        <v>13</v>
      </c>
      <c r="AJ38" s="6" t="s">
        <v>14</v>
      </c>
      <c r="AK38" s="6" t="s">
        <v>15</v>
      </c>
      <c r="AL38" s="6" t="s">
        <v>16</v>
      </c>
      <c r="AM38" s="6" t="s">
        <v>17</v>
      </c>
      <c r="AN38" s="6" t="s">
        <v>19</v>
      </c>
    </row>
    <row r="39" spans="1:42" ht="13.9" x14ac:dyDescent="0.25">
      <c r="A39" s="5" t="s">
        <v>0</v>
      </c>
      <c r="B39" s="196">
        <f>0.0032+0.0004+0.0003</f>
        <v>3.9000000000000003E-3</v>
      </c>
      <c r="C39" s="196">
        <f t="shared" ref="C39:M46" si="114">0.0032+0.0004+0.0003</f>
        <v>3.9000000000000003E-3</v>
      </c>
      <c r="D39" s="196">
        <f t="shared" si="114"/>
        <v>3.9000000000000003E-3</v>
      </c>
      <c r="E39" s="196">
        <f t="shared" si="114"/>
        <v>3.9000000000000003E-3</v>
      </c>
      <c r="F39" s="196">
        <f t="shared" si="114"/>
        <v>3.9000000000000003E-3</v>
      </c>
      <c r="G39" s="196">
        <f t="shared" si="114"/>
        <v>3.9000000000000003E-3</v>
      </c>
      <c r="H39" s="196">
        <f t="shared" si="114"/>
        <v>3.9000000000000003E-3</v>
      </c>
      <c r="I39" s="196">
        <f t="shared" si="114"/>
        <v>3.9000000000000003E-3</v>
      </c>
      <c r="J39" s="196">
        <f t="shared" si="114"/>
        <v>3.9000000000000003E-3</v>
      </c>
      <c r="K39" s="196">
        <f t="shared" si="114"/>
        <v>3.9000000000000003E-3</v>
      </c>
      <c r="L39" s="196">
        <f t="shared" si="114"/>
        <v>3.9000000000000003E-3</v>
      </c>
      <c r="M39" s="196">
        <f t="shared" si="114"/>
        <v>3.9000000000000003E-3</v>
      </c>
      <c r="N39" s="8"/>
      <c r="O39" s="87">
        <f>+'2018 Load Forecast Output'!C5</f>
        <v>150602978.92448547</v>
      </c>
      <c r="P39" s="87">
        <f>+'2018 Load Forecast Output'!D5</f>
        <v>134773300.22025317</v>
      </c>
      <c r="Q39" s="87">
        <f>+'2018 Load Forecast Output'!E5</f>
        <v>136732759.11439541</v>
      </c>
      <c r="R39" s="87">
        <f>+'2018 Load Forecast Output'!F5</f>
        <v>123386189.63605291</v>
      </c>
      <c r="S39" s="87">
        <f>+'2018 Load Forecast Output'!G5</f>
        <v>124112861.32981735</v>
      </c>
      <c r="T39" s="87">
        <f>+'2018 Load Forecast Output'!H5</f>
        <v>143702099.10545322</v>
      </c>
      <c r="U39" s="87">
        <f>+'2018 Load Forecast Output'!I5</f>
        <v>173243373.46881154</v>
      </c>
      <c r="V39" s="87">
        <f>+'2018 Load Forecast Output'!J5</f>
        <v>163991266.36971223</v>
      </c>
      <c r="W39" s="87">
        <f>+'2018 Load Forecast Output'!K5</f>
        <v>135517348.88363412</v>
      </c>
      <c r="X39" s="87">
        <f>+'2018 Load Forecast Output'!L5</f>
        <v>134467533.18092129</v>
      </c>
      <c r="Y39" s="87">
        <f>+'2018 Load Forecast Output'!M5</f>
        <v>138872652.91035512</v>
      </c>
      <c r="Z39" s="87">
        <f>+'2018 Load Forecast Output'!N5</f>
        <v>149669223.93554631</v>
      </c>
      <c r="AA39" s="8"/>
      <c r="AB39" s="90">
        <f>+B39*O39</f>
        <v>587351.61780549341</v>
      </c>
      <c r="AC39" s="90">
        <f t="shared" ref="AC39:AC46" si="115">+C39*P39</f>
        <v>525615.87085898744</v>
      </c>
      <c r="AD39" s="90">
        <f t="shared" ref="AD39:AD46" si="116">+D39*Q39</f>
        <v>533257.76054614212</v>
      </c>
      <c r="AE39" s="90">
        <f t="shared" ref="AE39:AE46" si="117">+E39*R39</f>
        <v>481206.13958060637</v>
      </c>
      <c r="AF39" s="90">
        <f t="shared" ref="AF39:AF46" si="118">+F39*S39</f>
        <v>484040.15918628772</v>
      </c>
      <c r="AG39" s="90">
        <f t="shared" ref="AG39:AG46" si="119">+G39*T39</f>
        <v>560438.18651126756</v>
      </c>
      <c r="AH39" s="90">
        <f t="shared" ref="AH39:AH46" si="120">+H39*U39</f>
        <v>675649.1565283651</v>
      </c>
      <c r="AI39" s="90">
        <f t="shared" ref="AI39:AI46" si="121">+I39*V39</f>
        <v>639565.93884187774</v>
      </c>
      <c r="AJ39" s="90">
        <f t="shared" ref="AJ39:AJ46" si="122">+J39*W39</f>
        <v>528517.66064617306</v>
      </c>
      <c r="AK39" s="90">
        <f t="shared" ref="AK39:AK46" si="123">+K39*X39</f>
        <v>524423.37940559303</v>
      </c>
      <c r="AL39" s="90">
        <f t="shared" ref="AL39:AL46" si="124">+L39*Y39</f>
        <v>541603.34635038499</v>
      </c>
      <c r="AM39" s="90">
        <f t="shared" ref="AM39:AM46" si="125">+M39*Z39</f>
        <v>583709.97334863059</v>
      </c>
      <c r="AN39" s="91">
        <f>SUM(AB39:AM39)</f>
        <v>6665379.1896098088</v>
      </c>
    </row>
    <row r="40" spans="1:42" ht="13.9" x14ac:dyDescent="0.25">
      <c r="A40" s="5" t="s">
        <v>1</v>
      </c>
      <c r="B40" s="196">
        <f t="shared" ref="B40:B46" si="126">0.0032+0.0004+0.0003</f>
        <v>3.9000000000000003E-3</v>
      </c>
      <c r="C40" s="196">
        <f t="shared" si="114"/>
        <v>3.9000000000000003E-3</v>
      </c>
      <c r="D40" s="196">
        <f t="shared" si="114"/>
        <v>3.9000000000000003E-3</v>
      </c>
      <c r="E40" s="196">
        <f t="shared" si="114"/>
        <v>3.9000000000000003E-3</v>
      </c>
      <c r="F40" s="196">
        <f t="shared" si="114"/>
        <v>3.9000000000000003E-3</v>
      </c>
      <c r="G40" s="196">
        <f t="shared" si="114"/>
        <v>3.9000000000000003E-3</v>
      </c>
      <c r="H40" s="196">
        <f t="shared" si="114"/>
        <v>3.9000000000000003E-3</v>
      </c>
      <c r="I40" s="196">
        <f t="shared" si="114"/>
        <v>3.9000000000000003E-3</v>
      </c>
      <c r="J40" s="196">
        <f t="shared" si="114"/>
        <v>3.9000000000000003E-3</v>
      </c>
      <c r="K40" s="196">
        <f t="shared" si="114"/>
        <v>3.9000000000000003E-3</v>
      </c>
      <c r="L40" s="196">
        <f t="shared" si="114"/>
        <v>3.9000000000000003E-3</v>
      </c>
      <c r="M40" s="196">
        <f t="shared" si="114"/>
        <v>3.9000000000000003E-3</v>
      </c>
      <c r="N40" s="8"/>
      <c r="O40" s="87">
        <f>+'2018 Load Forecast Output'!C8</f>
        <v>55481260.841976926</v>
      </c>
      <c r="P40" s="87">
        <f>+'2018 Load Forecast Output'!D8</f>
        <v>49310463.195664629</v>
      </c>
      <c r="Q40" s="87">
        <f>+'2018 Load Forecast Output'!E8</f>
        <v>52077380.07820525</v>
      </c>
      <c r="R40" s="87">
        <f>+'2018 Load Forecast Output'!F8</f>
        <v>46193851.262974173</v>
      </c>
      <c r="S40" s="87">
        <f>+'2018 Load Forecast Output'!G8</f>
        <v>48541576.001201063</v>
      </c>
      <c r="T40" s="87">
        <f>+'2018 Load Forecast Output'!H8</f>
        <v>54232580.268272266</v>
      </c>
      <c r="U40" s="87">
        <f>+'2018 Load Forecast Output'!I8</f>
        <v>60899072.507782161</v>
      </c>
      <c r="V40" s="87">
        <f>+'2018 Load Forecast Output'!J8</f>
        <v>53944276.004869707</v>
      </c>
      <c r="W40" s="87">
        <f>+'2018 Load Forecast Output'!K8</f>
        <v>49465647.378983557</v>
      </c>
      <c r="X40" s="87">
        <f>+'2018 Load Forecast Output'!L8</f>
        <v>40939657.871567644</v>
      </c>
      <c r="Y40" s="87">
        <f>+'2018 Load Forecast Output'!M8</f>
        <v>50504771.020826399</v>
      </c>
      <c r="Z40" s="87">
        <f>+'2018 Load Forecast Output'!N8</f>
        <v>54136238.154719345</v>
      </c>
      <c r="AA40" s="8"/>
      <c r="AB40" s="90">
        <f t="shared" ref="AB40:AB46" si="127">+B40*O40</f>
        <v>216376.91728371003</v>
      </c>
      <c r="AC40" s="90">
        <f t="shared" si="115"/>
        <v>192310.80646309207</v>
      </c>
      <c r="AD40" s="90">
        <f t="shared" si="116"/>
        <v>203101.7823050005</v>
      </c>
      <c r="AE40" s="90">
        <f t="shared" si="117"/>
        <v>180156.01992559928</v>
      </c>
      <c r="AF40" s="90">
        <f t="shared" si="118"/>
        <v>189312.14640468417</v>
      </c>
      <c r="AG40" s="90">
        <f t="shared" si="119"/>
        <v>211507.06304626184</v>
      </c>
      <c r="AH40" s="90">
        <f t="shared" si="120"/>
        <v>237506.38278035045</v>
      </c>
      <c r="AI40" s="90">
        <f t="shared" si="121"/>
        <v>210382.67641899188</v>
      </c>
      <c r="AJ40" s="90">
        <f t="shared" si="122"/>
        <v>192916.02477803588</v>
      </c>
      <c r="AK40" s="90">
        <f t="shared" si="123"/>
        <v>159664.66569911383</v>
      </c>
      <c r="AL40" s="90">
        <f t="shared" si="124"/>
        <v>196968.60698122298</v>
      </c>
      <c r="AM40" s="90">
        <f t="shared" si="125"/>
        <v>211131.32880340546</v>
      </c>
      <c r="AN40" s="91">
        <f t="shared" ref="AN40:AN46" si="128">SUM(AB40:AM40)</f>
        <v>2401334.4208894684</v>
      </c>
    </row>
    <row r="41" spans="1:42" ht="13.9" x14ac:dyDescent="0.25">
      <c r="A41" s="5" t="s">
        <v>2</v>
      </c>
      <c r="B41" s="196">
        <f t="shared" si="126"/>
        <v>3.9000000000000003E-3</v>
      </c>
      <c r="C41" s="196">
        <f t="shared" si="114"/>
        <v>3.9000000000000003E-3</v>
      </c>
      <c r="D41" s="196">
        <f t="shared" si="114"/>
        <v>3.9000000000000003E-3</v>
      </c>
      <c r="E41" s="196">
        <f t="shared" si="114"/>
        <v>3.9000000000000003E-3</v>
      </c>
      <c r="F41" s="196">
        <f t="shared" si="114"/>
        <v>3.9000000000000003E-3</v>
      </c>
      <c r="G41" s="196">
        <f t="shared" si="114"/>
        <v>3.9000000000000003E-3</v>
      </c>
      <c r="H41" s="196">
        <f t="shared" si="114"/>
        <v>3.9000000000000003E-3</v>
      </c>
      <c r="I41" s="196">
        <f t="shared" si="114"/>
        <v>3.9000000000000003E-3</v>
      </c>
      <c r="J41" s="196">
        <f t="shared" si="114"/>
        <v>3.9000000000000003E-3</v>
      </c>
      <c r="K41" s="196">
        <f t="shared" si="114"/>
        <v>3.9000000000000003E-3</v>
      </c>
      <c r="L41" s="196">
        <f t="shared" si="114"/>
        <v>3.9000000000000003E-3</v>
      </c>
      <c r="M41" s="196">
        <f t="shared" si="114"/>
        <v>3.9000000000000003E-3</v>
      </c>
      <c r="N41" s="8"/>
      <c r="O41" s="87">
        <f>+'2018 Load Forecast Output'!C11</f>
        <v>169523012.54903233</v>
      </c>
      <c r="P41" s="87">
        <f>+'2018 Load Forecast Output'!D11</f>
        <v>155570446.9256312</v>
      </c>
      <c r="Q41" s="87">
        <f>+'2018 Load Forecast Output'!E11</f>
        <v>161269427.66381496</v>
      </c>
      <c r="R41" s="87">
        <f>+'2018 Load Forecast Output'!F11</f>
        <v>148813436.55540836</v>
      </c>
      <c r="S41" s="87">
        <f>+'2018 Load Forecast Output'!G11</f>
        <v>152095256.84899431</v>
      </c>
      <c r="T41" s="87">
        <f>+'2018 Load Forecast Output'!H11</f>
        <v>163118406.36179405</v>
      </c>
      <c r="U41" s="87">
        <f>+'2018 Load Forecast Output'!I11</f>
        <v>178507556.40521866</v>
      </c>
      <c r="V41" s="87">
        <f>+'2018 Load Forecast Output'!J11</f>
        <v>173635439.60190755</v>
      </c>
      <c r="W41" s="87">
        <f>+'2018 Load Forecast Output'!K11</f>
        <v>153501387.36112279</v>
      </c>
      <c r="X41" s="87">
        <f>+'2018 Load Forecast Output'!L11</f>
        <v>144259160.91599289</v>
      </c>
      <c r="Y41" s="87">
        <f>+'2018 Load Forecast Output'!M11</f>
        <v>151321210.62279537</v>
      </c>
      <c r="Z41" s="87">
        <f>+'2018 Load Forecast Output'!N11</f>
        <v>163681154.83926114</v>
      </c>
      <c r="AA41" s="8"/>
      <c r="AB41" s="90">
        <f t="shared" si="127"/>
        <v>661139.74894122616</v>
      </c>
      <c r="AC41" s="90">
        <f t="shared" si="115"/>
        <v>606724.74300996168</v>
      </c>
      <c r="AD41" s="90">
        <f t="shared" si="116"/>
        <v>628950.76788887836</v>
      </c>
      <c r="AE41" s="90">
        <f t="shared" si="117"/>
        <v>580372.40256609267</v>
      </c>
      <c r="AF41" s="90">
        <f t="shared" si="118"/>
        <v>593171.50171107787</v>
      </c>
      <c r="AG41" s="90">
        <f t="shared" si="119"/>
        <v>636161.78481099685</v>
      </c>
      <c r="AH41" s="90">
        <f t="shared" si="120"/>
        <v>696179.46998035279</v>
      </c>
      <c r="AI41" s="90">
        <f t="shared" si="121"/>
        <v>677178.21444743953</v>
      </c>
      <c r="AJ41" s="90">
        <f t="shared" si="122"/>
        <v>598655.41070837888</v>
      </c>
      <c r="AK41" s="90">
        <f t="shared" si="123"/>
        <v>562610.7275723723</v>
      </c>
      <c r="AL41" s="90">
        <f t="shared" si="124"/>
        <v>590152.721428902</v>
      </c>
      <c r="AM41" s="90">
        <f t="shared" si="125"/>
        <v>638356.50387311855</v>
      </c>
      <c r="AN41" s="91">
        <f t="shared" si="128"/>
        <v>7469653.9969387967</v>
      </c>
    </row>
    <row r="42" spans="1:42" ht="13.9" x14ac:dyDescent="0.25">
      <c r="A42" s="5" t="s">
        <v>22</v>
      </c>
      <c r="B42" s="196">
        <f t="shared" si="126"/>
        <v>3.9000000000000003E-3</v>
      </c>
      <c r="C42" s="196">
        <f t="shared" si="114"/>
        <v>3.9000000000000003E-3</v>
      </c>
      <c r="D42" s="196">
        <f t="shared" si="114"/>
        <v>3.9000000000000003E-3</v>
      </c>
      <c r="E42" s="196">
        <f t="shared" si="114"/>
        <v>3.9000000000000003E-3</v>
      </c>
      <c r="F42" s="196">
        <f t="shared" si="114"/>
        <v>3.9000000000000003E-3</v>
      </c>
      <c r="G42" s="196">
        <f t="shared" si="114"/>
        <v>3.9000000000000003E-3</v>
      </c>
      <c r="H42" s="196">
        <f t="shared" si="114"/>
        <v>3.9000000000000003E-3</v>
      </c>
      <c r="I42" s="196">
        <f t="shared" si="114"/>
        <v>3.9000000000000003E-3</v>
      </c>
      <c r="J42" s="196">
        <f t="shared" si="114"/>
        <v>3.9000000000000003E-3</v>
      </c>
      <c r="K42" s="196">
        <f t="shared" si="114"/>
        <v>3.9000000000000003E-3</v>
      </c>
      <c r="L42" s="196">
        <f t="shared" si="114"/>
        <v>3.9000000000000003E-3</v>
      </c>
      <c r="M42" s="196">
        <f t="shared" si="114"/>
        <v>3.9000000000000003E-3</v>
      </c>
      <c r="N42" s="8"/>
      <c r="O42" s="87">
        <f>+'2018 Load Forecast Output'!C26</f>
        <v>20767918.98742136</v>
      </c>
      <c r="P42" s="87">
        <f>+'2018 Load Forecast Output'!D26</f>
        <v>19041638.638037771</v>
      </c>
      <c r="Q42" s="87">
        <f>+'2018 Load Forecast Output'!E26</f>
        <v>20908736.84684439</v>
      </c>
      <c r="R42" s="87">
        <f>+'2018 Load Forecast Output'!F26</f>
        <v>20490526.565142177</v>
      </c>
      <c r="S42" s="87">
        <f>+'2018 Load Forecast Output'!G26</f>
        <v>20667103.161592044</v>
      </c>
      <c r="T42" s="87">
        <f>+'2018 Load Forecast Output'!H26</f>
        <v>16642214.269949127</v>
      </c>
      <c r="U42" s="87">
        <f>+'2018 Load Forecast Output'!I26</f>
        <v>20739995.670308597</v>
      </c>
      <c r="V42" s="87">
        <f>+'2018 Load Forecast Output'!J26</f>
        <v>20611140.268182389</v>
      </c>
      <c r="W42" s="87">
        <f>+'2018 Load Forecast Output'!K26</f>
        <v>19380180.510645017</v>
      </c>
      <c r="X42" s="87">
        <f>+'2018 Load Forecast Output'!L26</f>
        <v>20515802.153415661</v>
      </c>
      <c r="Y42" s="87">
        <f>+'2018 Load Forecast Output'!M26</f>
        <v>19710555.361241233</v>
      </c>
      <c r="Z42" s="87">
        <f>+'2018 Load Forecast Output'!N26</f>
        <v>19735205.11484912</v>
      </c>
      <c r="AA42" s="8"/>
      <c r="AB42" s="90">
        <f t="shared" si="127"/>
        <v>80994.884050943307</v>
      </c>
      <c r="AC42" s="90">
        <f t="shared" si="115"/>
        <v>74262.39068834731</v>
      </c>
      <c r="AD42" s="90">
        <f t="shared" si="116"/>
        <v>81544.073702693131</v>
      </c>
      <c r="AE42" s="90">
        <f t="shared" si="117"/>
        <v>79913.053604054498</v>
      </c>
      <c r="AF42" s="90">
        <f t="shared" si="118"/>
        <v>80601.70233020898</v>
      </c>
      <c r="AG42" s="90">
        <f t="shared" si="119"/>
        <v>64904.635652801597</v>
      </c>
      <c r="AH42" s="90">
        <f t="shared" si="120"/>
        <v>80885.98311420354</v>
      </c>
      <c r="AI42" s="90">
        <f t="shared" si="121"/>
        <v>80383.447045911322</v>
      </c>
      <c r="AJ42" s="90">
        <f t="shared" si="122"/>
        <v>75582.703991515576</v>
      </c>
      <c r="AK42" s="90">
        <f t="shared" si="123"/>
        <v>80011.628398321089</v>
      </c>
      <c r="AL42" s="90">
        <f t="shared" si="124"/>
        <v>76871.165908840805</v>
      </c>
      <c r="AM42" s="90">
        <f t="shared" si="125"/>
        <v>76967.299947911568</v>
      </c>
      <c r="AN42" s="91">
        <f t="shared" si="128"/>
        <v>932922.96843575267</v>
      </c>
    </row>
    <row r="43" spans="1:42" ht="13.9" x14ac:dyDescent="0.25">
      <c r="A43" s="5" t="s">
        <v>23</v>
      </c>
      <c r="B43" s="196">
        <f t="shared" si="126"/>
        <v>3.9000000000000003E-3</v>
      </c>
      <c r="C43" s="196">
        <f t="shared" si="114"/>
        <v>3.9000000000000003E-3</v>
      </c>
      <c r="D43" s="196">
        <f t="shared" si="114"/>
        <v>3.9000000000000003E-3</v>
      </c>
      <c r="E43" s="196">
        <f t="shared" si="114"/>
        <v>3.9000000000000003E-3</v>
      </c>
      <c r="F43" s="196">
        <f t="shared" si="114"/>
        <v>3.9000000000000003E-3</v>
      </c>
      <c r="G43" s="196">
        <f t="shared" si="114"/>
        <v>3.9000000000000003E-3</v>
      </c>
      <c r="H43" s="196">
        <f t="shared" si="114"/>
        <v>3.9000000000000003E-3</v>
      </c>
      <c r="I43" s="196">
        <f t="shared" si="114"/>
        <v>3.9000000000000003E-3</v>
      </c>
      <c r="J43" s="196">
        <f t="shared" si="114"/>
        <v>3.9000000000000003E-3</v>
      </c>
      <c r="K43" s="196">
        <f t="shared" si="114"/>
        <v>3.9000000000000003E-3</v>
      </c>
      <c r="L43" s="196">
        <f t="shared" si="114"/>
        <v>3.9000000000000003E-3</v>
      </c>
      <c r="M43" s="196">
        <f t="shared" si="114"/>
        <v>3.9000000000000003E-3</v>
      </c>
      <c r="N43" s="8"/>
      <c r="O43" s="87">
        <f>+'2018 Load Forecast Output'!C29</f>
        <v>38136397.746338472</v>
      </c>
      <c r="P43" s="87">
        <f>+'2018 Load Forecast Output'!D29</f>
        <v>35019020.089427114</v>
      </c>
      <c r="Q43" s="87">
        <f>+'2018 Load Forecast Output'!E29</f>
        <v>35082711.049358405</v>
      </c>
      <c r="R43" s="87">
        <f>+'2018 Load Forecast Output'!F29</f>
        <v>35184252.330756791</v>
      </c>
      <c r="S43" s="87">
        <f>+'2018 Load Forecast Output'!G29</f>
        <v>29735593.775503837</v>
      </c>
      <c r="T43" s="87">
        <f>+'2018 Load Forecast Output'!H29</f>
        <v>31008298.833492287</v>
      </c>
      <c r="U43" s="87">
        <f>+'2018 Load Forecast Output'!I29</f>
        <v>30462778.031584132</v>
      </c>
      <c r="V43" s="87">
        <f>+'2018 Load Forecast Output'!J29</f>
        <v>32724176.575536262</v>
      </c>
      <c r="W43" s="87">
        <f>+'2018 Load Forecast Output'!K29</f>
        <v>30207664.123564914</v>
      </c>
      <c r="X43" s="87">
        <f>+'2018 Load Forecast Output'!L29</f>
        <v>34191807.112043068</v>
      </c>
      <c r="Y43" s="87">
        <f>+'2018 Load Forecast Output'!M29</f>
        <v>35674120.896974519</v>
      </c>
      <c r="Z43" s="87">
        <f>+'2018 Load Forecast Output'!N29</f>
        <v>31610302.107268084</v>
      </c>
      <c r="AA43" s="8"/>
      <c r="AB43" s="90">
        <f t="shared" si="127"/>
        <v>148731.95121072006</v>
      </c>
      <c r="AC43" s="90">
        <f t="shared" si="115"/>
        <v>136574.17834876574</v>
      </c>
      <c r="AD43" s="90">
        <f t="shared" si="116"/>
        <v>136822.5730924978</v>
      </c>
      <c r="AE43" s="90">
        <f t="shared" si="117"/>
        <v>137218.5840899515</v>
      </c>
      <c r="AF43" s="90">
        <f t="shared" si="118"/>
        <v>115968.81572446498</v>
      </c>
      <c r="AG43" s="90">
        <f t="shared" si="119"/>
        <v>120932.36545061992</v>
      </c>
      <c r="AH43" s="90">
        <f t="shared" si="120"/>
        <v>118804.83432317812</v>
      </c>
      <c r="AI43" s="90">
        <f t="shared" si="121"/>
        <v>127624.28864459143</v>
      </c>
      <c r="AJ43" s="90">
        <f t="shared" si="122"/>
        <v>117809.89008190317</v>
      </c>
      <c r="AK43" s="90">
        <f t="shared" si="123"/>
        <v>133348.04773696797</v>
      </c>
      <c r="AL43" s="90">
        <f t="shared" si="124"/>
        <v>139129.07149820065</v>
      </c>
      <c r="AM43" s="90">
        <f t="shared" si="125"/>
        <v>123280.17821834554</v>
      </c>
      <c r="AN43" s="91">
        <f t="shared" si="128"/>
        <v>1556244.7784202071</v>
      </c>
    </row>
    <row r="44" spans="1:42" ht="13.9" x14ac:dyDescent="0.25">
      <c r="A44" s="5" t="s">
        <v>3</v>
      </c>
      <c r="B44" s="196">
        <f t="shared" si="126"/>
        <v>3.9000000000000003E-3</v>
      </c>
      <c r="C44" s="196">
        <f t="shared" si="114"/>
        <v>3.9000000000000003E-3</v>
      </c>
      <c r="D44" s="196">
        <f t="shared" si="114"/>
        <v>3.9000000000000003E-3</v>
      </c>
      <c r="E44" s="196">
        <f t="shared" si="114"/>
        <v>3.9000000000000003E-3</v>
      </c>
      <c r="F44" s="196">
        <f t="shared" si="114"/>
        <v>3.9000000000000003E-3</v>
      </c>
      <c r="G44" s="196">
        <f t="shared" si="114"/>
        <v>3.9000000000000003E-3</v>
      </c>
      <c r="H44" s="196">
        <f t="shared" si="114"/>
        <v>3.9000000000000003E-3</v>
      </c>
      <c r="I44" s="196">
        <f t="shared" si="114"/>
        <v>3.9000000000000003E-3</v>
      </c>
      <c r="J44" s="196">
        <f t="shared" si="114"/>
        <v>3.9000000000000003E-3</v>
      </c>
      <c r="K44" s="196">
        <f t="shared" si="114"/>
        <v>3.9000000000000003E-3</v>
      </c>
      <c r="L44" s="196">
        <f t="shared" si="114"/>
        <v>3.9000000000000003E-3</v>
      </c>
      <c r="M44" s="196">
        <f t="shared" si="114"/>
        <v>3.9000000000000003E-3</v>
      </c>
      <c r="N44" s="8"/>
      <c r="O44" s="87">
        <f>+'2018 Load Forecast Output'!C14</f>
        <v>932967.07164721063</v>
      </c>
      <c r="P44" s="87">
        <f>+'2018 Load Forecast Output'!D14</f>
        <v>882806.74851387786</v>
      </c>
      <c r="Q44" s="87">
        <f>+'2018 Load Forecast Output'!E14</f>
        <v>886943.64493053907</v>
      </c>
      <c r="R44" s="87">
        <f>+'2018 Load Forecast Output'!F14</f>
        <v>855043.26948054112</v>
      </c>
      <c r="S44" s="87">
        <f>+'2018 Load Forecast Output'!G14</f>
        <v>853157.84073227551</v>
      </c>
      <c r="T44" s="87">
        <f>+'2018 Load Forecast Output'!H14</f>
        <v>1065094.6823638706</v>
      </c>
      <c r="U44" s="87">
        <f>+'2018 Load Forecast Output'!I14</f>
        <v>1141435.687030534</v>
      </c>
      <c r="V44" s="87">
        <f>+'2018 Load Forecast Output'!J14</f>
        <v>908807.18141386961</v>
      </c>
      <c r="W44" s="87">
        <f>+'2018 Load Forecast Output'!K14</f>
        <v>717166.38469720015</v>
      </c>
      <c r="X44" s="87">
        <f>+'2018 Load Forecast Output'!L14</f>
        <v>792013.50529720425</v>
      </c>
      <c r="Y44" s="87">
        <f>+'2018 Load Forecast Output'!M14</f>
        <v>995496.56803053594</v>
      </c>
      <c r="Z44" s="87">
        <f>+'2018 Load Forecast Output'!N14</f>
        <v>1103317.5986472073</v>
      </c>
      <c r="AA44" s="8"/>
      <c r="AB44" s="90">
        <f t="shared" si="127"/>
        <v>3638.5715794241219</v>
      </c>
      <c r="AC44" s="90">
        <f t="shared" si="115"/>
        <v>3442.9463192041239</v>
      </c>
      <c r="AD44" s="90">
        <f t="shared" si="116"/>
        <v>3459.0802152291026</v>
      </c>
      <c r="AE44" s="90">
        <f t="shared" si="117"/>
        <v>3334.6687509741105</v>
      </c>
      <c r="AF44" s="90">
        <f t="shared" si="118"/>
        <v>3327.3155788558747</v>
      </c>
      <c r="AG44" s="90">
        <f t="shared" si="119"/>
        <v>4153.8692612190953</v>
      </c>
      <c r="AH44" s="90">
        <f t="shared" si="120"/>
        <v>4451.5991794190832</v>
      </c>
      <c r="AI44" s="90">
        <f t="shared" si="121"/>
        <v>3544.3480075140915</v>
      </c>
      <c r="AJ44" s="90">
        <f t="shared" si="122"/>
        <v>2796.9489003190806</v>
      </c>
      <c r="AK44" s="90">
        <f t="shared" si="123"/>
        <v>3088.8526706590969</v>
      </c>
      <c r="AL44" s="90">
        <f t="shared" si="124"/>
        <v>3882.4366153190904</v>
      </c>
      <c r="AM44" s="90">
        <f t="shared" si="125"/>
        <v>4302.9386347241089</v>
      </c>
      <c r="AN44" s="91">
        <f t="shared" si="128"/>
        <v>43423.575712860984</v>
      </c>
    </row>
    <row r="45" spans="1:42" ht="13.9" x14ac:dyDescent="0.25">
      <c r="A45" s="5" t="s">
        <v>4</v>
      </c>
      <c r="B45" s="196">
        <f t="shared" si="126"/>
        <v>3.9000000000000003E-3</v>
      </c>
      <c r="C45" s="196">
        <f t="shared" si="114"/>
        <v>3.9000000000000003E-3</v>
      </c>
      <c r="D45" s="196">
        <f t="shared" si="114"/>
        <v>3.9000000000000003E-3</v>
      </c>
      <c r="E45" s="196">
        <f t="shared" si="114"/>
        <v>3.9000000000000003E-3</v>
      </c>
      <c r="F45" s="196">
        <f t="shared" si="114"/>
        <v>3.9000000000000003E-3</v>
      </c>
      <c r="G45" s="196">
        <f t="shared" si="114"/>
        <v>3.9000000000000003E-3</v>
      </c>
      <c r="H45" s="196">
        <f t="shared" si="114"/>
        <v>3.9000000000000003E-3</v>
      </c>
      <c r="I45" s="196">
        <f t="shared" si="114"/>
        <v>3.9000000000000003E-3</v>
      </c>
      <c r="J45" s="196">
        <f t="shared" si="114"/>
        <v>3.9000000000000003E-3</v>
      </c>
      <c r="K45" s="196">
        <f t="shared" si="114"/>
        <v>3.9000000000000003E-3</v>
      </c>
      <c r="L45" s="196">
        <f t="shared" si="114"/>
        <v>3.9000000000000003E-3</v>
      </c>
      <c r="M45" s="196">
        <f t="shared" si="114"/>
        <v>3.9000000000000003E-3</v>
      </c>
      <c r="N45" s="8"/>
      <c r="O45" s="87">
        <f>+'2018 Load Forecast Output'!C17</f>
        <v>40274.190359905697</v>
      </c>
      <c r="P45" s="87">
        <f>+'2018 Load Forecast Output'!D17</f>
        <v>25025.362784888439</v>
      </c>
      <c r="Q45" s="87">
        <f>+'2018 Load Forecast Output'!E17</f>
        <v>34526.595927745671</v>
      </c>
      <c r="R45" s="87">
        <f>+'2018 Load Forecast Output'!F17</f>
        <v>23673.547458698045</v>
      </c>
      <c r="S45" s="87">
        <f>+'2018 Load Forecast Output'!G17</f>
        <v>38558.763292031515</v>
      </c>
      <c r="T45" s="87">
        <f>+'2018 Load Forecast Output'!H17</f>
        <v>31400.76918492989</v>
      </c>
      <c r="U45" s="87">
        <f>+'2018 Load Forecast Output'!I17</f>
        <v>48000.526624929895</v>
      </c>
      <c r="V45" s="87">
        <f>+'2018 Load Forecast Output'!J17</f>
        <v>28771.440427745671</v>
      </c>
      <c r="W45" s="87">
        <f>+'2018 Load Forecast Output'!K17</f>
        <v>28534.650956317262</v>
      </c>
      <c r="X45" s="87">
        <f>+'2018 Load Forecast Output'!L17</f>
        <v>21575.383184888542</v>
      </c>
      <c r="Y45" s="87">
        <f>+'2018 Load Forecast Output'!M17</f>
        <v>42083.545827745671</v>
      </c>
      <c r="Z45" s="87">
        <f>+'2018 Load Forecast Output'!N17</f>
        <v>34205.736556317061</v>
      </c>
      <c r="AA45" s="8"/>
      <c r="AB45" s="90">
        <f t="shared" si="127"/>
        <v>157.06934240363222</v>
      </c>
      <c r="AC45" s="90">
        <f t="shared" si="115"/>
        <v>97.598914861064912</v>
      </c>
      <c r="AD45" s="90">
        <f t="shared" si="116"/>
        <v>134.65372411820812</v>
      </c>
      <c r="AE45" s="90">
        <f t="shared" si="117"/>
        <v>92.32683508892238</v>
      </c>
      <c r="AF45" s="90">
        <f t="shared" si="118"/>
        <v>150.37917683892292</v>
      </c>
      <c r="AG45" s="90">
        <f t="shared" si="119"/>
        <v>122.46299982122657</v>
      </c>
      <c r="AH45" s="90">
        <f t="shared" si="120"/>
        <v>187.2020538372266</v>
      </c>
      <c r="AI45" s="90">
        <f t="shared" si="121"/>
        <v>112.20861766820812</v>
      </c>
      <c r="AJ45" s="90">
        <f t="shared" si="122"/>
        <v>111.28513872963732</v>
      </c>
      <c r="AK45" s="90">
        <f t="shared" si="123"/>
        <v>84.143994421065315</v>
      </c>
      <c r="AL45" s="90">
        <f t="shared" si="124"/>
        <v>164.12582872820812</v>
      </c>
      <c r="AM45" s="90">
        <f t="shared" si="125"/>
        <v>133.40237256963655</v>
      </c>
      <c r="AN45" s="91">
        <f t="shared" si="128"/>
        <v>1546.8589990859591</v>
      </c>
    </row>
    <row r="46" spans="1:42" ht="13.9" x14ac:dyDescent="0.25">
      <c r="A46" s="5" t="s">
        <v>5</v>
      </c>
      <c r="B46" s="196">
        <f t="shared" si="126"/>
        <v>3.9000000000000003E-3</v>
      </c>
      <c r="C46" s="196">
        <f t="shared" si="114"/>
        <v>3.9000000000000003E-3</v>
      </c>
      <c r="D46" s="196">
        <f t="shared" si="114"/>
        <v>3.9000000000000003E-3</v>
      </c>
      <c r="E46" s="196">
        <f t="shared" si="114"/>
        <v>3.9000000000000003E-3</v>
      </c>
      <c r="F46" s="196">
        <f t="shared" si="114"/>
        <v>3.9000000000000003E-3</v>
      </c>
      <c r="G46" s="196">
        <f t="shared" si="114"/>
        <v>3.9000000000000003E-3</v>
      </c>
      <c r="H46" s="196">
        <f t="shared" si="114"/>
        <v>3.9000000000000003E-3</v>
      </c>
      <c r="I46" s="196">
        <f t="shared" si="114"/>
        <v>3.9000000000000003E-3</v>
      </c>
      <c r="J46" s="196">
        <f t="shared" si="114"/>
        <v>3.9000000000000003E-3</v>
      </c>
      <c r="K46" s="196">
        <f t="shared" si="114"/>
        <v>3.9000000000000003E-3</v>
      </c>
      <c r="L46" s="196">
        <f t="shared" si="114"/>
        <v>3.9000000000000003E-3</v>
      </c>
      <c r="M46" s="196">
        <f t="shared" si="114"/>
        <v>3.9000000000000003E-3</v>
      </c>
      <c r="N46" s="8"/>
      <c r="O46" s="87">
        <f>+'2018 Load Forecast Output'!C20</f>
        <v>4067656.0541926813</v>
      </c>
      <c r="P46" s="87">
        <f>+'2018 Load Forecast Output'!D20</f>
        <v>4045791.2014426235</v>
      </c>
      <c r="Q46" s="87">
        <f>+'2018 Load Forecast Output'!E20</f>
        <v>3431792.1929125497</v>
      </c>
      <c r="R46" s="87">
        <f>+'2018 Load Forecast Output'!F20</f>
        <v>3170358.8950253576</v>
      </c>
      <c r="S46" s="87">
        <f>+'2018 Load Forecast Output'!G20</f>
        <v>2744632.6394793326</v>
      </c>
      <c r="T46" s="87">
        <f>+'2018 Load Forecast Output'!H20</f>
        <v>2442127.1536896043</v>
      </c>
      <c r="U46" s="87">
        <f>+'2018 Load Forecast Output'!I20</f>
        <v>2662033.8182920651</v>
      </c>
      <c r="V46" s="87">
        <f>+'2018 Load Forecast Output'!J20</f>
        <v>2939511.6760363164</v>
      </c>
      <c r="W46" s="87">
        <f>+'2018 Load Forecast Output'!K20</f>
        <v>3396249.0336072543</v>
      </c>
      <c r="X46" s="87">
        <f>+'2018 Load Forecast Output'!L20</f>
        <v>3662354.1401088745</v>
      </c>
      <c r="Y46" s="87">
        <f>+'2018 Load Forecast Output'!M20</f>
        <v>4067078.7987225237</v>
      </c>
      <c r="Z46" s="87">
        <f>+'2018 Load Forecast Output'!N20</f>
        <v>4502048.6699598888</v>
      </c>
      <c r="AA46" s="8"/>
      <c r="AB46" s="90">
        <f t="shared" si="127"/>
        <v>15863.858611351458</v>
      </c>
      <c r="AC46" s="90">
        <f t="shared" si="115"/>
        <v>15778.585685626233</v>
      </c>
      <c r="AD46" s="90">
        <f t="shared" si="116"/>
        <v>13383.989552358944</v>
      </c>
      <c r="AE46" s="90">
        <f t="shared" si="117"/>
        <v>12364.399690598895</v>
      </c>
      <c r="AF46" s="90">
        <f t="shared" si="118"/>
        <v>10704.067293969398</v>
      </c>
      <c r="AG46" s="90">
        <f t="shared" si="119"/>
        <v>9524.2958993894572</v>
      </c>
      <c r="AH46" s="90">
        <f t="shared" si="120"/>
        <v>10381.931891339054</v>
      </c>
      <c r="AI46" s="90">
        <f t="shared" si="121"/>
        <v>11464.095536541636</v>
      </c>
      <c r="AJ46" s="90">
        <f t="shared" si="122"/>
        <v>13245.371231068293</v>
      </c>
      <c r="AK46" s="90">
        <f t="shared" si="123"/>
        <v>14283.181146424611</v>
      </c>
      <c r="AL46" s="90">
        <f t="shared" si="124"/>
        <v>15861.607315017844</v>
      </c>
      <c r="AM46" s="90">
        <f t="shared" si="125"/>
        <v>17557.989812843567</v>
      </c>
      <c r="AN46" s="91">
        <f t="shared" si="128"/>
        <v>160413.3736665294</v>
      </c>
    </row>
    <row r="47" spans="1:42" ht="13.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92">
        <f>SUM(O39:O46)</f>
        <v>439552466.36545432</v>
      </c>
      <c r="P47" s="92">
        <f t="shared" ref="P47:Z47" si="129">SUM(P39:P46)</f>
        <v>398668492.38175529</v>
      </c>
      <c r="Q47" s="92">
        <f t="shared" si="129"/>
        <v>410424277.18638933</v>
      </c>
      <c r="R47" s="92">
        <f t="shared" si="129"/>
        <v>378117332.06229901</v>
      </c>
      <c r="S47" s="92">
        <f t="shared" si="129"/>
        <v>378788740.36061221</v>
      </c>
      <c r="T47" s="92">
        <f t="shared" si="129"/>
        <v>412242221.44419938</v>
      </c>
      <c r="U47" s="92">
        <f t="shared" si="129"/>
        <v>467704246.11565262</v>
      </c>
      <c r="V47" s="92">
        <f t="shared" si="129"/>
        <v>448783389.11808604</v>
      </c>
      <c r="W47" s="92">
        <f t="shared" si="129"/>
        <v>392214178.32721114</v>
      </c>
      <c r="X47" s="92">
        <f t="shared" si="129"/>
        <v>378849904.26253152</v>
      </c>
      <c r="Y47" s="92">
        <f t="shared" si="129"/>
        <v>401187969.72477341</v>
      </c>
      <c r="Z47" s="92">
        <f t="shared" si="129"/>
        <v>424471696.15680742</v>
      </c>
      <c r="AA47" s="8"/>
      <c r="AB47" s="91">
        <f>SUM(AB39:AB46)</f>
        <v>1714254.6188252722</v>
      </c>
      <c r="AC47" s="91">
        <f t="shared" ref="AC47" si="130">SUM(AC39:AC46)</f>
        <v>1554807.1202888454</v>
      </c>
      <c r="AD47" s="91">
        <f t="shared" ref="AD47" si="131">SUM(AD39:AD46)</f>
        <v>1600654.6810269183</v>
      </c>
      <c r="AE47" s="91">
        <f t="shared" ref="AE47" si="132">SUM(AE39:AE46)</f>
        <v>1474657.5950429665</v>
      </c>
      <c r="AF47" s="91">
        <f t="shared" ref="AF47" si="133">SUM(AF39:AF46)</f>
        <v>1477276.0874063883</v>
      </c>
      <c r="AG47" s="91">
        <f t="shared" ref="AG47" si="134">SUM(AG39:AG46)</f>
        <v>1607744.6636323775</v>
      </c>
      <c r="AH47" s="91">
        <f t="shared" ref="AH47" si="135">SUM(AH39:AH46)</f>
        <v>1824046.5598510453</v>
      </c>
      <c r="AI47" s="91">
        <f t="shared" ref="AI47" si="136">SUM(AI39:AI46)</f>
        <v>1750255.2175605358</v>
      </c>
      <c r="AJ47" s="91">
        <f t="shared" ref="AJ47" si="137">SUM(AJ39:AJ46)</f>
        <v>1529635.2954761237</v>
      </c>
      <c r="AK47" s="91">
        <f t="shared" ref="AK47" si="138">SUM(AK39:AK46)</f>
        <v>1477514.6266238729</v>
      </c>
      <c r="AL47" s="91">
        <f t="shared" ref="AL47" si="139">SUM(AL39:AL46)</f>
        <v>1564633.0819266166</v>
      </c>
      <c r="AM47" s="91">
        <f t="shared" ref="AM47" si="140">SUM(AM39:AM46)</f>
        <v>1655439.6150115489</v>
      </c>
      <c r="AN47" s="91">
        <f t="shared" ref="AN47" si="141">SUM(AN39:AN46)</f>
        <v>19230919.162672505</v>
      </c>
      <c r="AP47" s="111"/>
    </row>
    <row r="48" spans="1:42" ht="13.9" x14ac:dyDescent="0.25">
      <c r="A48" s="6"/>
      <c r="B48" s="208" t="s">
        <v>20</v>
      </c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7"/>
      <c r="O48" s="208" t="s">
        <v>24</v>
      </c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7"/>
      <c r="AB48" s="208" t="s">
        <v>31</v>
      </c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6"/>
    </row>
    <row r="49" spans="1:40" ht="13.9" x14ac:dyDescent="0.25">
      <c r="A49" s="6" t="s">
        <v>28</v>
      </c>
      <c r="B49" s="6" t="s">
        <v>6</v>
      </c>
      <c r="C49" s="6" t="s">
        <v>7</v>
      </c>
      <c r="D49" s="6" t="s">
        <v>8</v>
      </c>
      <c r="E49" s="6" t="s">
        <v>9</v>
      </c>
      <c r="F49" s="6" t="s">
        <v>10</v>
      </c>
      <c r="G49" s="6" t="s">
        <v>11</v>
      </c>
      <c r="H49" s="6" t="s">
        <v>12</v>
      </c>
      <c r="I49" s="6" t="s">
        <v>13</v>
      </c>
      <c r="J49" s="6" t="s">
        <v>14</v>
      </c>
      <c r="K49" s="6" t="s">
        <v>15</v>
      </c>
      <c r="L49" s="6" t="s">
        <v>16</v>
      </c>
      <c r="M49" s="6" t="s">
        <v>17</v>
      </c>
      <c r="N49" s="7"/>
      <c r="O49" s="6" t="s">
        <v>6</v>
      </c>
      <c r="P49" s="6" t="s">
        <v>7</v>
      </c>
      <c r="Q49" s="6" t="s">
        <v>8</v>
      </c>
      <c r="R49" s="6" t="s">
        <v>9</v>
      </c>
      <c r="S49" s="6" t="s">
        <v>10</v>
      </c>
      <c r="T49" s="6" t="s">
        <v>11</v>
      </c>
      <c r="U49" s="6" t="s">
        <v>12</v>
      </c>
      <c r="V49" s="6" t="s">
        <v>13</v>
      </c>
      <c r="W49" s="6" t="s">
        <v>14</v>
      </c>
      <c r="X49" s="6" t="s">
        <v>15</v>
      </c>
      <c r="Y49" s="6" t="s">
        <v>16</v>
      </c>
      <c r="Z49" s="6" t="s">
        <v>17</v>
      </c>
      <c r="AA49" s="7"/>
      <c r="AB49" s="6" t="s">
        <v>6</v>
      </c>
      <c r="AC49" s="6" t="s">
        <v>7</v>
      </c>
      <c r="AD49" s="6" t="s">
        <v>8</v>
      </c>
      <c r="AE49" s="6" t="s">
        <v>9</v>
      </c>
      <c r="AF49" s="6" t="s">
        <v>10</v>
      </c>
      <c r="AG49" s="6" t="s">
        <v>11</v>
      </c>
      <c r="AH49" s="6" t="s">
        <v>12</v>
      </c>
      <c r="AI49" s="6" t="s">
        <v>13</v>
      </c>
      <c r="AJ49" s="6" t="s">
        <v>14</v>
      </c>
      <c r="AK49" s="6" t="s">
        <v>15</v>
      </c>
      <c r="AL49" s="6" t="s">
        <v>16</v>
      </c>
      <c r="AM49" s="6" t="s">
        <v>17</v>
      </c>
      <c r="AN49" s="6" t="s">
        <v>19</v>
      </c>
    </row>
    <row r="50" spans="1:40" ht="13.9" x14ac:dyDescent="0.25">
      <c r="A50" s="5" t="s">
        <v>0</v>
      </c>
      <c r="B50" s="9">
        <v>7.4000000000000003E-3</v>
      </c>
      <c r="C50" s="10">
        <v>7.4000000000000003E-3</v>
      </c>
      <c r="D50" s="10">
        <v>7.4000000000000003E-3</v>
      </c>
      <c r="E50" s="10">
        <v>7.4000000000000003E-3</v>
      </c>
      <c r="F50" s="10">
        <v>7.4000000000000003E-3</v>
      </c>
      <c r="G50" s="10">
        <v>7.4000000000000003E-3</v>
      </c>
      <c r="H50" s="10">
        <v>7.4000000000000003E-3</v>
      </c>
      <c r="I50" s="10">
        <v>7.4000000000000003E-3</v>
      </c>
      <c r="J50" s="10">
        <v>7.4000000000000003E-3</v>
      </c>
      <c r="K50" s="10">
        <v>7.4000000000000003E-3</v>
      </c>
      <c r="L50" s="10">
        <v>7.4000000000000003E-3</v>
      </c>
      <c r="M50" s="10">
        <v>7.4000000000000003E-3</v>
      </c>
      <c r="N50" s="8"/>
      <c r="O50" s="87">
        <f>+'2018 Load Forecast Output'!C5</f>
        <v>150602978.92448547</v>
      </c>
      <c r="P50" s="87">
        <f>+'2018 Load Forecast Output'!D5</f>
        <v>134773300.22025317</v>
      </c>
      <c r="Q50" s="87">
        <f>+'2018 Load Forecast Output'!E5</f>
        <v>136732759.11439541</v>
      </c>
      <c r="R50" s="87">
        <f>+'2018 Load Forecast Output'!F5</f>
        <v>123386189.63605291</v>
      </c>
      <c r="S50" s="87">
        <f>+'2018 Load Forecast Output'!G5</f>
        <v>124112861.32981735</v>
      </c>
      <c r="T50" s="87">
        <f>+'2018 Load Forecast Output'!H5</f>
        <v>143702099.10545322</v>
      </c>
      <c r="U50" s="87">
        <f>+'2018 Load Forecast Output'!I5</f>
        <v>173243373.46881154</v>
      </c>
      <c r="V50" s="87">
        <f>+'2018 Load Forecast Output'!J5</f>
        <v>163991266.36971223</v>
      </c>
      <c r="W50" s="87">
        <f>+'2018 Load Forecast Output'!K5</f>
        <v>135517348.88363412</v>
      </c>
      <c r="X50" s="87">
        <f>+'2018 Load Forecast Output'!L5</f>
        <v>134467533.18092129</v>
      </c>
      <c r="Y50" s="87">
        <f>+'2018 Load Forecast Output'!M5</f>
        <v>138872652.91035512</v>
      </c>
      <c r="Z50" s="87">
        <f>+'2018 Load Forecast Output'!N5</f>
        <v>149669223.93554631</v>
      </c>
      <c r="AA50" s="8"/>
      <c r="AB50" s="90">
        <f>+B50*O50</f>
        <v>1114462.0440411926</v>
      </c>
      <c r="AC50" s="90">
        <f t="shared" ref="AC50:AC57" si="142">+C50*P50</f>
        <v>997322.42162987345</v>
      </c>
      <c r="AD50" s="90">
        <f t="shared" ref="AD50:AD57" si="143">+D50*Q50</f>
        <v>1011822.4174465261</v>
      </c>
      <c r="AE50" s="90">
        <f t="shared" ref="AE50:AE57" si="144">+E50*R50</f>
        <v>913057.80330679158</v>
      </c>
      <c r="AF50" s="90">
        <f t="shared" ref="AF50:AF57" si="145">+F50*S50</f>
        <v>918435.17384064849</v>
      </c>
      <c r="AG50" s="90">
        <f t="shared" ref="AG50:AG57" si="146">+G50*T50</f>
        <v>1063395.5333803538</v>
      </c>
      <c r="AH50" s="90">
        <f t="shared" ref="AH50:AH57" si="147">+H50*U50</f>
        <v>1282000.9636692056</v>
      </c>
      <c r="AI50" s="90">
        <f t="shared" ref="AI50:AI57" si="148">+I50*V50</f>
        <v>1213535.3711358707</v>
      </c>
      <c r="AJ50" s="90">
        <f t="shared" ref="AJ50:AJ57" si="149">+J50*W50</f>
        <v>1002828.3817388925</v>
      </c>
      <c r="AK50" s="90">
        <f t="shared" ref="AK50:AK57" si="150">+K50*X50</f>
        <v>995059.7455388176</v>
      </c>
      <c r="AL50" s="90">
        <f t="shared" ref="AL50:AL57" si="151">+L50*Y50</f>
        <v>1027657.6315366279</v>
      </c>
      <c r="AM50" s="90">
        <f t="shared" ref="AM50:AM57" si="152">+M50*Z50</f>
        <v>1107552.2571230428</v>
      </c>
      <c r="AN50" s="91">
        <f>SUM(AB50:AM50)</f>
        <v>12647129.744387843</v>
      </c>
    </row>
    <row r="51" spans="1:40" ht="13.9" x14ac:dyDescent="0.25">
      <c r="A51" s="5" t="s">
        <v>1</v>
      </c>
      <c r="B51" s="9">
        <v>6.4999999999999997E-3</v>
      </c>
      <c r="C51" s="10">
        <v>6.4999999999999997E-3</v>
      </c>
      <c r="D51" s="10">
        <v>6.4999999999999997E-3</v>
      </c>
      <c r="E51" s="10">
        <v>6.4999999999999997E-3</v>
      </c>
      <c r="F51" s="10">
        <v>6.4999999999999997E-3</v>
      </c>
      <c r="G51" s="10">
        <v>6.4999999999999997E-3</v>
      </c>
      <c r="H51" s="10">
        <v>6.4999999999999997E-3</v>
      </c>
      <c r="I51" s="10">
        <v>6.4999999999999997E-3</v>
      </c>
      <c r="J51" s="10">
        <v>6.4999999999999997E-3</v>
      </c>
      <c r="K51" s="10">
        <v>6.4999999999999997E-3</v>
      </c>
      <c r="L51" s="10">
        <v>6.4999999999999997E-3</v>
      </c>
      <c r="M51" s="10">
        <v>6.4999999999999997E-3</v>
      </c>
      <c r="N51" s="8"/>
      <c r="O51" s="87">
        <f>+'2018 Load Forecast Output'!C8</f>
        <v>55481260.841976926</v>
      </c>
      <c r="P51" s="87">
        <f>+'2018 Load Forecast Output'!D8</f>
        <v>49310463.195664629</v>
      </c>
      <c r="Q51" s="87">
        <f>+'2018 Load Forecast Output'!E8</f>
        <v>52077380.07820525</v>
      </c>
      <c r="R51" s="87">
        <f>+'2018 Load Forecast Output'!F8</f>
        <v>46193851.262974173</v>
      </c>
      <c r="S51" s="87">
        <f>+'2018 Load Forecast Output'!G8</f>
        <v>48541576.001201063</v>
      </c>
      <c r="T51" s="87">
        <f>+'2018 Load Forecast Output'!H8</f>
        <v>54232580.268272266</v>
      </c>
      <c r="U51" s="87">
        <f>+'2018 Load Forecast Output'!I8</f>
        <v>60899072.507782161</v>
      </c>
      <c r="V51" s="87">
        <f>+'2018 Load Forecast Output'!J8</f>
        <v>53944276.004869707</v>
      </c>
      <c r="W51" s="87">
        <f>+'2018 Load Forecast Output'!K8</f>
        <v>49465647.378983557</v>
      </c>
      <c r="X51" s="87">
        <f>+'2018 Load Forecast Output'!L8</f>
        <v>40939657.871567644</v>
      </c>
      <c r="Y51" s="87">
        <f>+'2018 Load Forecast Output'!M8</f>
        <v>50504771.020826399</v>
      </c>
      <c r="Z51" s="87">
        <f>+'2018 Load Forecast Output'!N8</f>
        <v>54136238.154719345</v>
      </c>
      <c r="AA51" s="8"/>
      <c r="AB51" s="90">
        <f t="shared" ref="AB51:AB57" si="153">+B51*O51</f>
        <v>360628.19547285</v>
      </c>
      <c r="AC51" s="90">
        <f t="shared" si="142"/>
        <v>320518.01077182009</v>
      </c>
      <c r="AD51" s="90">
        <f t="shared" si="143"/>
        <v>338502.97050833411</v>
      </c>
      <c r="AE51" s="90">
        <f t="shared" si="144"/>
        <v>300260.03320933209</v>
      </c>
      <c r="AF51" s="90">
        <f t="shared" si="145"/>
        <v>315520.24400780688</v>
      </c>
      <c r="AG51" s="90">
        <f t="shared" si="146"/>
        <v>352511.7717437697</v>
      </c>
      <c r="AH51" s="90">
        <f t="shared" si="147"/>
        <v>395843.97130058403</v>
      </c>
      <c r="AI51" s="90">
        <f t="shared" si="148"/>
        <v>350637.79403165309</v>
      </c>
      <c r="AJ51" s="90">
        <f t="shared" si="149"/>
        <v>321526.70796339313</v>
      </c>
      <c r="AK51" s="90">
        <f t="shared" si="150"/>
        <v>266107.77616518969</v>
      </c>
      <c r="AL51" s="90">
        <f t="shared" si="151"/>
        <v>328281.0116353716</v>
      </c>
      <c r="AM51" s="90">
        <f t="shared" si="152"/>
        <v>351885.54800567572</v>
      </c>
      <c r="AN51" s="91">
        <f t="shared" ref="AN51:AN57" si="154">SUM(AB51:AM51)</f>
        <v>4002224.0348157799</v>
      </c>
    </row>
    <row r="52" spans="1:40" ht="13.9" x14ac:dyDescent="0.25">
      <c r="A52" s="5" t="s">
        <v>2</v>
      </c>
      <c r="B52" s="9">
        <v>2.5869</v>
      </c>
      <c r="C52" s="10">
        <v>2.5869</v>
      </c>
      <c r="D52" s="10">
        <v>2.5869</v>
      </c>
      <c r="E52" s="10">
        <v>2.5869</v>
      </c>
      <c r="F52" s="10">
        <v>2.5869</v>
      </c>
      <c r="G52" s="10">
        <v>2.5869</v>
      </c>
      <c r="H52" s="10">
        <v>2.5869</v>
      </c>
      <c r="I52" s="10">
        <v>2.5869</v>
      </c>
      <c r="J52" s="10">
        <v>2.5869</v>
      </c>
      <c r="K52" s="10">
        <v>2.5869</v>
      </c>
      <c r="L52" s="10">
        <v>2.5869</v>
      </c>
      <c r="M52" s="10">
        <v>2.5869</v>
      </c>
      <c r="N52" s="8"/>
      <c r="O52" s="87">
        <f>+'2018 Load Forecast Output'!C51</f>
        <v>390392.04396068002</v>
      </c>
      <c r="P52" s="87">
        <f>+'2018 Load Forecast Output'!D51</f>
        <v>408255.42620497401</v>
      </c>
      <c r="Q52" s="87">
        <f>+'2018 Load Forecast Output'!E51</f>
        <v>406893.21674387198</v>
      </c>
      <c r="R52" s="87">
        <f>+'2018 Load Forecast Output'!F51</f>
        <v>403219.63941027399</v>
      </c>
      <c r="S52" s="87">
        <f>+'2018 Load Forecast Output'!G51</f>
        <v>407189.19050985097</v>
      </c>
      <c r="T52" s="87">
        <f>+'2018 Load Forecast Output'!H51</f>
        <v>477841.12726136198</v>
      </c>
      <c r="U52" s="87">
        <f>+'2018 Load Forecast Output'!I51</f>
        <v>473987.26243184</v>
      </c>
      <c r="V52" s="87">
        <f>+'2018 Load Forecast Output'!J51</f>
        <v>435165.86438498797</v>
      </c>
      <c r="W52" s="87">
        <f>+'2018 Load Forecast Output'!K51</f>
        <v>424010.30380349699</v>
      </c>
      <c r="X52" s="87">
        <f>+'2018 Load Forecast Output'!L51</f>
        <v>429966.88196202501</v>
      </c>
      <c r="Y52" s="87">
        <f>+'2018 Load Forecast Output'!M51</f>
        <v>404723.44192085299</v>
      </c>
      <c r="Z52" s="87">
        <f>+'2018 Load Forecast Output'!N51</f>
        <v>418115.65658017498</v>
      </c>
      <c r="AA52" s="8"/>
      <c r="AB52" s="90">
        <f t="shared" si="153"/>
        <v>1009905.1785218831</v>
      </c>
      <c r="AC52" s="90">
        <f t="shared" si="142"/>
        <v>1056115.9620496472</v>
      </c>
      <c r="AD52" s="90">
        <f t="shared" si="143"/>
        <v>1052592.0623947224</v>
      </c>
      <c r="AE52" s="90">
        <f t="shared" si="144"/>
        <v>1043088.8851904378</v>
      </c>
      <c r="AF52" s="90">
        <f t="shared" si="145"/>
        <v>1053357.7169299335</v>
      </c>
      <c r="AG52" s="90">
        <f t="shared" si="146"/>
        <v>1236127.2121124172</v>
      </c>
      <c r="AH52" s="90">
        <f t="shared" si="147"/>
        <v>1226157.6491849269</v>
      </c>
      <c r="AI52" s="90">
        <f t="shared" si="148"/>
        <v>1125730.5745775255</v>
      </c>
      <c r="AJ52" s="90">
        <f t="shared" si="149"/>
        <v>1096872.2549092663</v>
      </c>
      <c r="AK52" s="90">
        <f t="shared" si="150"/>
        <v>1112281.3269475624</v>
      </c>
      <c r="AL52" s="90">
        <f t="shared" si="151"/>
        <v>1046979.0719050546</v>
      </c>
      <c r="AM52" s="90">
        <f t="shared" si="152"/>
        <v>1081623.3920072548</v>
      </c>
      <c r="AN52" s="91">
        <f t="shared" si="154"/>
        <v>13140831.28673063</v>
      </c>
    </row>
    <row r="53" spans="1:40" ht="13.9" x14ac:dyDescent="0.25">
      <c r="A53" s="5" t="s">
        <v>22</v>
      </c>
      <c r="B53" s="9">
        <v>2.9550999999999998</v>
      </c>
      <c r="C53" s="10">
        <v>2.9550999999999998</v>
      </c>
      <c r="D53" s="10">
        <v>2.9550999999999998</v>
      </c>
      <c r="E53" s="10">
        <v>2.9550999999999998</v>
      </c>
      <c r="F53" s="10">
        <v>2.9550999999999998</v>
      </c>
      <c r="G53" s="10">
        <v>2.9550999999999998</v>
      </c>
      <c r="H53" s="10">
        <v>2.9550999999999998</v>
      </c>
      <c r="I53" s="10">
        <v>2.9550999999999998</v>
      </c>
      <c r="J53" s="10">
        <v>2.9550999999999998</v>
      </c>
      <c r="K53" s="10">
        <v>2.9550999999999998</v>
      </c>
      <c r="L53" s="10">
        <v>2.9550999999999998</v>
      </c>
      <c r="M53" s="10">
        <v>2.9550999999999998</v>
      </c>
      <c r="N53" s="8"/>
      <c r="O53" s="87">
        <f>+'2018 Load Forecast Output'!C52</f>
        <v>47812.002904124463</v>
      </c>
      <c r="P53" s="87">
        <f>+'2018 Load Forecast Output'!D52</f>
        <v>46765.35290188135</v>
      </c>
      <c r="Q53" s="87">
        <f>+'2018 Load Forecast Output'!E52</f>
        <v>46408.840845735809</v>
      </c>
      <c r="R53" s="87">
        <f>+'2018 Load Forecast Output'!F52</f>
        <v>47999.492629581073</v>
      </c>
      <c r="S53" s="87">
        <f>+'2018 Load Forecast Output'!G52</f>
        <v>47600.787143247886</v>
      </c>
      <c r="T53" s="87">
        <f>+'2018 Load Forecast Output'!H52</f>
        <v>46276.261489269418</v>
      </c>
      <c r="U53" s="87">
        <f>+'2018 Load Forecast Output'!I52</f>
        <v>45631.163016697115</v>
      </c>
      <c r="V53" s="87">
        <f>+'2018 Load Forecast Output'!J52</f>
        <v>46811.919705158252</v>
      </c>
      <c r="W53" s="87">
        <f>+'2018 Load Forecast Output'!K52</f>
        <v>47046.119995290908</v>
      </c>
      <c r="X53" s="87">
        <f>+'2018 Load Forecast Output'!L52</f>
        <v>45777.006253830419</v>
      </c>
      <c r="Y53" s="87">
        <f>+'2018 Load Forecast Output'!M52</f>
        <v>44797.435536602934</v>
      </c>
      <c r="Z53" s="87">
        <f>+'2018 Load Forecast Output'!N52</f>
        <v>46553.035690886652</v>
      </c>
      <c r="AA53" s="8"/>
      <c r="AB53" s="90">
        <f t="shared" si="153"/>
        <v>141289.2497819782</v>
      </c>
      <c r="AC53" s="90">
        <f t="shared" si="142"/>
        <v>138196.29436034957</v>
      </c>
      <c r="AD53" s="90">
        <f t="shared" si="143"/>
        <v>137142.76558323388</v>
      </c>
      <c r="AE53" s="90">
        <f t="shared" si="144"/>
        <v>141843.30066967502</v>
      </c>
      <c r="AF53" s="90">
        <f t="shared" si="145"/>
        <v>140665.08608701182</v>
      </c>
      <c r="AG53" s="90">
        <f t="shared" si="146"/>
        <v>136750.98032694004</v>
      </c>
      <c r="AH53" s="90">
        <f t="shared" si="147"/>
        <v>134844.64983064163</v>
      </c>
      <c r="AI53" s="90">
        <f t="shared" si="148"/>
        <v>138333.90392071314</v>
      </c>
      <c r="AJ53" s="90">
        <f t="shared" si="149"/>
        <v>139025.98919808416</v>
      </c>
      <c r="AK53" s="90">
        <f t="shared" si="150"/>
        <v>135275.63118069427</v>
      </c>
      <c r="AL53" s="90">
        <f t="shared" si="151"/>
        <v>132380.90175421533</v>
      </c>
      <c r="AM53" s="90">
        <f t="shared" si="152"/>
        <v>137568.87577013913</v>
      </c>
      <c r="AN53" s="91">
        <f t="shared" si="154"/>
        <v>1653317.6284636762</v>
      </c>
    </row>
    <row r="54" spans="1:40" ht="13.9" x14ac:dyDescent="0.25">
      <c r="A54" s="5" t="s">
        <v>23</v>
      </c>
      <c r="B54" s="9">
        <v>2.9550999999999998</v>
      </c>
      <c r="C54" s="10">
        <v>2.9550999999999998</v>
      </c>
      <c r="D54" s="10">
        <v>2.9550999999999998</v>
      </c>
      <c r="E54" s="10">
        <v>2.9550999999999998</v>
      </c>
      <c r="F54" s="10">
        <v>2.9550999999999998</v>
      </c>
      <c r="G54" s="10">
        <v>2.9550999999999998</v>
      </c>
      <c r="H54" s="10">
        <v>2.9550999999999998</v>
      </c>
      <c r="I54" s="10">
        <v>2.9550999999999998</v>
      </c>
      <c r="J54" s="10">
        <v>2.9550999999999998</v>
      </c>
      <c r="K54" s="10">
        <v>2.9550999999999998</v>
      </c>
      <c r="L54" s="10">
        <v>2.9550999999999998</v>
      </c>
      <c r="M54" s="10">
        <v>2.9550999999999998</v>
      </c>
      <c r="N54" s="8"/>
      <c r="O54" s="87">
        <f>+'2018 Load Forecast Output'!C53</f>
        <v>179372.18941377112</v>
      </c>
      <c r="P54" s="87">
        <f>+'2018 Load Forecast Output'!D53</f>
        <v>180394.39781633695</v>
      </c>
      <c r="Q54" s="87">
        <f>+'2018 Load Forecast Output'!E53</f>
        <v>175659.41616719641</v>
      </c>
      <c r="R54" s="87">
        <f>+'2018 Load Forecast Output'!F53</f>
        <v>172787.35525907052</v>
      </c>
      <c r="S54" s="87">
        <f>+'2018 Load Forecast Output'!G53</f>
        <v>164026.71935138878</v>
      </c>
      <c r="T54" s="87">
        <f>+'2018 Load Forecast Output'!H53</f>
        <v>183587.11149928454</v>
      </c>
      <c r="U54" s="87">
        <f>+'2018 Load Forecast Output'!I53</f>
        <v>178193.45403219995</v>
      </c>
      <c r="V54" s="87">
        <f>+'2018 Load Forecast Output'!J53</f>
        <v>172265.01496948738</v>
      </c>
      <c r="W54" s="87">
        <f>+'2018 Load Forecast Output'!K53</f>
        <v>176625.24415939752</v>
      </c>
      <c r="X54" s="87">
        <f>+'2018 Load Forecast Output'!L53</f>
        <v>170559.23732776009</v>
      </c>
      <c r="Y54" s="87">
        <f>+'2018 Load Forecast Output'!M53</f>
        <v>169676.4126275818</v>
      </c>
      <c r="Z54" s="87">
        <f>+'2018 Load Forecast Output'!N53</f>
        <v>176130.32662692619</v>
      </c>
      <c r="AA54" s="8"/>
      <c r="AB54" s="90">
        <f t="shared" si="153"/>
        <v>530062.75693663501</v>
      </c>
      <c r="AC54" s="90">
        <f t="shared" si="142"/>
        <v>533083.48498705728</v>
      </c>
      <c r="AD54" s="90">
        <f t="shared" si="143"/>
        <v>519091.14071568206</v>
      </c>
      <c r="AE54" s="90">
        <f t="shared" si="144"/>
        <v>510603.91352607927</v>
      </c>
      <c r="AF54" s="90">
        <f t="shared" si="145"/>
        <v>484715.35835528892</v>
      </c>
      <c r="AG54" s="90">
        <f t="shared" si="146"/>
        <v>542518.27319153573</v>
      </c>
      <c r="AH54" s="90">
        <f t="shared" si="147"/>
        <v>526579.476010554</v>
      </c>
      <c r="AI54" s="90">
        <f t="shared" si="148"/>
        <v>509060.34573633212</v>
      </c>
      <c r="AJ54" s="90">
        <f t="shared" si="149"/>
        <v>521945.25901543559</v>
      </c>
      <c r="AK54" s="90">
        <f t="shared" si="150"/>
        <v>504019.60222726379</v>
      </c>
      <c r="AL54" s="90">
        <f t="shared" si="151"/>
        <v>501410.76695576694</v>
      </c>
      <c r="AM54" s="90">
        <f t="shared" si="152"/>
        <v>520482.72821522958</v>
      </c>
      <c r="AN54" s="91">
        <f t="shared" si="154"/>
        <v>6203573.1058728602</v>
      </c>
    </row>
    <row r="55" spans="1:40" ht="13.9" x14ac:dyDescent="0.25">
      <c r="A55" s="5" t="s">
        <v>3</v>
      </c>
      <c r="B55" s="9">
        <v>6.6E-3</v>
      </c>
      <c r="C55" s="10">
        <v>6.6E-3</v>
      </c>
      <c r="D55" s="10">
        <v>6.6E-3</v>
      </c>
      <c r="E55" s="10">
        <v>6.6E-3</v>
      </c>
      <c r="F55" s="10">
        <v>6.6E-3</v>
      </c>
      <c r="G55" s="10">
        <v>6.6E-3</v>
      </c>
      <c r="H55" s="10">
        <v>6.6E-3</v>
      </c>
      <c r="I55" s="10">
        <v>6.6E-3</v>
      </c>
      <c r="J55" s="10">
        <v>6.6E-3</v>
      </c>
      <c r="K55" s="10">
        <v>6.6E-3</v>
      </c>
      <c r="L55" s="10">
        <v>6.6E-3</v>
      </c>
      <c r="M55" s="10">
        <v>6.6E-3</v>
      </c>
      <c r="N55" s="8"/>
      <c r="O55" s="87">
        <f>+'2018 Load Forecast Output'!C14</f>
        <v>932967.07164721063</v>
      </c>
      <c r="P55" s="87">
        <f>+'2018 Load Forecast Output'!D14</f>
        <v>882806.74851387786</v>
      </c>
      <c r="Q55" s="87">
        <f>+'2018 Load Forecast Output'!E14</f>
        <v>886943.64493053907</v>
      </c>
      <c r="R55" s="87">
        <f>+'2018 Load Forecast Output'!F14</f>
        <v>855043.26948054112</v>
      </c>
      <c r="S55" s="87">
        <f>+'2018 Load Forecast Output'!G14</f>
        <v>853157.84073227551</v>
      </c>
      <c r="T55" s="87">
        <f>+'2018 Load Forecast Output'!H14</f>
        <v>1065094.6823638706</v>
      </c>
      <c r="U55" s="87">
        <f>+'2018 Load Forecast Output'!I14</f>
        <v>1141435.687030534</v>
      </c>
      <c r="V55" s="87">
        <f>+'2018 Load Forecast Output'!J14</f>
        <v>908807.18141386961</v>
      </c>
      <c r="W55" s="87">
        <f>+'2018 Load Forecast Output'!K14</f>
        <v>717166.38469720015</v>
      </c>
      <c r="X55" s="87">
        <f>+'2018 Load Forecast Output'!L14</f>
        <v>792013.50529720425</v>
      </c>
      <c r="Y55" s="87">
        <f>+'2018 Load Forecast Output'!M14</f>
        <v>995496.56803053594</v>
      </c>
      <c r="Z55" s="87">
        <f>+'2018 Load Forecast Output'!N14</f>
        <v>1103317.5986472073</v>
      </c>
      <c r="AA55" s="8"/>
      <c r="AB55" s="90">
        <f t="shared" si="153"/>
        <v>6157.5826728715901</v>
      </c>
      <c r="AC55" s="90">
        <f t="shared" si="142"/>
        <v>5826.5245401915936</v>
      </c>
      <c r="AD55" s="90">
        <f t="shared" si="143"/>
        <v>5853.828056541558</v>
      </c>
      <c r="AE55" s="90">
        <f t="shared" si="144"/>
        <v>5643.285578571571</v>
      </c>
      <c r="AF55" s="90">
        <f t="shared" si="145"/>
        <v>5630.8417488330188</v>
      </c>
      <c r="AG55" s="90">
        <f t="shared" si="146"/>
        <v>7029.6249036015461</v>
      </c>
      <c r="AH55" s="90">
        <f t="shared" si="147"/>
        <v>7533.4755344015248</v>
      </c>
      <c r="AI55" s="90">
        <f t="shared" si="148"/>
        <v>5998.1273973315392</v>
      </c>
      <c r="AJ55" s="90">
        <f t="shared" si="149"/>
        <v>4733.2981390015211</v>
      </c>
      <c r="AK55" s="90">
        <f t="shared" si="150"/>
        <v>5227.2891349615484</v>
      </c>
      <c r="AL55" s="90">
        <f t="shared" si="151"/>
        <v>6570.277349001537</v>
      </c>
      <c r="AM55" s="90">
        <f t="shared" si="152"/>
        <v>7281.8961510715681</v>
      </c>
      <c r="AN55" s="91">
        <f t="shared" si="154"/>
        <v>73486.051206380114</v>
      </c>
    </row>
    <row r="56" spans="1:40" ht="13.9" x14ac:dyDescent="0.25">
      <c r="A56" s="5" t="s">
        <v>4</v>
      </c>
      <c r="B56" s="9">
        <v>2.1496</v>
      </c>
      <c r="C56" s="10">
        <v>2.1496</v>
      </c>
      <c r="D56" s="10">
        <v>2.1496</v>
      </c>
      <c r="E56" s="10">
        <v>2.1496</v>
      </c>
      <c r="F56" s="10">
        <v>2.1496</v>
      </c>
      <c r="G56" s="10">
        <v>2.1496</v>
      </c>
      <c r="H56" s="10">
        <v>2.1496</v>
      </c>
      <c r="I56" s="10">
        <v>2.1496</v>
      </c>
      <c r="J56" s="10">
        <v>2.1496</v>
      </c>
      <c r="K56" s="10">
        <v>2.1496</v>
      </c>
      <c r="L56" s="10">
        <v>2.1496</v>
      </c>
      <c r="M56" s="10">
        <v>2.1496</v>
      </c>
      <c r="N56" s="8"/>
      <c r="O56" s="87">
        <f>+'2018 Load Forecast Output'!C54</f>
        <v>119.642445599876</v>
      </c>
      <c r="P56" s="87">
        <f>+'2018 Load Forecast Output'!D54</f>
        <v>67.439608277693694</v>
      </c>
      <c r="Q56" s="87">
        <f>+'2018 Load Forecast Output'!E54</f>
        <v>92.157068112057601</v>
      </c>
      <c r="R56" s="87">
        <f>+'2018 Load Forecast Output'!F54</f>
        <v>63.416615726086</v>
      </c>
      <c r="S56" s="87">
        <f>+'2018 Load Forecast Output'!G54</f>
        <v>103.244240994176</v>
      </c>
      <c r="T56" s="87">
        <f>+'2018 Load Forecast Output'!H54</f>
        <v>89.9243204179283</v>
      </c>
      <c r="U56" s="87">
        <f>+'2018 Load Forecast Output'!I54</f>
        <v>130.44055967890401</v>
      </c>
      <c r="V56" s="87">
        <f>+'2018 Load Forecast Output'!J54</f>
        <v>77.555171592626706</v>
      </c>
      <c r="W56" s="87">
        <f>+'2018 Load Forecast Output'!K54</f>
        <v>76.834838361252295</v>
      </c>
      <c r="X56" s="87">
        <f>+'2018 Load Forecast Output'!L54</f>
        <v>76.283745421008007</v>
      </c>
      <c r="Y56" s="87">
        <f>+'2018 Load Forecast Output'!M54</f>
        <v>92.828005029349896</v>
      </c>
      <c r="Z56" s="87">
        <f>+'2018 Load Forecast Output'!N54</f>
        <v>92.779019098443399</v>
      </c>
      <c r="AA56" s="8"/>
      <c r="AB56" s="90">
        <f t="shared" si="153"/>
        <v>257.18340106149344</v>
      </c>
      <c r="AC56" s="90">
        <f t="shared" si="142"/>
        <v>144.96818195373035</v>
      </c>
      <c r="AD56" s="90">
        <f t="shared" si="143"/>
        <v>198.10083361367901</v>
      </c>
      <c r="AE56" s="90">
        <f t="shared" si="144"/>
        <v>136.32035716479447</v>
      </c>
      <c r="AF56" s="90">
        <f t="shared" si="145"/>
        <v>221.93382044108071</v>
      </c>
      <c r="AG56" s="90">
        <f t="shared" si="146"/>
        <v>193.30131917037866</v>
      </c>
      <c r="AH56" s="90">
        <f t="shared" si="147"/>
        <v>280.39502708577203</v>
      </c>
      <c r="AI56" s="90">
        <f t="shared" si="148"/>
        <v>166.71259685551036</v>
      </c>
      <c r="AJ56" s="90">
        <f t="shared" si="149"/>
        <v>165.16416854134792</v>
      </c>
      <c r="AK56" s="90">
        <f t="shared" si="150"/>
        <v>163.97953915699881</v>
      </c>
      <c r="AL56" s="90">
        <f t="shared" si="151"/>
        <v>199.54307961109052</v>
      </c>
      <c r="AM56" s="90">
        <f t="shared" si="152"/>
        <v>199.43777945401393</v>
      </c>
      <c r="AN56" s="91">
        <f t="shared" si="154"/>
        <v>2327.0401041098903</v>
      </c>
    </row>
    <row r="57" spans="1:40" ht="13.9" x14ac:dyDescent="0.25">
      <c r="A57" s="5" t="s">
        <v>5</v>
      </c>
      <c r="B57" s="9">
        <v>2.0364</v>
      </c>
      <c r="C57" s="10">
        <v>2.0364</v>
      </c>
      <c r="D57" s="10">
        <v>2.0364</v>
      </c>
      <c r="E57" s="10">
        <v>2.0364</v>
      </c>
      <c r="F57" s="10">
        <v>2.0364</v>
      </c>
      <c r="G57" s="10">
        <v>2.0364</v>
      </c>
      <c r="H57" s="10">
        <v>2.0364</v>
      </c>
      <c r="I57" s="10">
        <v>2.0364</v>
      </c>
      <c r="J57" s="10">
        <v>2.0364</v>
      </c>
      <c r="K57" s="10">
        <v>2.0364</v>
      </c>
      <c r="L57" s="10">
        <v>2.0364</v>
      </c>
      <c r="M57" s="10">
        <v>2.0364</v>
      </c>
      <c r="N57" s="8"/>
      <c r="O57" s="87">
        <f>+'2018 Load Forecast Output'!C55</f>
        <v>9154.8200132374604</v>
      </c>
      <c r="P57" s="87">
        <f>+'2018 Load Forecast Output'!D55</f>
        <v>9154.4139562752607</v>
      </c>
      <c r="Q57" s="87">
        <f>+'2018 Load Forecast Output'!E55</f>
        <v>9154.0078993130701</v>
      </c>
      <c r="R57" s="87">
        <f>+'2018 Load Forecast Output'!F55</f>
        <v>9153.6018423508795</v>
      </c>
      <c r="S57" s="87">
        <f>+'2018 Load Forecast Output'!G55</f>
        <v>9153.1957853886906</v>
      </c>
      <c r="T57" s="87">
        <f>+'2018 Load Forecast Output'!H55</f>
        <v>9152.7897284264891</v>
      </c>
      <c r="U57" s="87">
        <f>+'2018 Load Forecast Output'!I55</f>
        <v>9152.3836714643003</v>
      </c>
      <c r="V57" s="87">
        <f>+'2018 Load Forecast Output'!J55</f>
        <v>9151.9776145021096</v>
      </c>
      <c r="W57" s="87">
        <f>+'2018 Load Forecast Output'!K55</f>
        <v>9151.5715575399208</v>
      </c>
      <c r="X57" s="87">
        <f>+'2018 Load Forecast Output'!L55</f>
        <v>9151.1655005777193</v>
      </c>
      <c r="Y57" s="87">
        <f>+'2018 Load Forecast Output'!M55</f>
        <v>9150.7594436155305</v>
      </c>
      <c r="Z57" s="87">
        <f>+'2018 Load Forecast Output'!N55</f>
        <v>9150.3533866533398</v>
      </c>
      <c r="AA57" s="8"/>
      <c r="AB57" s="90">
        <f t="shared" si="153"/>
        <v>18642.875474956763</v>
      </c>
      <c r="AC57" s="90">
        <f t="shared" si="142"/>
        <v>18642.048580558941</v>
      </c>
      <c r="AD57" s="90">
        <f t="shared" si="143"/>
        <v>18641.221686161134</v>
      </c>
      <c r="AE57" s="90">
        <f t="shared" si="144"/>
        <v>18640.39479176333</v>
      </c>
      <c r="AF57" s="90">
        <f t="shared" si="145"/>
        <v>18639.56789736553</v>
      </c>
      <c r="AG57" s="90">
        <f t="shared" si="146"/>
        <v>18638.741002967701</v>
      </c>
      <c r="AH57" s="90">
        <f t="shared" si="147"/>
        <v>18637.914108569901</v>
      </c>
      <c r="AI57" s="90">
        <f t="shared" si="148"/>
        <v>18637.087214172097</v>
      </c>
      <c r="AJ57" s="90">
        <f t="shared" si="149"/>
        <v>18636.260319774294</v>
      </c>
      <c r="AK57" s="90">
        <f t="shared" si="150"/>
        <v>18635.433425376468</v>
      </c>
      <c r="AL57" s="90">
        <f t="shared" si="151"/>
        <v>18634.606530978665</v>
      </c>
      <c r="AM57" s="90">
        <f t="shared" si="152"/>
        <v>18633.779636580861</v>
      </c>
      <c r="AN57" s="91">
        <f t="shared" si="154"/>
        <v>223659.93066922569</v>
      </c>
    </row>
    <row r="58" spans="1:40" ht="13.9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8">
        <f>SUM(O50:O57)</f>
        <v>207644057.536847</v>
      </c>
      <c r="P58" s="88">
        <f t="shared" ref="P58:Z58" si="155">SUM(P50:P57)</f>
        <v>185611207.19491944</v>
      </c>
      <c r="Q58" s="88">
        <f t="shared" si="155"/>
        <v>190335290.47625545</v>
      </c>
      <c r="R58" s="88">
        <f t="shared" si="155"/>
        <v>171068307.67426461</v>
      </c>
      <c r="S58" s="88">
        <f t="shared" si="155"/>
        <v>174135668.30878159</v>
      </c>
      <c r="T58" s="88">
        <f t="shared" si="155"/>
        <v>199716721.27038813</v>
      </c>
      <c r="U58" s="88">
        <f t="shared" si="155"/>
        <v>235990976.36733612</v>
      </c>
      <c r="V58" s="88">
        <f t="shared" si="155"/>
        <v>219507821.88784149</v>
      </c>
      <c r="W58" s="88">
        <f t="shared" si="155"/>
        <v>186357072.72166899</v>
      </c>
      <c r="X58" s="88">
        <f t="shared" si="155"/>
        <v>176854735.13257575</v>
      </c>
      <c r="Y58" s="88">
        <f t="shared" si="155"/>
        <v>191001361.3767457</v>
      </c>
      <c r="Z58" s="88">
        <f t="shared" si="155"/>
        <v>205558821.84021658</v>
      </c>
      <c r="AA58" s="8"/>
      <c r="AB58" s="91">
        <f>SUM(AB50:AB57)</f>
        <v>3181405.0663034292</v>
      </c>
      <c r="AC58" s="91">
        <f t="shared" ref="AC58" si="156">SUM(AC50:AC57)</f>
        <v>3069849.7151014516</v>
      </c>
      <c r="AD58" s="91">
        <f t="shared" ref="AD58" si="157">SUM(AD50:AD57)</f>
        <v>3083844.507224815</v>
      </c>
      <c r="AE58" s="91">
        <f t="shared" ref="AE58" si="158">SUM(AE50:AE57)</f>
        <v>2933273.936629816</v>
      </c>
      <c r="AF58" s="91">
        <f t="shared" ref="AF58" si="159">SUM(AF50:AF57)</f>
        <v>2937185.9226873289</v>
      </c>
      <c r="AG58" s="91">
        <f t="shared" ref="AG58" si="160">SUM(AG50:AG57)</f>
        <v>3357165.4379807562</v>
      </c>
      <c r="AH58" s="91">
        <f t="shared" ref="AH58" si="161">SUM(AH50:AH57)</f>
        <v>3591878.4946659692</v>
      </c>
      <c r="AI58" s="91">
        <f t="shared" ref="AI58" si="162">SUM(AI50:AI57)</f>
        <v>3362099.9166104537</v>
      </c>
      <c r="AJ58" s="91">
        <f t="shared" ref="AJ58" si="163">SUM(AJ50:AJ57)</f>
        <v>3105733.3154523885</v>
      </c>
      <c r="AK58" s="91">
        <f t="shared" ref="AK58" si="164">SUM(AK50:AK57)</f>
        <v>3036770.7841590228</v>
      </c>
      <c r="AL58" s="91">
        <f t="shared" ref="AL58" si="165">SUM(AL50:AL57)</f>
        <v>3062113.8107466279</v>
      </c>
      <c r="AM58" s="91">
        <f t="shared" ref="AM58" si="166">SUM(AM50:AM57)</f>
        <v>3225227.9146884484</v>
      </c>
      <c r="AN58" s="91">
        <f t="shared" ref="AN58" si="167">SUM(AN50:AN57)</f>
        <v>37946548.822250515</v>
      </c>
    </row>
    <row r="59" spans="1:40" ht="13.9" x14ac:dyDescent="0.25">
      <c r="A59" s="6"/>
      <c r="B59" s="208" t="s">
        <v>20</v>
      </c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7"/>
      <c r="O59" s="208" t="s">
        <v>24</v>
      </c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  <c r="AA59" s="7"/>
      <c r="AB59" s="208" t="s">
        <v>31</v>
      </c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  <c r="AM59" s="208"/>
      <c r="AN59" s="6"/>
    </row>
    <row r="60" spans="1:40" ht="13.9" x14ac:dyDescent="0.25">
      <c r="A60" s="6" t="s">
        <v>29</v>
      </c>
      <c r="B60" s="6" t="s">
        <v>6</v>
      </c>
      <c r="C60" s="6" t="s">
        <v>7</v>
      </c>
      <c r="D60" s="6" t="s">
        <v>8</v>
      </c>
      <c r="E60" s="6" t="s">
        <v>9</v>
      </c>
      <c r="F60" s="6" t="s">
        <v>10</v>
      </c>
      <c r="G60" s="6" t="s">
        <v>11</v>
      </c>
      <c r="H60" s="6" t="s">
        <v>12</v>
      </c>
      <c r="I60" s="6" t="s">
        <v>13</v>
      </c>
      <c r="J60" s="6" t="s">
        <v>14</v>
      </c>
      <c r="K60" s="6" t="s">
        <v>15</v>
      </c>
      <c r="L60" s="6" t="s">
        <v>16</v>
      </c>
      <c r="M60" s="6" t="s">
        <v>17</v>
      </c>
      <c r="N60" s="7"/>
      <c r="O60" s="6" t="s">
        <v>6</v>
      </c>
      <c r="P60" s="6" t="s">
        <v>7</v>
      </c>
      <c r="Q60" s="6" t="s">
        <v>8</v>
      </c>
      <c r="R60" s="6" t="s">
        <v>9</v>
      </c>
      <c r="S60" s="6" t="s">
        <v>10</v>
      </c>
      <c r="T60" s="6" t="s">
        <v>11</v>
      </c>
      <c r="U60" s="6" t="s">
        <v>12</v>
      </c>
      <c r="V60" s="6" t="s">
        <v>13</v>
      </c>
      <c r="W60" s="6" t="s">
        <v>14</v>
      </c>
      <c r="X60" s="6" t="s">
        <v>15</v>
      </c>
      <c r="Y60" s="6" t="s">
        <v>16</v>
      </c>
      <c r="Z60" s="6" t="s">
        <v>17</v>
      </c>
      <c r="AA60" s="7"/>
      <c r="AB60" s="6" t="s">
        <v>6</v>
      </c>
      <c r="AC60" s="6" t="s">
        <v>7</v>
      </c>
      <c r="AD60" s="6" t="s">
        <v>8</v>
      </c>
      <c r="AE60" s="6" t="s">
        <v>9</v>
      </c>
      <c r="AF60" s="6" t="s">
        <v>10</v>
      </c>
      <c r="AG60" s="6" t="s">
        <v>11</v>
      </c>
      <c r="AH60" s="6" t="s">
        <v>12</v>
      </c>
      <c r="AI60" s="6" t="s">
        <v>13</v>
      </c>
      <c r="AJ60" s="6" t="s">
        <v>14</v>
      </c>
      <c r="AK60" s="6" t="s">
        <v>15</v>
      </c>
      <c r="AL60" s="6" t="s">
        <v>16</v>
      </c>
      <c r="AM60" s="6" t="s">
        <v>17</v>
      </c>
      <c r="AN60" s="6" t="s">
        <v>19</v>
      </c>
    </row>
    <row r="61" spans="1:40" ht="13.9" x14ac:dyDescent="0.25">
      <c r="A61" s="5" t="s">
        <v>0</v>
      </c>
      <c r="B61" s="9">
        <v>6.7999999999999996E-3</v>
      </c>
      <c r="C61" s="10">
        <v>6.7999999999999996E-3</v>
      </c>
      <c r="D61" s="10">
        <v>6.7999999999999996E-3</v>
      </c>
      <c r="E61" s="10">
        <v>6.7999999999999996E-3</v>
      </c>
      <c r="F61" s="10">
        <v>6.7999999999999996E-3</v>
      </c>
      <c r="G61" s="10">
        <v>6.7999999999999996E-3</v>
      </c>
      <c r="H61" s="10">
        <v>6.7999999999999996E-3</v>
      </c>
      <c r="I61" s="10">
        <v>6.7999999999999996E-3</v>
      </c>
      <c r="J61" s="10">
        <v>6.7999999999999996E-3</v>
      </c>
      <c r="K61" s="10">
        <v>6.7999999999999996E-3</v>
      </c>
      <c r="L61" s="10">
        <v>6.7999999999999996E-3</v>
      </c>
      <c r="M61" s="10">
        <v>6.7999999999999996E-3</v>
      </c>
      <c r="N61" s="8"/>
      <c r="O61" s="89">
        <f>+O50</f>
        <v>150602978.92448547</v>
      </c>
      <c r="P61" s="89">
        <f t="shared" ref="P61:Z61" si="168">+P50</f>
        <v>134773300.22025317</v>
      </c>
      <c r="Q61" s="89">
        <f t="shared" si="168"/>
        <v>136732759.11439541</v>
      </c>
      <c r="R61" s="89">
        <f t="shared" si="168"/>
        <v>123386189.63605291</v>
      </c>
      <c r="S61" s="89">
        <f t="shared" si="168"/>
        <v>124112861.32981735</v>
      </c>
      <c r="T61" s="89">
        <f t="shared" si="168"/>
        <v>143702099.10545322</v>
      </c>
      <c r="U61" s="89">
        <f t="shared" si="168"/>
        <v>173243373.46881154</v>
      </c>
      <c r="V61" s="89">
        <f t="shared" si="168"/>
        <v>163991266.36971223</v>
      </c>
      <c r="W61" s="89">
        <f t="shared" si="168"/>
        <v>135517348.88363412</v>
      </c>
      <c r="X61" s="89">
        <f t="shared" si="168"/>
        <v>134467533.18092129</v>
      </c>
      <c r="Y61" s="89">
        <f t="shared" si="168"/>
        <v>138872652.91035512</v>
      </c>
      <c r="Z61" s="89">
        <f t="shared" si="168"/>
        <v>149669223.93554631</v>
      </c>
      <c r="AA61" s="8"/>
      <c r="AB61" s="90">
        <f>+B61*O61</f>
        <v>1024100.2566865012</v>
      </c>
      <c r="AC61" s="90">
        <f t="shared" ref="AC61:AC68" si="169">+C61*P61</f>
        <v>916458.44149772148</v>
      </c>
      <c r="AD61" s="90">
        <f t="shared" ref="AD61:AD68" si="170">+D61*Q61</f>
        <v>929782.76197788876</v>
      </c>
      <c r="AE61" s="90">
        <f t="shared" ref="AE61:AE68" si="171">+E61*R61</f>
        <v>839026.08952515968</v>
      </c>
      <c r="AF61" s="90">
        <f t="shared" ref="AF61:AF68" si="172">+F61*S61</f>
        <v>843967.457042758</v>
      </c>
      <c r="AG61" s="90">
        <f t="shared" ref="AG61:AG68" si="173">+G61*T61</f>
        <v>977174.27391708188</v>
      </c>
      <c r="AH61" s="90">
        <f t="shared" ref="AH61:AH68" si="174">+H61*U61</f>
        <v>1178054.9395879183</v>
      </c>
      <c r="AI61" s="90">
        <f t="shared" ref="AI61:AI68" si="175">+I61*V61</f>
        <v>1115140.6113140432</v>
      </c>
      <c r="AJ61" s="90">
        <f t="shared" ref="AJ61:AJ68" si="176">+J61*W61</f>
        <v>921517.97240871191</v>
      </c>
      <c r="AK61" s="90">
        <f t="shared" ref="AK61:AK68" si="177">+K61*X61</f>
        <v>914379.22563026473</v>
      </c>
      <c r="AL61" s="90">
        <f t="shared" ref="AL61:AL68" si="178">+L61*Y61</f>
        <v>944334.03979041474</v>
      </c>
      <c r="AM61" s="90">
        <f t="shared" ref="AM61:AM68" si="179">+M61*Z61</f>
        <v>1017750.7227617148</v>
      </c>
      <c r="AN61" s="91">
        <f>SUM(AB61:AM61)</f>
        <v>11621686.792140178</v>
      </c>
    </row>
    <row r="62" spans="1:40" ht="13.9" x14ac:dyDescent="0.25">
      <c r="A62" s="5" t="s">
        <v>1</v>
      </c>
      <c r="B62" s="9">
        <v>6.1000000000000004E-3</v>
      </c>
      <c r="C62" s="10">
        <v>6.1000000000000004E-3</v>
      </c>
      <c r="D62" s="10">
        <v>6.1000000000000004E-3</v>
      </c>
      <c r="E62" s="10">
        <v>6.1000000000000004E-3</v>
      </c>
      <c r="F62" s="10">
        <v>6.1000000000000004E-3</v>
      </c>
      <c r="G62" s="10">
        <v>6.1000000000000004E-3</v>
      </c>
      <c r="H62" s="10">
        <v>6.1000000000000004E-3</v>
      </c>
      <c r="I62" s="10">
        <v>6.1000000000000004E-3</v>
      </c>
      <c r="J62" s="10">
        <v>6.1000000000000004E-3</v>
      </c>
      <c r="K62" s="10">
        <v>6.1000000000000004E-3</v>
      </c>
      <c r="L62" s="10">
        <v>6.1000000000000004E-3</v>
      </c>
      <c r="M62" s="10">
        <v>6.1000000000000004E-3</v>
      </c>
      <c r="N62" s="8"/>
      <c r="O62" s="89">
        <f t="shared" ref="O62:Z68" si="180">+O51</f>
        <v>55481260.841976926</v>
      </c>
      <c r="P62" s="89">
        <f t="shared" si="180"/>
        <v>49310463.195664629</v>
      </c>
      <c r="Q62" s="89">
        <f t="shared" si="180"/>
        <v>52077380.07820525</v>
      </c>
      <c r="R62" s="89">
        <f t="shared" si="180"/>
        <v>46193851.262974173</v>
      </c>
      <c r="S62" s="89">
        <f t="shared" si="180"/>
        <v>48541576.001201063</v>
      </c>
      <c r="T62" s="89">
        <f t="shared" si="180"/>
        <v>54232580.268272266</v>
      </c>
      <c r="U62" s="89">
        <f t="shared" si="180"/>
        <v>60899072.507782161</v>
      </c>
      <c r="V62" s="89">
        <f t="shared" si="180"/>
        <v>53944276.004869707</v>
      </c>
      <c r="W62" s="89">
        <f t="shared" si="180"/>
        <v>49465647.378983557</v>
      </c>
      <c r="X62" s="89">
        <f t="shared" si="180"/>
        <v>40939657.871567644</v>
      </c>
      <c r="Y62" s="89">
        <f t="shared" si="180"/>
        <v>50504771.020826399</v>
      </c>
      <c r="Z62" s="89">
        <f t="shared" si="180"/>
        <v>54136238.154719345</v>
      </c>
      <c r="AA62" s="8"/>
      <c r="AB62" s="90">
        <f t="shared" ref="AB62:AB68" si="181">+B62*O62</f>
        <v>338435.69113605929</v>
      </c>
      <c r="AC62" s="90">
        <f t="shared" si="169"/>
        <v>300793.82549355424</v>
      </c>
      <c r="AD62" s="90">
        <f t="shared" si="170"/>
        <v>317672.01847705204</v>
      </c>
      <c r="AE62" s="90">
        <f t="shared" si="171"/>
        <v>281782.49270414247</v>
      </c>
      <c r="AF62" s="90">
        <f t="shared" si="172"/>
        <v>296103.61360732652</v>
      </c>
      <c r="AG62" s="90">
        <f t="shared" si="173"/>
        <v>330818.73963646084</v>
      </c>
      <c r="AH62" s="90">
        <f t="shared" si="174"/>
        <v>371484.34229747119</v>
      </c>
      <c r="AI62" s="90">
        <f t="shared" si="175"/>
        <v>329060.08362970524</v>
      </c>
      <c r="AJ62" s="90">
        <f t="shared" si="176"/>
        <v>301740.4490117997</v>
      </c>
      <c r="AK62" s="90">
        <f t="shared" si="177"/>
        <v>249731.91301656264</v>
      </c>
      <c r="AL62" s="90">
        <f t="shared" si="178"/>
        <v>308079.10322704108</v>
      </c>
      <c r="AM62" s="90">
        <f t="shared" si="179"/>
        <v>330231.05274378805</v>
      </c>
      <c r="AN62" s="91">
        <f t="shared" ref="AN62:AN68" si="182">SUM(AB62:AM62)</f>
        <v>3755933.324980963</v>
      </c>
    </row>
    <row r="63" spans="1:40" ht="13.9" x14ac:dyDescent="0.25">
      <c r="A63" s="5" t="s">
        <v>2</v>
      </c>
      <c r="B63" s="9">
        <v>2.4535999999999998</v>
      </c>
      <c r="C63" s="10">
        <v>2.4535999999999998</v>
      </c>
      <c r="D63" s="10">
        <v>2.4535999999999998</v>
      </c>
      <c r="E63" s="10">
        <v>2.4535999999999998</v>
      </c>
      <c r="F63" s="10">
        <v>2.4535999999999998</v>
      </c>
      <c r="G63" s="10">
        <v>2.4535999999999998</v>
      </c>
      <c r="H63" s="10">
        <v>2.4535999999999998</v>
      </c>
      <c r="I63" s="10">
        <v>2.4535999999999998</v>
      </c>
      <c r="J63" s="10">
        <v>2.4535999999999998</v>
      </c>
      <c r="K63" s="10">
        <v>2.4535999999999998</v>
      </c>
      <c r="L63" s="10">
        <v>2.4535999999999998</v>
      </c>
      <c r="M63" s="10">
        <v>2.4535999999999998</v>
      </c>
      <c r="N63" s="8"/>
      <c r="O63" s="89">
        <f t="shared" si="180"/>
        <v>390392.04396068002</v>
      </c>
      <c r="P63" s="89">
        <f t="shared" si="180"/>
        <v>408255.42620497401</v>
      </c>
      <c r="Q63" s="89">
        <f t="shared" si="180"/>
        <v>406893.21674387198</v>
      </c>
      <c r="R63" s="89">
        <f t="shared" si="180"/>
        <v>403219.63941027399</v>
      </c>
      <c r="S63" s="89">
        <f t="shared" si="180"/>
        <v>407189.19050985097</v>
      </c>
      <c r="T63" s="89">
        <f t="shared" si="180"/>
        <v>477841.12726136198</v>
      </c>
      <c r="U63" s="89">
        <f t="shared" si="180"/>
        <v>473987.26243184</v>
      </c>
      <c r="V63" s="89">
        <f t="shared" si="180"/>
        <v>435165.86438498797</v>
      </c>
      <c r="W63" s="89">
        <f t="shared" si="180"/>
        <v>424010.30380349699</v>
      </c>
      <c r="X63" s="89">
        <f t="shared" si="180"/>
        <v>429966.88196202501</v>
      </c>
      <c r="Y63" s="89">
        <f t="shared" si="180"/>
        <v>404723.44192085299</v>
      </c>
      <c r="Z63" s="89">
        <f t="shared" si="180"/>
        <v>418115.65658017498</v>
      </c>
      <c r="AA63" s="8"/>
      <c r="AB63" s="90">
        <f t="shared" si="181"/>
        <v>957865.91906192445</v>
      </c>
      <c r="AC63" s="90">
        <f t="shared" si="169"/>
        <v>1001695.5137365242</v>
      </c>
      <c r="AD63" s="90">
        <f t="shared" si="170"/>
        <v>998353.19660276419</v>
      </c>
      <c r="AE63" s="90">
        <f t="shared" si="171"/>
        <v>989339.70725704811</v>
      </c>
      <c r="AF63" s="90">
        <f t="shared" si="172"/>
        <v>999079.39783497027</v>
      </c>
      <c r="AG63" s="90">
        <f t="shared" si="173"/>
        <v>1172430.9898484778</v>
      </c>
      <c r="AH63" s="90">
        <f t="shared" si="174"/>
        <v>1162975.1471027625</v>
      </c>
      <c r="AI63" s="90">
        <f t="shared" si="175"/>
        <v>1067722.9648550064</v>
      </c>
      <c r="AJ63" s="90">
        <f t="shared" si="176"/>
        <v>1040351.6814122602</v>
      </c>
      <c r="AK63" s="90">
        <f t="shared" si="177"/>
        <v>1054966.7415820244</v>
      </c>
      <c r="AL63" s="90">
        <f t="shared" si="178"/>
        <v>993029.43709700485</v>
      </c>
      <c r="AM63" s="90">
        <f t="shared" si="179"/>
        <v>1025888.5749851173</v>
      </c>
      <c r="AN63" s="91">
        <f t="shared" si="182"/>
        <v>12463699.271375885</v>
      </c>
    </row>
    <row r="64" spans="1:40" ht="13.9" x14ac:dyDescent="0.25">
      <c r="A64" s="5" t="s">
        <v>22</v>
      </c>
      <c r="B64" s="9">
        <v>2.8195000000000001</v>
      </c>
      <c r="C64" s="10">
        <v>2.8195000000000001</v>
      </c>
      <c r="D64" s="10">
        <v>2.8195000000000001</v>
      </c>
      <c r="E64" s="10">
        <v>2.8195000000000001</v>
      </c>
      <c r="F64" s="10">
        <v>2.8195000000000001</v>
      </c>
      <c r="G64" s="10">
        <v>2.8195000000000001</v>
      </c>
      <c r="H64" s="10">
        <v>2.8195000000000001</v>
      </c>
      <c r="I64" s="10">
        <v>2.8195000000000001</v>
      </c>
      <c r="J64" s="10">
        <v>2.8195000000000001</v>
      </c>
      <c r="K64" s="10">
        <v>2.8195000000000001</v>
      </c>
      <c r="L64" s="10">
        <v>2.8195000000000001</v>
      </c>
      <c r="M64" s="10">
        <v>2.8195000000000001</v>
      </c>
      <c r="N64" s="8"/>
      <c r="O64" s="89">
        <f t="shared" si="180"/>
        <v>47812.002904124463</v>
      </c>
      <c r="P64" s="89">
        <f t="shared" si="180"/>
        <v>46765.35290188135</v>
      </c>
      <c r="Q64" s="89">
        <f t="shared" si="180"/>
        <v>46408.840845735809</v>
      </c>
      <c r="R64" s="89">
        <f t="shared" si="180"/>
        <v>47999.492629581073</v>
      </c>
      <c r="S64" s="89">
        <f t="shared" si="180"/>
        <v>47600.787143247886</v>
      </c>
      <c r="T64" s="89">
        <f t="shared" si="180"/>
        <v>46276.261489269418</v>
      </c>
      <c r="U64" s="89">
        <f t="shared" si="180"/>
        <v>45631.163016697115</v>
      </c>
      <c r="V64" s="89">
        <f t="shared" si="180"/>
        <v>46811.919705158252</v>
      </c>
      <c r="W64" s="89">
        <f t="shared" si="180"/>
        <v>47046.119995290908</v>
      </c>
      <c r="X64" s="89">
        <f t="shared" si="180"/>
        <v>45777.006253830419</v>
      </c>
      <c r="Y64" s="89">
        <f t="shared" si="180"/>
        <v>44797.435536602934</v>
      </c>
      <c r="Z64" s="89">
        <f t="shared" si="180"/>
        <v>46553.035690886652</v>
      </c>
      <c r="AA64" s="8"/>
      <c r="AB64" s="90">
        <f t="shared" si="181"/>
        <v>134805.94218817892</v>
      </c>
      <c r="AC64" s="90">
        <f t="shared" si="169"/>
        <v>131854.91250685448</v>
      </c>
      <c r="AD64" s="90">
        <f t="shared" si="170"/>
        <v>130849.72676455212</v>
      </c>
      <c r="AE64" s="90">
        <f t="shared" si="171"/>
        <v>135334.56946910385</v>
      </c>
      <c r="AF64" s="90">
        <f t="shared" si="172"/>
        <v>134210.41935038741</v>
      </c>
      <c r="AG64" s="90">
        <f t="shared" si="173"/>
        <v>130475.91926899513</v>
      </c>
      <c r="AH64" s="90">
        <f t="shared" si="174"/>
        <v>128657.06412557753</v>
      </c>
      <c r="AI64" s="90">
        <f t="shared" si="175"/>
        <v>131986.20760869369</v>
      </c>
      <c r="AJ64" s="90">
        <f t="shared" si="176"/>
        <v>132646.53532672272</v>
      </c>
      <c r="AK64" s="90">
        <f t="shared" si="177"/>
        <v>129068.26913267488</v>
      </c>
      <c r="AL64" s="90">
        <f t="shared" si="178"/>
        <v>126306.36949545197</v>
      </c>
      <c r="AM64" s="90">
        <f t="shared" si="179"/>
        <v>131256.28413045494</v>
      </c>
      <c r="AN64" s="91">
        <f t="shared" si="182"/>
        <v>1577452.2193676478</v>
      </c>
    </row>
    <row r="65" spans="1:40" ht="13.9" x14ac:dyDescent="0.25">
      <c r="A65" s="5" t="s">
        <v>23</v>
      </c>
      <c r="B65" s="9">
        <v>2.8195000000000001</v>
      </c>
      <c r="C65" s="10">
        <v>2.8195000000000001</v>
      </c>
      <c r="D65" s="10">
        <v>2.8195000000000001</v>
      </c>
      <c r="E65" s="10">
        <v>2.8195000000000001</v>
      </c>
      <c r="F65" s="10">
        <v>2.8195000000000001</v>
      </c>
      <c r="G65" s="10">
        <v>2.8195000000000001</v>
      </c>
      <c r="H65" s="10">
        <v>2.8195000000000001</v>
      </c>
      <c r="I65" s="10">
        <v>2.8195000000000001</v>
      </c>
      <c r="J65" s="10">
        <v>2.8195000000000001</v>
      </c>
      <c r="K65" s="10">
        <v>2.8195000000000001</v>
      </c>
      <c r="L65" s="10">
        <v>2.8195000000000001</v>
      </c>
      <c r="M65" s="10">
        <v>2.8195000000000001</v>
      </c>
      <c r="N65" s="8"/>
      <c r="O65" s="89">
        <f t="shared" si="180"/>
        <v>179372.18941377112</v>
      </c>
      <c r="P65" s="89">
        <f t="shared" si="180"/>
        <v>180394.39781633695</v>
      </c>
      <c r="Q65" s="89">
        <f t="shared" si="180"/>
        <v>175659.41616719641</v>
      </c>
      <c r="R65" s="89">
        <f t="shared" si="180"/>
        <v>172787.35525907052</v>
      </c>
      <c r="S65" s="89">
        <f t="shared" si="180"/>
        <v>164026.71935138878</v>
      </c>
      <c r="T65" s="89">
        <f t="shared" si="180"/>
        <v>183587.11149928454</v>
      </c>
      <c r="U65" s="89">
        <f t="shared" si="180"/>
        <v>178193.45403219995</v>
      </c>
      <c r="V65" s="89">
        <f t="shared" si="180"/>
        <v>172265.01496948738</v>
      </c>
      <c r="W65" s="89">
        <f t="shared" si="180"/>
        <v>176625.24415939752</v>
      </c>
      <c r="X65" s="89">
        <f t="shared" si="180"/>
        <v>170559.23732776009</v>
      </c>
      <c r="Y65" s="89">
        <f t="shared" si="180"/>
        <v>169676.4126275818</v>
      </c>
      <c r="Z65" s="89">
        <f t="shared" si="180"/>
        <v>176130.32662692619</v>
      </c>
      <c r="AA65" s="8"/>
      <c r="AB65" s="90">
        <f t="shared" si="181"/>
        <v>505739.88805212767</v>
      </c>
      <c r="AC65" s="90">
        <f t="shared" si="169"/>
        <v>508622.00464316201</v>
      </c>
      <c r="AD65" s="90">
        <f t="shared" si="170"/>
        <v>495271.72388341028</v>
      </c>
      <c r="AE65" s="90">
        <f t="shared" si="171"/>
        <v>487173.94815294934</v>
      </c>
      <c r="AF65" s="90">
        <f t="shared" si="172"/>
        <v>462473.33521124069</v>
      </c>
      <c r="AG65" s="90">
        <f t="shared" si="173"/>
        <v>517623.86087223276</v>
      </c>
      <c r="AH65" s="90">
        <f t="shared" si="174"/>
        <v>502416.44364378776</v>
      </c>
      <c r="AI65" s="90">
        <f t="shared" si="175"/>
        <v>485701.20970646967</v>
      </c>
      <c r="AJ65" s="90">
        <f t="shared" si="176"/>
        <v>497994.87590742134</v>
      </c>
      <c r="AK65" s="90">
        <f t="shared" si="177"/>
        <v>480891.76964561956</v>
      </c>
      <c r="AL65" s="90">
        <f t="shared" si="178"/>
        <v>478402.64540346689</v>
      </c>
      <c r="AM65" s="90">
        <f t="shared" si="179"/>
        <v>496599.45592461841</v>
      </c>
      <c r="AN65" s="91">
        <f t="shared" si="182"/>
        <v>5918911.1610465059</v>
      </c>
    </row>
    <row r="66" spans="1:40" ht="13.9" x14ac:dyDescent="0.25">
      <c r="A66" s="5" t="s">
        <v>3</v>
      </c>
      <c r="B66" s="9">
        <v>6.1999999999999998E-3</v>
      </c>
      <c r="C66" s="10">
        <v>6.1999999999999998E-3</v>
      </c>
      <c r="D66" s="10">
        <v>6.1999999999999998E-3</v>
      </c>
      <c r="E66" s="10">
        <v>6.1999999999999998E-3</v>
      </c>
      <c r="F66" s="10">
        <v>6.1999999999999998E-3</v>
      </c>
      <c r="G66" s="10">
        <v>6.1999999999999998E-3</v>
      </c>
      <c r="H66" s="10">
        <v>6.1999999999999998E-3</v>
      </c>
      <c r="I66" s="10">
        <v>6.1999999999999998E-3</v>
      </c>
      <c r="J66" s="10">
        <v>6.1999999999999998E-3</v>
      </c>
      <c r="K66" s="10">
        <v>6.1999999999999998E-3</v>
      </c>
      <c r="L66" s="10">
        <v>6.1999999999999998E-3</v>
      </c>
      <c r="M66" s="10">
        <v>6.1999999999999998E-3</v>
      </c>
      <c r="N66" s="8"/>
      <c r="O66" s="89">
        <f t="shared" si="180"/>
        <v>932967.07164721063</v>
      </c>
      <c r="P66" s="89">
        <f t="shared" si="180"/>
        <v>882806.74851387786</v>
      </c>
      <c r="Q66" s="89">
        <f t="shared" si="180"/>
        <v>886943.64493053907</v>
      </c>
      <c r="R66" s="89">
        <f t="shared" si="180"/>
        <v>855043.26948054112</v>
      </c>
      <c r="S66" s="89">
        <f t="shared" si="180"/>
        <v>853157.84073227551</v>
      </c>
      <c r="T66" s="89">
        <f t="shared" si="180"/>
        <v>1065094.6823638706</v>
      </c>
      <c r="U66" s="89">
        <f t="shared" si="180"/>
        <v>1141435.687030534</v>
      </c>
      <c r="V66" s="89">
        <f t="shared" si="180"/>
        <v>908807.18141386961</v>
      </c>
      <c r="W66" s="89">
        <f t="shared" si="180"/>
        <v>717166.38469720015</v>
      </c>
      <c r="X66" s="89">
        <f t="shared" si="180"/>
        <v>792013.50529720425</v>
      </c>
      <c r="Y66" s="89">
        <f t="shared" si="180"/>
        <v>995496.56803053594</v>
      </c>
      <c r="Z66" s="89">
        <f t="shared" si="180"/>
        <v>1103317.5986472073</v>
      </c>
      <c r="AA66" s="8"/>
      <c r="AB66" s="90">
        <f t="shared" si="181"/>
        <v>5784.3958442127059</v>
      </c>
      <c r="AC66" s="90">
        <f t="shared" si="169"/>
        <v>5473.4018407860422</v>
      </c>
      <c r="AD66" s="90">
        <f t="shared" si="170"/>
        <v>5499.0505985693417</v>
      </c>
      <c r="AE66" s="90">
        <f t="shared" si="171"/>
        <v>5301.2682707793547</v>
      </c>
      <c r="AF66" s="90">
        <f t="shared" si="172"/>
        <v>5289.5786125401082</v>
      </c>
      <c r="AG66" s="90">
        <f t="shared" si="173"/>
        <v>6603.5870306559973</v>
      </c>
      <c r="AH66" s="90">
        <f t="shared" si="174"/>
        <v>7076.9012595893109</v>
      </c>
      <c r="AI66" s="90">
        <f t="shared" si="175"/>
        <v>5634.6045247659913</v>
      </c>
      <c r="AJ66" s="90">
        <f t="shared" si="176"/>
        <v>4446.4315851226411</v>
      </c>
      <c r="AK66" s="90">
        <f t="shared" si="177"/>
        <v>4910.4837328426665</v>
      </c>
      <c r="AL66" s="90">
        <f t="shared" si="178"/>
        <v>6172.078721789323</v>
      </c>
      <c r="AM66" s="90">
        <f t="shared" si="179"/>
        <v>6840.5691116126845</v>
      </c>
      <c r="AN66" s="91">
        <f t="shared" si="182"/>
        <v>69032.351133266173</v>
      </c>
    </row>
    <row r="67" spans="1:40" ht="13.9" x14ac:dyDescent="0.25">
      <c r="A67" s="5" t="s">
        <v>4</v>
      </c>
      <c r="B67" s="9">
        <v>1.9742999999999999</v>
      </c>
      <c r="C67" s="10">
        <v>1.9742999999999999</v>
      </c>
      <c r="D67" s="10">
        <v>1.9742999999999999</v>
      </c>
      <c r="E67" s="10">
        <v>1.9742999999999999</v>
      </c>
      <c r="F67" s="10">
        <v>1.9742999999999999</v>
      </c>
      <c r="G67" s="10">
        <v>1.9742999999999999</v>
      </c>
      <c r="H67" s="10">
        <v>1.9742999999999999</v>
      </c>
      <c r="I67" s="10">
        <v>1.9742999999999999</v>
      </c>
      <c r="J67" s="10">
        <v>1.9742999999999999</v>
      </c>
      <c r="K67" s="10">
        <v>1.9742999999999999</v>
      </c>
      <c r="L67" s="10">
        <v>1.9742999999999999</v>
      </c>
      <c r="M67" s="10">
        <v>1.9742999999999999</v>
      </c>
      <c r="N67" s="8"/>
      <c r="O67" s="89">
        <f t="shared" si="180"/>
        <v>119.642445599876</v>
      </c>
      <c r="P67" s="89">
        <f t="shared" si="180"/>
        <v>67.439608277693694</v>
      </c>
      <c r="Q67" s="89">
        <f t="shared" si="180"/>
        <v>92.157068112057601</v>
      </c>
      <c r="R67" s="89">
        <f t="shared" si="180"/>
        <v>63.416615726086</v>
      </c>
      <c r="S67" s="89">
        <f t="shared" si="180"/>
        <v>103.244240994176</v>
      </c>
      <c r="T67" s="89">
        <f t="shared" si="180"/>
        <v>89.9243204179283</v>
      </c>
      <c r="U67" s="89">
        <f t="shared" si="180"/>
        <v>130.44055967890401</v>
      </c>
      <c r="V67" s="89">
        <f t="shared" si="180"/>
        <v>77.555171592626706</v>
      </c>
      <c r="W67" s="89">
        <f t="shared" si="180"/>
        <v>76.834838361252295</v>
      </c>
      <c r="X67" s="89">
        <f t="shared" si="180"/>
        <v>76.283745421008007</v>
      </c>
      <c r="Y67" s="89">
        <f t="shared" si="180"/>
        <v>92.828005029349896</v>
      </c>
      <c r="Z67" s="89">
        <f t="shared" si="180"/>
        <v>92.779019098443399</v>
      </c>
      <c r="AA67" s="8"/>
      <c r="AB67" s="90">
        <f t="shared" si="181"/>
        <v>236.21008034783517</v>
      </c>
      <c r="AC67" s="90">
        <f t="shared" si="169"/>
        <v>133.14601862265064</v>
      </c>
      <c r="AD67" s="90">
        <f t="shared" si="170"/>
        <v>181.94569957363532</v>
      </c>
      <c r="AE67" s="90">
        <f t="shared" si="171"/>
        <v>125.20342442801159</v>
      </c>
      <c r="AF67" s="90">
        <f t="shared" si="172"/>
        <v>203.83510499480167</v>
      </c>
      <c r="AG67" s="90">
        <f t="shared" si="173"/>
        <v>177.53758580111582</v>
      </c>
      <c r="AH67" s="90">
        <f t="shared" si="174"/>
        <v>257.52879697406019</v>
      </c>
      <c r="AI67" s="90">
        <f t="shared" si="175"/>
        <v>153.11717527532289</v>
      </c>
      <c r="AJ67" s="90">
        <f t="shared" si="176"/>
        <v>151.69502137662039</v>
      </c>
      <c r="AK67" s="90">
        <f t="shared" si="177"/>
        <v>150.6069985846961</v>
      </c>
      <c r="AL67" s="90">
        <f t="shared" si="178"/>
        <v>183.2703303294455</v>
      </c>
      <c r="AM67" s="90">
        <f t="shared" si="179"/>
        <v>183.17361740605679</v>
      </c>
      <c r="AN67" s="91">
        <f t="shared" si="182"/>
        <v>2137.2698537142523</v>
      </c>
    </row>
    <row r="68" spans="1:40" ht="13.9" x14ac:dyDescent="0.25">
      <c r="A68" s="5" t="s">
        <v>5</v>
      </c>
      <c r="B68" s="9">
        <v>1.9249000000000001</v>
      </c>
      <c r="C68" s="10">
        <v>1.9249000000000001</v>
      </c>
      <c r="D68" s="10">
        <v>1.9249000000000001</v>
      </c>
      <c r="E68" s="10">
        <v>1.9249000000000001</v>
      </c>
      <c r="F68" s="10">
        <v>1.9249000000000001</v>
      </c>
      <c r="G68" s="10">
        <v>1.9249000000000001</v>
      </c>
      <c r="H68" s="10">
        <v>1.9249000000000001</v>
      </c>
      <c r="I68" s="10">
        <v>1.9249000000000001</v>
      </c>
      <c r="J68" s="10">
        <v>1.9249000000000001</v>
      </c>
      <c r="K68" s="10">
        <v>1.9249000000000001</v>
      </c>
      <c r="L68" s="10">
        <v>1.9249000000000001</v>
      </c>
      <c r="M68" s="10">
        <v>1.9249000000000001</v>
      </c>
      <c r="N68" s="8"/>
      <c r="O68" s="89">
        <f t="shared" si="180"/>
        <v>9154.8200132374604</v>
      </c>
      <c r="P68" s="89">
        <f t="shared" si="180"/>
        <v>9154.4139562752607</v>
      </c>
      <c r="Q68" s="89">
        <f t="shared" si="180"/>
        <v>9154.0078993130701</v>
      </c>
      <c r="R68" s="89">
        <f t="shared" si="180"/>
        <v>9153.6018423508795</v>
      </c>
      <c r="S68" s="89">
        <f t="shared" si="180"/>
        <v>9153.1957853886906</v>
      </c>
      <c r="T68" s="89">
        <f t="shared" si="180"/>
        <v>9152.7897284264891</v>
      </c>
      <c r="U68" s="89">
        <f t="shared" si="180"/>
        <v>9152.3836714643003</v>
      </c>
      <c r="V68" s="89">
        <f t="shared" si="180"/>
        <v>9151.9776145021096</v>
      </c>
      <c r="W68" s="89">
        <f t="shared" si="180"/>
        <v>9151.5715575399208</v>
      </c>
      <c r="X68" s="89">
        <f t="shared" si="180"/>
        <v>9151.1655005777193</v>
      </c>
      <c r="Y68" s="89">
        <f t="shared" si="180"/>
        <v>9150.7594436155305</v>
      </c>
      <c r="Z68" s="89">
        <f t="shared" si="180"/>
        <v>9150.3533866533398</v>
      </c>
      <c r="AA68" s="8"/>
      <c r="AB68" s="90">
        <f t="shared" si="181"/>
        <v>17622.113043480789</v>
      </c>
      <c r="AC68" s="90">
        <f t="shared" si="169"/>
        <v>17621.331424434251</v>
      </c>
      <c r="AD68" s="90">
        <f t="shared" si="170"/>
        <v>17620.549805387731</v>
      </c>
      <c r="AE68" s="90">
        <f t="shared" si="171"/>
        <v>17619.768186341207</v>
      </c>
      <c r="AF68" s="90">
        <f t="shared" si="172"/>
        <v>17618.986567294691</v>
      </c>
      <c r="AG68" s="90">
        <f t="shared" si="173"/>
        <v>17618.204948248149</v>
      </c>
      <c r="AH68" s="90">
        <f t="shared" si="174"/>
        <v>17617.423329201632</v>
      </c>
      <c r="AI68" s="90">
        <f t="shared" si="175"/>
        <v>17616.641710155112</v>
      </c>
      <c r="AJ68" s="90">
        <f t="shared" si="176"/>
        <v>17615.860091108592</v>
      </c>
      <c r="AK68" s="90">
        <f t="shared" si="177"/>
        <v>17615.078472062054</v>
      </c>
      <c r="AL68" s="90">
        <f t="shared" si="178"/>
        <v>17614.296853015534</v>
      </c>
      <c r="AM68" s="90">
        <f t="shared" si="179"/>
        <v>17613.515233969014</v>
      </c>
      <c r="AN68" s="91">
        <f t="shared" si="182"/>
        <v>211413.76966469875</v>
      </c>
    </row>
    <row r="69" spans="1:40" ht="13.9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8">
        <f>SUM(O61:O68)</f>
        <v>207644057.536847</v>
      </c>
      <c r="P69" s="88">
        <f t="shared" ref="P69" si="183">SUM(P61:P68)</f>
        <v>185611207.19491944</v>
      </c>
      <c r="Q69" s="88">
        <f t="shared" ref="Q69" si="184">SUM(Q61:Q68)</f>
        <v>190335290.47625545</v>
      </c>
      <c r="R69" s="88">
        <f t="shared" ref="R69" si="185">SUM(R61:R68)</f>
        <v>171068307.67426461</v>
      </c>
      <c r="S69" s="88">
        <f t="shared" ref="S69" si="186">SUM(S61:S68)</f>
        <v>174135668.30878159</v>
      </c>
      <c r="T69" s="88">
        <f t="shared" ref="T69" si="187">SUM(T61:T68)</f>
        <v>199716721.27038813</v>
      </c>
      <c r="U69" s="88">
        <f t="shared" ref="U69" si="188">SUM(U61:U68)</f>
        <v>235990976.36733612</v>
      </c>
      <c r="V69" s="88">
        <f t="shared" ref="V69" si="189">SUM(V61:V68)</f>
        <v>219507821.88784149</v>
      </c>
      <c r="W69" s="88">
        <f t="shared" ref="W69" si="190">SUM(W61:W68)</f>
        <v>186357072.72166899</v>
      </c>
      <c r="X69" s="88">
        <f t="shared" ref="X69" si="191">SUM(X61:X68)</f>
        <v>176854735.13257575</v>
      </c>
      <c r="Y69" s="88">
        <f t="shared" ref="Y69" si="192">SUM(Y61:Y68)</f>
        <v>191001361.3767457</v>
      </c>
      <c r="Z69" s="88">
        <f t="shared" ref="Z69" si="193">SUM(Z61:Z68)</f>
        <v>205558821.84021658</v>
      </c>
      <c r="AA69" s="8"/>
      <c r="AB69" s="91">
        <f>SUM(AB61:AB68)</f>
        <v>2984590.4160928335</v>
      </c>
      <c r="AC69" s="91">
        <f t="shared" ref="AC69" si="194">SUM(AC61:AC68)</f>
        <v>2882652.5771616595</v>
      </c>
      <c r="AD69" s="91">
        <f t="shared" ref="AD69" si="195">SUM(AD61:AD68)</f>
        <v>2895230.9738091985</v>
      </c>
      <c r="AE69" s="91">
        <f t="shared" ref="AE69" si="196">SUM(AE61:AE68)</f>
        <v>2755703.0469899527</v>
      </c>
      <c r="AF69" s="91">
        <f t="shared" ref="AF69" si="197">SUM(AF61:AF68)</f>
        <v>2758946.6233315123</v>
      </c>
      <c r="AG69" s="91">
        <f t="shared" ref="AG69" si="198">SUM(AG61:AG68)</f>
        <v>3152923.1131079542</v>
      </c>
      <c r="AH69" s="91">
        <f t="shared" ref="AH69" si="199">SUM(AH61:AH68)</f>
        <v>3368539.7901432826</v>
      </c>
      <c r="AI69" s="91">
        <f t="shared" ref="AI69" si="200">SUM(AI61:AI68)</f>
        <v>3153015.4405241148</v>
      </c>
      <c r="AJ69" s="91">
        <f t="shared" ref="AJ69" si="201">SUM(AJ61:AJ68)</f>
        <v>2916465.5007645236</v>
      </c>
      <c r="AK69" s="91">
        <f t="shared" ref="AK69" si="202">SUM(AK61:AK68)</f>
        <v>2851714.0882106358</v>
      </c>
      <c r="AL69" s="91">
        <f t="shared" ref="AL69" si="203">SUM(AL61:AL68)</f>
        <v>2874121.2409185134</v>
      </c>
      <c r="AM69" s="91">
        <f t="shared" ref="AM69" si="204">SUM(AM61:AM68)</f>
        <v>3026363.3485086816</v>
      </c>
      <c r="AN69" s="91">
        <f t="shared" ref="AN69" si="205">SUM(AN61:AN68)</f>
        <v>35620266.159562856</v>
      </c>
    </row>
    <row r="70" spans="1:40" ht="13.9" x14ac:dyDescent="0.25">
      <c r="A70" s="6"/>
      <c r="B70" s="208" t="s">
        <v>20</v>
      </c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7"/>
      <c r="O70" s="208" t="s">
        <v>24</v>
      </c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7"/>
      <c r="AB70" s="208" t="s">
        <v>31</v>
      </c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6"/>
    </row>
    <row r="71" spans="1:40" ht="13.9" x14ac:dyDescent="0.25">
      <c r="A71" s="6" t="s">
        <v>18</v>
      </c>
      <c r="B71" s="6" t="s">
        <v>6</v>
      </c>
      <c r="C71" s="6" t="s">
        <v>7</v>
      </c>
      <c r="D71" s="6" t="s">
        <v>8</v>
      </c>
      <c r="E71" s="6" t="s">
        <v>9</v>
      </c>
      <c r="F71" s="6" t="s">
        <v>10</v>
      </c>
      <c r="G71" s="6" t="s">
        <v>11</v>
      </c>
      <c r="H71" s="6" t="s">
        <v>12</v>
      </c>
      <c r="I71" s="6" t="s">
        <v>13</v>
      </c>
      <c r="J71" s="6" t="s">
        <v>14</v>
      </c>
      <c r="K71" s="6" t="s">
        <v>15</v>
      </c>
      <c r="L71" s="6" t="s">
        <v>16</v>
      </c>
      <c r="M71" s="6" t="s">
        <v>17</v>
      </c>
      <c r="N71" s="7"/>
      <c r="O71" s="6" t="s">
        <v>6</v>
      </c>
      <c r="P71" s="6" t="s">
        <v>7</v>
      </c>
      <c r="Q71" s="6" t="s">
        <v>8</v>
      </c>
      <c r="R71" s="6" t="s">
        <v>9</v>
      </c>
      <c r="S71" s="6" t="s">
        <v>10</v>
      </c>
      <c r="T71" s="6" t="s">
        <v>11</v>
      </c>
      <c r="U71" s="6" t="s">
        <v>12</v>
      </c>
      <c r="V71" s="6" t="s">
        <v>13</v>
      </c>
      <c r="W71" s="6" t="s">
        <v>14</v>
      </c>
      <c r="X71" s="6" t="s">
        <v>15</v>
      </c>
      <c r="Y71" s="6" t="s">
        <v>16</v>
      </c>
      <c r="Z71" s="6" t="s">
        <v>17</v>
      </c>
      <c r="AA71" s="7"/>
      <c r="AB71" s="6" t="s">
        <v>6</v>
      </c>
      <c r="AC71" s="6" t="s">
        <v>7</v>
      </c>
      <c r="AD71" s="6" t="s">
        <v>8</v>
      </c>
      <c r="AE71" s="6" t="s">
        <v>9</v>
      </c>
      <c r="AF71" s="6" t="s">
        <v>10</v>
      </c>
      <c r="AG71" s="6" t="s">
        <v>11</v>
      </c>
      <c r="AH71" s="6" t="s">
        <v>12</v>
      </c>
      <c r="AI71" s="6" t="s">
        <v>13</v>
      </c>
      <c r="AJ71" s="6" t="s">
        <v>14</v>
      </c>
      <c r="AK71" s="6" t="s">
        <v>15</v>
      </c>
      <c r="AL71" s="6" t="s">
        <v>16</v>
      </c>
      <c r="AM71" s="6" t="s">
        <v>17</v>
      </c>
      <c r="AN71" s="6" t="s">
        <v>19</v>
      </c>
    </row>
    <row r="72" spans="1:40" ht="13.9" x14ac:dyDescent="0.25">
      <c r="A72" s="5" t="s">
        <v>0</v>
      </c>
      <c r="B72" s="11">
        <v>6.0000001057066139E-5</v>
      </c>
      <c r="C72" s="12">
        <v>6.0000001057066139E-5</v>
      </c>
      <c r="D72" s="12">
        <v>6.0000001057066139E-5</v>
      </c>
      <c r="E72" s="12">
        <v>6.0000001057066139E-5</v>
      </c>
      <c r="F72" s="12">
        <v>6.0000001057066139E-5</v>
      </c>
      <c r="G72" s="12">
        <v>6.0000001057066139E-5</v>
      </c>
      <c r="H72" s="12">
        <v>6.0000001057066139E-5</v>
      </c>
      <c r="I72" s="12">
        <v>6.0000001057066139E-5</v>
      </c>
      <c r="J72" s="12">
        <v>6.0000001057066139E-5</v>
      </c>
      <c r="K72" s="12">
        <v>6.0000001057066139E-5</v>
      </c>
      <c r="L72" s="12">
        <v>6.0000001057066139E-5</v>
      </c>
      <c r="M72" s="12">
        <v>6.0000001057066139E-5</v>
      </c>
      <c r="N72" s="8"/>
      <c r="O72" s="89">
        <f>+'2018 Load Forecast Output'!C37</f>
        <v>145103554.21956399</v>
      </c>
      <c r="P72" s="89">
        <f>+'2018 Load Forecast Output'!D37</f>
        <v>129851912.72786701</v>
      </c>
      <c r="Q72" s="89">
        <f>+'2018 Load Forecast Output'!E37</f>
        <v>131739819.93871801</v>
      </c>
      <c r="R72" s="89">
        <f>+'2018 Load Forecast Output'!F37</f>
        <v>118880614.352108</v>
      </c>
      <c r="S72" s="89">
        <f>+'2018 Load Forecast Output'!G37</f>
        <v>119580750.871777</v>
      </c>
      <c r="T72" s="89">
        <f>+'2018 Load Forecast Output'!H37</f>
        <v>138454667.217895</v>
      </c>
      <c r="U72" s="89">
        <f>+'2018 Load Forecast Output'!I37</f>
        <v>166917211.16563401</v>
      </c>
      <c r="V72" s="89">
        <f>+'2018 Load Forecast Output'!J37</f>
        <v>158002954.398027</v>
      </c>
      <c r="W72" s="89">
        <f>+'2018 Load Forecast Output'!K37</f>
        <v>130568791.67900001</v>
      </c>
      <c r="X72" s="89">
        <f>+'2018 Load Forecast Output'!L37</f>
        <v>129557311.090588</v>
      </c>
      <c r="Y72" s="89">
        <f>+'2018 Load Forecast Output'!M37</f>
        <v>133801573.282932</v>
      </c>
      <c r="Z72" s="89">
        <f>+'2018 Load Forecast Output'!N37</f>
        <v>144203896.26702601</v>
      </c>
      <c r="AA72" s="8"/>
      <c r="AB72" s="90">
        <f>+B72*O72</f>
        <v>8706.2134065578939</v>
      </c>
      <c r="AC72" s="90">
        <f t="shared" ref="AC72:AC79" si="206">+C72*P72</f>
        <v>7791.1149009340807</v>
      </c>
      <c r="AD72" s="90">
        <f t="shared" ref="AD72:AD79" si="207">+D72*Q72</f>
        <v>7904.3893355807832</v>
      </c>
      <c r="AE72" s="90">
        <f t="shared" ref="AE72:AE79" si="208">+E72*R72</f>
        <v>7132.8369867911524</v>
      </c>
      <c r="AF72" s="90">
        <f t="shared" ref="AF72:AF79" si="209">+F72*S72</f>
        <v>7174.8451787113827</v>
      </c>
      <c r="AG72" s="90">
        <f t="shared" ref="AG72:AG79" si="210">+G72*T72</f>
        <v>8307.280179429441</v>
      </c>
      <c r="AH72" s="90">
        <f t="shared" ref="AH72:AH79" si="211">+H72*U72</f>
        <v>10015.032846380573</v>
      </c>
      <c r="AI72" s="90">
        <f t="shared" ref="AI72:AI79" si="212">+I72*V72</f>
        <v>9480.1774309011926</v>
      </c>
      <c r="AJ72" s="90">
        <f t="shared" ref="AJ72:AJ79" si="213">+J72*W72</f>
        <v>7834.1276387598491</v>
      </c>
      <c r="AK72" s="90">
        <f t="shared" ref="AK72:AK79" si="214">+K72*X72</f>
        <v>7773.4388023859265</v>
      </c>
      <c r="AL72" s="90">
        <f t="shared" ref="AL72:AL79" si="215">+L72*Y72</f>
        <v>8028.0945384130328</v>
      </c>
      <c r="AM72" s="90">
        <f t="shared" ref="AM72:AM79" si="216">+M72*Z72</f>
        <v>8652.233928454616</v>
      </c>
      <c r="AN72" s="91">
        <f>SUM(AB72:AM72)</f>
        <v>98799.785173299912</v>
      </c>
    </row>
    <row r="73" spans="1:40" ht="13.9" x14ac:dyDescent="0.25">
      <c r="A73" s="5" t="s">
        <v>1</v>
      </c>
      <c r="B73" s="11">
        <v>6.0000000000000002E-5</v>
      </c>
      <c r="C73" s="12">
        <v>6.0000000000000002E-5</v>
      </c>
      <c r="D73" s="12">
        <v>6.0000000000000002E-5</v>
      </c>
      <c r="E73" s="12">
        <v>6.0000000000000002E-5</v>
      </c>
      <c r="F73" s="12">
        <v>6.0000000000000002E-5</v>
      </c>
      <c r="G73" s="12">
        <v>6.0000000000000002E-5</v>
      </c>
      <c r="H73" s="12">
        <v>6.0000000000000002E-5</v>
      </c>
      <c r="I73" s="12">
        <v>6.0000000000000002E-5</v>
      </c>
      <c r="J73" s="12">
        <v>6.0000000000000002E-5</v>
      </c>
      <c r="K73" s="12">
        <v>6.0000000000000002E-5</v>
      </c>
      <c r="L73" s="12">
        <v>6.0000000000000002E-5</v>
      </c>
      <c r="M73" s="12">
        <v>6.0000000000000002E-5</v>
      </c>
      <c r="N73" s="8"/>
      <c r="O73" s="89">
        <f>+'2018 Load Forecast Output'!C38</f>
        <v>53455304.790420003</v>
      </c>
      <c r="P73" s="89">
        <f>+'2018 Load Forecast Output'!D38</f>
        <v>47509840.250182703</v>
      </c>
      <c r="Q73" s="89">
        <f>+'2018 Load Forecast Output'!E38</f>
        <v>50175720.279608101</v>
      </c>
      <c r="R73" s="89">
        <f>+'2018 Load Forecast Output'!F38</f>
        <v>44507034.649748698</v>
      </c>
      <c r="S73" s="89">
        <f>+'2018 Load Forecast Output'!G38</f>
        <v>46769029.772811502</v>
      </c>
      <c r="T73" s="89">
        <f>+'2018 Load Forecast Output'!H38</f>
        <v>52252221.088999197</v>
      </c>
      <c r="U73" s="89">
        <f>+'2018 Load Forecast Output'!I38</f>
        <v>58675279.417845801</v>
      </c>
      <c r="V73" s="89">
        <f>+'2018 Load Forecast Output'!J38</f>
        <v>51974444.556190103</v>
      </c>
      <c r="W73" s="89">
        <f>+'2018 Load Forecast Output'!K38</f>
        <v>47659357.721344598</v>
      </c>
      <c r="X73" s="89">
        <f>+'2018 Load Forecast Output'!L38</f>
        <v>39444703.6049404</v>
      </c>
      <c r="Y73" s="89">
        <f>+'2018 Load Forecast Output'!M38</f>
        <v>48660536.680630498</v>
      </c>
      <c r="Z73" s="89">
        <f>+'2018 Load Forecast Output'!N38</f>
        <v>52159397.008111902</v>
      </c>
      <c r="AA73" s="8"/>
      <c r="AB73" s="90">
        <f t="shared" ref="AB73:AB79" si="217">+B73*O73</f>
        <v>3207.3182874252002</v>
      </c>
      <c r="AC73" s="90">
        <f t="shared" si="206"/>
        <v>2850.5904150109623</v>
      </c>
      <c r="AD73" s="90">
        <f t="shared" si="207"/>
        <v>3010.5432167764861</v>
      </c>
      <c r="AE73" s="90">
        <f t="shared" si="208"/>
        <v>2670.4220789849219</v>
      </c>
      <c r="AF73" s="90">
        <f t="shared" si="209"/>
        <v>2806.1417863686902</v>
      </c>
      <c r="AG73" s="90">
        <f t="shared" si="210"/>
        <v>3135.1332653399518</v>
      </c>
      <c r="AH73" s="90">
        <f t="shared" si="211"/>
        <v>3520.5167650707481</v>
      </c>
      <c r="AI73" s="90">
        <f t="shared" si="212"/>
        <v>3118.4666733714062</v>
      </c>
      <c r="AJ73" s="90">
        <f t="shared" si="213"/>
        <v>2859.561463280676</v>
      </c>
      <c r="AK73" s="90">
        <f t="shared" si="214"/>
        <v>2366.682216296424</v>
      </c>
      <c r="AL73" s="90">
        <f t="shared" si="215"/>
        <v>2919.6322008378297</v>
      </c>
      <c r="AM73" s="90">
        <f t="shared" si="216"/>
        <v>3129.5638204867141</v>
      </c>
      <c r="AN73" s="91">
        <f t="shared" ref="AN73:AN79" si="218">SUM(AB73:AM73)</f>
        <v>35594.572189250015</v>
      </c>
    </row>
    <row r="74" spans="1:40" ht="13.9" x14ac:dyDescent="0.25">
      <c r="A74" s="5" t="s">
        <v>2</v>
      </c>
      <c r="B74" s="11">
        <v>2.1690000000000001E-2</v>
      </c>
      <c r="C74" s="12">
        <v>2.1690000000000001E-2</v>
      </c>
      <c r="D74" s="12">
        <v>2.1690000000000001E-2</v>
      </c>
      <c r="E74" s="12">
        <v>2.1690000000000001E-2</v>
      </c>
      <c r="F74" s="12">
        <v>2.1690000000000001E-2</v>
      </c>
      <c r="G74" s="12">
        <v>2.1690000000000001E-2</v>
      </c>
      <c r="H74" s="12">
        <v>2.1690000000000001E-2</v>
      </c>
      <c r="I74" s="12">
        <v>2.1690000000000001E-2</v>
      </c>
      <c r="J74" s="12">
        <v>2.1690000000000001E-2</v>
      </c>
      <c r="K74" s="12">
        <v>2.1690000000000001E-2</v>
      </c>
      <c r="L74" s="12">
        <v>2.1690000000000001E-2</v>
      </c>
      <c r="M74" s="12">
        <v>2.1690000000000001E-2</v>
      </c>
      <c r="N74" s="8"/>
      <c r="O74" s="89">
        <f t="shared" ref="O74:Z79" si="219">+O63</f>
        <v>390392.04396068002</v>
      </c>
      <c r="P74" s="89">
        <f t="shared" si="219"/>
        <v>408255.42620497401</v>
      </c>
      <c r="Q74" s="89">
        <f t="shared" si="219"/>
        <v>406893.21674387198</v>
      </c>
      <c r="R74" s="89">
        <f t="shared" si="219"/>
        <v>403219.63941027399</v>
      </c>
      <c r="S74" s="89">
        <f t="shared" si="219"/>
        <v>407189.19050985097</v>
      </c>
      <c r="T74" s="89">
        <f t="shared" si="219"/>
        <v>477841.12726136198</v>
      </c>
      <c r="U74" s="89">
        <f t="shared" si="219"/>
        <v>473987.26243184</v>
      </c>
      <c r="V74" s="89">
        <f t="shared" si="219"/>
        <v>435165.86438498797</v>
      </c>
      <c r="W74" s="89">
        <f t="shared" si="219"/>
        <v>424010.30380349699</v>
      </c>
      <c r="X74" s="89">
        <f t="shared" si="219"/>
        <v>429966.88196202501</v>
      </c>
      <c r="Y74" s="89">
        <f t="shared" si="219"/>
        <v>404723.44192085299</v>
      </c>
      <c r="Z74" s="89">
        <f t="shared" si="219"/>
        <v>418115.65658017498</v>
      </c>
      <c r="AA74" s="8"/>
      <c r="AB74" s="90">
        <f t="shared" si="217"/>
        <v>8467.6034335071508</v>
      </c>
      <c r="AC74" s="90">
        <f t="shared" si="206"/>
        <v>8855.0601943858874</v>
      </c>
      <c r="AD74" s="90">
        <f t="shared" si="207"/>
        <v>8825.513871174584</v>
      </c>
      <c r="AE74" s="90">
        <f t="shared" si="208"/>
        <v>8745.8339788088433</v>
      </c>
      <c r="AF74" s="90">
        <f t="shared" si="209"/>
        <v>8831.9335421586675</v>
      </c>
      <c r="AG74" s="90">
        <f t="shared" si="210"/>
        <v>10364.374050298942</v>
      </c>
      <c r="AH74" s="90">
        <f t="shared" si="211"/>
        <v>10280.783722146611</v>
      </c>
      <c r="AI74" s="90">
        <f t="shared" si="212"/>
        <v>9438.7475985103902</v>
      </c>
      <c r="AJ74" s="90">
        <f t="shared" si="213"/>
        <v>9196.7834894978496</v>
      </c>
      <c r="AK74" s="90">
        <f t="shared" si="214"/>
        <v>9325.9816697563238</v>
      </c>
      <c r="AL74" s="90">
        <f t="shared" si="215"/>
        <v>8778.4514552633009</v>
      </c>
      <c r="AM74" s="90">
        <f t="shared" si="216"/>
        <v>9068.9285912239957</v>
      </c>
      <c r="AN74" s="91">
        <f t="shared" si="218"/>
        <v>110179.99559673254</v>
      </c>
    </row>
    <row r="75" spans="1:40" ht="13.9" x14ac:dyDescent="0.25">
      <c r="A75" s="5" t="s">
        <v>22</v>
      </c>
      <c r="B75" s="11">
        <v>2.4920000000000001E-2</v>
      </c>
      <c r="C75" s="12">
        <v>2.4920000000000001E-2</v>
      </c>
      <c r="D75" s="12">
        <v>2.4920000000000001E-2</v>
      </c>
      <c r="E75" s="12">
        <v>2.4920000000000001E-2</v>
      </c>
      <c r="F75" s="12">
        <v>2.4920000000000001E-2</v>
      </c>
      <c r="G75" s="12">
        <v>2.4920000000000001E-2</v>
      </c>
      <c r="H75" s="12">
        <v>2.4920000000000001E-2</v>
      </c>
      <c r="I75" s="12">
        <v>2.4920000000000001E-2</v>
      </c>
      <c r="J75" s="12">
        <v>2.4920000000000001E-2</v>
      </c>
      <c r="K75" s="12">
        <v>2.4920000000000001E-2</v>
      </c>
      <c r="L75" s="12">
        <v>2.4920000000000001E-2</v>
      </c>
      <c r="M75" s="12">
        <v>2.4920000000000001E-2</v>
      </c>
      <c r="N75" s="8"/>
      <c r="O75" s="89">
        <f t="shared" si="219"/>
        <v>47812.002904124463</v>
      </c>
      <c r="P75" s="89">
        <f t="shared" si="219"/>
        <v>46765.35290188135</v>
      </c>
      <c r="Q75" s="89">
        <f t="shared" si="219"/>
        <v>46408.840845735809</v>
      </c>
      <c r="R75" s="89">
        <f t="shared" si="219"/>
        <v>47999.492629581073</v>
      </c>
      <c r="S75" s="89">
        <f t="shared" si="219"/>
        <v>47600.787143247886</v>
      </c>
      <c r="T75" s="89">
        <f t="shared" si="219"/>
        <v>46276.261489269418</v>
      </c>
      <c r="U75" s="89">
        <f t="shared" si="219"/>
        <v>45631.163016697115</v>
      </c>
      <c r="V75" s="89">
        <f t="shared" si="219"/>
        <v>46811.919705158252</v>
      </c>
      <c r="W75" s="89">
        <f t="shared" si="219"/>
        <v>47046.119995290908</v>
      </c>
      <c r="X75" s="89">
        <f t="shared" si="219"/>
        <v>45777.006253830419</v>
      </c>
      <c r="Y75" s="89">
        <f t="shared" si="219"/>
        <v>44797.435536602934</v>
      </c>
      <c r="Z75" s="89">
        <f t="shared" si="219"/>
        <v>46553.035690886652</v>
      </c>
      <c r="AA75" s="8"/>
      <c r="AB75" s="90">
        <f t="shared" si="217"/>
        <v>1191.4751123707817</v>
      </c>
      <c r="AC75" s="90">
        <f t="shared" si="206"/>
        <v>1165.3925943148834</v>
      </c>
      <c r="AD75" s="90">
        <f t="shared" si="207"/>
        <v>1156.5083138757363</v>
      </c>
      <c r="AE75" s="90">
        <f t="shared" si="208"/>
        <v>1196.1473563291604</v>
      </c>
      <c r="AF75" s="90">
        <f t="shared" si="209"/>
        <v>1186.2116156097375</v>
      </c>
      <c r="AG75" s="90">
        <f t="shared" si="210"/>
        <v>1153.204436312594</v>
      </c>
      <c r="AH75" s="90">
        <f t="shared" si="211"/>
        <v>1137.1285823760923</v>
      </c>
      <c r="AI75" s="90">
        <f t="shared" si="212"/>
        <v>1166.5530390525437</v>
      </c>
      <c r="AJ75" s="90">
        <f t="shared" si="213"/>
        <v>1172.3893102826494</v>
      </c>
      <c r="AK75" s="90">
        <f t="shared" si="214"/>
        <v>1140.762995845454</v>
      </c>
      <c r="AL75" s="90">
        <f t="shared" si="215"/>
        <v>1116.3520935721451</v>
      </c>
      <c r="AM75" s="90">
        <f t="shared" si="216"/>
        <v>1160.1016494168955</v>
      </c>
      <c r="AN75" s="91">
        <f t="shared" si="218"/>
        <v>13942.227099358674</v>
      </c>
    </row>
    <row r="76" spans="1:40" ht="13.9" x14ac:dyDescent="0.25">
      <c r="A76" s="5" t="s">
        <v>23</v>
      </c>
      <c r="B76" s="11">
        <v>2.4920000000000001E-2</v>
      </c>
      <c r="C76" s="12">
        <v>2.4920000000000001E-2</v>
      </c>
      <c r="D76" s="12">
        <v>2.4920000000000001E-2</v>
      </c>
      <c r="E76" s="12">
        <v>2.4920000000000001E-2</v>
      </c>
      <c r="F76" s="12">
        <v>2.4920000000000001E-2</v>
      </c>
      <c r="G76" s="12">
        <v>2.4920000000000001E-2</v>
      </c>
      <c r="H76" s="12">
        <v>2.4920000000000001E-2</v>
      </c>
      <c r="I76" s="12">
        <v>2.4920000000000001E-2</v>
      </c>
      <c r="J76" s="12">
        <v>2.4920000000000001E-2</v>
      </c>
      <c r="K76" s="12">
        <v>2.4920000000000001E-2</v>
      </c>
      <c r="L76" s="12">
        <v>2.4920000000000001E-2</v>
      </c>
      <c r="M76" s="12">
        <v>2.4920000000000001E-2</v>
      </c>
      <c r="N76" s="8"/>
      <c r="O76" s="89">
        <f t="shared" si="219"/>
        <v>179372.18941377112</v>
      </c>
      <c r="P76" s="89">
        <f t="shared" si="219"/>
        <v>180394.39781633695</v>
      </c>
      <c r="Q76" s="89">
        <f t="shared" si="219"/>
        <v>175659.41616719641</v>
      </c>
      <c r="R76" s="89">
        <f t="shared" si="219"/>
        <v>172787.35525907052</v>
      </c>
      <c r="S76" s="89">
        <f t="shared" si="219"/>
        <v>164026.71935138878</v>
      </c>
      <c r="T76" s="89">
        <f t="shared" si="219"/>
        <v>183587.11149928454</v>
      </c>
      <c r="U76" s="89">
        <f t="shared" si="219"/>
        <v>178193.45403219995</v>
      </c>
      <c r="V76" s="89">
        <f t="shared" si="219"/>
        <v>172265.01496948738</v>
      </c>
      <c r="W76" s="89">
        <f t="shared" si="219"/>
        <v>176625.24415939752</v>
      </c>
      <c r="X76" s="89">
        <f t="shared" si="219"/>
        <v>170559.23732776009</v>
      </c>
      <c r="Y76" s="89">
        <f t="shared" si="219"/>
        <v>169676.4126275818</v>
      </c>
      <c r="Z76" s="89">
        <f t="shared" si="219"/>
        <v>176130.32662692619</v>
      </c>
      <c r="AA76" s="8"/>
      <c r="AB76" s="90">
        <f t="shared" si="217"/>
        <v>4469.9549601911767</v>
      </c>
      <c r="AC76" s="90">
        <f t="shared" si="206"/>
        <v>4495.4283935831172</v>
      </c>
      <c r="AD76" s="90">
        <f t="shared" si="207"/>
        <v>4377.4326508865352</v>
      </c>
      <c r="AE76" s="90">
        <f t="shared" si="208"/>
        <v>4305.8608930560376</v>
      </c>
      <c r="AF76" s="90">
        <f t="shared" si="209"/>
        <v>4087.5458462366087</v>
      </c>
      <c r="AG76" s="90">
        <f t="shared" si="210"/>
        <v>4574.9908185621707</v>
      </c>
      <c r="AH76" s="90">
        <f t="shared" si="211"/>
        <v>4440.5808744824226</v>
      </c>
      <c r="AI76" s="90">
        <f t="shared" si="212"/>
        <v>4292.8441730396262</v>
      </c>
      <c r="AJ76" s="90">
        <f t="shared" si="213"/>
        <v>4401.5010844521867</v>
      </c>
      <c r="AK76" s="90">
        <f t="shared" si="214"/>
        <v>4250.3361942077818</v>
      </c>
      <c r="AL76" s="90">
        <f t="shared" si="215"/>
        <v>4228.3362026793384</v>
      </c>
      <c r="AM76" s="90">
        <f t="shared" si="216"/>
        <v>4389.1677395430006</v>
      </c>
      <c r="AN76" s="91">
        <f t="shared" si="218"/>
        <v>52313.979830920012</v>
      </c>
    </row>
    <row r="77" spans="1:40" ht="13.9" x14ac:dyDescent="0.25">
      <c r="A77" s="5" t="s">
        <v>3</v>
      </c>
      <c r="B77" s="11">
        <v>6.0000000000000002E-5</v>
      </c>
      <c r="C77" s="12">
        <v>6.0000000000000002E-5</v>
      </c>
      <c r="D77" s="12">
        <v>6.0000000000000002E-5</v>
      </c>
      <c r="E77" s="12">
        <v>6.0000000000000002E-5</v>
      </c>
      <c r="F77" s="12">
        <v>6.0000000000000002E-5</v>
      </c>
      <c r="G77" s="12">
        <v>6.0000000000000002E-5</v>
      </c>
      <c r="H77" s="12">
        <v>6.0000000000000002E-5</v>
      </c>
      <c r="I77" s="12">
        <v>6.0000000000000002E-5</v>
      </c>
      <c r="J77" s="12">
        <v>6.0000000000000002E-5</v>
      </c>
      <c r="K77" s="12">
        <v>6.0000000000000002E-5</v>
      </c>
      <c r="L77" s="12">
        <v>6.0000000000000002E-5</v>
      </c>
      <c r="M77" s="12">
        <v>6.0000000000000002E-5</v>
      </c>
      <c r="N77" s="8"/>
      <c r="O77" s="89">
        <f>+'2018 Load Forecast Output'!C40</f>
        <v>898898.80686695303</v>
      </c>
      <c r="P77" s="89">
        <f>+'2018 Load Forecast Output'!D40</f>
        <v>850570.14020028699</v>
      </c>
      <c r="Q77" s="89">
        <f>+'2018 Load Forecast Output'!E40</f>
        <v>854555.973533615</v>
      </c>
      <c r="R77" s="89">
        <f>+'2018 Load Forecast Output'!F40</f>
        <v>823820.47353361698</v>
      </c>
      <c r="S77" s="89">
        <f>+'2018 Load Forecast Output'!G40</f>
        <v>822003.89318072598</v>
      </c>
      <c r="T77" s="89">
        <f>+'2018 Load Forecast Output'!H40</f>
        <v>1026201.64020028</v>
      </c>
      <c r="U77" s="89">
        <f>+'2018 Load Forecast Output'!I40</f>
        <v>1099754.9735336101</v>
      </c>
      <c r="V77" s="89">
        <f>+'2018 Load Forecast Output'!J40</f>
        <v>875621.14020027895</v>
      </c>
      <c r="W77" s="89">
        <f>+'2018 Load Forecast Output'!K40</f>
        <v>690978.30686694302</v>
      </c>
      <c r="X77" s="89">
        <f>+'2018 Load Forecast Output'!L40</f>
        <v>763092.30686694698</v>
      </c>
      <c r="Y77" s="89">
        <f>+'2018 Load Forecast Output'!M40</f>
        <v>959144.97353361198</v>
      </c>
      <c r="Z77" s="89">
        <f>+'2018 Load Forecast Output'!N40</f>
        <v>1063028.8068669499</v>
      </c>
      <c r="AA77" s="8"/>
      <c r="AB77" s="90">
        <f t="shared" si="217"/>
        <v>53.933928412017181</v>
      </c>
      <c r="AC77" s="90">
        <f t="shared" si="206"/>
        <v>51.034208412017222</v>
      </c>
      <c r="AD77" s="90">
        <f t="shared" si="207"/>
        <v>51.273358412016904</v>
      </c>
      <c r="AE77" s="90">
        <f t="shared" si="208"/>
        <v>49.429228412017018</v>
      </c>
      <c r="AF77" s="90">
        <f t="shared" si="209"/>
        <v>49.320233590843557</v>
      </c>
      <c r="AG77" s="90">
        <f t="shared" si="210"/>
        <v>61.5720984120168</v>
      </c>
      <c r="AH77" s="90">
        <f t="shared" si="211"/>
        <v>65.985298412016604</v>
      </c>
      <c r="AI77" s="90">
        <f t="shared" si="212"/>
        <v>52.537268412016736</v>
      </c>
      <c r="AJ77" s="90">
        <f t="shared" si="213"/>
        <v>41.458698412016581</v>
      </c>
      <c r="AK77" s="90">
        <f t="shared" si="214"/>
        <v>45.78553841201682</v>
      </c>
      <c r="AL77" s="90">
        <f t="shared" si="215"/>
        <v>57.548698412016719</v>
      </c>
      <c r="AM77" s="90">
        <f t="shared" si="216"/>
        <v>63.781728412016996</v>
      </c>
      <c r="AN77" s="91">
        <f t="shared" si="218"/>
        <v>643.6602861230291</v>
      </c>
    </row>
    <row r="78" spans="1:40" ht="13.9" x14ac:dyDescent="0.25">
      <c r="A78" s="5" t="s">
        <v>4</v>
      </c>
      <c r="B78" s="11">
        <v>1.745E-2</v>
      </c>
      <c r="C78" s="12">
        <v>1.745E-2</v>
      </c>
      <c r="D78" s="12">
        <v>1.745E-2</v>
      </c>
      <c r="E78" s="12">
        <v>1.745E-2</v>
      </c>
      <c r="F78" s="12">
        <v>1.745E-2</v>
      </c>
      <c r="G78" s="12">
        <v>1.745E-2</v>
      </c>
      <c r="H78" s="12">
        <v>1.745E-2</v>
      </c>
      <c r="I78" s="12">
        <v>1.745E-2</v>
      </c>
      <c r="J78" s="12">
        <v>1.745E-2</v>
      </c>
      <c r="K78" s="12">
        <v>1.745E-2</v>
      </c>
      <c r="L78" s="12">
        <v>1.745E-2</v>
      </c>
      <c r="M78" s="12">
        <v>1.745E-2</v>
      </c>
      <c r="N78" s="8"/>
      <c r="O78" s="89">
        <f t="shared" si="219"/>
        <v>119.642445599876</v>
      </c>
      <c r="P78" s="89">
        <f t="shared" si="219"/>
        <v>67.439608277693694</v>
      </c>
      <c r="Q78" s="89">
        <f t="shared" si="219"/>
        <v>92.157068112057601</v>
      </c>
      <c r="R78" s="89">
        <f t="shared" si="219"/>
        <v>63.416615726086</v>
      </c>
      <c r="S78" s="89">
        <f t="shared" si="219"/>
        <v>103.244240994176</v>
      </c>
      <c r="T78" s="89">
        <f t="shared" si="219"/>
        <v>89.9243204179283</v>
      </c>
      <c r="U78" s="89">
        <f t="shared" si="219"/>
        <v>130.44055967890401</v>
      </c>
      <c r="V78" s="89">
        <f t="shared" si="219"/>
        <v>77.555171592626706</v>
      </c>
      <c r="W78" s="89">
        <f t="shared" si="219"/>
        <v>76.834838361252295</v>
      </c>
      <c r="X78" s="89">
        <f t="shared" si="219"/>
        <v>76.283745421008007</v>
      </c>
      <c r="Y78" s="89">
        <f t="shared" si="219"/>
        <v>92.828005029349896</v>
      </c>
      <c r="Z78" s="89">
        <f t="shared" si="219"/>
        <v>92.779019098443399</v>
      </c>
      <c r="AA78" s="8"/>
      <c r="AB78" s="90">
        <f t="shared" si="217"/>
        <v>2.0877606757178362</v>
      </c>
      <c r="AC78" s="90">
        <f t="shared" si="206"/>
        <v>1.1768211644457549</v>
      </c>
      <c r="AD78" s="90">
        <f t="shared" si="207"/>
        <v>1.6081408385554052</v>
      </c>
      <c r="AE78" s="90">
        <f t="shared" si="208"/>
        <v>1.1066199444202007</v>
      </c>
      <c r="AF78" s="90">
        <f t="shared" si="209"/>
        <v>1.8016120053483711</v>
      </c>
      <c r="AG78" s="90">
        <f t="shared" si="210"/>
        <v>1.5691793912928489</v>
      </c>
      <c r="AH78" s="90">
        <f t="shared" si="211"/>
        <v>2.276187766396875</v>
      </c>
      <c r="AI78" s="90">
        <f t="shared" si="212"/>
        <v>1.3533377442913361</v>
      </c>
      <c r="AJ78" s="90">
        <f t="shared" si="213"/>
        <v>1.3407679294038526</v>
      </c>
      <c r="AK78" s="90">
        <f t="shared" si="214"/>
        <v>1.3311513575965896</v>
      </c>
      <c r="AL78" s="90">
        <f t="shared" si="215"/>
        <v>1.6198486877621556</v>
      </c>
      <c r="AM78" s="90">
        <f t="shared" si="216"/>
        <v>1.6189938832678374</v>
      </c>
      <c r="AN78" s="91">
        <f t="shared" si="218"/>
        <v>18.89042138849906</v>
      </c>
    </row>
    <row r="79" spans="1:40" ht="13.9" x14ac:dyDescent="0.25">
      <c r="A79" s="5" t="s">
        <v>5</v>
      </c>
      <c r="B79" s="11">
        <v>1.702E-2</v>
      </c>
      <c r="C79" s="12">
        <v>1.702E-2</v>
      </c>
      <c r="D79" s="12">
        <v>1.702E-2</v>
      </c>
      <c r="E79" s="12">
        <v>1.702E-2</v>
      </c>
      <c r="F79" s="12">
        <v>1.702E-2</v>
      </c>
      <c r="G79" s="12">
        <v>1.702E-2</v>
      </c>
      <c r="H79" s="12">
        <v>1.702E-2</v>
      </c>
      <c r="I79" s="12">
        <v>1.702E-2</v>
      </c>
      <c r="J79" s="12">
        <v>1.702E-2</v>
      </c>
      <c r="K79" s="12">
        <v>1.702E-2</v>
      </c>
      <c r="L79" s="12">
        <v>1.702E-2</v>
      </c>
      <c r="M79" s="12">
        <v>1.702E-2</v>
      </c>
      <c r="N79" s="8"/>
      <c r="O79" s="89">
        <f t="shared" si="219"/>
        <v>9154.8200132374604</v>
      </c>
      <c r="P79" s="89">
        <f t="shared" si="219"/>
        <v>9154.4139562752607</v>
      </c>
      <c r="Q79" s="89">
        <f t="shared" si="219"/>
        <v>9154.0078993130701</v>
      </c>
      <c r="R79" s="89">
        <f t="shared" si="219"/>
        <v>9153.6018423508795</v>
      </c>
      <c r="S79" s="89">
        <f t="shared" si="219"/>
        <v>9153.1957853886906</v>
      </c>
      <c r="T79" s="89">
        <f t="shared" si="219"/>
        <v>9152.7897284264891</v>
      </c>
      <c r="U79" s="89">
        <f t="shared" si="219"/>
        <v>9152.3836714643003</v>
      </c>
      <c r="V79" s="89">
        <f t="shared" si="219"/>
        <v>9151.9776145021096</v>
      </c>
      <c r="W79" s="89">
        <f t="shared" si="219"/>
        <v>9151.5715575399208</v>
      </c>
      <c r="X79" s="89">
        <f t="shared" si="219"/>
        <v>9151.1655005777193</v>
      </c>
      <c r="Y79" s="89">
        <f t="shared" si="219"/>
        <v>9150.7594436155305</v>
      </c>
      <c r="Z79" s="89">
        <f t="shared" si="219"/>
        <v>9150.3533866533398</v>
      </c>
      <c r="AA79" s="8"/>
      <c r="AB79" s="90">
        <f t="shared" si="217"/>
        <v>155.81503662530159</v>
      </c>
      <c r="AC79" s="90">
        <f t="shared" si="206"/>
        <v>155.80812553580495</v>
      </c>
      <c r="AD79" s="90">
        <f t="shared" si="207"/>
        <v>155.80121444630845</v>
      </c>
      <c r="AE79" s="90">
        <f t="shared" si="208"/>
        <v>155.79430335681198</v>
      </c>
      <c r="AF79" s="90">
        <f t="shared" si="209"/>
        <v>155.78739226731551</v>
      </c>
      <c r="AG79" s="90">
        <f t="shared" si="210"/>
        <v>155.78048117781884</v>
      </c>
      <c r="AH79" s="90">
        <f t="shared" si="211"/>
        <v>155.7735700883224</v>
      </c>
      <c r="AI79" s="90">
        <f t="shared" si="212"/>
        <v>155.7666589988259</v>
      </c>
      <c r="AJ79" s="90">
        <f t="shared" si="213"/>
        <v>155.75974790932946</v>
      </c>
      <c r="AK79" s="90">
        <f t="shared" si="214"/>
        <v>155.75283681983279</v>
      </c>
      <c r="AL79" s="90">
        <f t="shared" si="215"/>
        <v>155.74592573033632</v>
      </c>
      <c r="AM79" s="90">
        <f t="shared" si="216"/>
        <v>155.73901464083986</v>
      </c>
      <c r="AN79" s="91">
        <f t="shared" si="218"/>
        <v>1869.324307596848</v>
      </c>
    </row>
    <row r="80" spans="1:40" ht="13.9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8">
        <f>SUM(O72:O79)</f>
        <v>200084608.51558834</v>
      </c>
      <c r="P80" s="88">
        <f t="shared" ref="P80" si="220">SUM(P72:P79)</f>
        <v>178856960.14873773</v>
      </c>
      <c r="Q80" s="88">
        <f t="shared" ref="Q80" si="221">SUM(Q72:Q79)</f>
        <v>183408303.83058393</v>
      </c>
      <c r="R80" s="88">
        <f t="shared" ref="R80" si="222">SUM(R72:R79)</f>
        <v>164844692.98114732</v>
      </c>
      <c r="S80" s="88">
        <f t="shared" ref="S80" si="223">SUM(S72:S79)</f>
        <v>167799857.67480013</v>
      </c>
      <c r="T80" s="88">
        <f t="shared" ref="T80" si="224">SUM(T72:T79)</f>
        <v>192450037.16139325</v>
      </c>
      <c r="U80" s="88">
        <f t="shared" ref="U80" si="225">SUM(U72:U79)</f>
        <v>227399340.26072532</v>
      </c>
      <c r="V80" s="88">
        <f t="shared" ref="V80" si="226">SUM(V72:V79)</f>
        <v>211516492.42626309</v>
      </c>
      <c r="W80" s="88">
        <f t="shared" ref="W80" si="227">SUM(W72:W79)</f>
        <v>179576037.78156567</v>
      </c>
      <c r="X80" s="88">
        <f t="shared" ref="X80" si="228">SUM(X72:X79)</f>
        <v>170420637.57718495</v>
      </c>
      <c r="Y80" s="88">
        <f t="shared" ref="Y80" si="229">SUM(Y72:Y79)</f>
        <v>184049695.81462973</v>
      </c>
      <c r="Z80" s="88">
        <f t="shared" ref="Z80" si="230">SUM(Z72:Z79)</f>
        <v>198076364.23330855</v>
      </c>
      <c r="AA80" s="8"/>
      <c r="AB80" s="91">
        <f>SUM(AB72:AB79)</f>
        <v>26254.40192576524</v>
      </c>
      <c r="AC80" s="91">
        <f t="shared" ref="AC80" si="231">SUM(AC72:AC79)</f>
        <v>25365.605653341194</v>
      </c>
      <c r="AD80" s="91">
        <f t="shared" ref="AD80" si="232">SUM(AD72:AD79)</f>
        <v>25483.070101991005</v>
      </c>
      <c r="AE80" s="91">
        <f t="shared" ref="AE80" si="233">SUM(AE72:AE79)</f>
        <v>24257.431445683364</v>
      </c>
      <c r="AF80" s="91">
        <f t="shared" ref="AF80" si="234">SUM(AF72:AF79)</f>
        <v>24293.587206948592</v>
      </c>
      <c r="AG80" s="91">
        <f t="shared" ref="AG80" si="235">SUM(AG72:AG79)</f>
        <v>27753.904508924225</v>
      </c>
      <c r="AH80" s="91">
        <f t="shared" ref="AH80" si="236">SUM(AH72:AH79)</f>
        <v>29618.077846723187</v>
      </c>
      <c r="AI80" s="91">
        <f t="shared" ref="AI80" si="237">SUM(AI72:AI79)</f>
        <v>27706.446180030292</v>
      </c>
      <c r="AJ80" s="91">
        <f t="shared" ref="AJ80" si="238">SUM(AJ72:AJ79)</f>
        <v>25662.922200523961</v>
      </c>
      <c r="AK80" s="91">
        <f t="shared" ref="AK80" si="239">SUM(AK72:AK79)</f>
        <v>25060.071405081355</v>
      </c>
      <c r="AL80" s="91">
        <f t="shared" ref="AL80" si="240">SUM(AL72:AL79)</f>
        <v>25285.780963595767</v>
      </c>
      <c r="AM80" s="91">
        <f t="shared" ref="AM80" si="241">SUM(AM72:AM79)</f>
        <v>26621.135466061347</v>
      </c>
      <c r="AN80" s="91">
        <f t="shared" ref="AN80" si="242">SUM(AN72:AN79)</f>
        <v>313362.43490466953</v>
      </c>
    </row>
    <row r="81" spans="1:40" ht="13.9" x14ac:dyDescent="0.25">
      <c r="A81" s="6"/>
      <c r="B81" s="208" t="s">
        <v>20</v>
      </c>
      <c r="C81" s="208"/>
      <c r="D81" s="208"/>
      <c r="E81" s="208"/>
      <c r="F81" s="208"/>
      <c r="G81" s="208"/>
      <c r="H81" s="208"/>
      <c r="I81" s="208"/>
      <c r="J81" s="208"/>
      <c r="K81" s="208"/>
      <c r="L81" s="208"/>
      <c r="M81" s="208"/>
      <c r="N81" s="7"/>
      <c r="O81" s="208" t="s">
        <v>24</v>
      </c>
      <c r="P81" s="208"/>
      <c r="Q81" s="208"/>
      <c r="R81" s="208"/>
      <c r="S81" s="208"/>
      <c r="T81" s="208"/>
      <c r="U81" s="208"/>
      <c r="V81" s="208"/>
      <c r="W81" s="208"/>
      <c r="X81" s="208"/>
      <c r="Y81" s="208"/>
      <c r="Z81" s="208"/>
      <c r="AA81" s="7"/>
      <c r="AB81" s="208" t="s">
        <v>31</v>
      </c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  <c r="AM81" s="208"/>
      <c r="AN81" s="6"/>
    </row>
    <row r="82" spans="1:40" ht="13.9" x14ac:dyDescent="0.25">
      <c r="A82" s="6" t="s">
        <v>30</v>
      </c>
      <c r="B82" s="6" t="s">
        <v>6</v>
      </c>
      <c r="C82" s="6" t="s">
        <v>7</v>
      </c>
      <c r="D82" s="6" t="s">
        <v>8</v>
      </c>
      <c r="E82" s="6" t="s">
        <v>9</v>
      </c>
      <c r="F82" s="6" t="s">
        <v>10</v>
      </c>
      <c r="G82" s="6" t="s">
        <v>11</v>
      </c>
      <c r="H82" s="6" t="s">
        <v>12</v>
      </c>
      <c r="I82" s="6" t="s">
        <v>13</v>
      </c>
      <c r="J82" s="6" t="s">
        <v>14</v>
      </c>
      <c r="K82" s="6" t="s">
        <v>15</v>
      </c>
      <c r="L82" s="6" t="s">
        <v>16</v>
      </c>
      <c r="M82" s="6" t="s">
        <v>17</v>
      </c>
      <c r="N82" s="7"/>
      <c r="O82" s="6" t="s">
        <v>6</v>
      </c>
      <c r="P82" s="6" t="s">
        <v>7</v>
      </c>
      <c r="Q82" s="6" t="s">
        <v>8</v>
      </c>
      <c r="R82" s="6" t="s">
        <v>9</v>
      </c>
      <c r="S82" s="6" t="s">
        <v>10</v>
      </c>
      <c r="T82" s="6" t="s">
        <v>11</v>
      </c>
      <c r="U82" s="6" t="s">
        <v>12</v>
      </c>
      <c r="V82" s="6" t="s">
        <v>13</v>
      </c>
      <c r="W82" s="6" t="s">
        <v>14</v>
      </c>
      <c r="X82" s="6" t="s">
        <v>15</v>
      </c>
      <c r="Y82" s="6" t="s">
        <v>16</v>
      </c>
      <c r="Z82" s="6" t="s">
        <v>17</v>
      </c>
      <c r="AA82" s="7"/>
      <c r="AB82" s="6" t="s">
        <v>6</v>
      </c>
      <c r="AC82" s="6" t="s">
        <v>7</v>
      </c>
      <c r="AD82" s="6" t="s">
        <v>8</v>
      </c>
      <c r="AE82" s="6" t="s">
        <v>9</v>
      </c>
      <c r="AF82" s="6" t="s">
        <v>10</v>
      </c>
      <c r="AG82" s="6" t="s">
        <v>11</v>
      </c>
      <c r="AH82" s="6" t="s">
        <v>12</v>
      </c>
      <c r="AI82" s="6" t="s">
        <v>13</v>
      </c>
      <c r="AJ82" s="6" t="s">
        <v>14</v>
      </c>
      <c r="AK82" s="6" t="s">
        <v>15</v>
      </c>
      <c r="AL82" s="6" t="s">
        <v>16</v>
      </c>
      <c r="AM82" s="6" t="s">
        <v>17</v>
      </c>
      <c r="AN82" s="6" t="s">
        <v>19</v>
      </c>
    </row>
    <row r="83" spans="1:40" ht="13.9" x14ac:dyDescent="0.25">
      <c r="A83" s="5" t="s">
        <v>0</v>
      </c>
      <c r="B83" s="197">
        <v>0.56999999999999995</v>
      </c>
      <c r="C83" s="197">
        <v>0.56999999999999995</v>
      </c>
      <c r="D83" s="197">
        <v>0.56999999999999995</v>
      </c>
      <c r="E83" s="197">
        <v>0.56999999999999995</v>
      </c>
      <c r="F83" s="197">
        <v>0.56999999999999995</v>
      </c>
      <c r="G83" s="197">
        <v>0.56999999999999995</v>
      </c>
      <c r="H83" s="197">
        <v>0.56999999999999995</v>
      </c>
      <c r="I83" s="197">
        <v>0.56999999999999995</v>
      </c>
      <c r="J83" s="197">
        <v>0.56999999999999995</v>
      </c>
      <c r="K83" s="197">
        <v>0.56999999999999995</v>
      </c>
      <c r="L83" s="197">
        <v>0.56999999999999995</v>
      </c>
      <c r="M83" s="197">
        <v>0.56999999999999995</v>
      </c>
      <c r="N83" s="8"/>
      <c r="O83" s="87">
        <f>+'[21]RRR 2.1.2'!$F$54</f>
        <v>223311</v>
      </c>
      <c r="P83" s="87">
        <f>+O83</f>
        <v>223311</v>
      </c>
      <c r="Q83" s="87">
        <f t="shared" ref="Q83:Z83" si="243">+P83</f>
        <v>223311</v>
      </c>
      <c r="R83" s="87">
        <f t="shared" si="243"/>
        <v>223311</v>
      </c>
      <c r="S83" s="87">
        <f t="shared" si="243"/>
        <v>223311</v>
      </c>
      <c r="T83" s="87">
        <f t="shared" si="243"/>
        <v>223311</v>
      </c>
      <c r="U83" s="87">
        <f t="shared" si="243"/>
        <v>223311</v>
      </c>
      <c r="V83" s="87">
        <f t="shared" si="243"/>
        <v>223311</v>
      </c>
      <c r="W83" s="87">
        <f t="shared" si="243"/>
        <v>223311</v>
      </c>
      <c r="X83" s="87">
        <f t="shared" si="243"/>
        <v>223311</v>
      </c>
      <c r="Y83" s="87">
        <f t="shared" si="243"/>
        <v>223311</v>
      </c>
      <c r="Z83" s="87">
        <f t="shared" si="243"/>
        <v>223311</v>
      </c>
      <c r="AA83" s="8"/>
      <c r="AB83" s="90">
        <f>+B83*O83</f>
        <v>127287.26999999999</v>
      </c>
      <c r="AC83" s="90">
        <f t="shared" ref="AC83:AC84" si="244">+C83*P83</f>
        <v>127287.26999999999</v>
      </c>
      <c r="AD83" s="90">
        <f t="shared" ref="AD83:AD84" si="245">+D83*Q83</f>
        <v>127287.26999999999</v>
      </c>
      <c r="AE83" s="90">
        <f t="shared" ref="AE83:AE84" si="246">+E83*R83</f>
        <v>127287.26999999999</v>
      </c>
      <c r="AF83" s="90">
        <f t="shared" ref="AF83:AF84" si="247">+F83*S83</f>
        <v>127287.26999999999</v>
      </c>
      <c r="AG83" s="90">
        <f t="shared" ref="AG83:AG84" si="248">+G83*T83</f>
        <v>127287.26999999999</v>
      </c>
      <c r="AH83" s="90">
        <f t="shared" ref="AH83:AH84" si="249">+H83*U83</f>
        <v>127287.26999999999</v>
      </c>
      <c r="AI83" s="90">
        <f t="shared" ref="AI83:AI84" si="250">+I83*V83</f>
        <v>127287.26999999999</v>
      </c>
      <c r="AJ83" s="90">
        <f t="shared" ref="AJ83:AJ84" si="251">+J83*W83</f>
        <v>127287.26999999999</v>
      </c>
      <c r="AK83" s="90">
        <f t="shared" ref="AK83:AK84" si="252">+K83*X83</f>
        <v>127287.26999999999</v>
      </c>
      <c r="AL83" s="90">
        <f t="shared" ref="AL83:AL84" si="253">+L83*Y83</f>
        <v>127287.26999999999</v>
      </c>
      <c r="AM83" s="90">
        <f t="shared" ref="AM83:AM84" si="254">+M83*Z83</f>
        <v>127287.26999999999</v>
      </c>
      <c r="AN83" s="91">
        <f>SUM(AB83:AM83)</f>
        <v>1527447.24</v>
      </c>
    </row>
    <row r="84" spans="1:40" ht="13.9" x14ac:dyDescent="0.25">
      <c r="A84" s="5" t="s">
        <v>1</v>
      </c>
      <c r="B84" s="197">
        <v>0.56999999999999995</v>
      </c>
      <c r="C84" s="197">
        <v>0.56999999999999995</v>
      </c>
      <c r="D84" s="197">
        <v>0.56999999999999995</v>
      </c>
      <c r="E84" s="197">
        <v>0.56999999999999995</v>
      </c>
      <c r="F84" s="197">
        <v>0.56999999999999995</v>
      </c>
      <c r="G84" s="197">
        <v>0.56999999999999995</v>
      </c>
      <c r="H84" s="197">
        <v>0.56999999999999995</v>
      </c>
      <c r="I84" s="197">
        <v>0.56999999999999995</v>
      </c>
      <c r="J84" s="197">
        <v>0.56999999999999995</v>
      </c>
      <c r="K84" s="197">
        <v>0.56999999999999995</v>
      </c>
      <c r="L84" s="197">
        <v>0.56999999999999995</v>
      </c>
      <c r="M84" s="197">
        <v>0.56999999999999995</v>
      </c>
      <c r="N84" s="8"/>
      <c r="O84" s="87">
        <f>+'[21]RRR 2.1.2'!$F$55</f>
        <v>18774</v>
      </c>
      <c r="P84" s="87">
        <f>+O84</f>
        <v>18774</v>
      </c>
      <c r="Q84" s="87">
        <f t="shared" ref="Q84:Z84" si="255">+P84</f>
        <v>18774</v>
      </c>
      <c r="R84" s="87">
        <f t="shared" si="255"/>
        <v>18774</v>
      </c>
      <c r="S84" s="87">
        <f t="shared" si="255"/>
        <v>18774</v>
      </c>
      <c r="T84" s="87">
        <f t="shared" si="255"/>
        <v>18774</v>
      </c>
      <c r="U84" s="87">
        <f t="shared" si="255"/>
        <v>18774</v>
      </c>
      <c r="V84" s="87">
        <f t="shared" si="255"/>
        <v>18774</v>
      </c>
      <c r="W84" s="87">
        <f t="shared" si="255"/>
        <v>18774</v>
      </c>
      <c r="X84" s="87">
        <f t="shared" si="255"/>
        <v>18774</v>
      </c>
      <c r="Y84" s="87">
        <f t="shared" si="255"/>
        <v>18774</v>
      </c>
      <c r="Z84" s="87">
        <f t="shared" si="255"/>
        <v>18774</v>
      </c>
      <c r="AA84" s="8"/>
      <c r="AB84" s="90">
        <f t="shared" ref="AB84" si="256">+B84*O84</f>
        <v>10701.179999999998</v>
      </c>
      <c r="AC84" s="90">
        <f t="shared" si="244"/>
        <v>10701.179999999998</v>
      </c>
      <c r="AD84" s="90">
        <f t="shared" si="245"/>
        <v>10701.179999999998</v>
      </c>
      <c r="AE84" s="90">
        <f t="shared" si="246"/>
        <v>10701.179999999998</v>
      </c>
      <c r="AF84" s="90">
        <f t="shared" si="247"/>
        <v>10701.179999999998</v>
      </c>
      <c r="AG84" s="90">
        <f t="shared" si="248"/>
        <v>10701.179999999998</v>
      </c>
      <c r="AH84" s="90">
        <f t="shared" si="249"/>
        <v>10701.179999999998</v>
      </c>
      <c r="AI84" s="90">
        <f t="shared" si="250"/>
        <v>10701.179999999998</v>
      </c>
      <c r="AJ84" s="90">
        <f t="shared" si="251"/>
        <v>10701.179999999998</v>
      </c>
      <c r="AK84" s="90">
        <f t="shared" si="252"/>
        <v>10701.179999999998</v>
      </c>
      <c r="AL84" s="90">
        <f t="shared" si="253"/>
        <v>10701.179999999998</v>
      </c>
      <c r="AM84" s="90">
        <f t="shared" si="254"/>
        <v>10701.179999999998</v>
      </c>
      <c r="AN84" s="91">
        <f t="shared" ref="AN84" si="257">SUM(AB84:AM84)</f>
        <v>128414.15999999996</v>
      </c>
    </row>
    <row r="85" spans="1:40" ht="13.9" x14ac:dyDescent="0.25">
      <c r="A85" s="5" t="s">
        <v>2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8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5"/>
    </row>
    <row r="86" spans="1:40" ht="13.9" x14ac:dyDescent="0.25">
      <c r="A86" s="5" t="s">
        <v>22</v>
      </c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8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5"/>
    </row>
    <row r="87" spans="1:40" ht="13.9" x14ac:dyDescent="0.25">
      <c r="A87" s="5" t="s">
        <v>23</v>
      </c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8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5"/>
    </row>
    <row r="88" spans="1:40" ht="13.9" x14ac:dyDescent="0.25">
      <c r="A88" s="5" t="s">
        <v>3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8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5"/>
    </row>
    <row r="89" spans="1:40" ht="13.9" x14ac:dyDescent="0.25">
      <c r="A89" s="5" t="s">
        <v>4</v>
      </c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8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5"/>
    </row>
    <row r="90" spans="1:40" ht="13.9" x14ac:dyDescent="0.25">
      <c r="A90" s="5" t="s">
        <v>5</v>
      </c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8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5"/>
    </row>
    <row r="91" spans="1:40" ht="13.9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9">
        <f>SUM(O83:O84)</f>
        <v>242085</v>
      </c>
      <c r="P91" s="89">
        <f t="shared" ref="P91:Z91" si="258">SUM(P83:P84)</f>
        <v>242085</v>
      </c>
      <c r="Q91" s="89">
        <f t="shared" si="258"/>
        <v>242085</v>
      </c>
      <c r="R91" s="89">
        <f t="shared" si="258"/>
        <v>242085</v>
      </c>
      <c r="S91" s="89">
        <f t="shared" si="258"/>
        <v>242085</v>
      </c>
      <c r="T91" s="89">
        <f t="shared" si="258"/>
        <v>242085</v>
      </c>
      <c r="U91" s="89">
        <f t="shared" si="258"/>
        <v>242085</v>
      </c>
      <c r="V91" s="89">
        <f t="shared" si="258"/>
        <v>242085</v>
      </c>
      <c r="W91" s="89">
        <f t="shared" si="258"/>
        <v>242085</v>
      </c>
      <c r="X91" s="89">
        <f t="shared" si="258"/>
        <v>242085</v>
      </c>
      <c r="Y91" s="89">
        <f t="shared" si="258"/>
        <v>242085</v>
      </c>
      <c r="Z91" s="89">
        <f t="shared" si="258"/>
        <v>242085</v>
      </c>
      <c r="AA91" s="8"/>
      <c r="AB91" s="91">
        <f>SUM(AB83:AB90)</f>
        <v>137988.44999999998</v>
      </c>
      <c r="AC91" s="91">
        <f t="shared" ref="AC91" si="259">SUM(AC83:AC90)</f>
        <v>137988.44999999998</v>
      </c>
      <c r="AD91" s="91">
        <f t="shared" ref="AD91" si="260">SUM(AD83:AD90)</f>
        <v>137988.44999999998</v>
      </c>
      <c r="AE91" s="91">
        <f t="shared" ref="AE91" si="261">SUM(AE83:AE90)</f>
        <v>137988.44999999998</v>
      </c>
      <c r="AF91" s="91">
        <f t="shared" ref="AF91" si="262">SUM(AF83:AF90)</f>
        <v>137988.44999999998</v>
      </c>
      <c r="AG91" s="91">
        <f t="shared" ref="AG91" si="263">SUM(AG83:AG90)</f>
        <v>137988.44999999998</v>
      </c>
      <c r="AH91" s="91">
        <f t="shared" ref="AH91" si="264">SUM(AH83:AH90)</f>
        <v>137988.44999999998</v>
      </c>
      <c r="AI91" s="91">
        <f t="shared" ref="AI91" si="265">SUM(AI83:AI90)</f>
        <v>137988.44999999998</v>
      </c>
      <c r="AJ91" s="91">
        <f t="shared" ref="AJ91" si="266">SUM(AJ83:AJ90)</f>
        <v>137988.44999999998</v>
      </c>
      <c r="AK91" s="91">
        <f t="shared" ref="AK91" si="267">SUM(AK83:AK90)</f>
        <v>137988.44999999998</v>
      </c>
      <c r="AL91" s="91">
        <f t="shared" ref="AL91" si="268">SUM(AL83:AL90)</f>
        <v>137988.44999999998</v>
      </c>
      <c r="AM91" s="91">
        <f t="shared" ref="AM91" si="269">SUM(AM83:AM90)</f>
        <v>137988.44999999998</v>
      </c>
      <c r="AN91" s="91">
        <f t="shared" ref="AN91" si="270">SUM(AN83:AN90)</f>
        <v>1655861.4</v>
      </c>
    </row>
  </sheetData>
  <mergeCells count="27"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</mergeCells>
  <pageMargins left="0.70866141732283472" right="0.70866141732283472" top="0.74803149606299213" bottom="0.74803149606299213" header="0.31496062992125984" footer="0.31496062992125984"/>
  <pageSetup scale="50" fitToWidth="0" orientation="landscape" r:id="rId1"/>
  <colBreaks count="2" manualBreakCount="2">
    <brk id="14" max="1048575" man="1"/>
    <brk id="2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5"/>
  <sheetViews>
    <sheetView zoomScale="90" zoomScaleNormal="90" workbookViewId="0">
      <selection activeCell="I6" sqref="I6"/>
    </sheetView>
  </sheetViews>
  <sheetFormatPr defaultRowHeight="15" x14ac:dyDescent="0.25"/>
  <cols>
    <col min="2" max="2" width="58.140625" customWidth="1"/>
    <col min="3" max="3" width="14.28515625" customWidth="1"/>
    <col min="4" max="5" width="12.28515625" customWidth="1"/>
    <col min="8" max="8" width="14.140625" bestFit="1" customWidth="1"/>
    <col min="9" max="9" width="12.5703125" customWidth="1"/>
    <col min="10" max="10" width="12" customWidth="1"/>
    <col min="11" max="11" width="13" customWidth="1"/>
    <col min="12" max="12" width="12" customWidth="1"/>
    <col min="13" max="13" width="11.7109375" customWidth="1"/>
  </cols>
  <sheetData>
    <row r="1" spans="2:13" ht="14.45" x14ac:dyDescent="0.3">
      <c r="B1" s="144" t="s">
        <v>84</v>
      </c>
    </row>
    <row r="2" spans="2:13" thickBot="1" x14ac:dyDescent="0.35"/>
    <row r="3" spans="2:13" thickBot="1" x14ac:dyDescent="0.35">
      <c r="B3" s="145"/>
      <c r="C3" s="146" t="s">
        <v>85</v>
      </c>
      <c r="D3" s="147" t="s">
        <v>86</v>
      </c>
      <c r="E3" s="148" t="s">
        <v>86</v>
      </c>
      <c r="F3" s="1"/>
    </row>
    <row r="4" spans="2:13" ht="40.9" thickBot="1" x14ac:dyDescent="0.35">
      <c r="B4" s="149" t="s">
        <v>87</v>
      </c>
      <c r="C4" s="150" t="s">
        <v>88</v>
      </c>
      <c r="D4" s="150" t="s">
        <v>88</v>
      </c>
      <c r="E4" s="2" t="s">
        <v>89</v>
      </c>
      <c r="F4" s="1"/>
      <c r="H4" s="151" t="s">
        <v>90</v>
      </c>
      <c r="I4" s="152" t="s">
        <v>89</v>
      </c>
      <c r="J4" s="153" t="s">
        <v>91</v>
      </c>
      <c r="K4" s="152" t="s">
        <v>92</v>
      </c>
      <c r="L4" s="153" t="s">
        <v>93</v>
      </c>
      <c r="M4" s="152" t="s">
        <v>94</v>
      </c>
    </row>
    <row r="5" spans="2:13" thickBot="1" x14ac:dyDescent="0.35">
      <c r="B5" s="154" t="s">
        <v>95</v>
      </c>
      <c r="C5" s="155">
        <v>22.81</v>
      </c>
      <c r="D5" s="155">
        <v>22.81</v>
      </c>
      <c r="E5" s="156">
        <f>D5</f>
        <v>22.81</v>
      </c>
      <c r="F5" s="1"/>
      <c r="H5" s="157" t="s">
        <v>96</v>
      </c>
      <c r="I5" s="158">
        <f>F18</f>
        <v>22.81</v>
      </c>
      <c r="J5" s="158">
        <f>F20</f>
        <v>19.21</v>
      </c>
      <c r="K5" s="159">
        <f>+J5*(1+$C$23)</f>
        <v>19.51736</v>
      </c>
      <c r="L5" s="159">
        <f t="shared" ref="L5:M5" si="0">+K5*(1+$C$23)</f>
        <v>19.829637760000001</v>
      </c>
      <c r="M5" s="159">
        <f t="shared" si="0"/>
        <v>20.146911964160001</v>
      </c>
    </row>
    <row r="6" spans="2:13" ht="14.45" x14ac:dyDescent="0.3">
      <c r="B6" s="160" t="s">
        <v>97</v>
      </c>
      <c r="C6" s="161">
        <v>24.83</v>
      </c>
      <c r="D6" s="161">
        <v>24.83</v>
      </c>
      <c r="E6" s="162">
        <f>D6</f>
        <v>24.83</v>
      </c>
      <c r="F6" s="1"/>
      <c r="H6" s="163" t="s">
        <v>98</v>
      </c>
      <c r="I6" s="164">
        <f>E10</f>
        <v>82.16</v>
      </c>
      <c r="J6" s="164">
        <f t="shared" ref="J6:M8" si="1">I6*(1+$C$23)</f>
        <v>83.474559999999997</v>
      </c>
      <c r="K6" s="165">
        <f t="shared" si="1"/>
        <v>84.810152959999996</v>
      </c>
      <c r="L6" s="165">
        <f t="shared" si="1"/>
        <v>86.167115407360001</v>
      </c>
      <c r="M6" s="165">
        <f t="shared" si="1"/>
        <v>87.545789253877757</v>
      </c>
    </row>
    <row r="7" spans="2:13" ht="14.45" x14ac:dyDescent="0.3">
      <c r="B7" s="166" t="s">
        <v>99</v>
      </c>
      <c r="C7" s="167">
        <v>87.67</v>
      </c>
      <c r="D7" s="167">
        <v>70.39</v>
      </c>
      <c r="E7" s="168">
        <f>E10-SUM(E6,E8:E9)</f>
        <v>54.93</v>
      </c>
      <c r="F7" s="1"/>
      <c r="H7" s="163" t="s">
        <v>100</v>
      </c>
      <c r="I7" s="164">
        <f>E7</f>
        <v>54.93</v>
      </c>
      <c r="J7" s="164">
        <f t="shared" si="1"/>
        <v>55.808880000000002</v>
      </c>
      <c r="K7" s="165">
        <f t="shared" si="1"/>
        <v>56.701822079999999</v>
      </c>
      <c r="L7" s="165">
        <f t="shared" si="1"/>
        <v>57.609051233279999</v>
      </c>
      <c r="M7" s="165">
        <f>L7*(1+$C$23)</f>
        <v>58.53079605301248</v>
      </c>
    </row>
    <row r="8" spans="2:13" thickBot="1" x14ac:dyDescent="0.35">
      <c r="B8" s="169" t="s">
        <v>101</v>
      </c>
      <c r="C8" s="170">
        <v>1</v>
      </c>
      <c r="D8" s="170">
        <v>1</v>
      </c>
      <c r="E8" s="171">
        <f>D8</f>
        <v>1</v>
      </c>
      <c r="F8" s="1"/>
      <c r="H8" s="172" t="s">
        <v>102</v>
      </c>
      <c r="I8" s="173">
        <f>C7</f>
        <v>87.67</v>
      </c>
      <c r="J8" s="174">
        <f t="shared" si="1"/>
        <v>89.072720000000004</v>
      </c>
      <c r="K8" s="175">
        <f t="shared" si="1"/>
        <v>90.497883520000002</v>
      </c>
      <c r="L8" s="175">
        <f t="shared" si="1"/>
        <v>91.945849656320007</v>
      </c>
      <c r="M8" s="175">
        <f t="shared" si="1"/>
        <v>93.416983250821133</v>
      </c>
    </row>
    <row r="9" spans="2:13" ht="14.45" x14ac:dyDescent="0.3">
      <c r="B9" s="169" t="s">
        <v>103</v>
      </c>
      <c r="C9" s="170">
        <v>1.4</v>
      </c>
      <c r="D9" s="170">
        <v>1.4</v>
      </c>
      <c r="E9" s="171">
        <f>D9</f>
        <v>1.4</v>
      </c>
      <c r="F9" s="1"/>
    </row>
    <row r="10" spans="2:13" thickBot="1" x14ac:dyDescent="0.35">
      <c r="B10" s="176" t="s">
        <v>104</v>
      </c>
      <c r="C10" s="177">
        <f>SUM(C6:C9)</f>
        <v>114.9</v>
      </c>
      <c r="D10" s="178">
        <f>SUM(D6:D9)</f>
        <v>97.62</v>
      </c>
      <c r="E10" s="179">
        <v>82.16</v>
      </c>
      <c r="F10" s="1"/>
    </row>
    <row r="11" spans="2:13" ht="14.45" x14ac:dyDescent="0.3">
      <c r="B11" s="180" t="s">
        <v>105</v>
      </c>
      <c r="C11" s="181"/>
      <c r="D11" s="181"/>
      <c r="E11" s="181"/>
      <c r="F11" s="181"/>
      <c r="G11" s="182"/>
    </row>
    <row r="12" spans="2:13" ht="14.45" x14ac:dyDescent="0.3">
      <c r="B12" s="180" t="s">
        <v>106</v>
      </c>
      <c r="C12" s="181"/>
      <c r="D12" s="181"/>
      <c r="E12" s="181"/>
      <c r="F12" s="181"/>
      <c r="G12" s="182"/>
    </row>
    <row r="13" spans="2:13" thickBot="1" x14ac:dyDescent="0.35">
      <c r="B13" s="1"/>
      <c r="C13" s="181"/>
      <c r="D13" s="181"/>
      <c r="E13" s="181"/>
      <c r="F13" s="181"/>
      <c r="G13" s="182"/>
      <c r="J13" s="183"/>
    </row>
    <row r="14" spans="2:13" ht="14.45" x14ac:dyDescent="0.3">
      <c r="B14" s="184" t="s">
        <v>107</v>
      </c>
      <c r="C14" s="185" t="s">
        <v>108</v>
      </c>
      <c r="D14" s="185" t="s">
        <v>109</v>
      </c>
      <c r="E14" s="185" t="s">
        <v>110</v>
      </c>
      <c r="F14" s="186" t="s">
        <v>111</v>
      </c>
      <c r="G14" s="187"/>
      <c r="J14" s="183"/>
    </row>
    <row r="15" spans="2:13" ht="14.45" x14ac:dyDescent="0.3">
      <c r="B15" s="188" t="s">
        <v>112</v>
      </c>
      <c r="C15" s="189">
        <v>26.49</v>
      </c>
      <c r="D15" s="189">
        <v>11.55</v>
      </c>
      <c r="E15" s="189">
        <v>18.45</v>
      </c>
      <c r="F15" s="162"/>
    </row>
    <row r="16" spans="2:13" ht="14.45" x14ac:dyDescent="0.3">
      <c r="B16" s="188" t="s">
        <v>113</v>
      </c>
      <c r="C16" s="189">
        <v>31.3</v>
      </c>
      <c r="D16" s="189">
        <v>16.57</v>
      </c>
      <c r="E16" s="189">
        <v>23.26</v>
      </c>
      <c r="F16" s="162"/>
    </row>
    <row r="17" spans="2:8" ht="14.45" x14ac:dyDescent="0.3">
      <c r="B17" s="188" t="s">
        <v>114</v>
      </c>
      <c r="C17" s="189">
        <v>34.57</v>
      </c>
      <c r="D17" s="189">
        <v>20.47</v>
      </c>
      <c r="E17" s="189">
        <v>26.89</v>
      </c>
      <c r="F17" s="162"/>
    </row>
    <row r="18" spans="2:8" thickBot="1" x14ac:dyDescent="0.35">
      <c r="B18" s="190" t="s">
        <v>115</v>
      </c>
      <c r="C18" s="191">
        <v>29.32</v>
      </c>
      <c r="D18" s="191">
        <v>16.95</v>
      </c>
      <c r="E18" s="191">
        <v>22.63</v>
      </c>
      <c r="F18" s="192">
        <v>22.81</v>
      </c>
    </row>
    <row r="19" spans="2:8" ht="14.45" x14ac:dyDescent="0.3">
      <c r="B19" s="188" t="s">
        <v>116</v>
      </c>
      <c r="C19" s="189">
        <v>26.76</v>
      </c>
      <c r="D19" s="189">
        <v>13.01</v>
      </c>
      <c r="E19" s="189">
        <v>19.36</v>
      </c>
      <c r="F19" s="162"/>
    </row>
    <row r="20" spans="2:8" thickBot="1" x14ac:dyDescent="0.35">
      <c r="B20" s="190" t="s">
        <v>117</v>
      </c>
      <c r="C20" s="191">
        <v>26.27</v>
      </c>
      <c r="D20" s="191">
        <v>13.05</v>
      </c>
      <c r="E20" s="191">
        <v>19.059999999999999</v>
      </c>
      <c r="F20" s="192">
        <v>19.21</v>
      </c>
    </row>
    <row r="21" spans="2:8" ht="14.45" x14ac:dyDescent="0.3">
      <c r="B21" s="180" t="s">
        <v>118</v>
      </c>
    </row>
    <row r="22" spans="2:8" thickBot="1" x14ac:dyDescent="0.35"/>
    <row r="23" spans="2:8" thickBot="1" x14ac:dyDescent="0.35">
      <c r="B23" s="193" t="s">
        <v>119</v>
      </c>
      <c r="C23" s="194">
        <v>1.6E-2</v>
      </c>
    </row>
    <row r="25" spans="2:8" ht="14.45" x14ac:dyDescent="0.3">
      <c r="B25" s="1"/>
      <c r="C25" s="1"/>
      <c r="D25" s="1"/>
      <c r="E25" s="1"/>
      <c r="F25" s="1"/>
      <c r="G25" s="1"/>
      <c r="H25" s="1"/>
    </row>
  </sheetData>
  <pageMargins left="0.70866141732283472" right="0.70866141732283472" top="0.74803149606299213" bottom="0.74803149606299213" header="0.31496062992125984" footer="0.31496062992125984"/>
  <pageSetup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Q59"/>
  <sheetViews>
    <sheetView workbookViewId="0">
      <selection activeCell="C6" sqref="C6"/>
    </sheetView>
  </sheetViews>
  <sheetFormatPr defaultColWidth="9.140625" defaultRowHeight="12.75" x14ac:dyDescent="0.2"/>
  <cols>
    <col min="1" max="1" width="2.5703125" style="1" customWidth="1"/>
    <col min="2" max="2" width="29.140625" style="1" bestFit="1" customWidth="1"/>
    <col min="3" max="14" width="12.28515625" style="1" bestFit="1" customWidth="1"/>
    <col min="15" max="15" width="14" style="1" bestFit="1" customWidth="1"/>
    <col min="16" max="16" width="16.85546875" style="1" bestFit="1" customWidth="1"/>
    <col min="17" max="17" width="12.140625" style="1" bestFit="1" customWidth="1"/>
    <col min="18" max="16384" width="9.140625" style="1"/>
  </cols>
  <sheetData>
    <row r="1" spans="2:16" ht="13.5" thickBot="1" x14ac:dyDescent="0.25"/>
    <row r="2" spans="2:16" ht="13.5" thickBot="1" x14ac:dyDescent="0.25">
      <c r="B2" s="17" t="s">
        <v>78</v>
      </c>
      <c r="C2" s="18">
        <v>43101</v>
      </c>
      <c r="D2" s="18">
        <v>43132</v>
      </c>
      <c r="E2" s="18">
        <v>43160</v>
      </c>
      <c r="F2" s="18">
        <v>43191</v>
      </c>
      <c r="G2" s="18">
        <v>43221</v>
      </c>
      <c r="H2" s="18">
        <v>43252</v>
      </c>
      <c r="I2" s="18">
        <v>43282</v>
      </c>
      <c r="J2" s="18">
        <v>43313</v>
      </c>
      <c r="K2" s="18">
        <v>43344</v>
      </c>
      <c r="L2" s="18">
        <v>43374</v>
      </c>
      <c r="M2" s="18">
        <v>43405</v>
      </c>
      <c r="N2" s="18">
        <v>43435</v>
      </c>
      <c r="O2" s="19" t="s">
        <v>19</v>
      </c>
    </row>
    <row r="3" spans="2:16" ht="13.5" thickBot="1" x14ac:dyDescent="0.25">
      <c r="B3" s="20" t="s">
        <v>32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2">
        <f>SUM(C3:N3)</f>
        <v>0</v>
      </c>
    </row>
    <row r="4" spans="2:16" ht="13.5" thickBot="1" x14ac:dyDescent="0.25">
      <c r="B4" s="23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5"/>
    </row>
    <row r="5" spans="2:16" x14ac:dyDescent="0.2">
      <c r="B5" s="26" t="s">
        <v>33</v>
      </c>
      <c r="C5" s="27">
        <f>+C37*'2018 COP Forecast'!$D$6</f>
        <v>150602978.92448547</v>
      </c>
      <c r="D5" s="27">
        <f>+D37*'2018 COP Forecast'!$D$6</f>
        <v>134773300.22025317</v>
      </c>
      <c r="E5" s="27">
        <f>+E37*'2018 COP Forecast'!$D$6</f>
        <v>136732759.11439541</v>
      </c>
      <c r="F5" s="27">
        <f>+F37*'2018 COP Forecast'!$D$6</f>
        <v>123386189.63605291</v>
      </c>
      <c r="G5" s="27">
        <f>+G37*'2018 COP Forecast'!$D$6</f>
        <v>124112861.32981735</v>
      </c>
      <c r="H5" s="27">
        <f>+H37*'2018 COP Forecast'!$D$6</f>
        <v>143702099.10545322</v>
      </c>
      <c r="I5" s="27">
        <f>+I37*'2018 COP Forecast'!$D$6</f>
        <v>173243373.46881154</v>
      </c>
      <c r="J5" s="27">
        <f>+J37*'2018 COP Forecast'!$D$6</f>
        <v>163991266.36971223</v>
      </c>
      <c r="K5" s="27">
        <f>+K37*'2018 COP Forecast'!$D$6</f>
        <v>135517348.88363412</v>
      </c>
      <c r="L5" s="27">
        <f>+L37*'2018 COP Forecast'!$D$6</f>
        <v>134467533.18092129</v>
      </c>
      <c r="M5" s="27">
        <f>+M37*'2018 COP Forecast'!$D$6</f>
        <v>138872652.91035512</v>
      </c>
      <c r="N5" s="27">
        <f>+N37*'2018 COP Forecast'!$D$6</f>
        <v>149669223.93554631</v>
      </c>
      <c r="O5" s="28">
        <f t="shared" ref="O5:O28" si="0">SUM(C5:N5)</f>
        <v>1709071587.079438</v>
      </c>
      <c r="P5" s="29"/>
    </row>
    <row r="6" spans="2:16" x14ac:dyDescent="0.2">
      <c r="B6" s="30" t="s">
        <v>34</v>
      </c>
      <c r="C6" s="31">
        <f>+C5*'2018 COP Forecast'!$E$35</f>
        <v>142349935.67942369</v>
      </c>
      <c r="D6" s="31">
        <f>+D5*'2018 COP Forecast'!$E$35</f>
        <v>127387723.3681833</v>
      </c>
      <c r="E6" s="31">
        <f>+E5*'2018 COP Forecast'!$E$35</f>
        <v>129239803.91492654</v>
      </c>
      <c r="F6" s="31">
        <f>+F5*'2018 COP Forecast'!$E$35</f>
        <v>116624626.44399722</v>
      </c>
      <c r="G6" s="31">
        <f>+G5*'2018 COP Forecast'!$E$35</f>
        <v>117311476.52894337</v>
      </c>
      <c r="H6" s="31">
        <f>+H5*'2018 COP Forecast'!$E$35</f>
        <v>135827224.07447439</v>
      </c>
      <c r="I6" s="31">
        <f>+I5*'2018 COP Forecast'!$E$35</f>
        <v>163749636.60272068</v>
      </c>
      <c r="J6" s="31">
        <f>+J5*'2018 COP Forecast'!$E$35</f>
        <v>155004544.97265202</v>
      </c>
      <c r="K6" s="31">
        <f>+K5*'2018 COP Forecast'!$E$35</f>
        <v>128090998.16481097</v>
      </c>
      <c r="L6" s="31">
        <f>+L5*'2018 COP Forecast'!$E$35</f>
        <v>127098712.36260681</v>
      </c>
      <c r="M6" s="31">
        <f>+M5*'2018 COP Forecast'!$E$35</f>
        <v>131262431.53086767</v>
      </c>
      <c r="N6" s="31">
        <f>+N5*'2018 COP Forecast'!$E$35</f>
        <v>141467350.46387836</v>
      </c>
      <c r="O6" s="32">
        <f t="shared" si="0"/>
        <v>1615414464.1074848</v>
      </c>
      <c r="P6" s="29"/>
    </row>
    <row r="7" spans="2:16" ht="13.5" thickBot="1" x14ac:dyDescent="0.25">
      <c r="B7" s="33" t="s">
        <v>35</v>
      </c>
      <c r="C7" s="34">
        <f t="shared" ref="C7:N7" si="1">+C5-C6</f>
        <v>8253043.245061785</v>
      </c>
      <c r="D7" s="34">
        <f t="shared" si="1"/>
        <v>7385576.8520698696</v>
      </c>
      <c r="E7" s="34">
        <f t="shared" si="1"/>
        <v>7492955.199468866</v>
      </c>
      <c r="F7" s="34">
        <f t="shared" si="1"/>
        <v>6761563.1920556873</v>
      </c>
      <c r="G7" s="34">
        <f t="shared" si="1"/>
        <v>6801384.8008739799</v>
      </c>
      <c r="H7" s="34">
        <f t="shared" si="1"/>
        <v>7874875.0309788287</v>
      </c>
      <c r="I7" s="34">
        <f t="shared" si="1"/>
        <v>9493736.8660908639</v>
      </c>
      <c r="J7" s="34">
        <f t="shared" si="1"/>
        <v>8986721.3970602155</v>
      </c>
      <c r="K7" s="34">
        <f t="shared" si="1"/>
        <v>7426350.7188231498</v>
      </c>
      <c r="L7" s="34">
        <f t="shared" si="1"/>
        <v>7368820.8183144778</v>
      </c>
      <c r="M7" s="34">
        <f t="shared" si="1"/>
        <v>7610221.3794874549</v>
      </c>
      <c r="N7" s="34">
        <f t="shared" si="1"/>
        <v>8201873.4716679454</v>
      </c>
      <c r="O7" s="35">
        <f t="shared" si="0"/>
        <v>93657122.971953124</v>
      </c>
      <c r="P7" s="29"/>
    </row>
    <row r="8" spans="2:16" x14ac:dyDescent="0.2">
      <c r="B8" s="36" t="s">
        <v>36</v>
      </c>
      <c r="C8" s="31">
        <f>+C38*'2018 COP Forecast'!$D$9</f>
        <v>55481260.841976926</v>
      </c>
      <c r="D8" s="31">
        <f>+D38*'2018 COP Forecast'!$D$9</f>
        <v>49310463.195664629</v>
      </c>
      <c r="E8" s="31">
        <f>+E38*'2018 COP Forecast'!$D$9</f>
        <v>52077380.07820525</v>
      </c>
      <c r="F8" s="31">
        <f>+F38*'2018 COP Forecast'!$D$9</f>
        <v>46193851.262974173</v>
      </c>
      <c r="G8" s="31">
        <f>+G38*'2018 COP Forecast'!$D$9</f>
        <v>48541576.001201063</v>
      </c>
      <c r="H8" s="31">
        <f>+H38*'2018 COP Forecast'!$D$9</f>
        <v>54232580.268272266</v>
      </c>
      <c r="I8" s="31">
        <f>+I38*'2018 COP Forecast'!$D$9</f>
        <v>60899072.507782161</v>
      </c>
      <c r="J8" s="31">
        <f>+J38*'2018 COP Forecast'!$D$9</f>
        <v>53944276.004869707</v>
      </c>
      <c r="K8" s="31">
        <f>+K38*'2018 COP Forecast'!$D$9</f>
        <v>49465647.378983557</v>
      </c>
      <c r="L8" s="31">
        <f>+L38*'2018 COP Forecast'!$D$9</f>
        <v>40939657.871567644</v>
      </c>
      <c r="M8" s="31">
        <f>+M38*'2018 COP Forecast'!$D$9</f>
        <v>50504771.020826399</v>
      </c>
      <c r="N8" s="31">
        <f>+N38*'2018 COP Forecast'!$D$9</f>
        <v>54136238.154719345</v>
      </c>
      <c r="O8" s="32">
        <f t="shared" si="0"/>
        <v>615726774.58704317</v>
      </c>
      <c r="P8" s="29"/>
    </row>
    <row r="9" spans="2:16" x14ac:dyDescent="0.2">
      <c r="B9" s="30" t="s">
        <v>34</v>
      </c>
      <c r="C9" s="31">
        <f>+C8*'2018 COP Forecast'!$E$36</f>
        <v>45794232.698967755</v>
      </c>
      <c r="D9" s="31">
        <f>+D8*'2018 COP Forecast'!$E$36</f>
        <v>40700856.321701586</v>
      </c>
      <c r="E9" s="31">
        <f>+E8*'2018 COP Forecast'!$E$36</f>
        <v>42984669.516550615</v>
      </c>
      <c r="F9" s="31">
        <f>+F8*'2018 COP Forecast'!$E$36</f>
        <v>38128404.832458884</v>
      </c>
      <c r="G9" s="31">
        <f>+G8*'2018 COP Forecast'!$E$36</f>
        <v>40066216.831391357</v>
      </c>
      <c r="H9" s="31">
        <f>+H8*'2018 COP Forecast'!$E$36</f>
        <v>44763571.753431931</v>
      </c>
      <c r="I9" s="31">
        <f>+I8*'2018 COP Forecast'!$E$36</f>
        <v>50266094.4479234</v>
      </c>
      <c r="J9" s="31">
        <f>+J8*'2018 COP Forecast'!$E$36</f>
        <v>44525605.414419457</v>
      </c>
      <c r="K9" s="31">
        <f>+K8*'2018 COP Forecast'!$E$36</f>
        <v>40828945.346613027</v>
      </c>
      <c r="L9" s="31">
        <f>+L8*'2018 COP Forecast'!$E$36</f>
        <v>33791593.607191935</v>
      </c>
      <c r="M9" s="31">
        <f>+M8*'2018 COP Forecast'!$E$36</f>
        <v>41686638.000590108</v>
      </c>
      <c r="N9" s="31">
        <f>+N8*'2018 COP Forecast'!$E$36</f>
        <v>44684050.972905345</v>
      </c>
      <c r="O9" s="32">
        <f t="shared" si="0"/>
        <v>508220879.74414545</v>
      </c>
      <c r="P9" s="29"/>
    </row>
    <row r="10" spans="2:16" ht="13.5" thickBot="1" x14ac:dyDescent="0.25">
      <c r="B10" s="30" t="s">
        <v>35</v>
      </c>
      <c r="C10" s="34">
        <f t="shared" ref="C10:N10" si="2">+C8-C9</f>
        <v>9687028.1430091709</v>
      </c>
      <c r="D10" s="34">
        <f t="shared" si="2"/>
        <v>8609606.8739630431</v>
      </c>
      <c r="E10" s="34">
        <f t="shared" si="2"/>
        <v>9092710.5616546348</v>
      </c>
      <c r="F10" s="34">
        <f t="shared" si="2"/>
        <v>8065446.4305152893</v>
      </c>
      <c r="G10" s="34">
        <f t="shared" si="2"/>
        <v>8475359.1698097065</v>
      </c>
      <c r="H10" s="34">
        <f t="shared" si="2"/>
        <v>9469008.5148403347</v>
      </c>
      <c r="I10" s="34">
        <f t="shared" si="2"/>
        <v>10632978.059858762</v>
      </c>
      <c r="J10" s="34">
        <f t="shared" si="2"/>
        <v>9418670.5904502496</v>
      </c>
      <c r="K10" s="34">
        <f t="shared" si="2"/>
        <v>8636702.0323705301</v>
      </c>
      <c r="L10" s="34">
        <f t="shared" si="2"/>
        <v>7148064.264375709</v>
      </c>
      <c r="M10" s="34">
        <f t="shared" si="2"/>
        <v>8818133.020236291</v>
      </c>
      <c r="N10" s="34">
        <f t="shared" si="2"/>
        <v>9452187.181814</v>
      </c>
      <c r="O10" s="35">
        <f t="shared" si="0"/>
        <v>107505894.84289773</v>
      </c>
      <c r="P10" s="29"/>
    </row>
    <row r="11" spans="2:16" x14ac:dyDescent="0.2">
      <c r="B11" s="26" t="s">
        <v>37</v>
      </c>
      <c r="C11" s="37">
        <f>C39*'2018 COP Forecast'!$D$12</f>
        <v>169523012.54903233</v>
      </c>
      <c r="D11" s="37">
        <f>D39*'2018 COP Forecast'!$D$12</f>
        <v>155570446.9256312</v>
      </c>
      <c r="E11" s="37">
        <f>E39*'2018 COP Forecast'!$D$12</f>
        <v>161269427.66381496</v>
      </c>
      <c r="F11" s="37">
        <f>F39*'2018 COP Forecast'!$D$12</f>
        <v>148813436.55540836</v>
      </c>
      <c r="G11" s="37">
        <f>G39*'2018 COP Forecast'!$D$12</f>
        <v>152095256.84899431</v>
      </c>
      <c r="H11" s="37">
        <f>H39*'2018 COP Forecast'!$D$12</f>
        <v>163118406.36179405</v>
      </c>
      <c r="I11" s="37">
        <f>I39*'2018 COP Forecast'!$D$12</f>
        <v>178507556.40521866</v>
      </c>
      <c r="J11" s="37">
        <f>J39*'2018 COP Forecast'!$D$12</f>
        <v>173635439.60190755</v>
      </c>
      <c r="K11" s="37">
        <f>K39*'2018 COP Forecast'!$D$12</f>
        <v>153501387.36112279</v>
      </c>
      <c r="L11" s="37">
        <f>L39*'2018 COP Forecast'!$D$12</f>
        <v>144259160.91599289</v>
      </c>
      <c r="M11" s="37">
        <f>M39*'2018 COP Forecast'!$D$12</f>
        <v>151321210.62279537</v>
      </c>
      <c r="N11" s="37">
        <f>N39*'2018 COP Forecast'!$D$12</f>
        <v>163681154.83926114</v>
      </c>
      <c r="O11" s="28">
        <f t="shared" si="0"/>
        <v>1915295896.6509733</v>
      </c>
      <c r="P11" s="29"/>
    </row>
    <row r="12" spans="2:16" x14ac:dyDescent="0.2">
      <c r="B12" s="30" t="s">
        <v>34</v>
      </c>
      <c r="C12" s="31">
        <f>+C11*'2018 COP Forecast'!$E$37</f>
        <v>18766197.489177879</v>
      </c>
      <c r="D12" s="31">
        <f>+D11*'2018 COP Forecast'!$E$37</f>
        <v>17221648.474667374</v>
      </c>
      <c r="E12" s="31">
        <f>+E11*'2018 COP Forecast'!$E$37</f>
        <v>17852525.642384317</v>
      </c>
      <c r="F12" s="31">
        <f>+F11*'2018 COP Forecast'!$E$37</f>
        <v>16473647.426683707</v>
      </c>
      <c r="G12" s="31">
        <f>+G11*'2018 COP Forecast'!$E$37</f>
        <v>16836944.93318367</v>
      </c>
      <c r="H12" s="31">
        <f>+H11*'2018 COP Forecast'!$E$37</f>
        <v>18057207.584250603</v>
      </c>
      <c r="I12" s="31">
        <f>+I11*'2018 COP Forecast'!$E$37</f>
        <v>19760786.494057707</v>
      </c>
      <c r="J12" s="31">
        <f>+J11*'2018 COP Forecast'!$E$37</f>
        <v>19221443.163931169</v>
      </c>
      <c r="K12" s="31">
        <f>+K11*'2018 COP Forecast'!$E$37</f>
        <v>16992603.580876295</v>
      </c>
      <c r="L12" s="31">
        <f>+L11*'2018 COP Forecast'!$E$37</f>
        <v>15969489.113400413</v>
      </c>
      <c r="M12" s="31">
        <f>+M11*'2018 COP Forecast'!$E$37</f>
        <v>16751258.015943449</v>
      </c>
      <c r="N12" s="31">
        <f>+N11*'2018 COP Forecast'!$E$37</f>
        <v>18119503.840706211</v>
      </c>
      <c r="O12" s="32">
        <f t="shared" si="0"/>
        <v>212023255.75926274</v>
      </c>
      <c r="P12" s="29"/>
    </row>
    <row r="13" spans="2:16" ht="13.5" thickBot="1" x14ac:dyDescent="0.25">
      <c r="B13" s="33" t="s">
        <v>35</v>
      </c>
      <c r="C13" s="34">
        <f t="shared" ref="C13:N13" si="3">+C11-C12</f>
        <v>150756815.05985445</v>
      </c>
      <c r="D13" s="34">
        <f t="shared" si="3"/>
        <v>138348798.45096382</v>
      </c>
      <c r="E13" s="34">
        <f t="shared" si="3"/>
        <v>143416902.02143064</v>
      </c>
      <c r="F13" s="34">
        <f t="shared" si="3"/>
        <v>132339789.12872465</v>
      </c>
      <c r="G13" s="34">
        <f t="shared" si="3"/>
        <v>135258311.91581064</v>
      </c>
      <c r="H13" s="34">
        <f t="shared" si="3"/>
        <v>145061198.77754346</v>
      </c>
      <c r="I13" s="34">
        <f t="shared" si="3"/>
        <v>158746769.91116095</v>
      </c>
      <c r="J13" s="34">
        <f t="shared" si="3"/>
        <v>154413996.43797639</v>
      </c>
      <c r="K13" s="34">
        <f t="shared" si="3"/>
        <v>136508783.7802465</v>
      </c>
      <c r="L13" s="34">
        <f t="shared" si="3"/>
        <v>128289671.80259247</v>
      </c>
      <c r="M13" s="34">
        <f t="shared" si="3"/>
        <v>134569952.60685194</v>
      </c>
      <c r="N13" s="34">
        <f t="shared" si="3"/>
        <v>145561650.99855494</v>
      </c>
      <c r="O13" s="35">
        <f t="shared" si="0"/>
        <v>1703272640.891711</v>
      </c>
      <c r="P13" s="29"/>
    </row>
    <row r="14" spans="2:16" x14ac:dyDescent="0.2">
      <c r="B14" s="36" t="s">
        <v>38</v>
      </c>
      <c r="C14" s="38">
        <f>C40*'2018 COP Forecast'!$D$21</f>
        <v>932967.07164721063</v>
      </c>
      <c r="D14" s="38">
        <f>D40*'2018 COP Forecast'!$D$21</f>
        <v>882806.74851387786</v>
      </c>
      <c r="E14" s="38">
        <f>E40*'2018 COP Forecast'!$D$21</f>
        <v>886943.64493053907</v>
      </c>
      <c r="F14" s="38">
        <f>F40*'2018 COP Forecast'!$D$21</f>
        <v>855043.26948054112</v>
      </c>
      <c r="G14" s="38">
        <f>G40*'2018 COP Forecast'!$D$21</f>
        <v>853157.84073227551</v>
      </c>
      <c r="H14" s="38">
        <f>H40*'2018 COP Forecast'!$D$21</f>
        <v>1065094.6823638706</v>
      </c>
      <c r="I14" s="38">
        <f>I40*'2018 COP Forecast'!$D$21</f>
        <v>1141435.687030534</v>
      </c>
      <c r="J14" s="38">
        <f>J40*'2018 COP Forecast'!$D$21</f>
        <v>908807.18141386961</v>
      </c>
      <c r="K14" s="38">
        <f>K40*'2018 COP Forecast'!$D$21</f>
        <v>717166.38469720015</v>
      </c>
      <c r="L14" s="38">
        <f>L40*'2018 COP Forecast'!$D$21</f>
        <v>792013.50529720425</v>
      </c>
      <c r="M14" s="38">
        <f>M40*'2018 COP Forecast'!$D$21</f>
        <v>995496.56803053594</v>
      </c>
      <c r="N14" s="38">
        <f>N40*'2018 COP Forecast'!$D$21</f>
        <v>1103317.5986472073</v>
      </c>
      <c r="O14" s="32">
        <f t="shared" si="0"/>
        <v>11134250.182784865</v>
      </c>
      <c r="P14" s="29"/>
    </row>
    <row r="15" spans="2:16" x14ac:dyDescent="0.2">
      <c r="B15" s="30" t="s">
        <v>34</v>
      </c>
      <c r="C15" s="31">
        <f>+C14*'2018 COP Forecast'!$E$40</f>
        <v>901619.37803986436</v>
      </c>
      <c r="D15" s="31">
        <f>+D14*'2018 COP Forecast'!$E$40</f>
        <v>853144.44176381163</v>
      </c>
      <c r="E15" s="31">
        <f>+E14*'2018 COP Forecast'!$E$40</f>
        <v>857142.338460873</v>
      </c>
      <c r="F15" s="31">
        <f>+F14*'2018 COP Forecast'!$E$40</f>
        <v>826313.81562599493</v>
      </c>
      <c r="G15" s="31">
        <f>+G14*'2018 COP Forecast'!$E$40</f>
        <v>824491.73728367104</v>
      </c>
      <c r="H15" s="31">
        <f>+H14*'2018 COP Forecast'!$E$40</f>
        <v>1029307.5010364446</v>
      </c>
      <c r="I15" s="31">
        <f>+I14*'2018 COP Forecast'!$E$40</f>
        <v>1103083.4479463082</v>
      </c>
      <c r="J15" s="31">
        <f>+J14*'2018 COP Forecast'!$E$40</f>
        <v>878271.26011836366</v>
      </c>
      <c r="K15" s="31">
        <f>+K14*'2018 COP Forecast'!$E$40</f>
        <v>693069.59417137422</v>
      </c>
      <c r="L15" s="31">
        <f>+L14*'2018 COP Forecast'!$E$40</f>
        <v>765401.85151921818</v>
      </c>
      <c r="M15" s="31">
        <f>+M14*'2018 COP Forecast'!$E$40</f>
        <v>962047.88334470999</v>
      </c>
      <c r="N15" s="31">
        <f>+N14*'2018 COP Forecast'!$E$40</f>
        <v>1066246.1273326611</v>
      </c>
      <c r="O15" s="32">
        <f t="shared" si="0"/>
        <v>10760139.376643294</v>
      </c>
      <c r="P15" s="29"/>
    </row>
    <row r="16" spans="2:16" ht="13.5" thickBot="1" x14ac:dyDescent="0.25">
      <c r="B16" s="30" t="s">
        <v>35</v>
      </c>
      <c r="C16" s="34">
        <f t="shared" ref="C16:N16" si="4">+C14-C15</f>
        <v>31347.693607346271</v>
      </c>
      <c r="D16" s="34">
        <f t="shared" si="4"/>
        <v>29662.306750066229</v>
      </c>
      <c r="E16" s="34">
        <f t="shared" si="4"/>
        <v>29801.306469666073</v>
      </c>
      <c r="F16" s="34">
        <f t="shared" si="4"/>
        <v>28729.453854546184</v>
      </c>
      <c r="G16" s="34">
        <f t="shared" si="4"/>
        <v>28666.103448604466</v>
      </c>
      <c r="H16" s="34">
        <f t="shared" si="4"/>
        <v>35787.181327425991</v>
      </c>
      <c r="I16" s="34">
        <f t="shared" si="4"/>
        <v>38352.239084225846</v>
      </c>
      <c r="J16" s="34">
        <f t="shared" si="4"/>
        <v>30535.921295505948</v>
      </c>
      <c r="K16" s="34">
        <f t="shared" si="4"/>
        <v>24096.790525825927</v>
      </c>
      <c r="L16" s="34">
        <f t="shared" si="4"/>
        <v>26611.653777986066</v>
      </c>
      <c r="M16" s="34">
        <f t="shared" si="4"/>
        <v>33448.684685825952</v>
      </c>
      <c r="N16" s="34">
        <f t="shared" si="4"/>
        <v>37071.471314546186</v>
      </c>
      <c r="O16" s="35">
        <f t="shared" si="0"/>
        <v>374110.80614157114</v>
      </c>
      <c r="P16" s="29"/>
    </row>
    <row r="17" spans="2:17" x14ac:dyDescent="0.2">
      <c r="B17" s="26" t="s">
        <v>39</v>
      </c>
      <c r="C17" s="37">
        <f>C41*'2018 COP Forecast'!$D$24</f>
        <v>40274.190359905697</v>
      </c>
      <c r="D17" s="37">
        <f>D41*'2018 COP Forecast'!$D$24</f>
        <v>25025.362784888439</v>
      </c>
      <c r="E17" s="37">
        <f>E41*'2018 COP Forecast'!$D$24</f>
        <v>34526.595927745671</v>
      </c>
      <c r="F17" s="37">
        <f>F41*'2018 COP Forecast'!$D$24</f>
        <v>23673.547458698045</v>
      </c>
      <c r="G17" s="37">
        <f>G41*'2018 COP Forecast'!$D$24</f>
        <v>38558.763292031515</v>
      </c>
      <c r="H17" s="37">
        <f>H41*'2018 COP Forecast'!$D$24</f>
        <v>31400.76918492989</v>
      </c>
      <c r="I17" s="37">
        <f>I41*'2018 COP Forecast'!$D$24</f>
        <v>48000.526624929895</v>
      </c>
      <c r="J17" s="37">
        <f>J41*'2018 COP Forecast'!$D$24</f>
        <v>28771.440427745671</v>
      </c>
      <c r="K17" s="37">
        <f>K41*'2018 COP Forecast'!$D$24</f>
        <v>28534.650956317262</v>
      </c>
      <c r="L17" s="37">
        <f>L41*'2018 COP Forecast'!$D$24</f>
        <v>21575.383184888542</v>
      </c>
      <c r="M17" s="37">
        <f>M41*'2018 COP Forecast'!$D$24</f>
        <v>42083.545827745671</v>
      </c>
      <c r="N17" s="37">
        <f>N41*'2018 COP Forecast'!$D$24</f>
        <v>34205.736556317061</v>
      </c>
      <c r="O17" s="28">
        <f t="shared" si="0"/>
        <v>396630.51258614339</v>
      </c>
      <c r="P17" s="29"/>
    </row>
    <row r="18" spans="2:17" x14ac:dyDescent="0.2">
      <c r="B18" s="30" t="s">
        <v>34</v>
      </c>
      <c r="C18" s="31">
        <f>+C17*'2018 COP Forecast'!$E$41</f>
        <v>39867.421037270651</v>
      </c>
      <c r="D18" s="31">
        <f>+D17*'2018 COP Forecast'!$E$41</f>
        <v>24772.606620761067</v>
      </c>
      <c r="E18" s="31">
        <f>+E17*'2018 COP Forecast'!$E$41</f>
        <v>34177.877308875439</v>
      </c>
      <c r="F18" s="31">
        <f>+F17*'2018 COP Forecast'!$E$41</f>
        <v>23434.444629365196</v>
      </c>
      <c r="G18" s="31">
        <f>+G17*'2018 COP Forecast'!$E$41</f>
        <v>38169.319782781997</v>
      </c>
      <c r="H18" s="31">
        <f>+H17*'2018 COP Forecast'!$E$41</f>
        <v>31083.621416162099</v>
      </c>
      <c r="I18" s="31">
        <f>+I17*'2018 COP Forecast'!$E$41</f>
        <v>47515.721306018102</v>
      </c>
      <c r="J18" s="31">
        <f>+J17*'2018 COP Forecast'!$E$41</f>
        <v>28480.848879425441</v>
      </c>
      <c r="K18" s="31">
        <f>+K17*'2018 COP Forecast'!$E$41</f>
        <v>28246.450981658458</v>
      </c>
      <c r="L18" s="31">
        <f>+L17*'2018 COP Forecast'!$E$41</f>
        <v>21357.471814721168</v>
      </c>
      <c r="M18" s="31">
        <f>+M17*'2018 COP Forecast'!$E$41</f>
        <v>41658.502014885438</v>
      </c>
      <c r="N18" s="31">
        <f>+N17*'2018 COP Forecast'!$E$41</f>
        <v>33860.258617098261</v>
      </c>
      <c r="O18" s="32">
        <f t="shared" si="0"/>
        <v>392624.54440902331</v>
      </c>
      <c r="P18" s="29"/>
    </row>
    <row r="19" spans="2:17" ht="13.5" thickBot="1" x14ac:dyDescent="0.25">
      <c r="B19" s="33" t="s">
        <v>35</v>
      </c>
      <c r="C19" s="34">
        <f t="shared" ref="C19:N19" si="5">+C17-C18</f>
        <v>406.76932263504568</v>
      </c>
      <c r="D19" s="34">
        <f t="shared" si="5"/>
        <v>252.75616412737145</v>
      </c>
      <c r="E19" s="34">
        <f t="shared" si="5"/>
        <v>348.7186188702326</v>
      </c>
      <c r="F19" s="34">
        <f t="shared" si="5"/>
        <v>239.10282933284907</v>
      </c>
      <c r="G19" s="34">
        <f t="shared" si="5"/>
        <v>389.44350924951868</v>
      </c>
      <c r="H19" s="34">
        <f t="shared" si="5"/>
        <v>317.14776876779069</v>
      </c>
      <c r="I19" s="34">
        <f t="shared" si="5"/>
        <v>484.80531891179271</v>
      </c>
      <c r="J19" s="34">
        <f t="shared" si="5"/>
        <v>290.59154832022978</v>
      </c>
      <c r="K19" s="34">
        <f t="shared" si="5"/>
        <v>288.19997465880442</v>
      </c>
      <c r="L19" s="34">
        <f t="shared" si="5"/>
        <v>217.91137016737412</v>
      </c>
      <c r="M19" s="34">
        <f t="shared" si="5"/>
        <v>425.04381286023272</v>
      </c>
      <c r="N19" s="34">
        <f t="shared" si="5"/>
        <v>345.47793921879929</v>
      </c>
      <c r="O19" s="35">
        <f t="shared" si="0"/>
        <v>4005.9681771200412</v>
      </c>
      <c r="P19" s="29"/>
    </row>
    <row r="20" spans="2:17" x14ac:dyDescent="0.2">
      <c r="B20" s="36" t="s">
        <v>5</v>
      </c>
      <c r="C20" s="38">
        <f>C42*'2018 COP Forecast'!$D$27</f>
        <v>4067656.0541926813</v>
      </c>
      <c r="D20" s="38">
        <f>D42*'2018 COP Forecast'!$D$27</f>
        <v>4045791.2014426235</v>
      </c>
      <c r="E20" s="38">
        <f>E42*'2018 COP Forecast'!$D$27</f>
        <v>3431792.1929125497</v>
      </c>
      <c r="F20" s="38">
        <f>F42*'2018 COP Forecast'!$D$27</f>
        <v>3170358.8950253576</v>
      </c>
      <c r="G20" s="38">
        <f>G42*'2018 COP Forecast'!$D$27</f>
        <v>2744632.6394793326</v>
      </c>
      <c r="H20" s="38">
        <f>H42*'2018 COP Forecast'!$D$27</f>
        <v>2442127.1536896043</v>
      </c>
      <c r="I20" s="38">
        <f>I42*'2018 COP Forecast'!$D$27</f>
        <v>2662033.8182920651</v>
      </c>
      <c r="J20" s="38">
        <f>J42*'2018 COP Forecast'!$D$27</f>
        <v>2939511.6760363164</v>
      </c>
      <c r="K20" s="38">
        <f>K42*'2018 COP Forecast'!$D$27</f>
        <v>3396249.0336072543</v>
      </c>
      <c r="L20" s="38">
        <f>L42*'2018 COP Forecast'!$D$27</f>
        <v>3662354.1401088745</v>
      </c>
      <c r="M20" s="38">
        <f>M42*'2018 COP Forecast'!$D$27</f>
        <v>4067078.7987225237</v>
      </c>
      <c r="N20" s="38">
        <f>N42*'2018 COP Forecast'!$D$27</f>
        <v>4502048.6699598888</v>
      </c>
      <c r="O20" s="32">
        <f t="shared" si="0"/>
        <v>41131634.273469076</v>
      </c>
      <c r="P20" s="29"/>
    </row>
    <row r="21" spans="2:17" x14ac:dyDescent="0.2">
      <c r="B21" s="30" t="s">
        <v>34</v>
      </c>
      <c r="C21" s="31">
        <f>+C20*'2018 COP Forecast'!$E$42</f>
        <v>29287.123590187304</v>
      </c>
      <c r="D21" s="31">
        <f>+D20*'2018 COP Forecast'!$E$42</f>
        <v>29129.69665038689</v>
      </c>
      <c r="E21" s="31">
        <f>+E20*'2018 COP Forecast'!$E$42</f>
        <v>24708.903788970358</v>
      </c>
      <c r="F21" s="31">
        <f>+F20*'2018 COP Forecast'!$E$42</f>
        <v>22826.584044182575</v>
      </c>
      <c r="G21" s="31">
        <f>+G20*'2018 COP Forecast'!$E$42</f>
        <v>19761.355004251192</v>
      </c>
      <c r="H21" s="31">
        <f>+H20*'2018 COP Forecast'!$E$42</f>
        <v>17583.315506565152</v>
      </c>
      <c r="I21" s="31">
        <f>+I20*'2018 COP Forecast'!$E$42</f>
        <v>19166.643491702867</v>
      </c>
      <c r="J21" s="31">
        <f>+J20*'2018 COP Forecast'!$E$42</f>
        <v>21164.484067461479</v>
      </c>
      <c r="K21" s="31">
        <f>+K20*'2018 COP Forecast'!$E$42</f>
        <v>24452.99304197223</v>
      </c>
      <c r="L21" s="31">
        <f>+L20*'2018 COP Forecast'!$E$42</f>
        <v>26368.949808783895</v>
      </c>
      <c r="M21" s="31">
        <f>+M20*'2018 COP Forecast'!$E$42</f>
        <v>29282.96735080217</v>
      </c>
      <c r="N21" s="31">
        <f>+N20*'2018 COP Forecast'!$E$42</f>
        <v>32414.750423711197</v>
      </c>
      <c r="O21" s="32">
        <f t="shared" si="0"/>
        <v>296147.76676897728</v>
      </c>
      <c r="P21" s="29"/>
    </row>
    <row r="22" spans="2:17" ht="13.5" thickBot="1" x14ac:dyDescent="0.25">
      <c r="B22" s="30" t="s">
        <v>35</v>
      </c>
      <c r="C22" s="34">
        <f t="shared" ref="C22:N22" si="6">+C20-C21</f>
        <v>4038368.9306024942</v>
      </c>
      <c r="D22" s="34">
        <f t="shared" si="6"/>
        <v>4016661.5047922367</v>
      </c>
      <c r="E22" s="34">
        <f t="shared" si="6"/>
        <v>3407083.2891235794</v>
      </c>
      <c r="F22" s="34">
        <f t="shared" si="6"/>
        <v>3147532.3109811749</v>
      </c>
      <c r="G22" s="34">
        <f t="shared" si="6"/>
        <v>2724871.2844750816</v>
      </c>
      <c r="H22" s="34">
        <f t="shared" si="6"/>
        <v>2424543.8381830389</v>
      </c>
      <c r="I22" s="34">
        <f t="shared" si="6"/>
        <v>2642867.174800362</v>
      </c>
      <c r="J22" s="34">
        <f t="shared" si="6"/>
        <v>2918347.191968855</v>
      </c>
      <c r="K22" s="34">
        <f t="shared" si="6"/>
        <v>3371796.0405652821</v>
      </c>
      <c r="L22" s="34">
        <f t="shared" si="6"/>
        <v>3635985.1903000907</v>
      </c>
      <c r="M22" s="34">
        <f t="shared" si="6"/>
        <v>4037795.8313717213</v>
      </c>
      <c r="N22" s="34">
        <f t="shared" si="6"/>
        <v>4469633.919536178</v>
      </c>
      <c r="O22" s="35">
        <f t="shared" si="0"/>
        <v>40835486.506700099</v>
      </c>
      <c r="P22" s="29"/>
    </row>
    <row r="23" spans="2:17" x14ac:dyDescent="0.2">
      <c r="B23" s="26" t="s">
        <v>40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8">
        <f t="shared" si="0"/>
        <v>0</v>
      </c>
      <c r="P23" s="29"/>
    </row>
    <row r="24" spans="2:17" x14ac:dyDescent="0.2">
      <c r="B24" s="30" t="s">
        <v>34</v>
      </c>
      <c r="C24" s="31">
        <f t="shared" ref="C24:N24" si="7">+C23*0.8419</f>
        <v>0</v>
      </c>
      <c r="D24" s="31">
        <f t="shared" si="7"/>
        <v>0</v>
      </c>
      <c r="E24" s="31">
        <f t="shared" si="7"/>
        <v>0</v>
      </c>
      <c r="F24" s="31">
        <f t="shared" si="7"/>
        <v>0</v>
      </c>
      <c r="G24" s="31">
        <f t="shared" si="7"/>
        <v>0</v>
      </c>
      <c r="H24" s="31">
        <f t="shared" si="7"/>
        <v>0</v>
      </c>
      <c r="I24" s="31">
        <f t="shared" si="7"/>
        <v>0</v>
      </c>
      <c r="J24" s="31">
        <f t="shared" si="7"/>
        <v>0</v>
      </c>
      <c r="K24" s="31">
        <f t="shared" si="7"/>
        <v>0</v>
      </c>
      <c r="L24" s="31">
        <f t="shared" si="7"/>
        <v>0</v>
      </c>
      <c r="M24" s="31">
        <f t="shared" si="7"/>
        <v>0</v>
      </c>
      <c r="N24" s="31">
        <f t="shared" si="7"/>
        <v>0</v>
      </c>
      <c r="O24" s="32">
        <f t="shared" si="0"/>
        <v>0</v>
      </c>
      <c r="P24" s="29"/>
    </row>
    <row r="25" spans="2:17" ht="13.5" thickBot="1" x14ac:dyDescent="0.25">
      <c r="B25" s="33" t="s">
        <v>35</v>
      </c>
      <c r="C25" s="34">
        <f t="shared" ref="C25:N25" si="8">+C23-C24</f>
        <v>0</v>
      </c>
      <c r="D25" s="34">
        <f t="shared" si="8"/>
        <v>0</v>
      </c>
      <c r="E25" s="34">
        <f t="shared" si="8"/>
        <v>0</v>
      </c>
      <c r="F25" s="34">
        <f t="shared" si="8"/>
        <v>0</v>
      </c>
      <c r="G25" s="34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34">
        <f t="shared" si="8"/>
        <v>0</v>
      </c>
      <c r="L25" s="34">
        <f t="shared" si="8"/>
        <v>0</v>
      </c>
      <c r="M25" s="34">
        <f t="shared" si="8"/>
        <v>0</v>
      </c>
      <c r="N25" s="34">
        <f t="shared" si="8"/>
        <v>0</v>
      </c>
      <c r="O25" s="35">
        <f t="shared" si="0"/>
        <v>0</v>
      </c>
      <c r="P25" s="29"/>
    </row>
    <row r="26" spans="2:17" x14ac:dyDescent="0.2">
      <c r="B26" s="26" t="s">
        <v>22</v>
      </c>
      <c r="C26" s="37">
        <f>C44*'2018 COP Forecast'!$D$15</f>
        <v>20767918.98742136</v>
      </c>
      <c r="D26" s="37">
        <f>D44*'2018 COP Forecast'!$D$15</f>
        <v>19041638.638037771</v>
      </c>
      <c r="E26" s="37">
        <f>E44*'2018 COP Forecast'!$D$15</f>
        <v>20908736.84684439</v>
      </c>
      <c r="F26" s="37">
        <f>F44*'2018 COP Forecast'!$D$15</f>
        <v>20490526.565142177</v>
      </c>
      <c r="G26" s="37">
        <f>G44*'2018 COP Forecast'!$D$15</f>
        <v>20667103.161592044</v>
      </c>
      <c r="H26" s="37">
        <f>H44*'2018 COP Forecast'!$D$15</f>
        <v>16642214.269949127</v>
      </c>
      <c r="I26" s="37">
        <f>I44*'2018 COP Forecast'!$D$15</f>
        <v>20739995.670308597</v>
      </c>
      <c r="J26" s="37">
        <f>J44*'2018 COP Forecast'!$D$15</f>
        <v>20611140.268182389</v>
      </c>
      <c r="K26" s="37">
        <f>K44*'2018 COP Forecast'!$D$15</f>
        <v>19380180.510645017</v>
      </c>
      <c r="L26" s="37">
        <f>L44*'2018 COP Forecast'!$D$15</f>
        <v>20515802.153415661</v>
      </c>
      <c r="M26" s="37">
        <f>M44*'2018 COP Forecast'!$D$15</f>
        <v>19710555.361241233</v>
      </c>
      <c r="N26" s="37">
        <f>N44*'2018 COP Forecast'!$D$15</f>
        <v>19735205.11484912</v>
      </c>
      <c r="O26" s="28">
        <f t="shared" si="0"/>
        <v>239211017.54762888</v>
      </c>
      <c r="P26" s="29"/>
    </row>
    <row r="27" spans="2:17" x14ac:dyDescent="0.2">
      <c r="B27" s="30" t="s">
        <v>34</v>
      </c>
      <c r="C27" s="31">
        <f>+C26*0</f>
        <v>0</v>
      </c>
      <c r="D27" s="31">
        <f t="shared" ref="D27:N27" si="9">+D26*0</f>
        <v>0</v>
      </c>
      <c r="E27" s="31">
        <f t="shared" si="9"/>
        <v>0</v>
      </c>
      <c r="F27" s="31">
        <f t="shared" si="9"/>
        <v>0</v>
      </c>
      <c r="G27" s="31">
        <f t="shared" si="9"/>
        <v>0</v>
      </c>
      <c r="H27" s="31">
        <f t="shared" si="9"/>
        <v>0</v>
      </c>
      <c r="I27" s="31">
        <f t="shared" si="9"/>
        <v>0</v>
      </c>
      <c r="J27" s="31">
        <f t="shared" si="9"/>
        <v>0</v>
      </c>
      <c r="K27" s="31">
        <f t="shared" si="9"/>
        <v>0</v>
      </c>
      <c r="L27" s="31">
        <f t="shared" si="9"/>
        <v>0</v>
      </c>
      <c r="M27" s="31">
        <f t="shared" si="9"/>
        <v>0</v>
      </c>
      <c r="N27" s="31">
        <f t="shared" si="9"/>
        <v>0</v>
      </c>
      <c r="O27" s="32">
        <f t="shared" si="0"/>
        <v>0</v>
      </c>
      <c r="P27" s="29"/>
    </row>
    <row r="28" spans="2:17" ht="13.5" thickBot="1" x14ac:dyDescent="0.25">
      <c r="B28" s="33" t="s">
        <v>35</v>
      </c>
      <c r="C28" s="34">
        <f t="shared" ref="C28:N28" si="10">+C26-C27</f>
        <v>20767918.98742136</v>
      </c>
      <c r="D28" s="34">
        <f t="shared" si="10"/>
        <v>19041638.638037771</v>
      </c>
      <c r="E28" s="34">
        <f t="shared" si="10"/>
        <v>20908736.84684439</v>
      </c>
      <c r="F28" s="34">
        <f t="shared" si="10"/>
        <v>20490526.565142177</v>
      </c>
      <c r="G28" s="34">
        <f t="shared" si="10"/>
        <v>20667103.161592044</v>
      </c>
      <c r="H28" s="34">
        <f t="shared" si="10"/>
        <v>16642214.269949127</v>
      </c>
      <c r="I28" s="34">
        <f t="shared" si="10"/>
        <v>20739995.670308597</v>
      </c>
      <c r="J28" s="34">
        <f t="shared" si="10"/>
        <v>20611140.268182389</v>
      </c>
      <c r="K28" s="34">
        <f t="shared" si="10"/>
        <v>19380180.510645017</v>
      </c>
      <c r="L28" s="34">
        <f t="shared" si="10"/>
        <v>20515802.153415661</v>
      </c>
      <c r="M28" s="34">
        <f t="shared" si="10"/>
        <v>19710555.361241233</v>
      </c>
      <c r="N28" s="34">
        <f t="shared" si="10"/>
        <v>19735205.11484912</v>
      </c>
      <c r="O28" s="35">
        <f t="shared" si="0"/>
        <v>239211017.54762888</v>
      </c>
      <c r="P28" s="29"/>
    </row>
    <row r="29" spans="2:17" x14ac:dyDescent="0.2">
      <c r="B29" s="36" t="s">
        <v>23</v>
      </c>
      <c r="C29" s="38">
        <f>C45*'2018 COP Forecast'!$D$18</f>
        <v>38136397.746338472</v>
      </c>
      <c r="D29" s="38">
        <f>D45*'2018 COP Forecast'!$D$18</f>
        <v>35019020.089427114</v>
      </c>
      <c r="E29" s="38">
        <f>E45*'2018 COP Forecast'!$D$18</f>
        <v>35082711.049358405</v>
      </c>
      <c r="F29" s="38">
        <f>F45*'2018 COP Forecast'!$D$18</f>
        <v>35184252.330756791</v>
      </c>
      <c r="G29" s="38">
        <f>G45*'2018 COP Forecast'!$D$18</f>
        <v>29735593.775503837</v>
      </c>
      <c r="H29" s="38">
        <f>H45*'2018 COP Forecast'!$D$18</f>
        <v>31008298.833492287</v>
      </c>
      <c r="I29" s="38">
        <f>I45*'2018 COP Forecast'!$D$18</f>
        <v>30462778.031584132</v>
      </c>
      <c r="J29" s="38">
        <f>J45*'2018 COP Forecast'!$D$18</f>
        <v>32724176.575536262</v>
      </c>
      <c r="K29" s="38">
        <f>K45*'2018 COP Forecast'!$D$18</f>
        <v>30207664.123564914</v>
      </c>
      <c r="L29" s="38">
        <f>L45*'2018 COP Forecast'!$D$18</f>
        <v>34191807.112043068</v>
      </c>
      <c r="M29" s="38">
        <f>M45*'2018 COP Forecast'!$D$18</f>
        <v>35674120.896974519</v>
      </c>
      <c r="N29" s="38">
        <f>N45*'2018 COP Forecast'!$D$18</f>
        <v>31610302.107268084</v>
      </c>
      <c r="O29" s="32">
        <f>SUM(C29:N29)</f>
        <v>399037122.67184788</v>
      </c>
      <c r="P29" s="29"/>
    </row>
    <row r="30" spans="2:17" x14ac:dyDescent="0.2">
      <c r="B30" s="30" t="s">
        <v>34</v>
      </c>
      <c r="C30" s="31">
        <f>+C29*0</f>
        <v>0</v>
      </c>
      <c r="D30" s="31">
        <f t="shared" ref="D30:N30" si="11">+D29*0</f>
        <v>0</v>
      </c>
      <c r="E30" s="31">
        <f t="shared" si="11"/>
        <v>0</v>
      </c>
      <c r="F30" s="31">
        <f t="shared" si="11"/>
        <v>0</v>
      </c>
      <c r="G30" s="31">
        <f t="shared" si="11"/>
        <v>0</v>
      </c>
      <c r="H30" s="31">
        <f t="shared" si="11"/>
        <v>0</v>
      </c>
      <c r="I30" s="31">
        <f t="shared" si="11"/>
        <v>0</v>
      </c>
      <c r="J30" s="31">
        <f t="shared" si="11"/>
        <v>0</v>
      </c>
      <c r="K30" s="31">
        <f t="shared" si="11"/>
        <v>0</v>
      </c>
      <c r="L30" s="31">
        <f t="shared" si="11"/>
        <v>0</v>
      </c>
      <c r="M30" s="31">
        <f t="shared" si="11"/>
        <v>0</v>
      </c>
      <c r="N30" s="31">
        <f t="shared" si="11"/>
        <v>0</v>
      </c>
      <c r="O30" s="32">
        <f>SUM(C30:N30)</f>
        <v>0</v>
      </c>
      <c r="P30" s="29"/>
      <c r="Q30" s="108"/>
    </row>
    <row r="31" spans="2:17" ht="13.5" thickBot="1" x14ac:dyDescent="0.25">
      <c r="B31" s="30" t="s">
        <v>35</v>
      </c>
      <c r="C31" s="34">
        <f t="shared" ref="C31:N31" si="12">+C29-C30</f>
        <v>38136397.746338472</v>
      </c>
      <c r="D31" s="34">
        <f t="shared" si="12"/>
        <v>35019020.089427114</v>
      </c>
      <c r="E31" s="34">
        <f t="shared" si="12"/>
        <v>35082711.049358405</v>
      </c>
      <c r="F31" s="34">
        <f t="shared" si="12"/>
        <v>35184252.330756791</v>
      </c>
      <c r="G31" s="34">
        <f t="shared" si="12"/>
        <v>29735593.775503837</v>
      </c>
      <c r="H31" s="34">
        <f t="shared" si="12"/>
        <v>31008298.833492287</v>
      </c>
      <c r="I31" s="34">
        <f t="shared" si="12"/>
        <v>30462778.031584132</v>
      </c>
      <c r="J31" s="34">
        <f t="shared" si="12"/>
        <v>32724176.575536262</v>
      </c>
      <c r="K31" s="34">
        <f t="shared" si="12"/>
        <v>30207664.123564914</v>
      </c>
      <c r="L31" s="34">
        <f t="shared" si="12"/>
        <v>34191807.112043068</v>
      </c>
      <c r="M31" s="34">
        <f t="shared" si="12"/>
        <v>35674120.896974519</v>
      </c>
      <c r="N31" s="34">
        <f t="shared" si="12"/>
        <v>31610302.107268084</v>
      </c>
      <c r="O31" s="35">
        <f>SUM(C31:N31)</f>
        <v>399037122.67184788</v>
      </c>
      <c r="P31" s="29"/>
      <c r="Q31" s="107"/>
    </row>
    <row r="32" spans="2:17" ht="13.5" thickBot="1" x14ac:dyDescent="0.25">
      <c r="B32" s="17" t="s">
        <v>19</v>
      </c>
      <c r="C32" s="39">
        <f>SUM(C29,C26,C20,C17,C14,C11,C8,C5)</f>
        <v>439552466.36545432</v>
      </c>
      <c r="D32" s="39">
        <f t="shared" ref="D32:N32" si="13">SUM(D29,D26,D20,D17,D14,D11,D8,D5)</f>
        <v>398668492.38175529</v>
      </c>
      <c r="E32" s="39">
        <f t="shared" si="13"/>
        <v>410424277.18638921</v>
      </c>
      <c r="F32" s="39">
        <f t="shared" si="13"/>
        <v>378117332.06229901</v>
      </c>
      <c r="G32" s="39">
        <f t="shared" si="13"/>
        <v>378788740.36061227</v>
      </c>
      <c r="H32" s="39">
        <f t="shared" si="13"/>
        <v>412242221.44419932</v>
      </c>
      <c r="I32" s="39">
        <f t="shared" si="13"/>
        <v>467704246.11565256</v>
      </c>
      <c r="J32" s="39">
        <f t="shared" si="13"/>
        <v>448783389.11808604</v>
      </c>
      <c r="K32" s="39">
        <f t="shared" si="13"/>
        <v>392214178.32721114</v>
      </c>
      <c r="L32" s="39">
        <f t="shared" si="13"/>
        <v>378849904.26253152</v>
      </c>
      <c r="M32" s="39">
        <f t="shared" si="13"/>
        <v>401187969.72477341</v>
      </c>
      <c r="N32" s="39">
        <f t="shared" si="13"/>
        <v>424471696.15680742</v>
      </c>
      <c r="O32" s="40">
        <f>SUM(O29,O26,O20,O17,O14,O11,O8,O5)</f>
        <v>4931004913.5057716</v>
      </c>
      <c r="P32" s="29"/>
    </row>
    <row r="33" spans="2:17" ht="13.5" thickBot="1" x14ac:dyDescent="0.25">
      <c r="C33" s="16"/>
    </row>
    <row r="34" spans="2:17" ht="13.5" thickBot="1" x14ac:dyDescent="0.25">
      <c r="B34" s="17" t="s">
        <v>78</v>
      </c>
      <c r="C34" s="18">
        <v>43101</v>
      </c>
      <c r="D34" s="18">
        <v>43132</v>
      </c>
      <c r="E34" s="18">
        <v>43160</v>
      </c>
      <c r="F34" s="18">
        <v>43191</v>
      </c>
      <c r="G34" s="18">
        <v>43221</v>
      </c>
      <c r="H34" s="18">
        <v>43252</v>
      </c>
      <c r="I34" s="18">
        <v>43282</v>
      </c>
      <c r="J34" s="18">
        <v>43313</v>
      </c>
      <c r="K34" s="18">
        <v>43344</v>
      </c>
      <c r="L34" s="18">
        <v>43374</v>
      </c>
      <c r="M34" s="18">
        <v>43405</v>
      </c>
      <c r="N34" s="18">
        <v>43435</v>
      </c>
      <c r="O34" s="19" t="s">
        <v>19</v>
      </c>
    </row>
    <row r="35" spans="2:17" ht="13.5" thickBot="1" x14ac:dyDescent="0.25">
      <c r="B35" s="20" t="s">
        <v>41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2">
        <f>SUM(C35:N35)</f>
        <v>0</v>
      </c>
    </row>
    <row r="36" spans="2:17" x14ac:dyDescent="0.2">
      <c r="B36" s="23"/>
      <c r="C36" s="41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5"/>
    </row>
    <row r="37" spans="2:17" x14ac:dyDescent="0.2">
      <c r="B37" s="36" t="s">
        <v>33</v>
      </c>
      <c r="C37" s="31">
        <f>[22]TRANSPOSE!EE4</f>
        <v>145103554.21956399</v>
      </c>
      <c r="D37" s="31">
        <f>[22]TRANSPOSE!EF4</f>
        <v>129851912.72786701</v>
      </c>
      <c r="E37" s="31">
        <f>[22]TRANSPOSE!EG4</f>
        <v>131739819.93871801</v>
      </c>
      <c r="F37" s="31">
        <f>[22]TRANSPOSE!EH4</f>
        <v>118880614.352108</v>
      </c>
      <c r="G37" s="31">
        <f>[22]TRANSPOSE!EI4</f>
        <v>119580750.871777</v>
      </c>
      <c r="H37" s="31">
        <f>[22]TRANSPOSE!EJ4</f>
        <v>138454667.217895</v>
      </c>
      <c r="I37" s="31">
        <f>[22]TRANSPOSE!EK4</f>
        <v>166917211.16563401</v>
      </c>
      <c r="J37" s="31">
        <f>[22]TRANSPOSE!EL4</f>
        <v>158002954.398027</v>
      </c>
      <c r="K37" s="31">
        <f>[22]TRANSPOSE!EM4</f>
        <v>130568791.67900001</v>
      </c>
      <c r="L37" s="31">
        <f>[22]TRANSPOSE!EN4</f>
        <v>129557311.090588</v>
      </c>
      <c r="M37" s="31">
        <f>[22]TRANSPOSE!EO4</f>
        <v>133801573.282932</v>
      </c>
      <c r="N37" s="31">
        <f>[22]TRANSPOSE!EP4</f>
        <v>144203896.26702601</v>
      </c>
      <c r="O37" s="32">
        <f t="shared" ref="O37:O42" si="14">SUM(C37:N37)</f>
        <v>1646663057.2111361</v>
      </c>
    </row>
    <row r="38" spans="2:17" x14ac:dyDescent="0.2">
      <c r="B38" s="36" t="s">
        <v>36</v>
      </c>
      <c r="C38" s="31">
        <f>[22]TRANSPOSE!EE6</f>
        <v>53455304.790420003</v>
      </c>
      <c r="D38" s="31">
        <f>[22]TRANSPOSE!EF6</f>
        <v>47509840.250182703</v>
      </c>
      <c r="E38" s="31">
        <f>[22]TRANSPOSE!EG6</f>
        <v>50175720.279608101</v>
      </c>
      <c r="F38" s="31">
        <f>[22]TRANSPOSE!EH6</f>
        <v>44507034.649748698</v>
      </c>
      <c r="G38" s="31">
        <f>[22]TRANSPOSE!EI6</f>
        <v>46769029.772811502</v>
      </c>
      <c r="H38" s="31">
        <f>[22]TRANSPOSE!EJ6</f>
        <v>52252221.088999197</v>
      </c>
      <c r="I38" s="31">
        <f>[22]TRANSPOSE!EK6</f>
        <v>58675279.417845801</v>
      </c>
      <c r="J38" s="31">
        <f>[22]TRANSPOSE!EL6</f>
        <v>51974444.556190103</v>
      </c>
      <c r="K38" s="31">
        <f>[22]TRANSPOSE!EM6</f>
        <v>47659357.721344598</v>
      </c>
      <c r="L38" s="31">
        <f>[22]TRANSPOSE!EN6</f>
        <v>39444703.6049404</v>
      </c>
      <c r="M38" s="31">
        <f>[22]TRANSPOSE!EO6</f>
        <v>48660536.680630498</v>
      </c>
      <c r="N38" s="31">
        <f>[22]TRANSPOSE!EP6</f>
        <v>52159397.008111902</v>
      </c>
      <c r="O38" s="32">
        <f t="shared" si="14"/>
        <v>593242869.82083344</v>
      </c>
    </row>
    <row r="39" spans="2:17" x14ac:dyDescent="0.2">
      <c r="B39" s="36" t="s">
        <v>37</v>
      </c>
      <c r="C39" s="31">
        <f>[22]TRANSPOSE!EE8</f>
        <v>163332703.101486</v>
      </c>
      <c r="D39" s="31">
        <f>[22]TRANSPOSE!EF8</f>
        <v>149889629.95050699</v>
      </c>
      <c r="E39" s="31">
        <f>[22]TRANSPOSE!EG8</f>
        <v>155380506.46865299</v>
      </c>
      <c r="F39" s="31">
        <f>[22]TRANSPOSE!EH8</f>
        <v>143379358.85481101</v>
      </c>
      <c r="G39" s="31">
        <f>[22]TRANSPOSE!EI8</f>
        <v>146541340.06069401</v>
      </c>
      <c r="H39" s="31">
        <f>[22]TRANSPOSE!EJ8</f>
        <v>157161967.78282499</v>
      </c>
      <c r="I39" s="31">
        <f>[22]TRANSPOSE!EK8</f>
        <v>171989166.976798</v>
      </c>
      <c r="J39" s="31">
        <f>[22]TRANSPOSE!EL8</f>
        <v>167294960.59534401</v>
      </c>
      <c r="K39" s="31">
        <f>[22]TRANSPOSE!EM8</f>
        <v>147896124.251973</v>
      </c>
      <c r="L39" s="31">
        <f>[22]TRANSPOSE!EN8</f>
        <v>138991387.33596</v>
      </c>
      <c r="M39" s="31">
        <f>[22]TRANSPOSE!EO8</f>
        <v>145795558.93900701</v>
      </c>
      <c r="N39" s="31">
        <f>[22]TRANSPOSE!EP8</f>
        <v>157704166.91324899</v>
      </c>
      <c r="O39" s="32">
        <f t="shared" si="14"/>
        <v>1845356871.231307</v>
      </c>
    </row>
    <row r="40" spans="2:17" x14ac:dyDescent="0.2">
      <c r="B40" s="36" t="s">
        <v>38</v>
      </c>
      <c r="C40" s="31">
        <f>[22]TRANSPOSE!EE11</f>
        <v>898898.80686695303</v>
      </c>
      <c r="D40" s="31">
        <f>[22]TRANSPOSE!EF11</f>
        <v>850570.14020028699</v>
      </c>
      <c r="E40" s="31">
        <f>[22]TRANSPOSE!EG11</f>
        <v>854555.973533615</v>
      </c>
      <c r="F40" s="31">
        <f>[22]TRANSPOSE!EH11</f>
        <v>823820.47353361698</v>
      </c>
      <c r="G40" s="31">
        <f>[22]TRANSPOSE!EI11</f>
        <v>822003.89318072598</v>
      </c>
      <c r="H40" s="31">
        <f>[22]TRANSPOSE!EJ11</f>
        <v>1026201.64020028</v>
      </c>
      <c r="I40" s="31">
        <f>[22]TRANSPOSE!EK11</f>
        <v>1099754.9735336101</v>
      </c>
      <c r="J40" s="31">
        <f>[22]TRANSPOSE!EL11</f>
        <v>875621.14020027895</v>
      </c>
      <c r="K40" s="31">
        <f>[22]TRANSPOSE!EM11</f>
        <v>690978.30686694302</v>
      </c>
      <c r="L40" s="31">
        <f>[22]TRANSPOSE!EN11</f>
        <v>763092.30686694698</v>
      </c>
      <c r="M40" s="31">
        <f>[22]TRANSPOSE!EO11</f>
        <v>959144.97353361198</v>
      </c>
      <c r="N40" s="31">
        <f>[22]TRANSPOSE!EP11</f>
        <v>1063028.8068669499</v>
      </c>
      <c r="O40" s="32">
        <f t="shared" si="14"/>
        <v>10727671.435383817</v>
      </c>
    </row>
    <row r="41" spans="2:17" x14ac:dyDescent="0.2">
      <c r="B41" s="36" t="s">
        <v>39</v>
      </c>
      <c r="C41" s="31">
        <f>[22]TRANSPOSE!EE14</f>
        <v>38803.536332889198</v>
      </c>
      <c r="D41" s="31">
        <f>[22]TRANSPOSE!EF14</f>
        <v>24111.5355861725</v>
      </c>
      <c r="E41" s="31">
        <f>[22]TRANSPOSE!EG14</f>
        <v>33265.821300458301</v>
      </c>
      <c r="F41" s="31">
        <f>[22]TRANSPOSE!EH14</f>
        <v>22809.083205220199</v>
      </c>
      <c r="G41" s="31">
        <f>[22]TRANSPOSE!EI14</f>
        <v>37150.749871886997</v>
      </c>
      <c r="H41" s="31">
        <f>[22]TRANSPOSE!EJ14</f>
        <v>30254.137378292598</v>
      </c>
      <c r="I41" s="31">
        <f>[22]TRANSPOSE!EK14</f>
        <v>46247.737378292601</v>
      </c>
      <c r="J41" s="31">
        <f>[22]TRANSPOSE!EL14</f>
        <v>27720.821300458301</v>
      </c>
      <c r="K41" s="31">
        <f>[22]TRANSPOSE!EM14</f>
        <v>27492.678443315599</v>
      </c>
      <c r="L41" s="31">
        <f>[22]TRANSPOSE!EN14</f>
        <v>20787.535586172598</v>
      </c>
      <c r="M41" s="31">
        <f>[22]TRANSPOSE!EO14</f>
        <v>40546.821300458301</v>
      </c>
      <c r="N41" s="31">
        <f>[22]TRANSPOSE!EP14</f>
        <v>32956.678443315403</v>
      </c>
      <c r="O41" s="32">
        <f t="shared" si="14"/>
        <v>382147.13612693257</v>
      </c>
      <c r="P41" s="29"/>
    </row>
    <row r="42" spans="2:17" x14ac:dyDescent="0.2">
      <c r="B42" s="36" t="s">
        <v>5</v>
      </c>
      <c r="C42" s="31">
        <f>[22]TRANSPOSE!EE18</f>
        <v>3919121.3548440901</v>
      </c>
      <c r="D42" s="31">
        <f>[22]TRANSPOSE!EF18</f>
        <v>3898054.9199755499</v>
      </c>
      <c r="E42" s="31">
        <f>[22]TRANSPOSE!EG18</f>
        <v>3306476.7250337698</v>
      </c>
      <c r="F42" s="31">
        <f>[22]TRANSPOSE!EH18</f>
        <v>3054589.9364344901</v>
      </c>
      <c r="G42" s="31">
        <f>[22]TRANSPOSE!EI18</f>
        <v>2644409.5187198501</v>
      </c>
      <c r="H42" s="31">
        <f>[22]TRANSPOSE!EJ18</f>
        <v>2352950.3359568398</v>
      </c>
      <c r="I42" s="31">
        <f>[22]TRANSPOSE!EK18</f>
        <v>2564826.8795568598</v>
      </c>
      <c r="J42" s="31">
        <f>[22]TRANSPOSE!EL18</f>
        <v>2832172.3441914599</v>
      </c>
      <c r="K42" s="31">
        <f>[22]TRANSPOSE!EM18</f>
        <v>3272231.4612267599</v>
      </c>
      <c r="L42" s="31">
        <f>[22]TRANSPOSE!EN18</f>
        <v>3528619.4624808501</v>
      </c>
      <c r="M42" s="31">
        <f>[22]TRANSPOSE!EO18</f>
        <v>3918565.17845893</v>
      </c>
      <c r="N42" s="31">
        <f>[22]TRANSPOSE!EP18</f>
        <v>4337651.6716060201</v>
      </c>
      <c r="O42" s="32">
        <f t="shared" si="14"/>
        <v>39629669.788485467</v>
      </c>
      <c r="P42" s="29"/>
    </row>
    <row r="43" spans="2:17" x14ac:dyDescent="0.2">
      <c r="B43" s="36" t="s">
        <v>40</v>
      </c>
      <c r="C43" s="31">
        <v>0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2">
        <v>0</v>
      </c>
      <c r="P43" s="107"/>
      <c r="Q43" s="29"/>
    </row>
    <row r="44" spans="2:17" x14ac:dyDescent="0.2">
      <c r="B44" s="36" t="s">
        <v>22</v>
      </c>
      <c r="C44" s="31">
        <f>+'[23]LF Settlement Amount'!BJ19+'[23]LF Settlement Amount'!BJ20+'[23]LF Settlement Amount'!BJ21+'[23]LF Settlement Amount'!BJ25+'[23]LF Settlement Amount'!BJ28</f>
        <v>20644054.659464572</v>
      </c>
      <c r="D44" s="31">
        <f>+'[23]LF Settlement Amount'!BK19+'[23]LF Settlement Amount'!BK20+'[23]LF Settlement Amount'!BK21+'[23]LF Settlement Amount'!BK25+'[23]LF Settlement Amount'!BK28</f>
        <v>18928070.216737349</v>
      </c>
      <c r="E44" s="31">
        <f>+'[23]LF Settlement Amount'!BL19+'[23]LF Settlement Amount'!BL20+'[23]LF Settlement Amount'!BL21+'[23]LF Settlement Amount'!BL25+'[23]LF Settlement Amount'!BL28</f>
        <v>20784032.650938757</v>
      </c>
      <c r="F44" s="31">
        <f>+'[23]LF Settlement Amount'!BM19+'[23]LF Settlement Amount'!BM20+'[23]LF Settlement Amount'!BM21+'[23]LF Settlement Amount'!BM25+'[23]LF Settlement Amount'!BM28</f>
        <v>20368316.665151268</v>
      </c>
      <c r="G44" s="31">
        <f>+'[23]LF Settlement Amount'!BN19+'[23]LF Settlement Amount'!BN20+'[23]LF Settlement Amount'!BN21+'[23]LF Settlement Amount'!BN25+'[23]LF Settlement Amount'!BN28</f>
        <v>20543840.120866843</v>
      </c>
      <c r="H44" s="31">
        <f>+'[23]LF Settlement Amount'!BO19+'[23]LF Settlement Amount'!BO20+'[23]LF Settlement Amount'!BO21+'[23]LF Settlement Amount'!BO25+'[23]LF Settlement Amount'!BO28</f>
        <v>16542956.530764539</v>
      </c>
      <c r="I44" s="31">
        <f>+'[23]LF Settlement Amount'!BP19+'[23]LF Settlement Amount'!BP20+'[23]LF Settlement Amount'!BP21+'[23]LF Settlement Amount'!BP25+'[23]LF Settlement Amount'!BP28</f>
        <v>20616297.883010533</v>
      </c>
      <c r="J44" s="31">
        <f>+'[23]LF Settlement Amount'!BQ19+'[23]LF Settlement Amount'!BQ20+'[23]LF Settlement Amount'!BQ21+'[23]LF Settlement Amount'!BQ25+'[23]LF Settlement Amount'!BQ28</f>
        <v>20488211.002169374</v>
      </c>
      <c r="K44" s="31">
        <f>+'[23]LF Settlement Amount'!BR19+'[23]LF Settlement Amount'!BR20+'[23]LF Settlement Amount'!BR21+'[23]LF Settlement Amount'!BR25+'[23]LF Settlement Amount'!BR28</f>
        <v>19264592.952927452</v>
      </c>
      <c r="L44" s="31">
        <f>+'[23]LF Settlement Amount'!BS19+'[23]LF Settlement Amount'!BS20+'[23]LF Settlement Amount'!BS21+'[23]LF Settlement Amount'!BS25+'[23]LF Settlement Amount'!BS28</f>
        <v>20393441.504389327</v>
      </c>
      <c r="M44" s="31">
        <f>+'[23]LF Settlement Amount'!BT19+'[23]LF Settlement Amount'!BT20+'[23]LF Settlement Amount'!BT21+'[23]LF Settlement Amount'!BT25+'[23]LF Settlement Amount'!BT28</f>
        <v>19592997.376979355</v>
      </c>
      <c r="N44" s="31">
        <f>+'[23]LF Settlement Amount'!BU19+'[23]LF Settlement Amount'!BU20+'[23]LF Settlement Amount'!BU21+'[23]LF Settlement Amount'!BU25+'[23]LF Settlement Amount'!BU28</f>
        <v>19617500.114164136</v>
      </c>
      <c r="O44" s="32">
        <f>SUM(C44:N44)</f>
        <v>237784311.67756346</v>
      </c>
    </row>
    <row r="45" spans="2:17" ht="13.5" thickBot="1" x14ac:dyDescent="0.25">
      <c r="B45" s="36" t="s">
        <v>23</v>
      </c>
      <c r="C45" s="31">
        <f>+'[23]LF Settlement Amount'!BJ27+'[23]LF Settlement Amount'!BJ26+'[23]LF Settlement Amount'!BJ18</f>
        <v>37908944.081847385</v>
      </c>
      <c r="D45" s="31">
        <f>+'[23]LF Settlement Amount'!BK27+'[23]LF Settlement Amount'!BK26+'[23]LF Settlement Amount'!BK18</f>
        <v>34810159.1346194</v>
      </c>
      <c r="E45" s="31">
        <f>+'[23]LF Settlement Amount'!BL27+'[23]LF Settlement Amount'!BL26+'[23]LF Settlement Amount'!BL18</f>
        <v>34873470.227990463</v>
      </c>
      <c r="F45" s="31">
        <f>+'[23]LF Settlement Amount'!BM27+'[23]LF Settlement Amount'!BM26+'[23]LF Settlement Amount'!BM18</f>
        <v>34974405.895384483</v>
      </c>
      <c r="G45" s="31">
        <f>+'[23]LF Settlement Amount'!BN27+'[23]LF Settlement Amount'!BN26+'[23]LF Settlement Amount'!BN18</f>
        <v>29558244.309645962</v>
      </c>
      <c r="H45" s="31">
        <f>+'[23]LF Settlement Amount'!BO27+'[23]LF Settlement Amount'!BO26+'[23]LF Settlement Amount'!BO18</f>
        <v>30823358.681403864</v>
      </c>
      <c r="I45" s="31">
        <f>+'[23]LF Settlement Amount'!BP27+'[23]LF Settlement Amount'!BP26+'[23]LF Settlement Amount'!BP18</f>
        <v>30281091.482688006</v>
      </c>
      <c r="J45" s="31">
        <f>+'[23]LF Settlement Amount'!BQ27+'[23]LF Settlement Amount'!BQ26+'[23]LF Settlement Amount'!BQ18</f>
        <v>32529002.56017521</v>
      </c>
      <c r="K45" s="31">
        <f>+'[23]LF Settlement Amount'!BR27+'[23]LF Settlement Amount'!BR26+'[23]LF Settlement Amount'!BR18</f>
        <v>30027499.128792159</v>
      </c>
      <c r="L45" s="31">
        <f>+'[23]LF Settlement Amount'!BS27+'[23]LF Settlement Amount'!BS26+'[23]LF Settlement Amount'!BS18</f>
        <v>33987879.833044797</v>
      </c>
      <c r="M45" s="31">
        <f>+'[23]LF Settlement Amount'!BT27+'[23]LF Settlement Amount'!BT26+'[23]LF Settlement Amount'!BT18</f>
        <v>35461352.780292764</v>
      </c>
      <c r="N45" s="31">
        <f>+'[23]LF Settlement Amount'!BU27+'[23]LF Settlement Amount'!BU26+'[23]LF Settlement Amount'!BU18</f>
        <v>31421771.478397697</v>
      </c>
      <c r="O45" s="32">
        <f>SUM(C45:N45)</f>
        <v>396657179.59428215</v>
      </c>
    </row>
    <row r="46" spans="2:17" ht="13.5" thickBot="1" x14ac:dyDescent="0.25">
      <c r="B46" s="17" t="s">
        <v>19</v>
      </c>
      <c r="C46" s="39">
        <f>SUM(C37:C45)</f>
        <v>425301384.55082589</v>
      </c>
      <c r="D46" s="39">
        <f t="shared" ref="D46:O46" si="15">SUM(D37:D45)</f>
        <v>385762348.87567544</v>
      </c>
      <c r="E46" s="39">
        <f t="shared" si="15"/>
        <v>397147848.08577609</v>
      </c>
      <c r="F46" s="39">
        <f t="shared" si="15"/>
        <v>366010949.91037685</v>
      </c>
      <c r="G46" s="39">
        <f t="shared" si="15"/>
        <v>366496769.29756778</v>
      </c>
      <c r="H46" s="39">
        <f t="shared" si="15"/>
        <v>398644577.41542292</v>
      </c>
      <c r="I46" s="39">
        <f t="shared" si="15"/>
        <v>452189876.5164451</v>
      </c>
      <c r="J46" s="39">
        <f t="shared" si="15"/>
        <v>434025087.41759789</v>
      </c>
      <c r="K46" s="39">
        <f t="shared" si="15"/>
        <v>379407068.1805743</v>
      </c>
      <c r="L46" s="39">
        <f t="shared" si="15"/>
        <v>366687222.6738565</v>
      </c>
      <c r="M46" s="39">
        <f t="shared" si="15"/>
        <v>388230276.03313464</v>
      </c>
      <c r="N46" s="39">
        <f t="shared" si="15"/>
        <v>410540368.93786502</v>
      </c>
      <c r="O46" s="40">
        <f t="shared" si="15"/>
        <v>4770443777.8951187</v>
      </c>
    </row>
    <row r="47" spans="2:17" ht="13.5" thickBot="1" x14ac:dyDescent="0.25">
      <c r="C47" s="16"/>
    </row>
    <row r="48" spans="2:17" ht="13.5" thickBot="1" x14ac:dyDescent="0.25">
      <c r="B48" s="17" t="s">
        <v>79</v>
      </c>
      <c r="C48" s="18">
        <v>43101</v>
      </c>
      <c r="D48" s="18">
        <v>43132</v>
      </c>
      <c r="E48" s="18">
        <v>43160</v>
      </c>
      <c r="F48" s="18">
        <v>43191</v>
      </c>
      <c r="G48" s="18">
        <v>43221</v>
      </c>
      <c r="H48" s="18">
        <v>43252</v>
      </c>
      <c r="I48" s="18">
        <v>43282</v>
      </c>
      <c r="J48" s="18">
        <v>43313</v>
      </c>
      <c r="K48" s="18">
        <v>43344</v>
      </c>
      <c r="L48" s="18">
        <v>43374</v>
      </c>
      <c r="M48" s="18">
        <v>43405</v>
      </c>
      <c r="N48" s="18">
        <v>43435</v>
      </c>
      <c r="O48" s="19" t="s">
        <v>19</v>
      </c>
    </row>
    <row r="49" spans="2:17" ht="13.5" thickBot="1" x14ac:dyDescent="0.25">
      <c r="B49" s="20" t="s">
        <v>42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2">
        <f>SUM(C49:N49)</f>
        <v>0</v>
      </c>
    </row>
    <row r="50" spans="2:17" x14ac:dyDescent="0.2">
      <c r="B50" s="23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5"/>
    </row>
    <row r="51" spans="2:17" x14ac:dyDescent="0.2">
      <c r="B51" s="36" t="s">
        <v>37</v>
      </c>
      <c r="C51" s="31">
        <f>[22]TRANSPOSE!EE9</f>
        <v>390392.04396068002</v>
      </c>
      <c r="D51" s="31">
        <f>[22]TRANSPOSE!EF9</f>
        <v>408255.42620497401</v>
      </c>
      <c r="E51" s="31">
        <f>[22]TRANSPOSE!EG9</f>
        <v>406893.21674387198</v>
      </c>
      <c r="F51" s="31">
        <f>[22]TRANSPOSE!EH9</f>
        <v>403219.63941027399</v>
      </c>
      <c r="G51" s="31">
        <f>[22]TRANSPOSE!EI9</f>
        <v>407189.19050985097</v>
      </c>
      <c r="H51" s="31">
        <f>[22]TRANSPOSE!EJ9</f>
        <v>477841.12726136198</v>
      </c>
      <c r="I51" s="31">
        <f>[22]TRANSPOSE!EK9</f>
        <v>473987.26243184</v>
      </c>
      <c r="J51" s="31">
        <f>[22]TRANSPOSE!EL9</f>
        <v>435165.86438498797</v>
      </c>
      <c r="K51" s="31">
        <f>[22]TRANSPOSE!EM9</f>
        <v>424010.30380349699</v>
      </c>
      <c r="L51" s="31">
        <f>[22]TRANSPOSE!EN9</f>
        <v>429966.88196202501</v>
      </c>
      <c r="M51" s="31">
        <f>[22]TRANSPOSE!EO9</f>
        <v>404723.44192085299</v>
      </c>
      <c r="N51" s="31">
        <f>[22]TRANSPOSE!EP9</f>
        <v>418115.65658017498</v>
      </c>
      <c r="O51" s="32">
        <f t="shared" ref="O51:O56" si="16">SUM(C51:N51)</f>
        <v>5079760.0551743917</v>
      </c>
    </row>
    <row r="52" spans="2:17" x14ac:dyDescent="0.2">
      <c r="B52" s="36" t="s">
        <v>22</v>
      </c>
      <c r="C52" s="31">
        <f>+'[23]LF Settlement Amount'!BJ4+'[23]LF Settlement Amount'!BJ5+'[23]LF Settlement Amount'!BJ6+'[23]LF Settlement Amount'!BJ9+'[23]LF Settlement Amount'!BJ10+'[23]LF Settlement Amount'!BJ13</f>
        <v>47812.002904124463</v>
      </c>
      <c r="D52" s="31">
        <f>+'[23]LF Settlement Amount'!BK4+'[23]LF Settlement Amount'!BK5+'[23]LF Settlement Amount'!BK6+'[23]LF Settlement Amount'!BK9+'[23]LF Settlement Amount'!BK10+'[23]LF Settlement Amount'!BK13</f>
        <v>46765.35290188135</v>
      </c>
      <c r="E52" s="31">
        <f>+'[23]LF Settlement Amount'!BL4+'[23]LF Settlement Amount'!BL5+'[23]LF Settlement Amount'!BL6+'[23]LF Settlement Amount'!BL9+'[23]LF Settlement Amount'!BL10+'[23]LF Settlement Amount'!BL13</f>
        <v>46408.840845735809</v>
      </c>
      <c r="F52" s="31">
        <f>+'[23]LF Settlement Amount'!BM4+'[23]LF Settlement Amount'!BM5+'[23]LF Settlement Amount'!BM6+'[23]LF Settlement Amount'!BM9+'[23]LF Settlement Amount'!BM10+'[23]LF Settlement Amount'!BM13</f>
        <v>47999.492629581073</v>
      </c>
      <c r="G52" s="31">
        <f>+'[23]LF Settlement Amount'!BN4+'[23]LF Settlement Amount'!BN5+'[23]LF Settlement Amount'!BN6+'[23]LF Settlement Amount'!BN9+'[23]LF Settlement Amount'!BN10+'[23]LF Settlement Amount'!BN13</f>
        <v>47600.787143247886</v>
      </c>
      <c r="H52" s="31">
        <f>+'[23]LF Settlement Amount'!BO4+'[23]LF Settlement Amount'!BO5+'[23]LF Settlement Amount'!BO6+'[23]LF Settlement Amount'!BO9+'[23]LF Settlement Amount'!BO10+'[23]LF Settlement Amount'!BO13</f>
        <v>46276.261489269418</v>
      </c>
      <c r="I52" s="31">
        <f>+'[23]LF Settlement Amount'!BP4+'[23]LF Settlement Amount'!BP5+'[23]LF Settlement Amount'!BP6+'[23]LF Settlement Amount'!BP9+'[23]LF Settlement Amount'!BP10+'[23]LF Settlement Amount'!BP13</f>
        <v>45631.163016697115</v>
      </c>
      <c r="J52" s="31">
        <f>+'[23]LF Settlement Amount'!BQ4+'[23]LF Settlement Amount'!BQ5+'[23]LF Settlement Amount'!BQ6+'[23]LF Settlement Amount'!BQ9+'[23]LF Settlement Amount'!BQ10+'[23]LF Settlement Amount'!BQ13</f>
        <v>46811.919705158252</v>
      </c>
      <c r="K52" s="31">
        <f>+'[23]LF Settlement Amount'!BR4+'[23]LF Settlement Amount'!BR5+'[23]LF Settlement Amount'!BR6+'[23]LF Settlement Amount'!BR9+'[23]LF Settlement Amount'!BR10+'[23]LF Settlement Amount'!BR13</f>
        <v>47046.119995290908</v>
      </c>
      <c r="L52" s="31">
        <f>+'[23]LF Settlement Amount'!BS4+'[23]LF Settlement Amount'!BS5+'[23]LF Settlement Amount'!BS6+'[23]LF Settlement Amount'!BS9+'[23]LF Settlement Amount'!BS10+'[23]LF Settlement Amount'!BS13</f>
        <v>45777.006253830419</v>
      </c>
      <c r="M52" s="31">
        <f>+'[23]LF Settlement Amount'!BT4+'[23]LF Settlement Amount'!BT5+'[23]LF Settlement Amount'!BT6+'[23]LF Settlement Amount'!BT9+'[23]LF Settlement Amount'!BT10+'[23]LF Settlement Amount'!BT13</f>
        <v>44797.435536602934</v>
      </c>
      <c r="N52" s="31">
        <f>+'[23]LF Settlement Amount'!BU4+'[23]LF Settlement Amount'!BU5+'[23]LF Settlement Amount'!BU6+'[23]LF Settlement Amount'!BU9+'[23]LF Settlement Amount'!BU10+'[23]LF Settlement Amount'!BU13</f>
        <v>46553.035690886652</v>
      </c>
      <c r="O52" s="32">
        <f t="shared" si="16"/>
        <v>559479.41811230627</v>
      </c>
    </row>
    <row r="53" spans="2:17" x14ac:dyDescent="0.2">
      <c r="B53" s="36" t="s">
        <v>23</v>
      </c>
      <c r="C53" s="31">
        <f>+'[23]LF Settlement Amount'!BJ3+'[23]LF Settlement Amount'!BJ7+'[23]LF Settlement Amount'!BJ8+'[23]LF Settlement Amount'!BJ11+'[23]LF Settlement Amount'!BJ12</f>
        <v>179372.18941377112</v>
      </c>
      <c r="D53" s="31">
        <f>+'[23]LF Settlement Amount'!BK3+'[23]LF Settlement Amount'!BK7+'[23]LF Settlement Amount'!BK8+'[23]LF Settlement Amount'!BK11+'[23]LF Settlement Amount'!BK12</f>
        <v>180394.39781633695</v>
      </c>
      <c r="E53" s="31">
        <f>+'[23]LF Settlement Amount'!BL3+'[23]LF Settlement Amount'!BL7+'[23]LF Settlement Amount'!BL8+'[23]LF Settlement Amount'!BL11+'[23]LF Settlement Amount'!BL12</f>
        <v>175659.41616719641</v>
      </c>
      <c r="F53" s="31">
        <f>+'[23]LF Settlement Amount'!BM3+'[23]LF Settlement Amount'!BM7+'[23]LF Settlement Amount'!BM8+'[23]LF Settlement Amount'!BM11+'[23]LF Settlement Amount'!BM12</f>
        <v>172787.35525907052</v>
      </c>
      <c r="G53" s="31">
        <f>+'[23]LF Settlement Amount'!BN3+'[23]LF Settlement Amount'!BN7+'[23]LF Settlement Amount'!BN8+'[23]LF Settlement Amount'!BN11+'[23]LF Settlement Amount'!BN12</f>
        <v>164026.71935138878</v>
      </c>
      <c r="H53" s="31">
        <f>+'[23]LF Settlement Amount'!BO3+'[23]LF Settlement Amount'!BO7+'[23]LF Settlement Amount'!BO8+'[23]LF Settlement Amount'!BO11+'[23]LF Settlement Amount'!BO12</f>
        <v>183587.11149928454</v>
      </c>
      <c r="I53" s="31">
        <f>+'[23]LF Settlement Amount'!BP3+'[23]LF Settlement Amount'!BP7+'[23]LF Settlement Amount'!BP8+'[23]LF Settlement Amount'!BP11+'[23]LF Settlement Amount'!BP12</f>
        <v>178193.45403219995</v>
      </c>
      <c r="J53" s="31">
        <f>+'[23]LF Settlement Amount'!BQ3+'[23]LF Settlement Amount'!BQ7+'[23]LF Settlement Amount'!BQ8+'[23]LF Settlement Amount'!BQ11+'[23]LF Settlement Amount'!BQ12</f>
        <v>172265.01496948738</v>
      </c>
      <c r="K53" s="31">
        <f>+'[23]LF Settlement Amount'!BR3+'[23]LF Settlement Amount'!BR7+'[23]LF Settlement Amount'!BR8+'[23]LF Settlement Amount'!BR11+'[23]LF Settlement Amount'!BR12</f>
        <v>176625.24415939752</v>
      </c>
      <c r="L53" s="31">
        <f>+'[23]LF Settlement Amount'!BS3+'[23]LF Settlement Amount'!BS7+'[23]LF Settlement Amount'!BS8+'[23]LF Settlement Amount'!BS11+'[23]LF Settlement Amount'!BS12</f>
        <v>170559.23732776009</v>
      </c>
      <c r="M53" s="31">
        <f>+'[23]LF Settlement Amount'!BT3+'[23]LF Settlement Amount'!BT7+'[23]LF Settlement Amount'!BT8+'[23]LF Settlement Amount'!BT11+'[23]LF Settlement Amount'!BT12</f>
        <v>169676.4126275818</v>
      </c>
      <c r="N53" s="31">
        <f>+'[23]LF Settlement Amount'!BU3+'[23]LF Settlement Amount'!BU7+'[23]LF Settlement Amount'!BU8+'[23]LF Settlement Amount'!BU11+'[23]LF Settlement Amount'!BU12</f>
        <v>176130.32662692619</v>
      </c>
      <c r="O53" s="32">
        <f t="shared" si="16"/>
        <v>2099276.8792504012</v>
      </c>
    </row>
    <row r="54" spans="2:17" x14ac:dyDescent="0.2">
      <c r="B54" s="36" t="s">
        <v>39</v>
      </c>
      <c r="C54" s="31">
        <f>[22]TRANSPOSE!EE15</f>
        <v>119.642445599876</v>
      </c>
      <c r="D54" s="31">
        <f>[22]TRANSPOSE!EF15</f>
        <v>67.439608277693694</v>
      </c>
      <c r="E54" s="31">
        <f>[22]TRANSPOSE!EG15</f>
        <v>92.157068112057601</v>
      </c>
      <c r="F54" s="31">
        <f>[22]TRANSPOSE!EH15</f>
        <v>63.416615726086</v>
      </c>
      <c r="G54" s="31">
        <f>[22]TRANSPOSE!EI15</f>
        <v>103.244240994176</v>
      </c>
      <c r="H54" s="31">
        <f>[22]TRANSPOSE!EJ15</f>
        <v>89.9243204179283</v>
      </c>
      <c r="I54" s="31">
        <f>[22]TRANSPOSE!EK15</f>
        <v>130.44055967890401</v>
      </c>
      <c r="J54" s="31">
        <f>[22]TRANSPOSE!EL15</f>
        <v>77.555171592626706</v>
      </c>
      <c r="K54" s="31">
        <f>[22]TRANSPOSE!EM15</f>
        <v>76.834838361252295</v>
      </c>
      <c r="L54" s="31">
        <f>[22]TRANSPOSE!EN15</f>
        <v>76.283745421008007</v>
      </c>
      <c r="M54" s="31">
        <f>[22]TRANSPOSE!EO15</f>
        <v>92.828005029349896</v>
      </c>
      <c r="N54" s="31">
        <f>[22]TRANSPOSE!EP15</f>
        <v>92.779019098443399</v>
      </c>
      <c r="O54" s="32">
        <f t="shared" si="16"/>
        <v>1082.545638309402</v>
      </c>
      <c r="P54" s="29"/>
    </row>
    <row r="55" spans="2:17" x14ac:dyDescent="0.2">
      <c r="B55" s="36" t="s">
        <v>5</v>
      </c>
      <c r="C55" s="31">
        <f>[22]TRANSPOSE!EE19</f>
        <v>9154.8200132374604</v>
      </c>
      <c r="D55" s="31">
        <f>[22]TRANSPOSE!EF19</f>
        <v>9154.4139562752607</v>
      </c>
      <c r="E55" s="31">
        <f>[22]TRANSPOSE!EG19</f>
        <v>9154.0078993130701</v>
      </c>
      <c r="F55" s="31">
        <f>[22]TRANSPOSE!EH19</f>
        <v>9153.6018423508795</v>
      </c>
      <c r="G55" s="31">
        <f>[22]TRANSPOSE!EI19</f>
        <v>9153.1957853886906</v>
      </c>
      <c r="H55" s="31">
        <f>[22]TRANSPOSE!EJ19</f>
        <v>9152.7897284264891</v>
      </c>
      <c r="I55" s="31">
        <f>[22]TRANSPOSE!EK19</f>
        <v>9152.3836714643003</v>
      </c>
      <c r="J55" s="31">
        <f>[22]TRANSPOSE!EL19</f>
        <v>9151.9776145021096</v>
      </c>
      <c r="K55" s="31">
        <f>[22]TRANSPOSE!EM19</f>
        <v>9151.5715575399208</v>
      </c>
      <c r="L55" s="31">
        <f>[22]TRANSPOSE!EN19</f>
        <v>9151.1655005777193</v>
      </c>
      <c r="M55" s="31">
        <f>[22]TRANSPOSE!EO19</f>
        <v>9150.7594436155305</v>
      </c>
      <c r="N55" s="31">
        <f>[22]TRANSPOSE!EP19</f>
        <v>9150.3533866533398</v>
      </c>
      <c r="O55" s="32">
        <f t="shared" si="16"/>
        <v>109831.04039934477</v>
      </c>
      <c r="P55" s="29"/>
    </row>
    <row r="56" spans="2:17" ht="13.5" thickBot="1" x14ac:dyDescent="0.25">
      <c r="B56" s="36" t="s">
        <v>40</v>
      </c>
      <c r="C56" s="31">
        <f>[22]TRANSPOSE!EE21</f>
        <v>26188.4463495048</v>
      </c>
      <c r="D56" s="31">
        <f>[22]TRANSPOSE!EF21</f>
        <v>26252.067694069901</v>
      </c>
      <c r="E56" s="31">
        <f>[22]TRANSPOSE!EG21</f>
        <v>26315.689038634999</v>
      </c>
      <c r="F56" s="31">
        <f>[22]TRANSPOSE!EH21</f>
        <v>26379.3103832001</v>
      </c>
      <c r="G56" s="31">
        <f>[22]TRANSPOSE!EI21</f>
        <v>26442.931727765201</v>
      </c>
      <c r="H56" s="31">
        <f>[22]TRANSPOSE!EJ21</f>
        <v>26506.5530723304</v>
      </c>
      <c r="I56" s="31">
        <f>[22]TRANSPOSE!EK21</f>
        <v>26570.174416895501</v>
      </c>
      <c r="J56" s="31">
        <f>[22]TRANSPOSE!EL21</f>
        <v>26633.795761460598</v>
      </c>
      <c r="K56" s="31">
        <f>[22]TRANSPOSE!EM21</f>
        <v>26697.417106025699</v>
      </c>
      <c r="L56" s="31">
        <f>[22]TRANSPOSE!EN21</f>
        <v>26761.0384505908</v>
      </c>
      <c r="M56" s="31">
        <f>[22]TRANSPOSE!EO21</f>
        <v>26824.659795155902</v>
      </c>
      <c r="N56" s="31">
        <f>[22]TRANSPOSE!EP21</f>
        <v>26888.281139720999</v>
      </c>
      <c r="O56" s="32">
        <f t="shared" si="16"/>
        <v>318460.36493535491</v>
      </c>
      <c r="P56" s="107"/>
      <c r="Q56" s="29"/>
    </row>
    <row r="57" spans="2:17" ht="13.5" thickBot="1" x14ac:dyDescent="0.25">
      <c r="B57" s="17" t="s">
        <v>19</v>
      </c>
      <c r="C57" s="39">
        <f t="shared" ref="C57:O57" si="17">SUM(C51:C56)</f>
        <v>653039.14508691768</v>
      </c>
      <c r="D57" s="39">
        <f t="shared" si="17"/>
        <v>670889.09818181512</v>
      </c>
      <c r="E57" s="39">
        <f t="shared" si="17"/>
        <v>664523.3277628643</v>
      </c>
      <c r="F57" s="39">
        <f t="shared" si="17"/>
        <v>659602.81614020269</v>
      </c>
      <c r="G57" s="39">
        <f t="shared" si="17"/>
        <v>654516.06875863578</v>
      </c>
      <c r="H57" s="39">
        <f t="shared" si="17"/>
        <v>743453.76737109083</v>
      </c>
      <c r="I57" s="39">
        <f t="shared" si="17"/>
        <v>733664.87812877574</v>
      </c>
      <c r="J57" s="39">
        <f t="shared" si="17"/>
        <v>690106.12760718889</v>
      </c>
      <c r="K57" s="39">
        <f t="shared" si="17"/>
        <v>683607.49146011227</v>
      </c>
      <c r="L57" s="39">
        <f t="shared" si="17"/>
        <v>682291.6132402051</v>
      </c>
      <c r="M57" s="39">
        <f t="shared" si="17"/>
        <v>655265.53732883849</v>
      </c>
      <c r="N57" s="39">
        <f t="shared" si="17"/>
        <v>676930.4324434608</v>
      </c>
      <c r="O57" s="40">
        <f t="shared" si="17"/>
        <v>8167890.303510109</v>
      </c>
    </row>
    <row r="58" spans="2:17" x14ac:dyDescent="0.2">
      <c r="C58" s="16"/>
      <c r="O58" s="108"/>
    </row>
    <row r="59" spans="2:17" x14ac:dyDescent="0.2">
      <c r="C59" s="16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B1:M52"/>
  <sheetViews>
    <sheetView showGridLines="0" topLeftCell="A34" workbookViewId="0">
      <selection activeCell="C6" sqref="C6"/>
    </sheetView>
  </sheetViews>
  <sheetFormatPr defaultColWidth="9.140625" defaultRowHeight="12.75" x14ac:dyDescent="0.2"/>
  <cols>
    <col min="1" max="1" width="2.28515625" style="42" customWidth="1"/>
    <col min="2" max="2" width="28.7109375" style="42" customWidth="1"/>
    <col min="3" max="4" width="16" style="42" bestFit="1" customWidth="1"/>
    <col min="5" max="5" width="13.42578125" style="42" bestFit="1" customWidth="1"/>
    <col min="6" max="6" width="18.85546875" style="42" bestFit="1" customWidth="1"/>
    <col min="7" max="7" width="13.7109375" style="42" bestFit="1" customWidth="1"/>
    <col min="8" max="8" width="1.5703125" style="42" customWidth="1"/>
    <col min="9" max="9" width="10.42578125" style="42" customWidth="1"/>
    <col min="10" max="16384" width="9.140625" style="42"/>
  </cols>
  <sheetData>
    <row r="1" spans="2:13" ht="15.75" x14ac:dyDescent="0.25">
      <c r="B1" s="213"/>
      <c r="C1" s="213"/>
      <c r="D1" s="213"/>
      <c r="E1" s="213"/>
      <c r="F1" s="213"/>
      <c r="G1" s="213"/>
    </row>
    <row r="2" spans="2:13" ht="15.75" x14ac:dyDescent="0.25">
      <c r="B2" s="213" t="s">
        <v>80</v>
      </c>
      <c r="C2" s="213"/>
      <c r="D2" s="213"/>
      <c r="E2" s="213"/>
      <c r="F2" s="213"/>
      <c r="G2" s="213"/>
    </row>
    <row r="4" spans="2:13" s="44" customFormat="1" ht="25.5" customHeight="1" x14ac:dyDescent="0.2">
      <c r="B4" s="43" t="s">
        <v>43</v>
      </c>
      <c r="C4" s="214" t="s">
        <v>81</v>
      </c>
      <c r="D4" s="216" t="s">
        <v>82</v>
      </c>
      <c r="E4" s="218">
        <v>2018</v>
      </c>
      <c r="F4" s="219"/>
      <c r="G4" s="220"/>
    </row>
    <row r="5" spans="2:13" s="44" customFormat="1" ht="26.25" customHeight="1" x14ac:dyDescent="0.2">
      <c r="B5" s="45" t="s">
        <v>44</v>
      </c>
      <c r="C5" s="215"/>
      <c r="D5" s="217"/>
      <c r="E5" s="46" t="s">
        <v>45</v>
      </c>
      <c r="F5" s="46" t="s">
        <v>46</v>
      </c>
      <c r="G5" s="47" t="s">
        <v>47</v>
      </c>
    </row>
    <row r="6" spans="2:13" x14ac:dyDescent="0.2">
      <c r="B6" s="48" t="s">
        <v>33</v>
      </c>
      <c r="C6" s="49">
        <f>+'2018 Load Forecast Output'!O37</f>
        <v>1646663057.2111361</v>
      </c>
      <c r="D6" s="50">
        <v>1.0379</v>
      </c>
      <c r="E6" s="51"/>
      <c r="F6" s="52"/>
      <c r="G6" s="53"/>
    </row>
    <row r="7" spans="2:13" ht="15" x14ac:dyDescent="0.25">
      <c r="B7" s="54" t="s">
        <v>48</v>
      </c>
      <c r="C7" s="55"/>
      <c r="D7" s="56"/>
      <c r="E7" s="57">
        <f>C6*D6*$E$35</f>
        <v>1615414464.1074851</v>
      </c>
      <c r="F7" s="58">
        <f>+G7/E7</f>
        <v>8.3280471168432582E-2</v>
      </c>
      <c r="G7" s="59">
        <f>+'2018 Cost of Power Expense'!AN6</f>
        <v>134532477.70317239</v>
      </c>
      <c r="H7" s="60"/>
      <c r="I7" s="61"/>
    </row>
    <row r="8" spans="2:13" ht="15" x14ac:dyDescent="0.25">
      <c r="B8" s="62" t="s">
        <v>49</v>
      </c>
      <c r="C8" s="63"/>
      <c r="D8" s="56"/>
      <c r="E8" s="57">
        <f>C6*D6*$G$35</f>
        <v>93657122.971953213</v>
      </c>
      <c r="F8" s="58">
        <f>+G8/E8</f>
        <v>7.6090043667639967E-2</v>
      </c>
      <c r="G8" s="59">
        <f>+'2018 Cost of Power Expense'!AN17+'2018 Cost of Power Expense'!AN28</f>
        <v>7126374.5767214466</v>
      </c>
      <c r="I8" s="61"/>
    </row>
    <row r="9" spans="2:13" x14ac:dyDescent="0.2">
      <c r="B9" s="64" t="s">
        <v>50</v>
      </c>
      <c r="C9" s="55">
        <f>+'2018 Load Forecast Output'!O38</f>
        <v>593242869.82083344</v>
      </c>
      <c r="D9" s="56">
        <v>1.0379</v>
      </c>
      <c r="E9" s="57"/>
      <c r="F9" s="58"/>
      <c r="G9" s="59"/>
    </row>
    <row r="10" spans="2:13" ht="15" x14ac:dyDescent="0.25">
      <c r="B10" s="54" t="s">
        <v>48</v>
      </c>
      <c r="C10" s="55"/>
      <c r="D10" s="56"/>
      <c r="E10" s="57">
        <f>C9*D9*$E$36</f>
        <v>508220879.74414533</v>
      </c>
      <c r="F10" s="58">
        <f>+G10/E10</f>
        <v>8.3268006300063965E-2</v>
      </c>
      <c r="G10" s="59">
        <f>+'2018 Cost of Power Expense'!AN7</f>
        <v>42318539.416359544</v>
      </c>
      <c r="H10" s="60"/>
      <c r="I10" s="65"/>
    </row>
    <row r="11" spans="2:13" x14ac:dyDescent="0.2">
      <c r="B11" s="54" t="s">
        <v>49</v>
      </c>
      <c r="C11" s="55"/>
      <c r="D11" s="56"/>
      <c r="E11" s="57">
        <f>C9*D9*$G$36</f>
        <v>107505894.84289771</v>
      </c>
      <c r="F11" s="58">
        <f>+G11/E11</f>
        <v>7.6120276785224997E-2</v>
      </c>
      <c r="G11" s="59">
        <f>+'2018 Cost of Power Expense'!AN18+'2018 Cost of Power Expense'!AN29</f>
        <v>8183378.4714846667</v>
      </c>
    </row>
    <row r="12" spans="2:13" x14ac:dyDescent="0.2">
      <c r="B12" s="64" t="s">
        <v>51</v>
      </c>
      <c r="C12" s="55">
        <f>+'2018 Load Forecast Output'!O39</f>
        <v>1845356871.231307</v>
      </c>
      <c r="D12" s="56">
        <v>1.0379</v>
      </c>
      <c r="E12" s="57"/>
      <c r="F12" s="58"/>
      <c r="G12" s="59"/>
    </row>
    <row r="13" spans="2:13" ht="15" x14ac:dyDescent="0.25">
      <c r="B13" s="54" t="s">
        <v>48</v>
      </c>
      <c r="C13" s="55"/>
      <c r="D13" s="56"/>
      <c r="E13" s="57">
        <f>C12*D12*$E$37</f>
        <v>212023255.7592628</v>
      </c>
      <c r="F13" s="58">
        <f>+G13/E13</f>
        <v>8.3258268383072848E-2</v>
      </c>
      <c r="G13" s="59">
        <f>+'2018 Cost of Power Expense'!AN8</f>
        <v>17652689.131457597</v>
      </c>
      <c r="H13" s="60"/>
      <c r="I13" s="65"/>
    </row>
    <row r="14" spans="2:13" ht="15" x14ac:dyDescent="0.25">
      <c r="B14" s="54" t="s">
        <v>49</v>
      </c>
      <c r="C14" s="55"/>
      <c r="D14" s="56"/>
      <c r="E14" s="57">
        <f>C12*D12*$G$37</f>
        <v>1703272640.8917108</v>
      </c>
      <c r="F14" s="58">
        <f>+G14/E14</f>
        <v>0.10929635410371183</v>
      </c>
      <c r="G14" s="59">
        <f>+'2018 Cost of Power Expense'!AN19+'2018 Cost of Power Expense'!AN30</f>
        <v>186161489.69406483</v>
      </c>
      <c r="J14" s="66"/>
      <c r="K14" s="66"/>
      <c r="L14" s="66"/>
      <c r="M14" s="66"/>
    </row>
    <row r="15" spans="2:13" x14ac:dyDescent="0.2">
      <c r="B15" s="54" t="s">
        <v>22</v>
      </c>
      <c r="C15" s="55">
        <f>+'2018 Load Forecast Output'!O44</f>
        <v>237784311.67756346</v>
      </c>
      <c r="D15" s="56">
        <v>1.006</v>
      </c>
      <c r="E15" s="57"/>
      <c r="F15" s="58"/>
      <c r="G15" s="59"/>
    </row>
    <row r="16" spans="2:13" ht="15" x14ac:dyDescent="0.25">
      <c r="B16" s="54" t="s">
        <v>48</v>
      </c>
      <c r="C16" s="55"/>
      <c r="D16" s="56"/>
      <c r="E16" s="57">
        <v>0</v>
      </c>
      <c r="F16" s="58"/>
      <c r="G16" s="59">
        <f>+'2018 Cost of Power Expense'!AN9</f>
        <v>0</v>
      </c>
      <c r="H16" s="60"/>
      <c r="I16" s="65"/>
    </row>
    <row r="17" spans="2:9" x14ac:dyDescent="0.2">
      <c r="B17" s="54" t="s">
        <v>49</v>
      </c>
      <c r="C17" s="55"/>
      <c r="D17" s="56"/>
      <c r="E17" s="57">
        <f>C15*D15</f>
        <v>239211017.54762885</v>
      </c>
      <c r="F17" s="58">
        <f>+G17/E17</f>
        <v>0.10931435821051487</v>
      </c>
      <c r="G17" s="59">
        <f>+'2018 Cost of Power Expense'!AN20+'2018 Cost of Power Expense'!AN31</f>
        <v>26149198.860103257</v>
      </c>
    </row>
    <row r="18" spans="2:9" x14ac:dyDescent="0.2">
      <c r="B18" s="54" t="s">
        <v>23</v>
      </c>
      <c r="C18" s="55">
        <f>+'2018 Load Forecast Output'!O45</f>
        <v>396657179.59428215</v>
      </c>
      <c r="D18" s="56">
        <v>1.006</v>
      </c>
      <c r="E18" s="57"/>
      <c r="F18" s="58"/>
      <c r="G18" s="59"/>
    </row>
    <row r="19" spans="2:9" x14ac:dyDescent="0.2">
      <c r="B19" s="54" t="s">
        <v>48</v>
      </c>
      <c r="C19" s="55"/>
      <c r="D19" s="56"/>
      <c r="E19" s="57">
        <v>0</v>
      </c>
      <c r="F19" s="58"/>
      <c r="G19" s="59">
        <f>+'2018 Cost of Power Expense'!AN10</f>
        <v>0</v>
      </c>
    </row>
    <row r="20" spans="2:9" x14ac:dyDescent="0.2">
      <c r="B20" s="54" t="s">
        <v>49</v>
      </c>
      <c r="C20" s="55"/>
      <c r="D20" s="56"/>
      <c r="E20" s="57">
        <f>C18*D18</f>
        <v>399037122.67184782</v>
      </c>
      <c r="F20" s="58">
        <f>+G20/E20</f>
        <v>0.1093646017364457</v>
      </c>
      <c r="G20" s="59">
        <f>+'2018 Cost of Power Expense'!AN21+'2018 Cost of Power Expense'!AN32</f>
        <v>43640535.999063864</v>
      </c>
    </row>
    <row r="21" spans="2:9" x14ac:dyDescent="0.2">
      <c r="B21" s="64" t="s">
        <v>3</v>
      </c>
      <c r="C21" s="55">
        <f>+'2018 Load Forecast Output'!O40</f>
        <v>10727671.435383817</v>
      </c>
      <c r="D21" s="56">
        <v>1.0379</v>
      </c>
      <c r="E21" s="57"/>
      <c r="F21" s="58"/>
      <c r="G21" s="59"/>
    </row>
    <row r="22" spans="2:9" ht="15" x14ac:dyDescent="0.25">
      <c r="B22" s="54" t="s">
        <v>48</v>
      </c>
      <c r="C22" s="55"/>
      <c r="D22" s="56"/>
      <c r="E22" s="57">
        <f>C21*D21*$E$40</f>
        <v>10760139.376643294</v>
      </c>
      <c r="F22" s="58">
        <f>+G22/E22</f>
        <v>8.3306274889182824E-2</v>
      </c>
      <c r="G22" s="59">
        <f>+'2018 Cost of Power Expense'!AN11</f>
        <v>896387.12875656667</v>
      </c>
      <c r="H22" s="60"/>
      <c r="I22" s="65"/>
    </row>
    <row r="23" spans="2:9" x14ac:dyDescent="0.2">
      <c r="B23" s="54" t="s">
        <v>49</v>
      </c>
      <c r="C23" s="55"/>
      <c r="D23" s="56"/>
      <c r="E23" s="57">
        <f>C21*D21*$G$40</f>
        <v>374110.80614157143</v>
      </c>
      <c r="F23" s="58">
        <f>+G23/E23</f>
        <v>0.10931140547290659</v>
      </c>
      <c r="G23" s="59">
        <f>+'2018 Cost of Power Expense'!AN22+'2018 Cost of Power Expense'!AN33</f>
        <v>40894.578021937268</v>
      </c>
    </row>
    <row r="24" spans="2:9" x14ac:dyDescent="0.2">
      <c r="B24" s="64" t="s">
        <v>4</v>
      </c>
      <c r="C24" s="55">
        <f>+'2018 Load Forecast Output'!O41</f>
        <v>382147.13612693257</v>
      </c>
      <c r="D24" s="56">
        <v>1.0379</v>
      </c>
      <c r="E24" s="57"/>
      <c r="F24" s="58"/>
      <c r="G24" s="59"/>
    </row>
    <row r="25" spans="2:9" ht="15" x14ac:dyDescent="0.25">
      <c r="B25" s="54" t="s">
        <v>48</v>
      </c>
      <c r="C25" s="55"/>
      <c r="D25" s="56"/>
      <c r="E25" s="57">
        <f>C24*D24*$E$41</f>
        <v>392624.54440902331</v>
      </c>
      <c r="F25" s="58">
        <f>+G25/E25</f>
        <v>8.332213518476754E-2</v>
      </c>
      <c r="G25" s="59">
        <f>+'2018 Cost of Power Expense'!AN12</f>
        <v>32714.315366106406</v>
      </c>
      <c r="H25" s="60"/>
      <c r="I25" s="65"/>
    </row>
    <row r="26" spans="2:9" x14ac:dyDescent="0.2">
      <c r="B26" s="54" t="s">
        <v>49</v>
      </c>
      <c r="C26" s="55"/>
      <c r="D26" s="56"/>
      <c r="E26" s="57">
        <f>C24*D24*$G$41</f>
        <v>4005.9681771200476</v>
      </c>
      <c r="F26" s="58">
        <f>+G26/E26</f>
        <v>0.10930013136005204</v>
      </c>
      <c r="G26" s="59">
        <f>+'2018 Cost of Power Expense'!AN23+'2018 Cost of Power Expense'!AN34</f>
        <v>437.85284798340939</v>
      </c>
    </row>
    <row r="27" spans="2:9" x14ac:dyDescent="0.2">
      <c r="B27" s="64" t="s">
        <v>5</v>
      </c>
      <c r="C27" s="55">
        <f>+'2018 Load Forecast Output'!O42</f>
        <v>39629669.788485467</v>
      </c>
      <c r="D27" s="56">
        <v>1.0379</v>
      </c>
      <c r="E27" s="57"/>
      <c r="F27" s="58"/>
      <c r="G27" s="59"/>
    </row>
    <row r="28" spans="2:9" ht="15" x14ac:dyDescent="0.25">
      <c r="B28" s="54" t="s">
        <v>48</v>
      </c>
      <c r="C28" s="55"/>
      <c r="D28" s="56"/>
      <c r="E28" s="57">
        <f>C27*D27*$E$42</f>
        <v>296147.76676897728</v>
      </c>
      <c r="F28" s="58">
        <f>+G28/E28</f>
        <v>8.3282501727151154E-2</v>
      </c>
      <c r="G28" s="59">
        <f>+'2018 Cost of Power Expense'!AN13</f>
        <v>24663.926897429308</v>
      </c>
      <c r="H28" s="60"/>
      <c r="I28" s="65"/>
    </row>
    <row r="29" spans="2:9" x14ac:dyDescent="0.2">
      <c r="B29" s="54" t="s">
        <v>49</v>
      </c>
      <c r="C29" s="55"/>
      <c r="D29" s="67"/>
      <c r="E29" s="57">
        <f>C27*D27*$G$42</f>
        <v>40835486.506700091</v>
      </c>
      <c r="F29" s="58">
        <f>+G29/E29</f>
        <v>0.10942978127405617</v>
      </c>
      <c r="G29" s="59">
        <f>+'2018 Cost of Power Expense'!AN24+'2018 Cost of Power Expense'!AN35</f>
        <v>4468618.3566478631</v>
      </c>
    </row>
    <row r="30" spans="2:9" x14ac:dyDescent="0.2">
      <c r="B30" s="68" t="s">
        <v>52</v>
      </c>
      <c r="C30" s="69">
        <f>SUM(C6:C29)</f>
        <v>4770443777.8951178</v>
      </c>
      <c r="D30" s="70"/>
      <c r="E30" s="69">
        <f>SUM(E6:E29)</f>
        <v>4931004913.5057726</v>
      </c>
      <c r="F30" s="71"/>
      <c r="G30" s="72">
        <f>SUM(G6:G29)</f>
        <v>471228400.01096547</v>
      </c>
    </row>
    <row r="31" spans="2:9" x14ac:dyDescent="0.2">
      <c r="B31" s="73"/>
      <c r="C31" s="104"/>
      <c r="D31" s="105"/>
      <c r="E31" s="104"/>
      <c r="F31" s="106"/>
      <c r="G31" s="74"/>
    </row>
    <row r="32" spans="2:9" ht="15" x14ac:dyDescent="0.2">
      <c r="B32" s="139" t="s">
        <v>83</v>
      </c>
      <c r="C32" s="103"/>
      <c r="D32" s="103"/>
      <c r="E32" s="103"/>
      <c r="F32" s="103"/>
      <c r="G32" s="103"/>
    </row>
    <row r="33" spans="2:10" ht="13.5" thickBot="1" x14ac:dyDescent="0.25"/>
    <row r="34" spans="2:10" ht="16.5" thickBot="1" x14ac:dyDescent="0.3">
      <c r="B34" s="75" t="s">
        <v>53</v>
      </c>
      <c r="C34" s="76" t="s">
        <v>54</v>
      </c>
      <c r="D34" s="76" t="s">
        <v>55</v>
      </c>
      <c r="E34" s="76" t="s">
        <v>56</v>
      </c>
      <c r="F34" s="76" t="s">
        <v>57</v>
      </c>
      <c r="G34" s="77" t="s">
        <v>58</v>
      </c>
    </row>
    <row r="35" spans="2:10" ht="15" x14ac:dyDescent="0.2">
      <c r="B35" s="78" t="s">
        <v>33</v>
      </c>
      <c r="C35" s="79">
        <f>+'[24]Table - Bill Determinants '!D30</f>
        <v>1647803823.1021173</v>
      </c>
      <c r="D35" s="79">
        <f>+C35-F35</f>
        <v>1557457150.1021173</v>
      </c>
      <c r="E35" s="80">
        <f>ROUND(D35/C35,4)</f>
        <v>0.94520000000000004</v>
      </c>
      <c r="F35" s="79">
        <f>+'[24]Table - Bill Determinants '!E30</f>
        <v>90346673</v>
      </c>
      <c r="G35" s="81">
        <f>+ROUND(F35/C35,4)</f>
        <v>5.4800000000000001E-2</v>
      </c>
      <c r="I35" s="109"/>
      <c r="J35" s="110"/>
    </row>
    <row r="36" spans="2:10" ht="15" x14ac:dyDescent="0.2">
      <c r="B36" s="82" t="s">
        <v>59</v>
      </c>
      <c r="C36" s="79">
        <f>+'[24]Table - Bill Determinants '!D31</f>
        <v>595148676.14955509</v>
      </c>
      <c r="D36" s="79">
        <f t="shared" ref="D36:D42" si="0">+C36-F36</f>
        <v>491250335.14955509</v>
      </c>
      <c r="E36" s="80">
        <f t="shared" ref="E36:E42" si="1">ROUND(D36/C36,4)</f>
        <v>0.82540000000000002</v>
      </c>
      <c r="F36" s="79">
        <f>+'[24]Table - Bill Determinants '!E31</f>
        <v>103898341</v>
      </c>
      <c r="G36" s="81">
        <f t="shared" ref="G36:G42" si="2">+ROUND(F36/C36,4)</f>
        <v>0.17460000000000001</v>
      </c>
      <c r="I36" s="109"/>
      <c r="J36" s="110"/>
    </row>
    <row r="37" spans="2:10" ht="15" x14ac:dyDescent="0.2">
      <c r="B37" s="82" t="s">
        <v>60</v>
      </c>
      <c r="C37" s="79">
        <f>+'[24]Table - Bill Determinants '!D32</f>
        <v>1811883808.7715611</v>
      </c>
      <c r="D37" s="79">
        <f t="shared" si="0"/>
        <v>200602571.77156115</v>
      </c>
      <c r="E37" s="80">
        <f t="shared" si="1"/>
        <v>0.11070000000000001</v>
      </c>
      <c r="F37" s="79">
        <f>+'[24]Table - Bill Determinants '!E32</f>
        <v>1611281237</v>
      </c>
      <c r="G37" s="81">
        <f t="shared" si="2"/>
        <v>0.88929999999999998</v>
      </c>
      <c r="I37" s="109"/>
      <c r="J37" s="110"/>
    </row>
    <row r="38" spans="2:10" ht="15" x14ac:dyDescent="0.2">
      <c r="B38" s="82" t="s">
        <v>61</v>
      </c>
      <c r="C38" s="79">
        <f>+'[24]Table - Bill Determinants '!D33</f>
        <v>248933055.62203574</v>
      </c>
      <c r="D38" s="79">
        <v>0</v>
      </c>
      <c r="E38" s="80">
        <f t="shared" si="1"/>
        <v>0</v>
      </c>
      <c r="F38" s="79">
        <f>+'[24]Table - Bill Determinants '!E33</f>
        <v>248933055.62203574</v>
      </c>
      <c r="G38" s="81">
        <f t="shared" si="2"/>
        <v>1</v>
      </c>
      <c r="I38" s="109"/>
      <c r="J38" s="110"/>
    </row>
    <row r="39" spans="2:10" ht="15" x14ac:dyDescent="0.2">
      <c r="B39" s="82" t="s">
        <v>62</v>
      </c>
      <c r="C39" s="79">
        <f>+'[24]Table - Bill Determinants '!D34</f>
        <v>1065021673.1280894</v>
      </c>
      <c r="D39" s="79">
        <v>0</v>
      </c>
      <c r="E39" s="80">
        <f t="shared" si="1"/>
        <v>0</v>
      </c>
      <c r="F39" s="79">
        <f>+'[24]Table - Bill Determinants '!E34</f>
        <v>1065021673.1280894</v>
      </c>
      <c r="G39" s="81">
        <f t="shared" si="2"/>
        <v>1</v>
      </c>
      <c r="I39" s="109"/>
      <c r="J39" s="110"/>
    </row>
    <row r="40" spans="2:10" ht="15" x14ac:dyDescent="0.2">
      <c r="B40" s="82" t="s">
        <v>63</v>
      </c>
      <c r="C40" s="79">
        <f>+'[24]Table - Bill Determinants '!D35</f>
        <v>11571071.95690605</v>
      </c>
      <c r="D40" s="79">
        <f t="shared" si="0"/>
        <v>11182847.95690605</v>
      </c>
      <c r="E40" s="80">
        <f t="shared" si="1"/>
        <v>0.96640000000000004</v>
      </c>
      <c r="F40" s="79">
        <f>+'[24]Table - Bill Determinants '!E35</f>
        <v>388224</v>
      </c>
      <c r="G40" s="81">
        <f t="shared" si="2"/>
        <v>3.3599999999999998E-2</v>
      </c>
      <c r="I40" s="109"/>
      <c r="J40" s="110"/>
    </row>
    <row r="41" spans="2:10" ht="15" x14ac:dyDescent="0.2">
      <c r="B41" s="82" t="s">
        <v>39</v>
      </c>
      <c r="C41" s="79">
        <f>+'[24]Table - Bill Determinants '!D36</f>
        <v>438984.64842993952</v>
      </c>
      <c r="D41" s="79">
        <f t="shared" si="0"/>
        <v>434556.64842993952</v>
      </c>
      <c r="E41" s="80">
        <f t="shared" si="1"/>
        <v>0.9899</v>
      </c>
      <c r="F41" s="79">
        <f>+'[24]Table - Bill Determinants '!E36</f>
        <v>4428</v>
      </c>
      <c r="G41" s="81">
        <f t="shared" si="2"/>
        <v>1.01E-2</v>
      </c>
      <c r="I41" s="109"/>
      <c r="J41" s="110"/>
    </row>
    <row r="42" spans="2:10" ht="15.75" thickBot="1" x14ac:dyDescent="0.25">
      <c r="B42" s="83" t="s">
        <v>5</v>
      </c>
      <c r="C42" s="79">
        <f>+'[24]Table - Bill Determinants '!D37</f>
        <v>31864627.859138645</v>
      </c>
      <c r="D42" s="79">
        <f t="shared" si="0"/>
        <v>228254.99566432089</v>
      </c>
      <c r="E42" s="80">
        <f t="shared" si="1"/>
        <v>7.1999999999999998E-3</v>
      </c>
      <c r="F42" s="79">
        <f>+'[24]Table - Bill Determinants '!E37</f>
        <v>31636372.863474324</v>
      </c>
      <c r="G42" s="81">
        <f t="shared" si="2"/>
        <v>0.99280000000000002</v>
      </c>
      <c r="I42" s="109"/>
      <c r="J42" s="110"/>
    </row>
    <row r="43" spans="2:10" ht="16.5" thickBot="1" x14ac:dyDescent="0.3">
      <c r="B43" s="84" t="s">
        <v>64</v>
      </c>
      <c r="C43" s="85">
        <f>SUM(C35:C42)</f>
        <v>5412665721.237834</v>
      </c>
      <c r="D43" s="85">
        <f>SUM(D35:D42)</f>
        <v>2261155716.6242332</v>
      </c>
      <c r="E43" s="85"/>
      <c r="F43" s="85">
        <f>SUM(F35:F42)</f>
        <v>3151510004.6135993</v>
      </c>
      <c r="G43" s="86"/>
    </row>
    <row r="45" spans="2:10" x14ac:dyDescent="0.2">
      <c r="C45" s="109"/>
      <c r="D45" s="109"/>
      <c r="E45" s="110"/>
      <c r="F45" s="109"/>
      <c r="G45" s="110"/>
    </row>
    <row r="46" spans="2:10" x14ac:dyDescent="0.2">
      <c r="C46" s="109"/>
      <c r="D46" s="109"/>
      <c r="E46" s="110"/>
      <c r="F46" s="109"/>
      <c r="G46" s="110"/>
    </row>
    <row r="47" spans="2:10" x14ac:dyDescent="0.2">
      <c r="C47" s="109"/>
      <c r="D47" s="109"/>
      <c r="E47" s="110"/>
      <c r="F47" s="109"/>
      <c r="G47" s="110"/>
    </row>
    <row r="48" spans="2:10" x14ac:dyDescent="0.2">
      <c r="C48" s="109"/>
      <c r="E48" s="110"/>
      <c r="F48" s="109"/>
      <c r="G48" s="110"/>
    </row>
    <row r="49" spans="3:7" x14ac:dyDescent="0.2">
      <c r="C49" s="109"/>
      <c r="E49" s="110"/>
      <c r="F49" s="109"/>
      <c r="G49" s="110"/>
    </row>
    <row r="50" spans="3:7" x14ac:dyDescent="0.2">
      <c r="C50" s="109"/>
      <c r="D50" s="109"/>
      <c r="E50" s="110"/>
      <c r="F50" s="109"/>
      <c r="G50" s="110"/>
    </row>
    <row r="51" spans="3:7" x14ac:dyDescent="0.2">
      <c r="C51" s="109"/>
      <c r="D51" s="109"/>
      <c r="E51" s="110"/>
      <c r="F51" s="109"/>
      <c r="G51" s="110"/>
    </row>
    <row r="52" spans="3:7" x14ac:dyDescent="0.2">
      <c r="C52" s="109"/>
      <c r="D52" s="109"/>
      <c r="E52" s="110"/>
      <c r="F52" s="109"/>
      <c r="G52" s="110"/>
    </row>
  </sheetData>
  <mergeCells count="5"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B1:I11"/>
  <sheetViews>
    <sheetView showGridLines="0" workbookViewId="0">
      <selection activeCell="C6" sqref="C6"/>
    </sheetView>
  </sheetViews>
  <sheetFormatPr defaultColWidth="9.140625" defaultRowHeight="15" x14ac:dyDescent="0.2"/>
  <cols>
    <col min="1" max="1" width="2.28515625" style="42" customWidth="1"/>
    <col min="2" max="2" width="28.7109375" style="42" customWidth="1"/>
    <col min="3" max="4" width="16" style="42" bestFit="1" customWidth="1"/>
    <col min="5" max="5" width="18.85546875" style="42" bestFit="1" customWidth="1"/>
    <col min="6" max="6" width="1.5703125" style="42" customWidth="1"/>
    <col min="7" max="7" width="12.85546875" style="115" customWidth="1"/>
    <col min="8" max="16384" width="9.140625" style="42"/>
  </cols>
  <sheetData>
    <row r="1" spans="2:9" ht="15.75" x14ac:dyDescent="0.25">
      <c r="B1" s="223" t="s">
        <v>53</v>
      </c>
      <c r="C1" s="221" t="s">
        <v>72</v>
      </c>
      <c r="D1" s="221"/>
      <c r="E1" s="222"/>
      <c r="F1" s="130"/>
      <c r="G1" s="126" t="s">
        <v>73</v>
      </c>
      <c r="I1" s="42" t="s">
        <v>74</v>
      </c>
    </row>
    <row r="2" spans="2:9" ht="15.75" x14ac:dyDescent="0.25">
      <c r="B2" s="224"/>
      <c r="C2" s="117" t="s">
        <v>19</v>
      </c>
      <c r="D2" s="117" t="s">
        <v>70</v>
      </c>
      <c r="E2" s="124" t="s">
        <v>71</v>
      </c>
      <c r="F2" s="128"/>
      <c r="G2" s="127" t="s">
        <v>19</v>
      </c>
    </row>
    <row r="3" spans="2:9" x14ac:dyDescent="0.2">
      <c r="B3" s="120" t="s">
        <v>33</v>
      </c>
      <c r="C3" s="116">
        <f>+'2018 COP Forecast'!C6</f>
        <v>1646663057.2111361</v>
      </c>
      <c r="D3" s="116">
        <f>+'2018 COP Forecast'!E7/'2018 COP Forecast'!D6</f>
        <v>1556425921.6759658</v>
      </c>
      <c r="E3" s="118">
        <f>+'2018 COP Forecast'!E8/'2018 COP Forecast'!D6</f>
        <v>90237135.535170257</v>
      </c>
      <c r="F3" s="129"/>
      <c r="G3" s="131"/>
      <c r="H3" s="110"/>
      <c r="I3" s="109">
        <f>+C3-D3-E3</f>
        <v>0</v>
      </c>
    </row>
    <row r="4" spans="2:9" x14ac:dyDescent="0.2">
      <c r="B4" s="121" t="s">
        <v>59</v>
      </c>
      <c r="C4" s="114">
        <f>+'2018 COP Forecast'!C9</f>
        <v>593242869.82083344</v>
      </c>
      <c r="D4" s="114">
        <f>+'2018 COP Forecast'!E10/'2018 COP Forecast'!D9</f>
        <v>489662664.75011593</v>
      </c>
      <c r="E4" s="119">
        <f>+'2018 COP Forecast'!E11/'2018 COP Forecast'!D9</f>
        <v>103580205.07071751</v>
      </c>
      <c r="F4" s="129"/>
      <c r="G4" s="132"/>
      <c r="H4" s="110"/>
      <c r="I4" s="109">
        <f t="shared" ref="I4:I11" si="0">+C4-D4-E4</f>
        <v>0</v>
      </c>
    </row>
    <row r="5" spans="2:9" x14ac:dyDescent="0.2">
      <c r="B5" s="121" t="s">
        <v>60</v>
      </c>
      <c r="C5" s="114">
        <f>+'2018 COP Forecast'!C12</f>
        <v>1845356871.231307</v>
      </c>
      <c r="D5" s="114">
        <f>+'2018 COP Forecast'!E13/'2018 COP Forecast'!D12</f>
        <v>204281005.64530569</v>
      </c>
      <c r="E5" s="119">
        <f>+'2018 COP Forecast'!E14/'2018 COP Forecast'!D12</f>
        <v>1641075865.5860012</v>
      </c>
      <c r="F5" s="129"/>
      <c r="G5" s="132">
        <f>+'2018 Load Forecast Output'!O51</f>
        <v>5079760.0551743917</v>
      </c>
      <c r="H5" s="110"/>
      <c r="I5" s="109">
        <f t="shared" si="0"/>
        <v>0</v>
      </c>
    </row>
    <row r="6" spans="2:9" x14ac:dyDescent="0.2">
      <c r="B6" s="121" t="s">
        <v>61</v>
      </c>
      <c r="C6" s="114">
        <f>+'2018 COP Forecast'!C15</f>
        <v>237784311.67756346</v>
      </c>
      <c r="D6" s="114">
        <v>0</v>
      </c>
      <c r="E6" s="119">
        <f>+C6</f>
        <v>237784311.67756346</v>
      </c>
      <c r="F6" s="129"/>
      <c r="G6" s="132">
        <f>+'2018 Load Forecast Output'!O52</f>
        <v>559479.41811230627</v>
      </c>
      <c r="H6" s="110"/>
      <c r="I6" s="109">
        <f t="shared" si="0"/>
        <v>0</v>
      </c>
    </row>
    <row r="7" spans="2:9" x14ac:dyDescent="0.2">
      <c r="B7" s="121" t="s">
        <v>62</v>
      </c>
      <c r="C7" s="114">
        <f>+'2018 COP Forecast'!C18</f>
        <v>396657179.59428215</v>
      </c>
      <c r="D7" s="114">
        <v>0</v>
      </c>
      <c r="E7" s="119">
        <f>+C7</f>
        <v>396657179.59428215</v>
      </c>
      <c r="F7" s="129"/>
      <c r="G7" s="132">
        <f>+'2018 Load Forecast Output'!O53</f>
        <v>2099276.8792504012</v>
      </c>
      <c r="H7" s="110"/>
      <c r="I7" s="109">
        <f t="shared" si="0"/>
        <v>0</v>
      </c>
    </row>
    <row r="8" spans="2:9" x14ac:dyDescent="0.2">
      <c r="B8" s="121" t="s">
        <v>63</v>
      </c>
      <c r="C8" s="114">
        <f>+'2018 COP Forecast'!C21</f>
        <v>10727671.435383817</v>
      </c>
      <c r="D8" s="114">
        <f>+'2018 COP Forecast'!E22/'2018 COP Forecast'!D21</f>
        <v>10367221.675154923</v>
      </c>
      <c r="E8" s="119">
        <f>+'2018 COP Forecast'!E23/'2018 COP Forecast'!D21</f>
        <v>360449.76022889622</v>
      </c>
      <c r="F8" s="129"/>
      <c r="G8" s="132"/>
      <c r="H8" s="110"/>
      <c r="I8" s="109">
        <f t="shared" si="0"/>
        <v>-1.57160684466362E-9</v>
      </c>
    </row>
    <row r="9" spans="2:9" x14ac:dyDescent="0.2">
      <c r="B9" s="121" t="s">
        <v>39</v>
      </c>
      <c r="C9" s="114">
        <f>+'2018 COP Forecast'!C24</f>
        <v>382147.13612693257</v>
      </c>
      <c r="D9" s="114">
        <f>+'2018 COP Forecast'!E25/'2018 COP Forecast'!D24</f>
        <v>378287.45005205058</v>
      </c>
      <c r="E9" s="119">
        <f>+'2018 COP Forecast'!E26/'2018 COP Forecast'!D24</f>
        <v>3859.6860748820191</v>
      </c>
      <c r="F9" s="129"/>
      <c r="G9" s="133">
        <f>+'2018 Load Forecast Output'!O54</f>
        <v>1082.545638309402</v>
      </c>
      <c r="H9" s="110"/>
      <c r="I9" s="109">
        <f t="shared" si="0"/>
        <v>-3.0013325158506632E-11</v>
      </c>
    </row>
    <row r="10" spans="2:9" x14ac:dyDescent="0.2">
      <c r="B10" s="121" t="s">
        <v>5</v>
      </c>
      <c r="C10" s="114">
        <f>+'2018 COP Forecast'!C27</f>
        <v>39629669.788485467</v>
      </c>
      <c r="D10" s="114">
        <f>+'2018 COP Forecast'!E28/'2018 COP Forecast'!D27</f>
        <v>285333.62247709534</v>
      </c>
      <c r="E10" s="119">
        <f>+'2018 COP Forecast'!E29/'2018 COP Forecast'!D27</f>
        <v>39344336.166008376</v>
      </c>
      <c r="F10" s="129"/>
      <c r="G10" s="133">
        <f>+'2018 Load Forecast Output'!O55</f>
        <v>109831.04039934477</v>
      </c>
      <c r="H10" s="110"/>
      <c r="I10" s="109">
        <f t="shared" si="0"/>
        <v>0</v>
      </c>
    </row>
    <row r="11" spans="2:9" ht="16.5" thickBot="1" x14ac:dyDescent="0.3">
      <c r="B11" s="122" t="s">
        <v>64</v>
      </c>
      <c r="C11" s="123">
        <f>SUM(C3:C10)</f>
        <v>4770443777.8951178</v>
      </c>
      <c r="D11" s="123">
        <f>SUM(D3:D10)</f>
        <v>2261400434.8190713</v>
      </c>
      <c r="E11" s="125">
        <f>SUM(E3:E10)</f>
        <v>2509043343.0760469</v>
      </c>
      <c r="F11" s="134"/>
      <c r="G11" s="135">
        <f>SUM(G3:G10)</f>
        <v>7849429.9385747537</v>
      </c>
      <c r="I11" s="109">
        <f t="shared" si="0"/>
        <v>0</v>
      </c>
    </row>
  </sheetData>
  <mergeCells count="2">
    <mergeCell ref="C1:E1"/>
    <mergeCell ref="B1:B2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99FA68A33C724FA894CDAF43EEA7C7" ma:contentTypeVersion="4" ma:contentTypeDescription="Create a new document." ma:contentTypeScope="" ma:versionID="cd836efc06b95b323159f4e65df5269c">
  <xsd:schema xmlns:xsd="http://www.w3.org/2001/XMLSchema" xmlns:xs="http://www.w3.org/2001/XMLSchema" xmlns:p="http://schemas.microsoft.com/office/2006/metadata/properties" xmlns:ns2="c7144278-a604-49a7-8187-9642ca59cb21" xmlns:ns3="01f4ed2e-8ed5-4f01-addc-53cbf92106b5" targetNamespace="http://schemas.microsoft.com/office/2006/metadata/properties" ma:root="true" ma:fieldsID="6b3309542ef24b8ba8d273685ad379e3" ns2:_="" ns3:_="">
    <xsd:import namespace="c7144278-a604-49a7-8187-9642ca59cb21"/>
    <xsd:import namespace="01f4ed2e-8ed5-4f01-addc-53cbf92106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144278-a604-49a7-8187-9642ca59cb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f4ed2e-8ed5-4f01-addc-53cbf92106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A404E0-C72B-4389-AA95-9DB088018E0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C60B5C1-9EE1-4F08-87E4-40636E391F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472153-971F-4ACD-99D4-E3672F6184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144278-a604-49a7-8187-9642ca59cb21"/>
    <ds:schemaRef ds:uri="01f4ed2e-8ed5-4f01-addc-53cbf92106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Summary</vt:lpstr>
      <vt:lpstr>2018 Cost of Power Expense</vt:lpstr>
      <vt:lpstr>COP Rates</vt:lpstr>
      <vt:lpstr>2018 Load Forecast Output</vt:lpstr>
      <vt:lpstr>2018 COP Forecast</vt:lpstr>
      <vt:lpstr>2018 Billing Determinants</vt:lpstr>
      <vt:lpstr>'2018 Cost of Power Expense'!Print_Area</vt:lpstr>
      <vt:lpstr>'COP Rates'!Print_Area</vt:lpstr>
    </vt:vector>
  </TitlesOfParts>
  <Company>Horizon Utilities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Alison Price</cp:lastModifiedBy>
  <cp:lastPrinted>2018-04-16T16:13:57Z</cp:lastPrinted>
  <dcterms:created xsi:type="dcterms:W3CDTF">2012-06-18T16:01:34Z</dcterms:created>
  <dcterms:modified xsi:type="dcterms:W3CDTF">2018-04-16T16:19:48Z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0x0101004E99FA68A33C724FA894CDAF43EEA7C7</vt:lpwstr>
  </property>
</Properties>
</file>